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2.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omments3.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omments4.xml" ContentType="application/vnd.openxmlformats-officedocument.spreadsheetml.comments+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omments5.xml" ContentType="application/vnd.openxmlformats-officedocument.spreadsheetml.comments+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comments6.xml" ContentType="application/vnd.openxmlformats-officedocument.spreadsheetml.comments+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comments7.xml" ContentType="application/vnd.openxmlformats-officedocument.spreadsheetml.comments+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charts/chart3.xml" ContentType="application/vnd.openxmlformats-officedocument.drawingml.chart+xml"/>
  <Override PartName="/xl/drawings/drawing67.xml" ContentType="application/vnd.openxmlformats-officedocument.drawing+xml"/>
  <Override PartName="/xl/drawings/drawing68.xml" ContentType="application/vnd.openxmlformats-officedocument.drawing+xml"/>
  <Override PartName="/xl/charts/chart4.xml" ContentType="application/vnd.openxmlformats-officedocument.drawingml.chart+xml"/>
  <Override PartName="/xl/drawings/drawing69.xml" ContentType="application/vnd.openxmlformats-officedocument.drawing+xml"/>
  <Override PartName="/xl/charts/chart5.xml" ContentType="application/vnd.openxmlformats-officedocument.drawingml.chart+xml"/>
  <Override PartName="/xl/drawings/drawing7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590" yWindow="630" windowWidth="24120" windowHeight="9390" firstSheet="5" activeTab="10"/>
  </bookViews>
  <sheets>
    <sheet name="MEZATRANS (2)" sheetId="292" state="hidden" r:id="rId1"/>
    <sheet name="LL" sheetId="7" state="hidden" r:id="rId2"/>
    <sheet name="RAPPORT JOURNALIER " sheetId="244" state="hidden" r:id="rId3"/>
    <sheet name="LC" sheetId="5" state="hidden" r:id="rId4"/>
    <sheet name="RAPPORT JOURNALIER  (3)" sheetId="329" state="hidden" r:id="rId5"/>
    <sheet name="analyse stock " sheetId="6" r:id="rId6"/>
    <sheet name="Lub" sheetId="26" state="hidden" r:id="rId7"/>
    <sheet name="ventes" sheetId="2" state="hidden" r:id="rId8"/>
    <sheet name="Orange Marchand" sheetId="320" state="hidden" r:id="rId9"/>
    <sheet name="ecart pp" sheetId="19" state="hidden" r:id="rId10"/>
    <sheet name="vers&amp;dépenses " sheetId="24" r:id="rId11"/>
    <sheet name="Cont recet ss" sheetId="20" state="hidden" r:id="rId12"/>
    <sheet name="client station" sheetId="12" state="hidden" r:id="rId13"/>
    <sheet name="EVOLUT° VENTES" sheetId="106" state="hidden" r:id="rId14"/>
    <sheet name="RC" sheetId="21" state="hidden" r:id="rId15"/>
    <sheet name="DIGIPAY TERMINAL" sheetId="141" state="hidden" r:id="rId16"/>
    <sheet name="CIC" sheetId="279" state="hidden" r:id="rId17"/>
    <sheet name="AFRICURE" sheetId="287" state="hidden" r:id="rId18"/>
    <sheet name="MTN MARCHAND" sheetId="300" state="hidden" r:id="rId19"/>
    <sheet name="GOLDENNESS" sheetId="272" state="hidden" r:id="rId20"/>
    <sheet name="BNB-HAMED" sheetId="84" state="hidden" r:id="rId21"/>
    <sheet name="YOSSI" sheetId="108" state="hidden" r:id="rId22"/>
    <sheet name="MEZATRANS - E-TRANCO" sheetId="131" state="hidden" r:id="rId23"/>
    <sheet name="E-TRANSCOM(3)" sheetId="303" state="hidden" r:id="rId24"/>
    <sheet name="ATC" sheetId="267" state="hidden" r:id="rId25"/>
    <sheet name="KONGFU" sheetId="30" state="hidden" r:id="rId26"/>
    <sheet name="SOCOPAT" sheetId="28" state="hidden" r:id="rId27"/>
    <sheet name="SAP-TRANS" sheetId="136" state="hidden" r:id="rId28"/>
    <sheet name="SCAFS" sheetId="301" state="hidden" r:id="rId29"/>
    <sheet name="ERNO GC" sheetId="268" state="hidden" r:id="rId30"/>
    <sheet name="PROPALM" sheetId="223" state="hidden" r:id="rId31"/>
    <sheet name="COTRACO" sheetId="298" state="hidden" r:id="rId32"/>
    <sheet name="STC" sheetId="189" state="hidden" r:id="rId33"/>
    <sheet name="JEAB" sheetId="29" state="hidden" r:id="rId34"/>
    <sheet name="GOLAR" sheetId="280" state="hidden" r:id="rId35"/>
    <sheet name="HONG LIANG" sheetId="275" state="hidden" r:id="rId36"/>
    <sheet name="COMCO" sheetId="149" state="hidden" r:id="rId37"/>
    <sheet name="SOFERCO" sheetId="239" state="hidden" r:id="rId38"/>
    <sheet name="KHALIFA" sheetId="97" state="hidden" r:id="rId39"/>
    <sheet name="ATLAS " sheetId="259" state="hidden" r:id="rId40"/>
    <sheet name="PROGRES AUTO" sheetId="227" state="hidden" r:id="rId41"/>
    <sheet name="SOFOCAM" sheetId="83" state="hidden" r:id="rId42"/>
    <sheet name="X TRADE" sheetId="142" state="hidden" r:id="rId43"/>
    <sheet name="TJK" sheetId="122" state="hidden" r:id="rId44"/>
    <sheet name="CTS" sheetId="282" state="hidden" r:id="rId45"/>
    <sheet name="SODITRAT" sheetId="75" state="hidden" r:id="rId46"/>
    <sheet name="CTC" sheetId="196" state="hidden" r:id="rId47"/>
    <sheet name="DJOMETCHOUA" sheetId="283" state="hidden" r:id="rId48"/>
    <sheet name="COTRAM" sheetId="235" state="hidden" r:id="rId49"/>
    <sheet name="NEW GEX" sheetId="260" state="hidden" r:id="rId50"/>
    <sheet name="GRAND BETON" sheetId="229" state="hidden" r:id="rId51"/>
    <sheet name="STBL" sheetId="191" state="hidden" r:id="rId52"/>
    <sheet name="H-SERVICE" sheetId="138" state="hidden" r:id="rId53"/>
    <sheet name="GSCI" sheetId="145" state="hidden" r:id="rId54"/>
    <sheet name="GREEN OIL" sheetId="82" state="hidden" r:id="rId55"/>
    <sheet name="SMATCOM" sheetId="251" state="hidden" r:id="rId56"/>
    <sheet name="KESTRAL" sheetId="102" state="hidden" r:id="rId57"/>
    <sheet name="BOUTIQUE le babone" sheetId="176" state="hidden" r:id="rId58"/>
    <sheet name="CENTRAL VOYAGE" sheetId="198" state="hidden" r:id="rId59"/>
    <sheet name="ABS" sheetId="199" state="hidden" r:id="rId60"/>
    <sheet name="CAMTAIL" sheetId="219" state="hidden" r:id="rId61"/>
    <sheet name="SOCAMBA" sheetId="185" state="hidden" r:id="rId62"/>
    <sheet name="HERAKLESS" sheetId="85" state="hidden" r:id="rId63"/>
    <sheet name="ACHOU" sheetId="88" state="hidden" r:id="rId64"/>
    <sheet name="BONIMEX" sheetId="70" state="hidden" r:id="rId65"/>
    <sheet name="BLESSING" sheetId="80" state="hidden" r:id="rId66"/>
    <sheet name="FICHE RCPT" sheetId="104" state="hidden" r:id="rId67"/>
    <sheet name="comparaison ventes" sheetId="105" state="hidden" r:id="rId68"/>
    <sheet name="EVOLUTION DES VENTES ANNUEL" sheetId="93" state="hidden" r:id="rId69"/>
    <sheet name="NESCAFE" sheetId="120" state="hidden" r:id="rId70"/>
    <sheet name="Feuil22" sheetId="194" state="hidden" r:id="rId71"/>
    <sheet name="tableau de bord" sheetId="216" state="hidden" r:id="rId72"/>
    <sheet name="Feuil1" sheetId="220" state="hidden" r:id="rId73"/>
    <sheet name="comande lubrifiant" sheetId="221" state="hidden" r:id="rId74"/>
    <sheet name="Feuil7" sheetId="222" state="hidden" r:id="rId75"/>
    <sheet name="Feuil10" sheetId="225" state="hidden" r:id="rId76"/>
    <sheet name="Feuil11" sheetId="228" state="hidden" r:id="rId77"/>
    <sheet name="Feuil2" sheetId="230" state="hidden" r:id="rId78"/>
    <sheet name="SUIVI STAGIAIRE" sheetId="231" state="hidden" r:id="rId79"/>
    <sheet name="EVOLUTION DES VENTES ANNUEL (2)" sheetId="232" state="hidden" r:id="rId80"/>
    <sheet name="RATION STAGIAIRE" sheetId="233" state="hidden" r:id="rId81"/>
    <sheet name="Feuil14" sheetId="240" state="hidden" r:id="rId82"/>
    <sheet name="Feuil12" sheetId="247" state="hidden" r:id="rId83"/>
    <sheet name="Feuil13" sheetId="248" state="hidden" r:id="rId84"/>
    <sheet name="Feuil17" sheetId="246" state="hidden" r:id="rId85"/>
    <sheet name="Feuil15" sheetId="249" state="hidden" r:id="rId86"/>
    <sheet name="Feuil16" sheetId="250" state="hidden" r:id="rId87"/>
    <sheet name="Feuil18" sheetId="252" state="hidden" r:id="rId88"/>
    <sheet name="Feuil19" sheetId="253" state="hidden" r:id="rId89"/>
    <sheet name="suivi monnaie" sheetId="254" state="hidden" r:id="rId90"/>
    <sheet name="Feuil20" sheetId="255" state="hidden" r:id="rId91"/>
    <sheet name="Feuil21" sheetId="256" state="hidden" r:id="rId92"/>
    <sheet name="proces verbal de depotage" sheetId="257" state="hidden" r:id="rId93"/>
    <sheet name="proces verbal de depotage (2)" sheetId="258" state="hidden" r:id="rId94"/>
    <sheet name="Feuil23" sheetId="261" state="hidden" r:id="rId95"/>
    <sheet name="Feuil24" sheetId="262" state="hidden" r:id="rId96"/>
    <sheet name="Feuil25" sheetId="263" state="hidden" r:id="rId97"/>
    <sheet name="Feuil26" sheetId="264" state="hidden" r:id="rId98"/>
    <sheet name="RELEVE D'ECHEANCE" sheetId="269" state="hidden" r:id="rId99"/>
    <sheet name="FICHE DE PRESENCE" sheetId="273" state="hidden" r:id="rId100"/>
    <sheet name="nadege" sheetId="294" state="hidden" r:id="rId101"/>
    <sheet name="Feuil3" sheetId="295" state="hidden" r:id="rId102"/>
    <sheet name="Feuil37" sheetId="296" state="hidden" r:id="rId103"/>
    <sheet name="PROGRAMME HOUSE KEEPING" sheetId="297" state="hidden" r:id="rId104"/>
    <sheet name="Feuil41" sheetId="304" state="hidden" r:id="rId105"/>
    <sheet name="Feuil42" sheetId="305" state="hidden" r:id="rId106"/>
    <sheet name="bnb" sheetId="337" state="hidden" r:id="rId107"/>
    <sheet name="bord transfert carb" sheetId="404" state="hidden" r:id="rId108"/>
    <sheet name="pannes yassa" sheetId="406" state="hidden" r:id="rId109"/>
    <sheet name="Feuil65" sheetId="414" state="hidden" r:id="rId110"/>
    <sheet name="Feuil66" sheetId="415" state="hidden" r:id="rId111"/>
    <sheet name="depenses sidiki" sheetId="416" state="hidden" r:id="rId112"/>
    <sheet name="analyse swot" sheetId="418" state="hidden" r:id="rId113"/>
    <sheet name="Feuil4" sheetId="419" state="hidden" r:id="rId114"/>
    <sheet name="Feuil5" sheetId="420" state="hidden" r:id="rId115"/>
    <sheet name="TABLEAU DE BORD LITT" sheetId="421" state="hidden" r:id="rId116"/>
    <sheet name="Feuil6" sheetId="422" state="hidden" r:id="rId117"/>
  </sheets>
  <externalReferences>
    <externalReference r:id="rId118"/>
    <externalReference r:id="rId119"/>
    <externalReference r:id="rId120"/>
    <externalReference r:id="rId121"/>
    <externalReference r:id="rId122"/>
    <externalReference r:id="rId123"/>
    <externalReference r:id="rId124"/>
  </externalReferences>
  <definedNames>
    <definedName name="_xlnm._FilterDatabase" localSheetId="23" hidden="1">'E-TRANSCOM(3)'!$A$3:$Q$41</definedName>
    <definedName name="_xlnm._FilterDatabase" localSheetId="22" hidden="1">'MEZATRANS - E-TRANCO'!$A$3:$Q$41</definedName>
    <definedName name="_xlnm.Print_Area" localSheetId="17">AFRICURE!$A$1:$O$42</definedName>
    <definedName name="_xlnm.Print_Area" localSheetId="5">'analyse stock '!$A$9:$J$47</definedName>
    <definedName name="_xlnm.Print_Area" localSheetId="39">'ATLAS '!$A$1:$O$42</definedName>
    <definedName name="_xlnm.Print_Area" localSheetId="106">bnb!$A$1:$G$46</definedName>
    <definedName name="_xlnm.Print_Area" localSheetId="107">'bord transfert carb'!#REF!</definedName>
    <definedName name="_xlnm.Print_Area" localSheetId="12">'client station'!$A:$O</definedName>
    <definedName name="_xlnm.Print_Area" localSheetId="11">'Cont recet ss'!$A$1:$K$36</definedName>
    <definedName name="_xlnm.Print_Area" localSheetId="31">COTRACO!$A$1:$O$42</definedName>
    <definedName name="_xlnm.Print_Area" localSheetId="23">'E-TRANSCOM(3)'!$A:$M</definedName>
    <definedName name="_xlnm.Print_Area" localSheetId="13">'EVOLUT° VENTES'!$A$1:$F$26</definedName>
    <definedName name="_xlnm.Print_Area" localSheetId="76">Feuil11!$R$23:$AL$47</definedName>
    <definedName name="_xlnm.Print_Area" localSheetId="82">Feuil12!$A:$F</definedName>
    <definedName name="_xlnm.Print_Area" localSheetId="85">Feuil15!$A$24:$F$41</definedName>
    <definedName name="_xlnm.Print_Area" localSheetId="88">Feuil19!$A$1:$E$14</definedName>
    <definedName name="_xlnm.Print_Area" localSheetId="90">Feuil20!$A$3:$C$22</definedName>
    <definedName name="_xlnm.Print_Area" localSheetId="70">Feuil22!$A$1:$N$22</definedName>
    <definedName name="_xlnm.Print_Area" localSheetId="102">Feuil37!$A$2:$C$14</definedName>
    <definedName name="_xlnm.Print_Area" localSheetId="99">'FICHE DE PRESENCE'!$A$1:$I$39</definedName>
    <definedName name="_xlnm.Print_Area" localSheetId="50">'GRAND BETON'!$A$1:$O$42</definedName>
    <definedName name="_xlnm.Print_Area" localSheetId="25">KONGFU!$A$1:$O$48</definedName>
    <definedName name="_xlnm.Print_Area" localSheetId="3">LC!$A$6:$P$51</definedName>
    <definedName name="_xlnm.Print_Area" localSheetId="6">Lub!$A:$G</definedName>
    <definedName name="_xlnm.Print_Area" localSheetId="22">'MEZATRANS - E-TRANCO'!$A$1:$M$54</definedName>
    <definedName name="_xlnm.Print_Area" localSheetId="0">'MEZATRANS (2)'!$A$1:$M$40</definedName>
    <definedName name="_xlnm.Print_Area" localSheetId="100">nadege!$A$55:$H$75</definedName>
    <definedName name="_xlnm.Print_Area" localSheetId="49">'NEW GEX'!$A$1:$O$42</definedName>
    <definedName name="_xlnm.Print_Area" localSheetId="103">'PROGRAMME HOUSE KEEPING'!$A$3:$G$37</definedName>
    <definedName name="_xlnm.Print_Area" localSheetId="30">PROPALM!$A$1:$N$40</definedName>
    <definedName name="_xlnm.Print_Area" localSheetId="2">'RAPPORT JOURNALIER '!$A$1:$C$82</definedName>
    <definedName name="_xlnm.Print_Area" localSheetId="4">'RAPPORT JOURNALIER  (3)'!#REF!</definedName>
    <definedName name="_xlnm.Print_Area" localSheetId="80">'RATION STAGIAIRE'!$A$1:$E$38</definedName>
    <definedName name="_xlnm.Print_Area" localSheetId="26">SOCOPAT!$A$1:$O$49</definedName>
    <definedName name="_xlnm.Print_Area" localSheetId="45">SODITRAT!$A:$O</definedName>
    <definedName name="_xlnm.Print_Area" localSheetId="78">'SUIVI STAGIAIRE'!$D$1:$F$38</definedName>
    <definedName name="_xlnm.Print_Area" localSheetId="7">ventes!$A$1:$G$49</definedName>
    <definedName name="_xlnm.Print_Area" localSheetId="10">'vers&amp;dépenses '!$G$44:$I$88</definedName>
  </definedNames>
  <calcPr calcId="144525"/>
</workbook>
</file>

<file path=xl/calcChain.xml><?xml version="1.0" encoding="utf-8"?>
<calcChain xmlns="http://schemas.openxmlformats.org/spreadsheetml/2006/main">
  <c r="D36" i="420" l="1"/>
  <c r="D35" i="420"/>
  <c r="D34" i="420"/>
  <c r="D33" i="420"/>
  <c r="D32" i="420"/>
  <c r="D31" i="420"/>
  <c r="D30" i="420"/>
  <c r="D29" i="420"/>
  <c r="D28" i="420"/>
  <c r="D27" i="420"/>
  <c r="D26" i="420"/>
  <c r="D25" i="420"/>
  <c r="D24" i="420"/>
  <c r="D23" i="420"/>
  <c r="D22" i="420"/>
  <c r="D21" i="420"/>
  <c r="D20" i="420"/>
  <c r="D19" i="420"/>
  <c r="D18" i="420"/>
  <c r="P17" i="420"/>
  <c r="N17" i="420"/>
  <c r="D17" i="420"/>
  <c r="D16" i="420"/>
  <c r="D15" i="420"/>
  <c r="D14" i="420"/>
  <c r="H16" i="419"/>
  <c r="H15" i="419"/>
  <c r="H14" i="419"/>
  <c r="H13" i="419"/>
  <c r="H12" i="419"/>
  <c r="H11" i="419"/>
  <c r="H10" i="419"/>
  <c r="F110" i="416"/>
  <c r="F109" i="416"/>
  <c r="F108" i="416"/>
  <c r="F107" i="416"/>
  <c r="D101" i="416"/>
  <c r="G81" i="416"/>
  <c r="D81" i="416"/>
  <c r="H80" i="416"/>
  <c r="E80" i="416"/>
  <c r="E79" i="416"/>
  <c r="E78" i="416"/>
  <c r="E77" i="416"/>
  <c r="E76" i="416"/>
  <c r="E75" i="416"/>
  <c r="E74" i="416"/>
  <c r="E73" i="416"/>
  <c r="E72" i="416"/>
  <c r="E71" i="416"/>
  <c r="E70" i="416"/>
  <c r="E69" i="416"/>
  <c r="E68" i="416"/>
  <c r="E67" i="416"/>
  <c r="E66" i="416"/>
  <c r="E65" i="416"/>
  <c r="E64" i="416"/>
  <c r="E63" i="416"/>
  <c r="E62" i="416"/>
  <c r="E61" i="416"/>
  <c r="A61" i="416"/>
  <c r="E60" i="416"/>
  <c r="A60" i="416"/>
  <c r="E59" i="416"/>
  <c r="A59" i="416"/>
  <c r="E58" i="416"/>
  <c r="A58" i="416"/>
  <c r="E57" i="416"/>
  <c r="A57" i="416"/>
  <c r="E56" i="416"/>
  <c r="A56" i="416"/>
  <c r="E55" i="416"/>
  <c r="A55" i="416"/>
  <c r="E54" i="416"/>
  <c r="A54" i="416"/>
  <c r="E53" i="416"/>
  <c r="A53" i="416"/>
  <c r="E52" i="416"/>
  <c r="A52" i="416"/>
  <c r="E51" i="416"/>
  <c r="A51" i="416"/>
  <c r="E50" i="416"/>
  <c r="A50" i="416"/>
  <c r="E49" i="416"/>
  <c r="A49" i="416"/>
  <c r="E48" i="416"/>
  <c r="A48" i="416"/>
  <c r="E47" i="416"/>
  <c r="A47" i="416"/>
  <c r="E46" i="416"/>
  <c r="A46" i="416"/>
  <c r="E45" i="416"/>
  <c r="A45" i="416"/>
  <c r="E44" i="416"/>
  <c r="A44" i="416"/>
  <c r="E43" i="416"/>
  <c r="A43" i="416"/>
  <c r="E42" i="416"/>
  <c r="A42" i="416"/>
  <c r="E41" i="416"/>
  <c r="A41" i="416"/>
  <c r="E40" i="416"/>
  <c r="A40" i="416"/>
  <c r="E39" i="416"/>
  <c r="A39" i="416"/>
  <c r="E38" i="416"/>
  <c r="A38" i="416"/>
  <c r="E37" i="416"/>
  <c r="A37" i="416"/>
  <c r="E36" i="416"/>
  <c r="A36" i="416"/>
  <c r="E35" i="416"/>
  <c r="A35" i="416"/>
  <c r="E34" i="416"/>
  <c r="A34" i="416"/>
  <c r="E33" i="416"/>
  <c r="A33" i="416"/>
  <c r="E32" i="416"/>
  <c r="A32" i="416"/>
  <c r="E31" i="416"/>
  <c r="A31" i="416"/>
  <c r="E30" i="416"/>
  <c r="A30" i="416"/>
  <c r="E29" i="416"/>
  <c r="A29" i="416"/>
  <c r="E28" i="416"/>
  <c r="A28" i="416"/>
  <c r="E27" i="416"/>
  <c r="A27" i="416"/>
  <c r="E26" i="416"/>
  <c r="A26" i="416"/>
  <c r="E25" i="416"/>
  <c r="A25" i="416"/>
  <c r="E24" i="416"/>
  <c r="A24" i="416"/>
  <c r="E23" i="416"/>
  <c r="A23" i="416"/>
  <c r="E22" i="416"/>
  <c r="E21" i="416"/>
  <c r="A21" i="416"/>
  <c r="E20" i="416"/>
  <c r="A20" i="416"/>
  <c r="E19" i="416"/>
  <c r="A19" i="416"/>
  <c r="E18" i="416"/>
  <c r="A18" i="416"/>
  <c r="E17" i="416"/>
  <c r="A17" i="416"/>
  <c r="E16" i="416"/>
  <c r="A16" i="416"/>
  <c r="E15" i="416"/>
  <c r="A15" i="416"/>
  <c r="E14" i="416"/>
  <c r="A14" i="416"/>
  <c r="E13" i="416"/>
  <c r="E12" i="416"/>
  <c r="A12" i="416"/>
  <c r="E11" i="416"/>
  <c r="A11" i="416"/>
  <c r="E10" i="416"/>
  <c r="A10" i="416"/>
  <c r="E9" i="416"/>
  <c r="A9" i="416"/>
  <c r="E8" i="416"/>
  <c r="G44" i="415"/>
  <c r="D43" i="415"/>
  <c r="B43" i="415"/>
  <c r="D30" i="415"/>
  <c r="I46" i="414"/>
  <c r="I44" i="414"/>
  <c r="I43" i="414"/>
  <c r="H33" i="414"/>
  <c r="G13" i="414"/>
  <c r="F13" i="414"/>
  <c r="E13" i="414"/>
  <c r="D13" i="414"/>
  <c r="K78" i="337"/>
  <c r="D46" i="337"/>
  <c r="D45" i="337"/>
  <c r="B45" i="337"/>
  <c r="D44" i="337"/>
  <c r="B44" i="337"/>
  <c r="D43" i="337"/>
  <c r="B43" i="337"/>
  <c r="G37" i="337"/>
  <c r="E37" i="337"/>
  <c r="G34" i="337"/>
  <c r="E34" i="337"/>
  <c r="G33" i="337"/>
  <c r="G32" i="337"/>
  <c r="G31" i="337"/>
  <c r="G30" i="337"/>
  <c r="G29" i="337"/>
  <c r="G28" i="337"/>
  <c r="G27" i="337"/>
  <c r="G26" i="337"/>
  <c r="G25" i="337"/>
  <c r="G24" i="337"/>
  <c r="G23" i="337"/>
  <c r="G22" i="337"/>
  <c r="G21" i="337"/>
  <c r="G20" i="337"/>
  <c r="G19" i="337"/>
  <c r="G18" i="337"/>
  <c r="G17" i="337"/>
  <c r="G16" i="337"/>
  <c r="G15" i="337"/>
  <c r="G14" i="337"/>
  <c r="G13" i="337"/>
  <c r="G12" i="337"/>
  <c r="G11" i="337"/>
  <c r="G10" i="337"/>
  <c r="A23" i="305"/>
  <c r="A22" i="305"/>
  <c r="A21" i="305"/>
  <c r="A20" i="305"/>
  <c r="L19" i="305"/>
  <c r="A19" i="305"/>
  <c r="L18" i="305"/>
  <c r="A18" i="305"/>
  <c r="L17" i="305"/>
  <c r="A17" i="305"/>
  <c r="L16" i="305"/>
  <c r="A16" i="305"/>
  <c r="L15" i="305"/>
  <c r="K15" i="305"/>
  <c r="A15" i="305"/>
  <c r="L14" i="305"/>
  <c r="K14" i="305"/>
  <c r="H14" i="305"/>
  <c r="A14" i="305"/>
  <c r="L13" i="305"/>
  <c r="K13" i="305"/>
  <c r="A13" i="305"/>
  <c r="L12" i="305"/>
  <c r="K12" i="305"/>
  <c r="A12" i="305"/>
  <c r="L11" i="305"/>
  <c r="K11" i="305"/>
  <c r="A11" i="305"/>
  <c r="L10" i="305"/>
  <c r="K10" i="305"/>
  <c r="A10" i="305"/>
  <c r="L9" i="305"/>
  <c r="K9" i="305"/>
  <c r="A9" i="305"/>
  <c r="L8" i="305"/>
  <c r="K8" i="305"/>
  <c r="A8" i="305"/>
  <c r="L7" i="305"/>
  <c r="K7" i="305"/>
  <c r="A7" i="305"/>
  <c r="L6" i="305"/>
  <c r="E22" i="304"/>
  <c r="G10" i="295"/>
  <c r="G6" i="295"/>
  <c r="F6" i="295"/>
  <c r="E6" i="295"/>
  <c r="G5" i="295"/>
  <c r="F5" i="295"/>
  <c r="G4" i="295"/>
  <c r="F4" i="295"/>
  <c r="G3" i="295"/>
  <c r="F3" i="295"/>
  <c r="G2" i="295"/>
  <c r="F2" i="295"/>
  <c r="J60" i="294"/>
  <c r="A38" i="273"/>
  <c r="A37" i="273"/>
  <c r="A36" i="273"/>
  <c r="A35" i="273"/>
  <c r="A34" i="273"/>
  <c r="A33" i="273"/>
  <c r="A32" i="273"/>
  <c r="A31" i="273"/>
  <c r="A30" i="273"/>
  <c r="A29" i="273"/>
  <c r="A28" i="273"/>
  <c r="A27" i="273"/>
  <c r="A26" i="273"/>
  <c r="A25" i="273"/>
  <c r="A24" i="273"/>
  <c r="A23" i="273"/>
  <c r="A22" i="273"/>
  <c r="A21" i="273"/>
  <c r="A20" i="273"/>
  <c r="A19" i="273"/>
  <c r="A18" i="273"/>
  <c r="A17" i="273"/>
  <c r="J16" i="273"/>
  <c r="A16" i="273"/>
  <c r="A15" i="273"/>
  <c r="A14" i="273"/>
  <c r="A13" i="273"/>
  <c r="A12" i="273"/>
  <c r="A11" i="273"/>
  <c r="A10" i="273"/>
  <c r="A9" i="273"/>
  <c r="D54" i="269"/>
  <c r="E46" i="269"/>
  <c r="AO42" i="269"/>
  <c r="AN42" i="269"/>
  <c r="AM42" i="269"/>
  <c r="AL42" i="269"/>
  <c r="AK42" i="269"/>
  <c r="AJ42" i="269"/>
  <c r="AI42" i="269"/>
  <c r="AH42" i="269"/>
  <c r="AG42" i="269"/>
  <c r="AF42" i="269"/>
  <c r="AE42" i="269"/>
  <c r="AD42" i="269"/>
  <c r="AC42" i="269"/>
  <c r="AB42" i="269"/>
  <c r="AA42" i="269"/>
  <c r="Z42" i="269"/>
  <c r="Y42" i="269"/>
  <c r="X42" i="269"/>
  <c r="W42" i="269"/>
  <c r="V42" i="269"/>
  <c r="U42" i="269"/>
  <c r="T42" i="269"/>
  <c r="S42" i="269"/>
  <c r="R42" i="269"/>
  <c r="Q42" i="269"/>
  <c r="P42" i="269"/>
  <c r="O42" i="269"/>
  <c r="N42" i="269"/>
  <c r="M42" i="269"/>
  <c r="L42" i="269"/>
  <c r="K42" i="269"/>
  <c r="J42" i="269"/>
  <c r="I42" i="269"/>
  <c r="H42" i="269"/>
  <c r="G42" i="269"/>
  <c r="F42" i="269"/>
  <c r="E42" i="269"/>
  <c r="D42" i="269"/>
  <c r="C42" i="269"/>
  <c r="B42" i="269"/>
  <c r="AO41" i="269"/>
  <c r="AN41" i="269"/>
  <c r="AM41" i="269"/>
  <c r="AL41" i="269"/>
  <c r="AK41" i="269"/>
  <c r="AJ41" i="269"/>
  <c r="AI41" i="269"/>
  <c r="AH41" i="269"/>
  <c r="AG41" i="269"/>
  <c r="AF41" i="269"/>
  <c r="AE41" i="269"/>
  <c r="AD41" i="269"/>
  <c r="AC41" i="269"/>
  <c r="AB41" i="269"/>
  <c r="AA41" i="269"/>
  <c r="Z41" i="269"/>
  <c r="Y41" i="269"/>
  <c r="X41" i="269"/>
  <c r="W41" i="269"/>
  <c r="V41" i="269"/>
  <c r="U41" i="269"/>
  <c r="T41" i="269"/>
  <c r="S41" i="269"/>
  <c r="R41" i="269"/>
  <c r="Q41" i="269"/>
  <c r="P41" i="269"/>
  <c r="O41" i="269"/>
  <c r="N41" i="269"/>
  <c r="M41" i="269"/>
  <c r="L41" i="269"/>
  <c r="K41" i="269"/>
  <c r="J41" i="269"/>
  <c r="I41" i="269"/>
  <c r="H41" i="269"/>
  <c r="G41" i="269"/>
  <c r="F41" i="269"/>
  <c r="E41" i="269"/>
  <c r="D41" i="269"/>
  <c r="C41" i="269"/>
  <c r="B41" i="269"/>
  <c r="AO40" i="269"/>
  <c r="AN40" i="269"/>
  <c r="AM40" i="269"/>
  <c r="AL40" i="269"/>
  <c r="AK40" i="269"/>
  <c r="AJ40" i="269"/>
  <c r="AI40" i="269"/>
  <c r="AH40" i="269"/>
  <c r="AG40" i="269"/>
  <c r="AF40" i="269"/>
  <c r="AE40" i="269"/>
  <c r="AD40" i="269"/>
  <c r="AC40" i="269"/>
  <c r="AB40" i="269"/>
  <c r="AA40" i="269"/>
  <c r="Z40" i="269"/>
  <c r="Y40" i="269"/>
  <c r="X40" i="269"/>
  <c r="W40" i="269"/>
  <c r="V40" i="269"/>
  <c r="U40" i="269"/>
  <c r="T40" i="269"/>
  <c r="S40" i="269"/>
  <c r="R40" i="269"/>
  <c r="Q40" i="269"/>
  <c r="P40" i="269"/>
  <c r="O40" i="269"/>
  <c r="N40" i="269"/>
  <c r="M40" i="269"/>
  <c r="L40" i="269"/>
  <c r="K40" i="269"/>
  <c r="J40" i="269"/>
  <c r="I40" i="269"/>
  <c r="H40" i="269"/>
  <c r="G40" i="269"/>
  <c r="F40" i="269"/>
  <c r="E40" i="269"/>
  <c r="D40" i="269"/>
  <c r="C40" i="269"/>
  <c r="B40" i="269"/>
  <c r="AO39" i="269"/>
  <c r="AN39" i="269"/>
  <c r="AM39" i="269"/>
  <c r="AL39" i="269"/>
  <c r="AK39" i="269"/>
  <c r="AJ39" i="269"/>
  <c r="AI39" i="269"/>
  <c r="AH39" i="269"/>
  <c r="AG39" i="269"/>
  <c r="AF39" i="269"/>
  <c r="AE39" i="269"/>
  <c r="AD39" i="269"/>
  <c r="AC39" i="269"/>
  <c r="AB39" i="269"/>
  <c r="AA39" i="269"/>
  <c r="Z39" i="269"/>
  <c r="Y39" i="269"/>
  <c r="X39" i="269"/>
  <c r="W39" i="269"/>
  <c r="V39" i="269"/>
  <c r="U39" i="269"/>
  <c r="T39" i="269"/>
  <c r="S39" i="269"/>
  <c r="R39" i="269"/>
  <c r="Q39" i="269"/>
  <c r="P39" i="269"/>
  <c r="O39" i="269"/>
  <c r="N39" i="269"/>
  <c r="M39" i="269"/>
  <c r="L39" i="269"/>
  <c r="K39" i="269"/>
  <c r="J39" i="269"/>
  <c r="I39" i="269"/>
  <c r="H39" i="269"/>
  <c r="G39" i="269"/>
  <c r="F39" i="269"/>
  <c r="E39" i="269"/>
  <c r="D39" i="269"/>
  <c r="C39" i="269"/>
  <c r="B39" i="269"/>
  <c r="A39" i="269"/>
  <c r="AO38" i="269"/>
  <c r="AN38" i="269"/>
  <c r="AM38" i="269"/>
  <c r="AL38" i="269"/>
  <c r="AK38" i="269"/>
  <c r="AJ38" i="269"/>
  <c r="AI38" i="269"/>
  <c r="AH38" i="269"/>
  <c r="AG38" i="269"/>
  <c r="AF38" i="269"/>
  <c r="AE38" i="269"/>
  <c r="AD38" i="269"/>
  <c r="AC38" i="269"/>
  <c r="AB38" i="269"/>
  <c r="AA38" i="269"/>
  <c r="Z38" i="269"/>
  <c r="Y38" i="269"/>
  <c r="X38" i="269"/>
  <c r="W38" i="269"/>
  <c r="V38" i="269"/>
  <c r="U38" i="269"/>
  <c r="T38" i="269"/>
  <c r="S38" i="269"/>
  <c r="R38" i="269"/>
  <c r="Q38" i="269"/>
  <c r="P38" i="269"/>
  <c r="O38" i="269"/>
  <c r="N38" i="269"/>
  <c r="M38" i="269"/>
  <c r="L38" i="269"/>
  <c r="K38" i="269"/>
  <c r="J38" i="269"/>
  <c r="I38" i="269"/>
  <c r="H38" i="269"/>
  <c r="G38" i="269"/>
  <c r="F38" i="269"/>
  <c r="E38" i="269"/>
  <c r="D38" i="269"/>
  <c r="C38" i="269"/>
  <c r="B38" i="269"/>
  <c r="A38" i="269"/>
  <c r="AO37" i="269"/>
  <c r="AN37" i="269"/>
  <c r="AM37" i="269"/>
  <c r="AL37" i="269"/>
  <c r="AK37" i="269"/>
  <c r="AJ37" i="269"/>
  <c r="AI37" i="269"/>
  <c r="AH37" i="269"/>
  <c r="AG37" i="269"/>
  <c r="AF37" i="269"/>
  <c r="AE37" i="269"/>
  <c r="AD37" i="269"/>
  <c r="AC37" i="269"/>
  <c r="AB37" i="269"/>
  <c r="AA37" i="269"/>
  <c r="Z37" i="269"/>
  <c r="Y37" i="269"/>
  <c r="X37" i="269"/>
  <c r="W37" i="269"/>
  <c r="V37" i="269"/>
  <c r="U37" i="269"/>
  <c r="T37" i="269"/>
  <c r="S37" i="269"/>
  <c r="R37" i="269"/>
  <c r="Q37" i="269"/>
  <c r="P37" i="269"/>
  <c r="O37" i="269"/>
  <c r="N37" i="269"/>
  <c r="M37" i="269"/>
  <c r="L37" i="269"/>
  <c r="K37" i="269"/>
  <c r="J37" i="269"/>
  <c r="I37" i="269"/>
  <c r="H37" i="269"/>
  <c r="G37" i="269"/>
  <c r="F37" i="269"/>
  <c r="E37" i="269"/>
  <c r="D37" i="269"/>
  <c r="C37" i="269"/>
  <c r="B37" i="269"/>
  <c r="A37" i="269"/>
  <c r="AO36" i="269"/>
  <c r="AN36" i="269"/>
  <c r="AM36" i="269"/>
  <c r="AL36" i="269"/>
  <c r="AK36" i="269"/>
  <c r="AJ36" i="269"/>
  <c r="AI36" i="269"/>
  <c r="AH36" i="269"/>
  <c r="AG36" i="269"/>
  <c r="AF36" i="269"/>
  <c r="AE36" i="269"/>
  <c r="AD36" i="269"/>
  <c r="AC36" i="269"/>
  <c r="AB36" i="269"/>
  <c r="AA36" i="269"/>
  <c r="Z36" i="269"/>
  <c r="Y36" i="269"/>
  <c r="X36" i="269"/>
  <c r="W36" i="269"/>
  <c r="V36" i="269"/>
  <c r="U36" i="269"/>
  <c r="T36" i="269"/>
  <c r="S36" i="269"/>
  <c r="R36" i="269"/>
  <c r="Q36" i="269"/>
  <c r="P36" i="269"/>
  <c r="O36" i="269"/>
  <c r="N36" i="269"/>
  <c r="M36" i="269"/>
  <c r="L36" i="269"/>
  <c r="K36" i="269"/>
  <c r="J36" i="269"/>
  <c r="I36" i="269"/>
  <c r="H36" i="269"/>
  <c r="G36" i="269"/>
  <c r="F36" i="269"/>
  <c r="E36" i="269"/>
  <c r="D36" i="269"/>
  <c r="C36" i="269"/>
  <c r="B36" i="269"/>
  <c r="A36" i="269"/>
  <c r="AO35" i="269"/>
  <c r="AN35" i="269"/>
  <c r="AM35" i="269"/>
  <c r="AL35" i="269"/>
  <c r="AK35" i="269"/>
  <c r="AJ35" i="269"/>
  <c r="AI35" i="269"/>
  <c r="AH35" i="269"/>
  <c r="AG35" i="269"/>
  <c r="AF35" i="269"/>
  <c r="AE35" i="269"/>
  <c r="AD35" i="269"/>
  <c r="AC35" i="269"/>
  <c r="AB35" i="269"/>
  <c r="AA35" i="269"/>
  <c r="Z35" i="269"/>
  <c r="Y35" i="269"/>
  <c r="X35" i="269"/>
  <c r="W35" i="269"/>
  <c r="V35" i="269"/>
  <c r="U35" i="269"/>
  <c r="T35" i="269"/>
  <c r="S35" i="269"/>
  <c r="R35" i="269"/>
  <c r="Q35" i="269"/>
  <c r="P35" i="269"/>
  <c r="O35" i="269"/>
  <c r="N35" i="269"/>
  <c r="M35" i="269"/>
  <c r="L35" i="269"/>
  <c r="K35" i="269"/>
  <c r="J35" i="269"/>
  <c r="I35" i="269"/>
  <c r="H35" i="269"/>
  <c r="G35" i="269"/>
  <c r="F35" i="269"/>
  <c r="E35" i="269"/>
  <c r="D35" i="269"/>
  <c r="C35" i="269"/>
  <c r="B35" i="269"/>
  <c r="A35" i="269"/>
  <c r="AO34" i="269"/>
  <c r="AN34" i="269"/>
  <c r="AM34" i="269"/>
  <c r="AL34" i="269"/>
  <c r="AK34" i="269"/>
  <c r="AJ34" i="269"/>
  <c r="AI34" i="269"/>
  <c r="AH34" i="269"/>
  <c r="AG34" i="269"/>
  <c r="AF34" i="269"/>
  <c r="AE34" i="269"/>
  <c r="AD34" i="269"/>
  <c r="AC34" i="269"/>
  <c r="AB34" i="269"/>
  <c r="AA34" i="269"/>
  <c r="Z34" i="269"/>
  <c r="Y34" i="269"/>
  <c r="X34" i="269"/>
  <c r="W34" i="269"/>
  <c r="V34" i="269"/>
  <c r="U34" i="269"/>
  <c r="T34" i="269"/>
  <c r="S34" i="269"/>
  <c r="R34" i="269"/>
  <c r="Q34" i="269"/>
  <c r="P34" i="269"/>
  <c r="O34" i="269"/>
  <c r="N34" i="269"/>
  <c r="M34" i="269"/>
  <c r="L34" i="269"/>
  <c r="K34" i="269"/>
  <c r="J34" i="269"/>
  <c r="I34" i="269"/>
  <c r="H34" i="269"/>
  <c r="G34" i="269"/>
  <c r="F34" i="269"/>
  <c r="E34" i="269"/>
  <c r="D34" i="269"/>
  <c r="C34" i="269"/>
  <c r="B34" i="269"/>
  <c r="A34" i="269"/>
  <c r="AO33" i="269"/>
  <c r="AN33" i="269"/>
  <c r="AM33" i="269"/>
  <c r="AL33" i="269"/>
  <c r="AK33" i="269"/>
  <c r="AJ33" i="269"/>
  <c r="AI33" i="269"/>
  <c r="AH33" i="269"/>
  <c r="AG33" i="269"/>
  <c r="AF33" i="269"/>
  <c r="AE33" i="269"/>
  <c r="AD33" i="269"/>
  <c r="AC33" i="269"/>
  <c r="AB33" i="269"/>
  <c r="AA33" i="269"/>
  <c r="Z33" i="269"/>
  <c r="Y33" i="269"/>
  <c r="X33" i="269"/>
  <c r="W33" i="269"/>
  <c r="V33" i="269"/>
  <c r="U33" i="269"/>
  <c r="T33" i="269"/>
  <c r="S33" i="269"/>
  <c r="R33" i="269"/>
  <c r="Q33" i="269"/>
  <c r="P33" i="269"/>
  <c r="O33" i="269"/>
  <c r="N33" i="269"/>
  <c r="M33" i="269"/>
  <c r="L33" i="269"/>
  <c r="K33" i="269"/>
  <c r="J33" i="269"/>
  <c r="I33" i="269"/>
  <c r="H33" i="269"/>
  <c r="G33" i="269"/>
  <c r="F33" i="269"/>
  <c r="E33" i="269"/>
  <c r="D33" i="269"/>
  <c r="C33" i="269"/>
  <c r="B33" i="269"/>
  <c r="A33" i="269"/>
  <c r="AO32" i="269"/>
  <c r="AN32" i="269"/>
  <c r="AM32" i="269"/>
  <c r="AL32" i="269"/>
  <c r="AK32" i="269"/>
  <c r="AJ32" i="269"/>
  <c r="AI32" i="269"/>
  <c r="AH32" i="269"/>
  <c r="AG32" i="269"/>
  <c r="AF32" i="269"/>
  <c r="AE32" i="269"/>
  <c r="AD32" i="269"/>
  <c r="AC32" i="269"/>
  <c r="AB32" i="269"/>
  <c r="AA32" i="269"/>
  <c r="Z32" i="269"/>
  <c r="Y32" i="269"/>
  <c r="X32" i="269"/>
  <c r="W32" i="269"/>
  <c r="V32" i="269"/>
  <c r="U32" i="269"/>
  <c r="T32" i="269"/>
  <c r="S32" i="269"/>
  <c r="R32" i="269"/>
  <c r="Q32" i="269"/>
  <c r="P32" i="269"/>
  <c r="O32" i="269"/>
  <c r="N32" i="269"/>
  <c r="M32" i="269"/>
  <c r="L32" i="269"/>
  <c r="K32" i="269"/>
  <c r="J32" i="269"/>
  <c r="I32" i="269"/>
  <c r="H32" i="269"/>
  <c r="G32" i="269"/>
  <c r="F32" i="269"/>
  <c r="E32" i="269"/>
  <c r="D32" i="269"/>
  <c r="C32" i="269"/>
  <c r="B32" i="269"/>
  <c r="A32" i="269"/>
  <c r="AO31" i="269"/>
  <c r="AN31" i="269"/>
  <c r="AM31" i="269"/>
  <c r="AL31" i="269"/>
  <c r="AK31" i="269"/>
  <c r="AJ31" i="269"/>
  <c r="AI31" i="269"/>
  <c r="AH31" i="269"/>
  <c r="AG31" i="269"/>
  <c r="AF31" i="269"/>
  <c r="AE31" i="269"/>
  <c r="AD31" i="269"/>
  <c r="AC31" i="269"/>
  <c r="AB31" i="269"/>
  <c r="AA31" i="269"/>
  <c r="Z31" i="269"/>
  <c r="Y31" i="269"/>
  <c r="X31" i="269"/>
  <c r="W31" i="269"/>
  <c r="V31" i="269"/>
  <c r="U31" i="269"/>
  <c r="T31" i="269"/>
  <c r="S31" i="269"/>
  <c r="R31" i="269"/>
  <c r="Q31" i="269"/>
  <c r="P31" i="269"/>
  <c r="O31" i="269"/>
  <c r="N31" i="269"/>
  <c r="M31" i="269"/>
  <c r="L31" i="269"/>
  <c r="K31" i="269"/>
  <c r="J31" i="269"/>
  <c r="I31" i="269"/>
  <c r="H31" i="269"/>
  <c r="G31" i="269"/>
  <c r="F31" i="269"/>
  <c r="E31" i="269"/>
  <c r="D31" i="269"/>
  <c r="C31" i="269"/>
  <c r="B31" i="269"/>
  <c r="A31" i="269"/>
  <c r="AO30" i="269"/>
  <c r="AN30" i="269"/>
  <c r="AM30" i="269"/>
  <c r="AL30" i="269"/>
  <c r="AK30" i="269"/>
  <c r="AJ30" i="269"/>
  <c r="AI30" i="269"/>
  <c r="AH30" i="269"/>
  <c r="AG30" i="269"/>
  <c r="AF30" i="269"/>
  <c r="AE30" i="269"/>
  <c r="AD30" i="269"/>
  <c r="AC30" i="269"/>
  <c r="AB30" i="269"/>
  <c r="AA30" i="269"/>
  <c r="Z30" i="269"/>
  <c r="Y30" i="269"/>
  <c r="X30" i="269"/>
  <c r="W30" i="269"/>
  <c r="V30" i="269"/>
  <c r="U30" i="269"/>
  <c r="T30" i="269"/>
  <c r="S30" i="269"/>
  <c r="R30" i="269"/>
  <c r="Q30" i="269"/>
  <c r="P30" i="269"/>
  <c r="O30" i="269"/>
  <c r="N30" i="269"/>
  <c r="M30" i="269"/>
  <c r="L30" i="269"/>
  <c r="K30" i="269"/>
  <c r="J30" i="269"/>
  <c r="I30" i="269"/>
  <c r="H30" i="269"/>
  <c r="G30" i="269"/>
  <c r="F30" i="269"/>
  <c r="E30" i="269"/>
  <c r="D30" i="269"/>
  <c r="C30" i="269"/>
  <c r="B30" i="269"/>
  <c r="A30" i="269"/>
  <c r="AO29" i="269"/>
  <c r="AN29" i="269"/>
  <c r="AM29" i="269"/>
  <c r="AL29" i="269"/>
  <c r="AK29" i="269"/>
  <c r="AJ29" i="269"/>
  <c r="AI29" i="269"/>
  <c r="AH29" i="269"/>
  <c r="AG29" i="269"/>
  <c r="AF29" i="269"/>
  <c r="AE29" i="269"/>
  <c r="AD29" i="269"/>
  <c r="AC29" i="269"/>
  <c r="AB29" i="269"/>
  <c r="AA29" i="269"/>
  <c r="Z29" i="269"/>
  <c r="Y29" i="269"/>
  <c r="X29" i="269"/>
  <c r="W29" i="269"/>
  <c r="V29" i="269"/>
  <c r="U29" i="269"/>
  <c r="T29" i="269"/>
  <c r="S29" i="269"/>
  <c r="R29" i="269"/>
  <c r="Q29" i="269"/>
  <c r="P29" i="269"/>
  <c r="O29" i="269"/>
  <c r="N29" i="269"/>
  <c r="M29" i="269"/>
  <c r="L29" i="269"/>
  <c r="K29" i="269"/>
  <c r="J29" i="269"/>
  <c r="I29" i="269"/>
  <c r="H29" i="269"/>
  <c r="G29" i="269"/>
  <c r="F29" i="269"/>
  <c r="E29" i="269"/>
  <c r="D29" i="269"/>
  <c r="C29" i="269"/>
  <c r="B29" i="269"/>
  <c r="A29" i="269"/>
  <c r="AO28" i="269"/>
  <c r="AN28" i="269"/>
  <c r="AM28" i="269"/>
  <c r="AL28" i="269"/>
  <c r="AK28" i="269"/>
  <c r="AJ28" i="269"/>
  <c r="AI28" i="269"/>
  <c r="AH28" i="269"/>
  <c r="AG28" i="269"/>
  <c r="AF28" i="269"/>
  <c r="AE28" i="269"/>
  <c r="AD28" i="269"/>
  <c r="AC28" i="269"/>
  <c r="AB28" i="269"/>
  <c r="AA28" i="269"/>
  <c r="Z28" i="269"/>
  <c r="Y28" i="269"/>
  <c r="X28" i="269"/>
  <c r="W28" i="269"/>
  <c r="V28" i="269"/>
  <c r="U28" i="269"/>
  <c r="T28" i="269"/>
  <c r="S28" i="269"/>
  <c r="R28" i="269"/>
  <c r="Q28" i="269"/>
  <c r="P28" i="269"/>
  <c r="O28" i="269"/>
  <c r="N28" i="269"/>
  <c r="M28" i="269"/>
  <c r="L28" i="269"/>
  <c r="K28" i="269"/>
  <c r="J28" i="269"/>
  <c r="I28" i="269"/>
  <c r="H28" i="269"/>
  <c r="G28" i="269"/>
  <c r="F28" i="269"/>
  <c r="E28" i="269"/>
  <c r="D28" i="269"/>
  <c r="C28" i="269"/>
  <c r="B28" i="269"/>
  <c r="A28" i="269"/>
  <c r="AO27" i="269"/>
  <c r="AN27" i="269"/>
  <c r="AM27" i="269"/>
  <c r="AL27" i="269"/>
  <c r="AK27" i="269"/>
  <c r="AJ27" i="269"/>
  <c r="AI27" i="269"/>
  <c r="AH27" i="269"/>
  <c r="AG27" i="269"/>
  <c r="AF27" i="269"/>
  <c r="AE27" i="269"/>
  <c r="AD27" i="269"/>
  <c r="AC27" i="269"/>
  <c r="AB27" i="269"/>
  <c r="AA27" i="269"/>
  <c r="Z27" i="269"/>
  <c r="Y27" i="269"/>
  <c r="X27" i="269"/>
  <c r="W27" i="269"/>
  <c r="V27" i="269"/>
  <c r="U27" i="269"/>
  <c r="T27" i="269"/>
  <c r="S27" i="269"/>
  <c r="R27" i="269"/>
  <c r="Q27" i="269"/>
  <c r="P27" i="269"/>
  <c r="O27" i="269"/>
  <c r="N27" i="269"/>
  <c r="M27" i="269"/>
  <c r="L27" i="269"/>
  <c r="K27" i="269"/>
  <c r="J27" i="269"/>
  <c r="I27" i="269"/>
  <c r="H27" i="269"/>
  <c r="G27" i="269"/>
  <c r="F27" i="269"/>
  <c r="E27" i="269"/>
  <c r="D27" i="269"/>
  <c r="C27" i="269"/>
  <c r="B27" i="269"/>
  <c r="A27" i="269"/>
  <c r="AO26" i="269"/>
  <c r="AN26" i="269"/>
  <c r="AM26" i="269"/>
  <c r="AL26" i="269"/>
  <c r="AK26" i="269"/>
  <c r="AJ26" i="269"/>
  <c r="AI26" i="269"/>
  <c r="AH26" i="269"/>
  <c r="AG26" i="269"/>
  <c r="AF26" i="269"/>
  <c r="AE26" i="269"/>
  <c r="AD26" i="269"/>
  <c r="AC26" i="269"/>
  <c r="AB26" i="269"/>
  <c r="AA26" i="269"/>
  <c r="Z26" i="269"/>
  <c r="Y26" i="269"/>
  <c r="X26" i="269"/>
  <c r="W26" i="269"/>
  <c r="V26" i="269"/>
  <c r="U26" i="269"/>
  <c r="T26" i="269"/>
  <c r="S26" i="269"/>
  <c r="R26" i="269"/>
  <c r="Q26" i="269"/>
  <c r="P26" i="269"/>
  <c r="O26" i="269"/>
  <c r="N26" i="269"/>
  <c r="M26" i="269"/>
  <c r="L26" i="269"/>
  <c r="K26" i="269"/>
  <c r="J26" i="269"/>
  <c r="I26" i="269"/>
  <c r="H26" i="269"/>
  <c r="G26" i="269"/>
  <c r="F26" i="269"/>
  <c r="E26" i="269"/>
  <c r="D26" i="269"/>
  <c r="C26" i="269"/>
  <c r="B26" i="269"/>
  <c r="A26" i="269"/>
  <c r="AO25" i="269"/>
  <c r="AN25" i="269"/>
  <c r="AM25" i="269"/>
  <c r="AL25" i="269"/>
  <c r="AK25" i="269"/>
  <c r="AJ25" i="269"/>
  <c r="AI25" i="269"/>
  <c r="AH25" i="269"/>
  <c r="AG25" i="269"/>
  <c r="AF25" i="269"/>
  <c r="AE25" i="269"/>
  <c r="AD25" i="269"/>
  <c r="AC25" i="269"/>
  <c r="AB25" i="269"/>
  <c r="AA25" i="269"/>
  <c r="Z25" i="269"/>
  <c r="Y25" i="269"/>
  <c r="X25" i="269"/>
  <c r="W25" i="269"/>
  <c r="V25" i="269"/>
  <c r="U25" i="269"/>
  <c r="T25" i="269"/>
  <c r="S25" i="269"/>
  <c r="R25" i="269"/>
  <c r="Q25" i="269"/>
  <c r="P25" i="269"/>
  <c r="O25" i="269"/>
  <c r="N25" i="269"/>
  <c r="M25" i="269"/>
  <c r="L25" i="269"/>
  <c r="K25" i="269"/>
  <c r="J25" i="269"/>
  <c r="I25" i="269"/>
  <c r="H25" i="269"/>
  <c r="G25" i="269"/>
  <c r="F25" i="269"/>
  <c r="E25" i="269"/>
  <c r="D25" i="269"/>
  <c r="C25" i="269"/>
  <c r="B25" i="269"/>
  <c r="A25" i="269"/>
  <c r="AO24" i="269"/>
  <c r="AN24" i="269"/>
  <c r="AM24" i="269"/>
  <c r="AL24" i="269"/>
  <c r="AK24" i="269"/>
  <c r="AJ24" i="269"/>
  <c r="AI24" i="269"/>
  <c r="AH24" i="269"/>
  <c r="AG24" i="269"/>
  <c r="AF24" i="269"/>
  <c r="AE24" i="269"/>
  <c r="AD24" i="269"/>
  <c r="AC24" i="269"/>
  <c r="AB24" i="269"/>
  <c r="AA24" i="269"/>
  <c r="Z24" i="269"/>
  <c r="Y24" i="269"/>
  <c r="X24" i="269"/>
  <c r="W24" i="269"/>
  <c r="V24" i="269"/>
  <c r="U24" i="269"/>
  <c r="T24" i="269"/>
  <c r="S24" i="269"/>
  <c r="R24" i="269"/>
  <c r="Q24" i="269"/>
  <c r="P24" i="269"/>
  <c r="O24" i="269"/>
  <c r="N24" i="269"/>
  <c r="M24" i="269"/>
  <c r="L24" i="269"/>
  <c r="K24" i="269"/>
  <c r="J24" i="269"/>
  <c r="I24" i="269"/>
  <c r="H24" i="269"/>
  <c r="G24" i="269"/>
  <c r="F24" i="269"/>
  <c r="E24" i="269"/>
  <c r="D24" i="269"/>
  <c r="C24" i="269"/>
  <c r="B24" i="269"/>
  <c r="A24" i="269"/>
  <c r="AO23" i="269"/>
  <c r="AN23" i="269"/>
  <c r="AM23" i="269"/>
  <c r="AL23" i="269"/>
  <c r="AK23" i="269"/>
  <c r="AJ23" i="269"/>
  <c r="AI23" i="269"/>
  <c r="AH23" i="269"/>
  <c r="AG23" i="269"/>
  <c r="AF23" i="269"/>
  <c r="AE23" i="269"/>
  <c r="AD23" i="269"/>
  <c r="AC23" i="269"/>
  <c r="AB23" i="269"/>
  <c r="AA23" i="269"/>
  <c r="Z23" i="269"/>
  <c r="Y23" i="269"/>
  <c r="X23" i="269"/>
  <c r="W23" i="269"/>
  <c r="V23" i="269"/>
  <c r="U23" i="269"/>
  <c r="T23" i="269"/>
  <c r="S23" i="269"/>
  <c r="R23" i="269"/>
  <c r="Q23" i="269"/>
  <c r="P23" i="269"/>
  <c r="O23" i="269"/>
  <c r="N23" i="269"/>
  <c r="M23" i="269"/>
  <c r="L23" i="269"/>
  <c r="K23" i="269"/>
  <c r="J23" i="269"/>
  <c r="I23" i="269"/>
  <c r="H23" i="269"/>
  <c r="G23" i="269"/>
  <c r="F23" i="269"/>
  <c r="E23" i="269"/>
  <c r="D23" i="269"/>
  <c r="C23" i="269"/>
  <c r="B23" i="269"/>
  <c r="AO22" i="269"/>
  <c r="AN22" i="269"/>
  <c r="AM22" i="269"/>
  <c r="AL22" i="269"/>
  <c r="AK22" i="269"/>
  <c r="AJ22" i="269"/>
  <c r="AI22" i="269"/>
  <c r="AH22" i="269"/>
  <c r="AG22" i="269"/>
  <c r="AF22" i="269"/>
  <c r="AE22" i="269"/>
  <c r="AD22" i="269"/>
  <c r="AC22" i="269"/>
  <c r="AB22" i="269"/>
  <c r="AA22" i="269"/>
  <c r="Z22" i="269"/>
  <c r="Y22" i="269"/>
  <c r="X22" i="269"/>
  <c r="W22" i="269"/>
  <c r="V22" i="269"/>
  <c r="U22" i="269"/>
  <c r="T22" i="269"/>
  <c r="S22" i="269"/>
  <c r="R22" i="269"/>
  <c r="Q22" i="269"/>
  <c r="P22" i="269"/>
  <c r="O22" i="269"/>
  <c r="N22" i="269"/>
  <c r="M22" i="269"/>
  <c r="L22" i="269"/>
  <c r="K22" i="269"/>
  <c r="J22" i="269"/>
  <c r="I22" i="269"/>
  <c r="H22" i="269"/>
  <c r="G22" i="269"/>
  <c r="F22" i="269"/>
  <c r="E22" i="269"/>
  <c r="D22" i="269"/>
  <c r="C22" i="269"/>
  <c r="B22" i="269"/>
  <c r="A22" i="269"/>
  <c r="AO21" i="269"/>
  <c r="AN21" i="269"/>
  <c r="AM21" i="269"/>
  <c r="AL21" i="269"/>
  <c r="AK21" i="269"/>
  <c r="AJ21" i="269"/>
  <c r="AI21" i="269"/>
  <c r="AH21" i="269"/>
  <c r="AG21" i="269"/>
  <c r="AF21" i="269"/>
  <c r="AE21" i="269"/>
  <c r="AD21" i="269"/>
  <c r="AC21" i="269"/>
  <c r="AB21" i="269"/>
  <c r="AA21" i="269"/>
  <c r="Z21" i="269"/>
  <c r="Y21" i="269"/>
  <c r="X21" i="269"/>
  <c r="W21" i="269"/>
  <c r="V21" i="269"/>
  <c r="U21" i="269"/>
  <c r="T21" i="269"/>
  <c r="S21" i="269"/>
  <c r="R21" i="269"/>
  <c r="Q21" i="269"/>
  <c r="P21" i="269"/>
  <c r="O21" i="269"/>
  <c r="N21" i="269"/>
  <c r="M21" i="269"/>
  <c r="L21" i="269"/>
  <c r="K21" i="269"/>
  <c r="J21" i="269"/>
  <c r="I21" i="269"/>
  <c r="H21" i="269"/>
  <c r="G21" i="269"/>
  <c r="F21" i="269"/>
  <c r="E21" i="269"/>
  <c r="D21" i="269"/>
  <c r="C21" i="269"/>
  <c r="B21" i="269"/>
  <c r="A21" i="269"/>
  <c r="AO20" i="269"/>
  <c r="AN20" i="269"/>
  <c r="AM20" i="269"/>
  <c r="AL20" i="269"/>
  <c r="AK20" i="269"/>
  <c r="AJ20" i="269"/>
  <c r="AI20" i="269"/>
  <c r="AH20" i="269"/>
  <c r="AG20" i="269"/>
  <c r="AF20" i="269"/>
  <c r="AE20" i="269"/>
  <c r="AD20" i="269"/>
  <c r="AC20" i="269"/>
  <c r="AB20" i="269"/>
  <c r="AA20" i="269"/>
  <c r="Z20" i="269"/>
  <c r="Y20" i="269"/>
  <c r="X20" i="269"/>
  <c r="W20" i="269"/>
  <c r="V20" i="269"/>
  <c r="U20" i="269"/>
  <c r="T20" i="269"/>
  <c r="S20" i="269"/>
  <c r="R20" i="269"/>
  <c r="Q20" i="269"/>
  <c r="P20" i="269"/>
  <c r="O20" i="269"/>
  <c r="N20" i="269"/>
  <c r="M20" i="269"/>
  <c r="L20" i="269"/>
  <c r="K20" i="269"/>
  <c r="J20" i="269"/>
  <c r="I20" i="269"/>
  <c r="H20" i="269"/>
  <c r="G20" i="269"/>
  <c r="F20" i="269"/>
  <c r="E20" i="269"/>
  <c r="D20" i="269"/>
  <c r="C20" i="269"/>
  <c r="B20" i="269"/>
  <c r="A20" i="269"/>
  <c r="AO19" i="269"/>
  <c r="AN19" i="269"/>
  <c r="AM19" i="269"/>
  <c r="AL19" i="269"/>
  <c r="AK19" i="269"/>
  <c r="AJ19" i="269"/>
  <c r="AI19" i="269"/>
  <c r="AH19" i="269"/>
  <c r="AG19" i="269"/>
  <c r="AF19" i="269"/>
  <c r="AE19" i="269"/>
  <c r="AD19" i="269"/>
  <c r="AC19" i="269"/>
  <c r="AB19" i="269"/>
  <c r="AA19" i="269"/>
  <c r="Z19" i="269"/>
  <c r="Y19" i="269"/>
  <c r="X19" i="269"/>
  <c r="W19" i="269"/>
  <c r="V19" i="269"/>
  <c r="U19" i="269"/>
  <c r="T19" i="269"/>
  <c r="S19" i="269"/>
  <c r="R19" i="269"/>
  <c r="Q19" i="269"/>
  <c r="P19" i="269"/>
  <c r="O19" i="269"/>
  <c r="N19" i="269"/>
  <c r="M19" i="269"/>
  <c r="L19" i="269"/>
  <c r="K19" i="269"/>
  <c r="J19" i="269"/>
  <c r="I19" i="269"/>
  <c r="H19" i="269"/>
  <c r="G19" i="269"/>
  <c r="F19" i="269"/>
  <c r="E19" i="269"/>
  <c r="D19" i="269"/>
  <c r="C19" i="269"/>
  <c r="B19" i="269"/>
  <c r="A19" i="269"/>
  <c r="AO18" i="269"/>
  <c r="AN18" i="269"/>
  <c r="AM18" i="269"/>
  <c r="AL18" i="269"/>
  <c r="AK18" i="269"/>
  <c r="AJ18" i="269"/>
  <c r="AI18" i="269"/>
  <c r="AH18" i="269"/>
  <c r="AG18" i="269"/>
  <c r="AF18" i="269"/>
  <c r="AE18" i="269"/>
  <c r="AD18" i="269"/>
  <c r="AC18" i="269"/>
  <c r="AB18" i="269"/>
  <c r="AA18" i="269"/>
  <c r="Z18" i="269"/>
  <c r="Y18" i="269"/>
  <c r="X18" i="269"/>
  <c r="W18" i="269"/>
  <c r="V18" i="269"/>
  <c r="U18" i="269"/>
  <c r="T18" i="269"/>
  <c r="S18" i="269"/>
  <c r="R18" i="269"/>
  <c r="Q18" i="269"/>
  <c r="P18" i="269"/>
  <c r="O18" i="269"/>
  <c r="N18" i="269"/>
  <c r="M18" i="269"/>
  <c r="L18" i="269"/>
  <c r="K18" i="269"/>
  <c r="J18" i="269"/>
  <c r="I18" i="269"/>
  <c r="H18" i="269"/>
  <c r="G18" i="269"/>
  <c r="F18" i="269"/>
  <c r="E18" i="269"/>
  <c r="D18" i="269"/>
  <c r="C18" i="269"/>
  <c r="B18" i="269"/>
  <c r="A18" i="269"/>
  <c r="AO17" i="269"/>
  <c r="AN17" i="269"/>
  <c r="AM17" i="269"/>
  <c r="AL17" i="269"/>
  <c r="AK17" i="269"/>
  <c r="AJ17" i="269"/>
  <c r="AI17" i="269"/>
  <c r="AH17" i="269"/>
  <c r="AG17" i="269"/>
  <c r="AF17" i="269"/>
  <c r="AE17" i="269"/>
  <c r="AD17" i="269"/>
  <c r="AC17" i="269"/>
  <c r="AB17" i="269"/>
  <c r="AA17" i="269"/>
  <c r="Z17" i="269"/>
  <c r="Y17" i="269"/>
  <c r="X17" i="269"/>
  <c r="W17" i="269"/>
  <c r="V17" i="269"/>
  <c r="U17" i="269"/>
  <c r="T17" i="269"/>
  <c r="S17" i="269"/>
  <c r="R17" i="269"/>
  <c r="Q17" i="269"/>
  <c r="P17" i="269"/>
  <c r="O17" i="269"/>
  <c r="N17" i="269"/>
  <c r="M17" i="269"/>
  <c r="L17" i="269"/>
  <c r="K17" i="269"/>
  <c r="J17" i="269"/>
  <c r="I17" i="269"/>
  <c r="H17" i="269"/>
  <c r="G17" i="269"/>
  <c r="F17" i="269"/>
  <c r="E17" i="269"/>
  <c r="D17" i="269"/>
  <c r="C17" i="269"/>
  <c r="B17" i="269"/>
  <c r="A17" i="269"/>
  <c r="AO16" i="269"/>
  <c r="AN16" i="269"/>
  <c r="AM16" i="269"/>
  <c r="AL16" i="269"/>
  <c r="AK16" i="269"/>
  <c r="AJ16" i="269"/>
  <c r="AI16" i="269"/>
  <c r="AH16" i="269"/>
  <c r="AG16" i="269"/>
  <c r="AF16" i="269"/>
  <c r="AE16" i="269"/>
  <c r="AD16" i="269"/>
  <c r="AC16" i="269"/>
  <c r="AB16" i="269"/>
  <c r="AA16" i="269"/>
  <c r="Z16" i="269"/>
  <c r="Y16" i="269"/>
  <c r="X16" i="269"/>
  <c r="W16" i="269"/>
  <c r="V16" i="269"/>
  <c r="U16" i="269"/>
  <c r="T16" i="269"/>
  <c r="S16" i="269"/>
  <c r="R16" i="269"/>
  <c r="Q16" i="269"/>
  <c r="P16" i="269"/>
  <c r="O16" i="269"/>
  <c r="N16" i="269"/>
  <c r="M16" i="269"/>
  <c r="L16" i="269"/>
  <c r="K16" i="269"/>
  <c r="J16" i="269"/>
  <c r="I16" i="269"/>
  <c r="H16" i="269"/>
  <c r="G16" i="269"/>
  <c r="F16" i="269"/>
  <c r="E16" i="269"/>
  <c r="D16" i="269"/>
  <c r="C16" i="269"/>
  <c r="B16" i="269"/>
  <c r="A16" i="269"/>
  <c r="AO15" i="269"/>
  <c r="AN15" i="269"/>
  <c r="AM15" i="269"/>
  <c r="AL15" i="269"/>
  <c r="AK15" i="269"/>
  <c r="AJ15" i="269"/>
  <c r="AI15" i="269"/>
  <c r="AH15" i="269"/>
  <c r="AG15" i="269"/>
  <c r="AF15" i="269"/>
  <c r="AE15" i="269"/>
  <c r="AD15" i="269"/>
  <c r="AC15" i="269"/>
  <c r="AB15" i="269"/>
  <c r="AA15" i="269"/>
  <c r="Z15" i="269"/>
  <c r="Y15" i="269"/>
  <c r="X15" i="269"/>
  <c r="W15" i="269"/>
  <c r="V15" i="269"/>
  <c r="U15" i="269"/>
  <c r="T15" i="269"/>
  <c r="S15" i="269"/>
  <c r="R15" i="269"/>
  <c r="Q15" i="269"/>
  <c r="P15" i="269"/>
  <c r="O15" i="269"/>
  <c r="N15" i="269"/>
  <c r="M15" i="269"/>
  <c r="L15" i="269"/>
  <c r="K15" i="269"/>
  <c r="J15" i="269"/>
  <c r="I15" i="269"/>
  <c r="H15" i="269"/>
  <c r="G15" i="269"/>
  <c r="F15" i="269"/>
  <c r="E15" i="269"/>
  <c r="D15" i="269"/>
  <c r="C15" i="269"/>
  <c r="B15" i="269"/>
  <c r="A15" i="269"/>
  <c r="AO14" i="269"/>
  <c r="AN14" i="269"/>
  <c r="AM14" i="269"/>
  <c r="AL14" i="269"/>
  <c r="AK14" i="269"/>
  <c r="AJ14" i="269"/>
  <c r="AI14" i="269"/>
  <c r="AH14" i="269"/>
  <c r="AG14" i="269"/>
  <c r="AF14" i="269"/>
  <c r="AE14" i="269"/>
  <c r="AD14" i="269"/>
  <c r="AC14" i="269"/>
  <c r="AB14" i="269"/>
  <c r="AA14" i="269"/>
  <c r="Z14" i="269"/>
  <c r="Y14" i="269"/>
  <c r="X14" i="269"/>
  <c r="W14" i="269"/>
  <c r="V14" i="269"/>
  <c r="U14" i="269"/>
  <c r="T14" i="269"/>
  <c r="S14" i="269"/>
  <c r="R14" i="269"/>
  <c r="Q14" i="269"/>
  <c r="P14" i="269"/>
  <c r="O14" i="269"/>
  <c r="N14" i="269"/>
  <c r="M14" i="269"/>
  <c r="L14" i="269"/>
  <c r="K14" i="269"/>
  <c r="J14" i="269"/>
  <c r="I14" i="269"/>
  <c r="H14" i="269"/>
  <c r="G14" i="269"/>
  <c r="F14" i="269"/>
  <c r="E14" i="269"/>
  <c r="D14" i="269"/>
  <c r="C14" i="269"/>
  <c r="B14" i="269"/>
  <c r="A14" i="269"/>
  <c r="AO13" i="269"/>
  <c r="AN13" i="269"/>
  <c r="AM13" i="269"/>
  <c r="AL13" i="269"/>
  <c r="AK13" i="269"/>
  <c r="AJ13" i="269"/>
  <c r="AI13" i="269"/>
  <c r="AH13" i="269"/>
  <c r="AG13" i="269"/>
  <c r="AF13" i="269"/>
  <c r="AE13" i="269"/>
  <c r="AD13" i="269"/>
  <c r="AC13" i="269"/>
  <c r="AB13" i="269"/>
  <c r="AA13" i="269"/>
  <c r="Z13" i="269"/>
  <c r="Y13" i="269"/>
  <c r="X13" i="269"/>
  <c r="W13" i="269"/>
  <c r="V13" i="269"/>
  <c r="U13" i="269"/>
  <c r="T13" i="269"/>
  <c r="S13" i="269"/>
  <c r="R13" i="269"/>
  <c r="Q13" i="269"/>
  <c r="P13" i="269"/>
  <c r="O13" i="269"/>
  <c r="N13" i="269"/>
  <c r="M13" i="269"/>
  <c r="L13" i="269"/>
  <c r="K13" i="269"/>
  <c r="J13" i="269"/>
  <c r="I13" i="269"/>
  <c r="H13" i="269"/>
  <c r="G13" i="269"/>
  <c r="F13" i="269"/>
  <c r="E13" i="269"/>
  <c r="D13" i="269"/>
  <c r="C13" i="269"/>
  <c r="B13" i="269"/>
  <c r="A13" i="269"/>
  <c r="AO12" i="269"/>
  <c r="AN12" i="269"/>
  <c r="AM12" i="269"/>
  <c r="AL12" i="269"/>
  <c r="AK12" i="269"/>
  <c r="AJ12" i="269"/>
  <c r="AI12" i="269"/>
  <c r="AH12" i="269"/>
  <c r="AG12" i="269"/>
  <c r="AF12" i="269"/>
  <c r="AE12" i="269"/>
  <c r="AD12" i="269"/>
  <c r="AC12" i="269"/>
  <c r="AB12" i="269"/>
  <c r="AA12" i="269"/>
  <c r="Z12" i="269"/>
  <c r="Y12" i="269"/>
  <c r="X12" i="269"/>
  <c r="W12" i="269"/>
  <c r="V12" i="269"/>
  <c r="U12" i="269"/>
  <c r="T12" i="269"/>
  <c r="S12" i="269"/>
  <c r="R12" i="269"/>
  <c r="Q12" i="269"/>
  <c r="P12" i="269"/>
  <c r="O12" i="269"/>
  <c r="N12" i="269"/>
  <c r="M12" i="269"/>
  <c r="L12" i="269"/>
  <c r="K12" i="269"/>
  <c r="J12" i="269"/>
  <c r="I12" i="269"/>
  <c r="H12" i="269"/>
  <c r="G12" i="269"/>
  <c r="F12" i="269"/>
  <c r="E12" i="269"/>
  <c r="D12" i="269"/>
  <c r="C12" i="269"/>
  <c r="B12" i="269"/>
  <c r="A12" i="269"/>
  <c r="AO11" i="269"/>
  <c r="AN11" i="269"/>
  <c r="AM11" i="269"/>
  <c r="AL11" i="269"/>
  <c r="AK11" i="269"/>
  <c r="AJ11" i="269"/>
  <c r="AI11" i="269"/>
  <c r="AH11" i="269"/>
  <c r="AG11" i="269"/>
  <c r="AF11" i="269"/>
  <c r="AE11" i="269"/>
  <c r="AD11" i="269"/>
  <c r="AC11" i="269"/>
  <c r="AB11" i="269"/>
  <c r="AA11" i="269"/>
  <c r="Z11" i="269"/>
  <c r="Y11" i="269"/>
  <c r="X11" i="269"/>
  <c r="W11" i="269"/>
  <c r="V11" i="269"/>
  <c r="U11" i="269"/>
  <c r="T11" i="269"/>
  <c r="S11" i="269"/>
  <c r="R11" i="269"/>
  <c r="Q11" i="269"/>
  <c r="P11" i="269"/>
  <c r="O11" i="269"/>
  <c r="N11" i="269"/>
  <c r="M11" i="269"/>
  <c r="L11" i="269"/>
  <c r="K11" i="269"/>
  <c r="J11" i="269"/>
  <c r="I11" i="269"/>
  <c r="H11" i="269"/>
  <c r="G11" i="269"/>
  <c r="F11" i="269"/>
  <c r="E11" i="269"/>
  <c r="D11" i="269"/>
  <c r="C11" i="269"/>
  <c r="B11" i="269"/>
  <c r="A11" i="269"/>
  <c r="AO10" i="269"/>
  <c r="AN10" i="269"/>
  <c r="AM10" i="269"/>
  <c r="AL10" i="269"/>
  <c r="AK10" i="269"/>
  <c r="AJ10" i="269"/>
  <c r="AI10" i="269"/>
  <c r="AH10" i="269"/>
  <c r="AG10" i="269"/>
  <c r="AF10" i="269"/>
  <c r="AE10" i="269"/>
  <c r="AD10" i="269"/>
  <c r="AC10" i="269"/>
  <c r="AB10" i="269"/>
  <c r="AA10" i="269"/>
  <c r="Z10" i="269"/>
  <c r="Y10" i="269"/>
  <c r="X10" i="269"/>
  <c r="W10" i="269"/>
  <c r="V10" i="269"/>
  <c r="U10" i="269"/>
  <c r="T10" i="269"/>
  <c r="S10" i="269"/>
  <c r="R10" i="269"/>
  <c r="Q10" i="269"/>
  <c r="P10" i="269"/>
  <c r="O10" i="269"/>
  <c r="N10" i="269"/>
  <c r="M10" i="269"/>
  <c r="L10" i="269"/>
  <c r="K10" i="269"/>
  <c r="J10" i="269"/>
  <c r="I10" i="269"/>
  <c r="H10" i="269"/>
  <c r="G10" i="269"/>
  <c r="F10" i="269"/>
  <c r="E10" i="269"/>
  <c r="D10" i="269"/>
  <c r="C10" i="269"/>
  <c r="B10" i="269"/>
  <c r="A10" i="269"/>
  <c r="AO9" i="269"/>
  <c r="AN9" i="269"/>
  <c r="AM9" i="269"/>
  <c r="AL9" i="269"/>
  <c r="AK9" i="269"/>
  <c r="AJ9" i="269"/>
  <c r="AI9" i="269"/>
  <c r="AH9" i="269"/>
  <c r="AG9" i="269"/>
  <c r="AF9" i="269"/>
  <c r="AE9" i="269"/>
  <c r="AD9" i="269"/>
  <c r="AC9" i="269"/>
  <c r="AB9" i="269"/>
  <c r="AA9" i="269"/>
  <c r="Z9" i="269"/>
  <c r="Y9" i="269"/>
  <c r="X9" i="269"/>
  <c r="W9" i="269"/>
  <c r="V9" i="269"/>
  <c r="U9" i="269"/>
  <c r="T9" i="269"/>
  <c r="S9" i="269"/>
  <c r="R9" i="269"/>
  <c r="Q9" i="269"/>
  <c r="P9" i="269"/>
  <c r="O9" i="269"/>
  <c r="N9" i="269"/>
  <c r="M9" i="269"/>
  <c r="L9" i="269"/>
  <c r="K9" i="269"/>
  <c r="J9" i="269"/>
  <c r="I9" i="269"/>
  <c r="H9" i="269"/>
  <c r="G9" i="269"/>
  <c r="F9" i="269"/>
  <c r="E9" i="269"/>
  <c r="D9" i="269"/>
  <c r="C9" i="269"/>
  <c r="B9" i="269"/>
  <c r="A9" i="269"/>
  <c r="AO8" i="269"/>
  <c r="AN8" i="269"/>
  <c r="AM8" i="269"/>
  <c r="AL8" i="269"/>
  <c r="AK8" i="269"/>
  <c r="AJ8" i="269"/>
  <c r="AI8" i="269"/>
  <c r="AH8" i="269"/>
  <c r="AG8" i="269"/>
  <c r="AF8" i="269"/>
  <c r="AE8" i="269"/>
  <c r="AD8" i="269"/>
  <c r="AC8" i="269"/>
  <c r="AB8" i="269"/>
  <c r="AA8" i="269"/>
  <c r="Z8" i="269"/>
  <c r="Y8" i="269"/>
  <c r="X8" i="269"/>
  <c r="W8" i="269"/>
  <c r="V8" i="269"/>
  <c r="U8" i="269"/>
  <c r="T8" i="269"/>
  <c r="S8" i="269"/>
  <c r="R8" i="269"/>
  <c r="Q8" i="269"/>
  <c r="P8" i="269"/>
  <c r="O8" i="269"/>
  <c r="N8" i="269"/>
  <c r="M8" i="269"/>
  <c r="L8" i="269"/>
  <c r="K8" i="269"/>
  <c r="J8" i="269"/>
  <c r="I8" i="269"/>
  <c r="H8" i="269"/>
  <c r="G8" i="269"/>
  <c r="F8" i="269"/>
  <c r="E8" i="269"/>
  <c r="D8" i="269"/>
  <c r="C8" i="269"/>
  <c r="B8" i="269"/>
  <c r="AO7" i="269"/>
  <c r="AN7" i="269"/>
  <c r="AM7" i="269"/>
  <c r="AL7" i="269"/>
  <c r="AK7" i="269"/>
  <c r="AJ7" i="269"/>
  <c r="AI7" i="269"/>
  <c r="AH7" i="269"/>
  <c r="AG7" i="269"/>
  <c r="AF7" i="269"/>
  <c r="AE7" i="269"/>
  <c r="AD7" i="269"/>
  <c r="AC7" i="269"/>
  <c r="AB7" i="269"/>
  <c r="AA7" i="269"/>
  <c r="Z7" i="269"/>
  <c r="Y7" i="269"/>
  <c r="X7" i="269"/>
  <c r="W7" i="269"/>
  <c r="V7" i="269"/>
  <c r="U7" i="269"/>
  <c r="T7" i="269"/>
  <c r="S7" i="269"/>
  <c r="R7" i="269"/>
  <c r="Q7" i="269"/>
  <c r="P7" i="269"/>
  <c r="O7" i="269"/>
  <c r="N7" i="269"/>
  <c r="M7" i="269"/>
  <c r="L7" i="269"/>
  <c r="K7" i="269"/>
  <c r="J7" i="269"/>
  <c r="I7" i="269"/>
  <c r="H7" i="269"/>
  <c r="G7" i="269"/>
  <c r="F7" i="269"/>
  <c r="E7" i="269"/>
  <c r="D7" i="269"/>
  <c r="C7" i="269"/>
  <c r="B7" i="269"/>
  <c r="AN6" i="269"/>
  <c r="AL6" i="269"/>
  <c r="AJ6" i="269"/>
  <c r="AH6" i="269"/>
  <c r="AF6" i="269"/>
  <c r="AD6" i="269"/>
  <c r="AB6" i="269"/>
  <c r="Z6" i="269"/>
  <c r="X6" i="269"/>
  <c r="V6" i="269"/>
  <c r="T6" i="269"/>
  <c r="R6" i="269"/>
  <c r="P6" i="269"/>
  <c r="N6" i="269"/>
  <c r="L6" i="269"/>
  <c r="J6" i="269"/>
  <c r="H6" i="269"/>
  <c r="F6" i="269"/>
  <c r="D6" i="269"/>
  <c r="B6" i="269"/>
  <c r="AO5" i="269"/>
  <c r="AN5" i="269"/>
  <c r="AM5" i="269"/>
  <c r="AL5" i="269"/>
  <c r="AK5" i="269"/>
  <c r="AJ5" i="269"/>
  <c r="AI5" i="269"/>
  <c r="AH5" i="269"/>
  <c r="AG5" i="269"/>
  <c r="AF5" i="269"/>
  <c r="AE5" i="269"/>
  <c r="AD5" i="269"/>
  <c r="AC5" i="269"/>
  <c r="AB5" i="269"/>
  <c r="AA5" i="269"/>
  <c r="Z5" i="269"/>
  <c r="Y5" i="269"/>
  <c r="X5" i="269"/>
  <c r="W5" i="269"/>
  <c r="V5" i="269"/>
  <c r="U5" i="269"/>
  <c r="T5" i="269"/>
  <c r="S5" i="269"/>
  <c r="R5" i="269"/>
  <c r="Q5" i="269"/>
  <c r="P5" i="269"/>
  <c r="O5" i="269"/>
  <c r="N5" i="269"/>
  <c r="M5" i="269"/>
  <c r="L5" i="269"/>
  <c r="K5" i="269"/>
  <c r="J5" i="269"/>
  <c r="I5" i="269"/>
  <c r="H5" i="269"/>
  <c r="G5" i="269"/>
  <c r="F5" i="269"/>
  <c r="E5" i="269"/>
  <c r="D5" i="269"/>
  <c r="C5" i="269"/>
  <c r="B5" i="269"/>
  <c r="X4" i="269"/>
  <c r="U2" i="269"/>
  <c r="F2" i="269"/>
  <c r="C82" i="250"/>
  <c r="L75" i="250"/>
  <c r="J75" i="250"/>
  <c r="C74" i="250"/>
  <c r="C73" i="250"/>
  <c r="F63" i="250"/>
  <c r="F62" i="250"/>
  <c r="F55" i="250"/>
  <c r="G37" i="250"/>
  <c r="E37" i="250"/>
  <c r="E36" i="250"/>
  <c r="E35" i="250"/>
  <c r="A41" i="249"/>
  <c r="A40" i="249"/>
  <c r="A39" i="249"/>
  <c r="A38" i="249"/>
  <c r="A37" i="249"/>
  <c r="A36" i="249"/>
  <c r="E26" i="248"/>
  <c r="C26" i="248"/>
  <c r="E25" i="248"/>
  <c r="E24" i="248"/>
  <c r="E23" i="248"/>
  <c r="E22" i="248"/>
  <c r="E21" i="248"/>
  <c r="E20" i="248"/>
  <c r="C13" i="248"/>
  <c r="E12" i="248"/>
  <c r="D12" i="248"/>
  <c r="E9" i="248"/>
  <c r="D8" i="248"/>
  <c r="E7" i="248"/>
  <c r="D7" i="248"/>
  <c r="F48" i="247"/>
  <c r="F46" i="247"/>
  <c r="E46" i="247"/>
  <c r="F45" i="247"/>
  <c r="E45" i="247"/>
  <c r="J42" i="247"/>
  <c r="E38" i="247"/>
  <c r="A36" i="247"/>
  <c r="A35" i="247"/>
  <c r="A30" i="247"/>
  <c r="A29" i="247"/>
  <c r="A28" i="247"/>
  <c r="A27" i="247"/>
  <c r="A26" i="247"/>
  <c r="F25" i="247"/>
  <c r="A21" i="247"/>
  <c r="A20" i="247"/>
  <c r="A19" i="247"/>
  <c r="A18" i="247"/>
  <c r="A17" i="247"/>
  <c r="F45" i="240"/>
  <c r="F42" i="240"/>
  <c r="E42" i="240"/>
  <c r="F41" i="240"/>
  <c r="E41" i="240"/>
  <c r="H20" i="240"/>
  <c r="F20" i="240"/>
  <c r="D20" i="240"/>
  <c r="B20" i="240"/>
  <c r="I19" i="240"/>
  <c r="I18" i="240"/>
  <c r="I17" i="240"/>
  <c r="I16" i="240"/>
  <c r="P21" i="232"/>
  <c r="O21" i="232"/>
  <c r="P20" i="232"/>
  <c r="O20" i="232"/>
  <c r="P19" i="232"/>
  <c r="O19" i="232"/>
  <c r="P18" i="232"/>
  <c r="O18" i="232"/>
  <c r="P17" i="232"/>
  <c r="O17" i="232"/>
  <c r="P16" i="232"/>
  <c r="O16" i="232"/>
  <c r="P15" i="232"/>
  <c r="O15" i="232"/>
  <c r="P13" i="232"/>
  <c r="O13" i="232"/>
  <c r="P12" i="232"/>
  <c r="O12" i="232"/>
  <c r="P10" i="232"/>
  <c r="O10" i="232"/>
  <c r="F76" i="231"/>
  <c r="E76" i="231"/>
  <c r="C76" i="231"/>
  <c r="B30" i="230"/>
  <c r="H21" i="230"/>
  <c r="H19" i="230"/>
  <c r="H18" i="230"/>
  <c r="AL60" i="228"/>
  <c r="AK60" i="228"/>
  <c r="AJ60" i="228"/>
  <c r="AI60" i="228"/>
  <c r="AH60" i="228"/>
  <c r="AG60" i="228"/>
  <c r="AF60" i="228"/>
  <c r="AE60" i="228"/>
  <c r="AD60" i="228"/>
  <c r="AC60" i="228"/>
  <c r="AB60" i="228"/>
  <c r="AA60" i="228"/>
  <c r="Z60" i="228"/>
  <c r="Y60" i="228"/>
  <c r="X60" i="228"/>
  <c r="W60" i="228"/>
  <c r="V60" i="228"/>
  <c r="U60" i="228"/>
  <c r="T60" i="228"/>
  <c r="H42" i="228"/>
  <c r="C42" i="228"/>
  <c r="F41" i="228"/>
  <c r="A41" i="228"/>
  <c r="F40" i="228"/>
  <c r="A40" i="228"/>
  <c r="F39" i="228"/>
  <c r="A39" i="228"/>
  <c r="AI34" i="228"/>
  <c r="H28" i="228"/>
  <c r="C28" i="228"/>
  <c r="F27" i="228"/>
  <c r="A27" i="228"/>
  <c r="F26" i="228"/>
  <c r="A26" i="228"/>
  <c r="F25" i="228"/>
  <c r="A25" i="228"/>
  <c r="O15" i="228"/>
  <c r="H15" i="228"/>
  <c r="C15" i="228"/>
  <c r="O14" i="228"/>
  <c r="F13" i="228"/>
  <c r="A13" i="228"/>
  <c r="S30" i="225"/>
  <c r="R30" i="225"/>
  <c r="Q30" i="225"/>
  <c r="P30" i="225"/>
  <c r="O30" i="225"/>
  <c r="S29" i="225"/>
  <c r="R29" i="225"/>
  <c r="Q29" i="225"/>
  <c r="P29" i="225"/>
  <c r="O29" i="225"/>
  <c r="S26" i="225"/>
  <c r="R26" i="225"/>
  <c r="S25" i="225"/>
  <c r="R25" i="225"/>
  <c r="S24" i="225"/>
  <c r="R24" i="225"/>
  <c r="S23" i="225"/>
  <c r="R23" i="225"/>
  <c r="S22" i="225"/>
  <c r="R22" i="225"/>
  <c r="S21" i="225"/>
  <c r="R21" i="225"/>
  <c r="S20" i="225"/>
  <c r="R20" i="225"/>
  <c r="S19" i="225"/>
  <c r="R19" i="225"/>
  <c r="R18" i="225"/>
  <c r="R17" i="225"/>
  <c r="S16" i="225"/>
  <c r="R16" i="225"/>
  <c r="S15" i="225"/>
  <c r="R15" i="225"/>
  <c r="Q15" i="225"/>
  <c r="P15" i="225"/>
  <c r="O15" i="225"/>
  <c r="S14" i="225"/>
  <c r="R14" i="225"/>
  <c r="S13" i="225"/>
  <c r="R13" i="225"/>
  <c r="S12" i="225"/>
  <c r="R12" i="225"/>
  <c r="S11" i="225"/>
  <c r="R11" i="225"/>
  <c r="S10" i="225"/>
  <c r="R10" i="225"/>
  <c r="S9" i="225"/>
  <c r="R9" i="225"/>
  <c r="S8" i="225"/>
  <c r="R8" i="225"/>
  <c r="S7" i="225"/>
  <c r="R7" i="225"/>
  <c r="A27" i="222"/>
  <c r="A26" i="222"/>
  <c r="A25" i="222"/>
  <c r="A24" i="222"/>
  <c r="A23" i="222"/>
  <c r="A22" i="222"/>
  <c r="A21" i="222"/>
  <c r="A20" i="222"/>
  <c r="A19" i="222"/>
  <c r="A18" i="222"/>
  <c r="A17" i="222"/>
  <c r="A16" i="222"/>
  <c r="A15" i="222"/>
  <c r="A14" i="222"/>
  <c r="A13" i="222"/>
  <c r="A12" i="222"/>
  <c r="A11" i="222"/>
  <c r="A10" i="222"/>
  <c r="A9" i="222"/>
  <c r="A8" i="222"/>
  <c r="A7" i="222"/>
  <c r="I9" i="221"/>
  <c r="G9" i="221"/>
  <c r="I8" i="221"/>
  <c r="I7" i="221"/>
  <c r="I6" i="221"/>
  <c r="L12" i="194"/>
  <c r="K12" i="194"/>
  <c r="J12" i="194"/>
  <c r="I12" i="194"/>
  <c r="H12" i="194"/>
  <c r="G12" i="194"/>
  <c r="F12" i="194"/>
  <c r="E12" i="194"/>
  <c r="D12" i="194"/>
  <c r="K11" i="194"/>
  <c r="K10" i="194"/>
  <c r="I10" i="194"/>
  <c r="K9" i="194"/>
  <c r="I9" i="194"/>
  <c r="K8" i="194"/>
  <c r="K7" i="194"/>
  <c r="K6" i="194"/>
  <c r="P20" i="93"/>
  <c r="O20" i="93"/>
  <c r="P19" i="93"/>
  <c r="O19" i="93"/>
  <c r="P18" i="93"/>
  <c r="O18" i="93"/>
  <c r="P17" i="93"/>
  <c r="O17" i="93"/>
  <c r="P16" i="93"/>
  <c r="O16" i="93"/>
  <c r="P15" i="93"/>
  <c r="O15" i="93"/>
  <c r="P14" i="93"/>
  <c r="O14" i="93"/>
  <c r="P13" i="93"/>
  <c r="O13" i="93"/>
  <c r="P12" i="93"/>
  <c r="O12" i="93"/>
  <c r="P11" i="93"/>
  <c r="O11" i="93"/>
  <c r="P10" i="93"/>
  <c r="O10" i="93"/>
  <c r="G46" i="105"/>
  <c r="F46" i="105"/>
  <c r="E46" i="105"/>
  <c r="D46" i="105"/>
  <c r="G45" i="105"/>
  <c r="F45" i="105"/>
  <c r="E45" i="105"/>
  <c r="D45" i="105"/>
  <c r="G44" i="105"/>
  <c r="F44" i="105"/>
  <c r="F40" i="105"/>
  <c r="E40" i="105"/>
  <c r="D40" i="105"/>
  <c r="F39" i="105"/>
  <c r="F38" i="105"/>
  <c r="F37" i="105"/>
  <c r="D19" i="105"/>
  <c r="C19" i="105"/>
  <c r="D18" i="105"/>
  <c r="C18" i="105"/>
  <c r="D41" i="80"/>
  <c r="M40" i="80"/>
  <c r="L40" i="80"/>
  <c r="K40" i="80"/>
  <c r="J40" i="80"/>
  <c r="I40" i="80"/>
  <c r="H40" i="80"/>
  <c r="G40" i="80"/>
  <c r="F40" i="80"/>
  <c r="E40" i="80"/>
  <c r="D40" i="80"/>
  <c r="C40" i="80"/>
  <c r="B40" i="80"/>
  <c r="N39" i="80"/>
  <c r="M39" i="80"/>
  <c r="K39" i="80"/>
  <c r="F39" i="80"/>
  <c r="D39" i="80"/>
  <c r="B39" i="80"/>
  <c r="A39" i="80"/>
  <c r="N38" i="80"/>
  <c r="M38" i="80"/>
  <c r="K38" i="80"/>
  <c r="F38" i="80"/>
  <c r="D38" i="80"/>
  <c r="B38" i="80"/>
  <c r="A38" i="80"/>
  <c r="N37" i="80"/>
  <c r="M37" i="80"/>
  <c r="K37" i="80"/>
  <c r="F37" i="80"/>
  <c r="D37" i="80"/>
  <c r="B37" i="80"/>
  <c r="A37" i="80"/>
  <c r="N36" i="80"/>
  <c r="M36" i="80"/>
  <c r="K36" i="80"/>
  <c r="F36" i="80"/>
  <c r="D36" i="80"/>
  <c r="B36" i="80"/>
  <c r="A36" i="80"/>
  <c r="N35" i="80"/>
  <c r="M35" i="80"/>
  <c r="K35" i="80"/>
  <c r="F35" i="80"/>
  <c r="D35" i="80"/>
  <c r="B35" i="80"/>
  <c r="A35" i="80"/>
  <c r="N34" i="80"/>
  <c r="M34" i="80"/>
  <c r="K34" i="80"/>
  <c r="F34" i="80"/>
  <c r="D34" i="80"/>
  <c r="B34" i="80"/>
  <c r="A34" i="80"/>
  <c r="N33" i="80"/>
  <c r="M33" i="80"/>
  <c r="K33" i="80"/>
  <c r="F33" i="80"/>
  <c r="D33" i="80"/>
  <c r="B33" i="80"/>
  <c r="A33" i="80"/>
  <c r="N32" i="80"/>
  <c r="M32" i="80"/>
  <c r="K32" i="80"/>
  <c r="F32" i="80"/>
  <c r="D32" i="80"/>
  <c r="B32" i="80"/>
  <c r="A32" i="80"/>
  <c r="N31" i="80"/>
  <c r="M31" i="80"/>
  <c r="K31" i="80"/>
  <c r="F31" i="80"/>
  <c r="D31" i="80"/>
  <c r="B31" i="80"/>
  <c r="A31" i="80"/>
  <c r="N30" i="80"/>
  <c r="M30" i="80"/>
  <c r="K30" i="80"/>
  <c r="F30" i="80"/>
  <c r="D30" i="80"/>
  <c r="B30" i="80"/>
  <c r="A30" i="80"/>
  <c r="N29" i="80"/>
  <c r="M29" i="80"/>
  <c r="K29" i="80"/>
  <c r="F29" i="80"/>
  <c r="D29" i="80"/>
  <c r="B29" i="80"/>
  <c r="A29" i="80"/>
  <c r="N28" i="80"/>
  <c r="M28" i="80"/>
  <c r="K28" i="80"/>
  <c r="F28" i="80"/>
  <c r="D28" i="80"/>
  <c r="B28" i="80"/>
  <c r="A28" i="80"/>
  <c r="N27" i="80"/>
  <c r="M27" i="80"/>
  <c r="K27" i="80"/>
  <c r="F27" i="80"/>
  <c r="D27" i="80"/>
  <c r="B27" i="80"/>
  <c r="A27" i="80"/>
  <c r="N26" i="80"/>
  <c r="M26" i="80"/>
  <c r="K26" i="80"/>
  <c r="F26" i="80"/>
  <c r="D26" i="80"/>
  <c r="B26" i="80"/>
  <c r="A26" i="80"/>
  <c r="N25" i="80"/>
  <c r="M25" i="80"/>
  <c r="K25" i="80"/>
  <c r="F25" i="80"/>
  <c r="D25" i="80"/>
  <c r="B25" i="80"/>
  <c r="A25" i="80"/>
  <c r="N24" i="80"/>
  <c r="M24" i="80"/>
  <c r="K24" i="80"/>
  <c r="F24" i="80"/>
  <c r="D24" i="80"/>
  <c r="B24" i="80"/>
  <c r="A24" i="80"/>
  <c r="N23" i="80"/>
  <c r="M23" i="80"/>
  <c r="K23" i="80"/>
  <c r="F23" i="80"/>
  <c r="D23" i="80"/>
  <c r="B23" i="80"/>
  <c r="A23" i="80"/>
  <c r="N22" i="80"/>
  <c r="M22" i="80"/>
  <c r="K22" i="80"/>
  <c r="F22" i="80"/>
  <c r="D22" i="80"/>
  <c r="B22" i="80"/>
  <c r="A22" i="80"/>
  <c r="N21" i="80"/>
  <c r="M21" i="80"/>
  <c r="K21" i="80"/>
  <c r="F21" i="80"/>
  <c r="D21" i="80"/>
  <c r="B21" i="80"/>
  <c r="A21" i="80"/>
  <c r="N20" i="80"/>
  <c r="M20" i="80"/>
  <c r="K20" i="80"/>
  <c r="F20" i="80"/>
  <c r="D20" i="80"/>
  <c r="B20" i="80"/>
  <c r="A20" i="80"/>
  <c r="N19" i="80"/>
  <c r="M19" i="80"/>
  <c r="K19" i="80"/>
  <c r="F19" i="80"/>
  <c r="D19" i="80"/>
  <c r="B19" i="80"/>
  <c r="A19" i="80"/>
  <c r="N18" i="80"/>
  <c r="M18" i="80"/>
  <c r="K18" i="80"/>
  <c r="F18" i="80"/>
  <c r="D18" i="80"/>
  <c r="B18" i="80"/>
  <c r="A18" i="80"/>
  <c r="N17" i="80"/>
  <c r="M17" i="80"/>
  <c r="K17" i="80"/>
  <c r="F17" i="80"/>
  <c r="D17" i="80"/>
  <c r="B17" i="80"/>
  <c r="A17" i="80"/>
  <c r="N16" i="80"/>
  <c r="M16" i="80"/>
  <c r="K16" i="80"/>
  <c r="F16" i="80"/>
  <c r="D16" i="80"/>
  <c r="A16" i="80"/>
  <c r="N15" i="80"/>
  <c r="M15" i="80"/>
  <c r="K15" i="80"/>
  <c r="F15" i="80"/>
  <c r="D15" i="80"/>
  <c r="B15" i="80"/>
  <c r="A15" i="80"/>
  <c r="N14" i="80"/>
  <c r="M14" i="80"/>
  <c r="K14" i="80"/>
  <c r="F14" i="80"/>
  <c r="D14" i="80"/>
  <c r="B14" i="80"/>
  <c r="A14" i="80"/>
  <c r="N13" i="80"/>
  <c r="M13" i="80"/>
  <c r="K13" i="80"/>
  <c r="F13" i="80"/>
  <c r="D13" i="80"/>
  <c r="B13" i="80"/>
  <c r="A13" i="80"/>
  <c r="N12" i="80"/>
  <c r="M12" i="80"/>
  <c r="K12" i="80"/>
  <c r="F12" i="80"/>
  <c r="D12" i="80"/>
  <c r="B12" i="80"/>
  <c r="A12" i="80"/>
  <c r="N11" i="80"/>
  <c r="M11" i="80"/>
  <c r="K11" i="80"/>
  <c r="F11" i="80"/>
  <c r="D11" i="80"/>
  <c r="B11" i="80"/>
  <c r="A11" i="80"/>
  <c r="N10" i="80"/>
  <c r="M10" i="80"/>
  <c r="K10" i="80"/>
  <c r="F10" i="80"/>
  <c r="D10" i="80"/>
  <c r="B10" i="80"/>
  <c r="A10" i="80"/>
  <c r="N9" i="80"/>
  <c r="M9" i="80"/>
  <c r="K9" i="80"/>
  <c r="F9" i="80"/>
  <c r="D9" i="80"/>
  <c r="B9" i="80"/>
  <c r="A9" i="80"/>
  <c r="N8" i="80"/>
  <c r="D46" i="70"/>
  <c r="D45" i="70"/>
  <c r="B45" i="70"/>
  <c r="D44" i="70"/>
  <c r="B44" i="70"/>
  <c r="D43" i="70"/>
  <c r="B43" i="70"/>
  <c r="M40" i="70"/>
  <c r="L40" i="70"/>
  <c r="K40" i="70"/>
  <c r="J40" i="70"/>
  <c r="I40" i="70"/>
  <c r="H40" i="70"/>
  <c r="G40" i="70"/>
  <c r="F40" i="70"/>
  <c r="E40" i="70"/>
  <c r="D40" i="70"/>
  <c r="C40" i="70"/>
  <c r="B40" i="70"/>
  <c r="N39" i="70"/>
  <c r="M39" i="70"/>
  <c r="K39" i="70"/>
  <c r="F39" i="70"/>
  <c r="D39" i="70"/>
  <c r="B39" i="70"/>
  <c r="A39" i="70"/>
  <c r="N38" i="70"/>
  <c r="M38" i="70"/>
  <c r="K38" i="70"/>
  <c r="F38" i="70"/>
  <c r="D38" i="70"/>
  <c r="B38" i="70"/>
  <c r="A38" i="70"/>
  <c r="N37" i="70"/>
  <c r="M37" i="70"/>
  <c r="K37" i="70"/>
  <c r="F37" i="70"/>
  <c r="D37" i="70"/>
  <c r="B37" i="70"/>
  <c r="A37" i="70"/>
  <c r="N36" i="70"/>
  <c r="M36" i="70"/>
  <c r="K36" i="70"/>
  <c r="F36" i="70"/>
  <c r="D36" i="70"/>
  <c r="B36" i="70"/>
  <c r="A36" i="70"/>
  <c r="N35" i="70"/>
  <c r="M35" i="70"/>
  <c r="K35" i="70"/>
  <c r="F35" i="70"/>
  <c r="D35" i="70"/>
  <c r="B35" i="70"/>
  <c r="A35" i="70"/>
  <c r="N34" i="70"/>
  <c r="M34" i="70"/>
  <c r="K34" i="70"/>
  <c r="F34" i="70"/>
  <c r="D34" i="70"/>
  <c r="B34" i="70"/>
  <c r="A34" i="70"/>
  <c r="N33" i="70"/>
  <c r="M33" i="70"/>
  <c r="K33" i="70"/>
  <c r="F33" i="70"/>
  <c r="D33" i="70"/>
  <c r="B33" i="70"/>
  <c r="A33" i="70"/>
  <c r="N32" i="70"/>
  <c r="M32" i="70"/>
  <c r="K32" i="70"/>
  <c r="F32" i="70"/>
  <c r="D32" i="70"/>
  <c r="B32" i="70"/>
  <c r="A32" i="70"/>
  <c r="N31" i="70"/>
  <c r="M31" i="70"/>
  <c r="K31" i="70"/>
  <c r="F31" i="70"/>
  <c r="D31" i="70"/>
  <c r="B31" i="70"/>
  <c r="A31" i="70"/>
  <c r="N30" i="70"/>
  <c r="M30" i="70"/>
  <c r="K30" i="70"/>
  <c r="F30" i="70"/>
  <c r="D30" i="70"/>
  <c r="B30" i="70"/>
  <c r="A30" i="70"/>
  <c r="N29" i="70"/>
  <c r="M29" i="70"/>
  <c r="K29" i="70"/>
  <c r="F29" i="70"/>
  <c r="D29" i="70"/>
  <c r="B29" i="70"/>
  <c r="A29" i="70"/>
  <c r="N28" i="70"/>
  <c r="M28" i="70"/>
  <c r="K28" i="70"/>
  <c r="F28" i="70"/>
  <c r="D28" i="70"/>
  <c r="B28" i="70"/>
  <c r="A28" i="70"/>
  <c r="N27" i="70"/>
  <c r="M27" i="70"/>
  <c r="K27" i="70"/>
  <c r="F27" i="70"/>
  <c r="D27" i="70"/>
  <c r="B27" i="70"/>
  <c r="A27" i="70"/>
  <c r="N26" i="70"/>
  <c r="M26" i="70"/>
  <c r="K26" i="70"/>
  <c r="F26" i="70"/>
  <c r="D26" i="70"/>
  <c r="B26" i="70"/>
  <c r="A26" i="70"/>
  <c r="N25" i="70"/>
  <c r="M25" i="70"/>
  <c r="K25" i="70"/>
  <c r="F25" i="70"/>
  <c r="D25" i="70"/>
  <c r="B25" i="70"/>
  <c r="A25" i="70"/>
  <c r="N24" i="70"/>
  <c r="M24" i="70"/>
  <c r="K24" i="70"/>
  <c r="F24" i="70"/>
  <c r="D24" i="70"/>
  <c r="B24" i="70"/>
  <c r="A24" i="70"/>
  <c r="N23" i="70"/>
  <c r="M23" i="70"/>
  <c r="K23" i="70"/>
  <c r="F23" i="70"/>
  <c r="D23" i="70"/>
  <c r="A23" i="70"/>
  <c r="N22" i="70"/>
  <c r="M22" i="70"/>
  <c r="K22" i="70"/>
  <c r="F22" i="70"/>
  <c r="D22" i="70"/>
  <c r="B22" i="70"/>
  <c r="A22" i="70"/>
  <c r="N21" i="70"/>
  <c r="M21" i="70"/>
  <c r="K21" i="70"/>
  <c r="F21" i="70"/>
  <c r="D21" i="70"/>
  <c r="B21" i="70"/>
  <c r="A21" i="70"/>
  <c r="N20" i="70"/>
  <c r="M20" i="70"/>
  <c r="K20" i="70"/>
  <c r="F20" i="70"/>
  <c r="D20" i="70"/>
  <c r="B20" i="70"/>
  <c r="A20" i="70"/>
  <c r="N19" i="70"/>
  <c r="M19" i="70"/>
  <c r="K19" i="70"/>
  <c r="F19" i="70"/>
  <c r="D19" i="70"/>
  <c r="B19" i="70"/>
  <c r="A19" i="70"/>
  <c r="N18" i="70"/>
  <c r="M18" i="70"/>
  <c r="K18" i="70"/>
  <c r="F18" i="70"/>
  <c r="D18" i="70"/>
  <c r="B18" i="70"/>
  <c r="A18" i="70"/>
  <c r="N17" i="70"/>
  <c r="M17" i="70"/>
  <c r="K17" i="70"/>
  <c r="F17" i="70"/>
  <c r="D17" i="70"/>
  <c r="B17" i="70"/>
  <c r="A17" i="70"/>
  <c r="N16" i="70"/>
  <c r="M16" i="70"/>
  <c r="K16" i="70"/>
  <c r="F16" i="70"/>
  <c r="D16" i="70"/>
  <c r="B16" i="70"/>
  <c r="A16" i="70"/>
  <c r="N15" i="70"/>
  <c r="M15" i="70"/>
  <c r="K15" i="70"/>
  <c r="F15" i="70"/>
  <c r="D15" i="70"/>
  <c r="B15" i="70"/>
  <c r="A15" i="70"/>
  <c r="N14" i="70"/>
  <c r="M14" i="70"/>
  <c r="K14" i="70"/>
  <c r="F14" i="70"/>
  <c r="D14" i="70"/>
  <c r="B14" i="70"/>
  <c r="A14" i="70"/>
  <c r="N13" i="70"/>
  <c r="M13" i="70"/>
  <c r="K13" i="70"/>
  <c r="F13" i="70"/>
  <c r="D13" i="70"/>
  <c r="B13" i="70"/>
  <c r="A13" i="70"/>
  <c r="N12" i="70"/>
  <c r="M12" i="70"/>
  <c r="K12" i="70"/>
  <c r="F12" i="70"/>
  <c r="D12" i="70"/>
  <c r="B12" i="70"/>
  <c r="A12" i="70"/>
  <c r="N11" i="70"/>
  <c r="M11" i="70"/>
  <c r="K11" i="70"/>
  <c r="F11" i="70"/>
  <c r="D11" i="70"/>
  <c r="B11" i="70"/>
  <c r="A11" i="70"/>
  <c r="N10" i="70"/>
  <c r="M10" i="70"/>
  <c r="K10" i="70"/>
  <c r="F10" i="70"/>
  <c r="D10" i="70"/>
  <c r="B10" i="70"/>
  <c r="A10" i="70"/>
  <c r="N9" i="70"/>
  <c r="M9" i="70"/>
  <c r="K9" i="70"/>
  <c r="F9" i="70"/>
  <c r="D9" i="70"/>
  <c r="B9" i="70"/>
  <c r="A9" i="70"/>
  <c r="N8" i="70"/>
  <c r="B4" i="70"/>
  <c r="M39" i="88"/>
  <c r="L39" i="88"/>
  <c r="K39" i="88"/>
  <c r="J39" i="88"/>
  <c r="I39" i="88"/>
  <c r="H39" i="88"/>
  <c r="G39" i="88"/>
  <c r="F39" i="88"/>
  <c r="E39" i="88"/>
  <c r="D39" i="88"/>
  <c r="C39" i="88"/>
  <c r="B39" i="88"/>
  <c r="N38" i="88"/>
  <c r="M38" i="88"/>
  <c r="K38" i="88"/>
  <c r="D38" i="88"/>
  <c r="B38" i="88"/>
  <c r="A38" i="88"/>
  <c r="N37" i="88"/>
  <c r="M37" i="88"/>
  <c r="K37" i="88"/>
  <c r="D37" i="88"/>
  <c r="B37" i="88"/>
  <c r="A37" i="88"/>
  <c r="N36" i="88"/>
  <c r="M36" i="88"/>
  <c r="K36" i="88"/>
  <c r="D36" i="88"/>
  <c r="B36" i="88"/>
  <c r="A36" i="88"/>
  <c r="N35" i="88"/>
  <c r="M35" i="88"/>
  <c r="K35" i="88"/>
  <c r="D35" i="88"/>
  <c r="B35" i="88"/>
  <c r="A35" i="88"/>
  <c r="N34" i="88"/>
  <c r="M34" i="88"/>
  <c r="K34" i="88"/>
  <c r="D34" i="88"/>
  <c r="B34" i="88"/>
  <c r="A34" i="88"/>
  <c r="N33" i="88"/>
  <c r="M33" i="88"/>
  <c r="K33" i="88"/>
  <c r="D33" i="88"/>
  <c r="B33" i="88"/>
  <c r="A33" i="88"/>
  <c r="N32" i="88"/>
  <c r="M32" i="88"/>
  <c r="K32" i="88"/>
  <c r="D32" i="88"/>
  <c r="B32" i="88"/>
  <c r="A32" i="88"/>
  <c r="N31" i="88"/>
  <c r="M31" i="88"/>
  <c r="K31" i="88"/>
  <c r="D31" i="88"/>
  <c r="B31" i="88"/>
  <c r="A31" i="88"/>
  <c r="N30" i="88"/>
  <c r="M30" i="88"/>
  <c r="K30" i="88"/>
  <c r="D30" i="88"/>
  <c r="B30" i="88"/>
  <c r="A30" i="88"/>
  <c r="N29" i="88"/>
  <c r="M29" i="88"/>
  <c r="K29" i="88"/>
  <c r="D29" i="88"/>
  <c r="B29" i="88"/>
  <c r="A29" i="88"/>
  <c r="N28" i="88"/>
  <c r="M28" i="88"/>
  <c r="K28" i="88"/>
  <c r="D28" i="88"/>
  <c r="B28" i="88"/>
  <c r="A28" i="88"/>
  <c r="N27" i="88"/>
  <c r="M27" i="88"/>
  <c r="K27" i="88"/>
  <c r="D27" i="88"/>
  <c r="B27" i="88"/>
  <c r="A27" i="88"/>
  <c r="N26" i="88"/>
  <c r="M26" i="88"/>
  <c r="K26" i="88"/>
  <c r="D26" i="88"/>
  <c r="B26" i="88"/>
  <c r="A26" i="88"/>
  <c r="N25" i="88"/>
  <c r="K25" i="88"/>
  <c r="D25" i="88"/>
  <c r="B25" i="88"/>
  <c r="A25" i="88"/>
  <c r="N24" i="88"/>
  <c r="M24" i="88"/>
  <c r="K24" i="88"/>
  <c r="D24" i="88"/>
  <c r="B24" i="88"/>
  <c r="A24" i="88"/>
  <c r="N23" i="88"/>
  <c r="M23" i="88"/>
  <c r="K23" i="88"/>
  <c r="D23" i="88"/>
  <c r="B23" i="88"/>
  <c r="A23" i="88"/>
  <c r="N22" i="88"/>
  <c r="M22" i="88"/>
  <c r="K22" i="88"/>
  <c r="D22" i="88"/>
  <c r="B22" i="88"/>
  <c r="A22" i="88"/>
  <c r="N21" i="88"/>
  <c r="M21" i="88"/>
  <c r="K21" i="88"/>
  <c r="D21" i="88"/>
  <c r="B21" i="88"/>
  <c r="A21" i="88"/>
  <c r="N20" i="88"/>
  <c r="M20" i="88"/>
  <c r="K20" i="88"/>
  <c r="D20" i="88"/>
  <c r="B20" i="88"/>
  <c r="A20" i="88"/>
  <c r="N19" i="88"/>
  <c r="M19" i="88"/>
  <c r="K19" i="88"/>
  <c r="D19" i="88"/>
  <c r="B19" i="88"/>
  <c r="A19" i="88"/>
  <c r="N18" i="88"/>
  <c r="M18" i="88"/>
  <c r="K18" i="88"/>
  <c r="D18" i="88"/>
  <c r="B18" i="88"/>
  <c r="A18" i="88"/>
  <c r="N17" i="88"/>
  <c r="M17" i="88"/>
  <c r="K17" i="88"/>
  <c r="D17" i="88"/>
  <c r="B17" i="88"/>
  <c r="A17" i="88"/>
  <c r="N16" i="88"/>
  <c r="M16" i="88"/>
  <c r="K16" i="88"/>
  <c r="D16" i="88"/>
  <c r="B16" i="88"/>
  <c r="A16" i="88"/>
  <c r="N15" i="88"/>
  <c r="M15" i="88"/>
  <c r="K15" i="88"/>
  <c r="D15" i="88"/>
  <c r="B15" i="88"/>
  <c r="A15" i="88"/>
  <c r="N14" i="88"/>
  <c r="M14" i="88"/>
  <c r="K14" i="88"/>
  <c r="D14" i="88"/>
  <c r="B14" i="88"/>
  <c r="A14" i="88"/>
  <c r="N13" i="88"/>
  <c r="M13" i="88"/>
  <c r="K13" i="88"/>
  <c r="D13" i="88"/>
  <c r="B13" i="88"/>
  <c r="A13" i="88"/>
  <c r="N12" i="88"/>
  <c r="M12" i="88"/>
  <c r="K12" i="88"/>
  <c r="D12" i="88"/>
  <c r="B12" i="88"/>
  <c r="A12" i="88"/>
  <c r="N11" i="88"/>
  <c r="M11" i="88"/>
  <c r="K11" i="88"/>
  <c r="D11" i="88"/>
  <c r="B11" i="88"/>
  <c r="A11" i="88"/>
  <c r="N10" i="88"/>
  <c r="M10" i="88"/>
  <c r="K10" i="88"/>
  <c r="D10" i="88"/>
  <c r="B10" i="88"/>
  <c r="A10" i="88"/>
  <c r="N9" i="88"/>
  <c r="M9" i="88"/>
  <c r="K9" i="88"/>
  <c r="D9" i="88"/>
  <c r="B9" i="88"/>
  <c r="A9" i="88"/>
  <c r="N8" i="88"/>
  <c r="M8" i="88"/>
  <c r="K8" i="88"/>
  <c r="D8" i="88"/>
  <c r="B8" i="88"/>
  <c r="A8" i="88"/>
  <c r="N7" i="88"/>
  <c r="D41" i="85"/>
  <c r="N39" i="85"/>
  <c r="M39" i="85"/>
  <c r="K39" i="85"/>
  <c r="J39" i="85"/>
  <c r="I39" i="85"/>
  <c r="H39" i="85"/>
  <c r="G39" i="85"/>
  <c r="F39" i="85"/>
  <c r="E39" i="85"/>
  <c r="D39" i="85"/>
  <c r="C39" i="85"/>
  <c r="B39" i="85"/>
  <c r="O38" i="85"/>
  <c r="N38" i="85"/>
  <c r="K38" i="85"/>
  <c r="D38" i="85"/>
  <c r="B38" i="85"/>
  <c r="A38" i="85"/>
  <c r="O37" i="85"/>
  <c r="N37" i="85"/>
  <c r="K37" i="85"/>
  <c r="D37" i="85"/>
  <c r="B37" i="85"/>
  <c r="A37" i="85"/>
  <c r="O36" i="85"/>
  <c r="N36" i="85"/>
  <c r="K36" i="85"/>
  <c r="D36" i="85"/>
  <c r="B36" i="85"/>
  <c r="A36" i="85"/>
  <c r="O35" i="85"/>
  <c r="N35" i="85"/>
  <c r="K35" i="85"/>
  <c r="D35" i="85"/>
  <c r="B35" i="85"/>
  <c r="A35" i="85"/>
  <c r="O34" i="85"/>
  <c r="N34" i="85"/>
  <c r="K34" i="85"/>
  <c r="D34" i="85"/>
  <c r="B34" i="85"/>
  <c r="A34" i="85"/>
  <c r="O33" i="85"/>
  <c r="N33" i="85"/>
  <c r="K33" i="85"/>
  <c r="D33" i="85"/>
  <c r="B33" i="85"/>
  <c r="A33" i="85"/>
  <c r="O32" i="85"/>
  <c r="N32" i="85"/>
  <c r="K32" i="85"/>
  <c r="D32" i="85"/>
  <c r="B32" i="85"/>
  <c r="A32" i="85"/>
  <c r="O31" i="85"/>
  <c r="N31" i="85"/>
  <c r="K31" i="85"/>
  <c r="D31" i="85"/>
  <c r="B31" i="85"/>
  <c r="A31" i="85"/>
  <c r="O30" i="85"/>
  <c r="N30" i="85"/>
  <c r="K30" i="85"/>
  <c r="D30" i="85"/>
  <c r="B30" i="85"/>
  <c r="A30" i="85"/>
  <c r="O29" i="85"/>
  <c r="N29" i="85"/>
  <c r="K29" i="85"/>
  <c r="D29" i="85"/>
  <c r="B29" i="85"/>
  <c r="A29" i="85"/>
  <c r="O28" i="85"/>
  <c r="N28" i="85"/>
  <c r="K28" i="85"/>
  <c r="D28" i="85"/>
  <c r="B28" i="85"/>
  <c r="A28" i="85"/>
  <c r="O27" i="85"/>
  <c r="N27" i="85"/>
  <c r="K27" i="85"/>
  <c r="D27" i="85"/>
  <c r="B27" i="85"/>
  <c r="A27" i="85"/>
  <c r="O26" i="85"/>
  <c r="N26" i="85"/>
  <c r="K26" i="85"/>
  <c r="D26" i="85"/>
  <c r="B26" i="85"/>
  <c r="A26" i="85"/>
  <c r="O25" i="85"/>
  <c r="N25" i="85"/>
  <c r="K25" i="85"/>
  <c r="D25" i="85"/>
  <c r="B25" i="85"/>
  <c r="A25" i="85"/>
  <c r="O24" i="85"/>
  <c r="N24" i="85"/>
  <c r="K24" i="85"/>
  <c r="D24" i="85"/>
  <c r="B24" i="85"/>
  <c r="A24" i="85"/>
  <c r="O23" i="85"/>
  <c r="N23" i="85"/>
  <c r="K23" i="85"/>
  <c r="D23" i="85"/>
  <c r="B23" i="85"/>
  <c r="A23" i="85"/>
  <c r="O22" i="85"/>
  <c r="N22" i="85"/>
  <c r="K22" i="85"/>
  <c r="D22" i="85"/>
  <c r="B22" i="85"/>
  <c r="A22" i="85"/>
  <c r="O21" i="85"/>
  <c r="N21" i="85"/>
  <c r="K21" i="85"/>
  <c r="D21" i="85"/>
  <c r="B21" i="85"/>
  <c r="A21" i="85"/>
  <c r="O20" i="85"/>
  <c r="N20" i="85"/>
  <c r="K20" i="85"/>
  <c r="D20" i="85"/>
  <c r="B20" i="85"/>
  <c r="A20" i="85"/>
  <c r="O19" i="85"/>
  <c r="N19" i="85"/>
  <c r="K19" i="85"/>
  <c r="D19" i="85"/>
  <c r="B19" i="85"/>
  <c r="A19" i="85"/>
  <c r="O18" i="85"/>
  <c r="N18" i="85"/>
  <c r="K18" i="85"/>
  <c r="D18" i="85"/>
  <c r="B18" i="85"/>
  <c r="A18" i="85"/>
  <c r="O17" i="85"/>
  <c r="N17" i="85"/>
  <c r="K17" i="85"/>
  <c r="D17" i="85"/>
  <c r="B17" i="85"/>
  <c r="A17" i="85"/>
  <c r="O16" i="85"/>
  <c r="N16" i="85"/>
  <c r="K16" i="85"/>
  <c r="D16" i="85"/>
  <c r="B16" i="85"/>
  <c r="A16" i="85"/>
  <c r="O15" i="85"/>
  <c r="N15" i="85"/>
  <c r="K15" i="85"/>
  <c r="D15" i="85"/>
  <c r="B15" i="85"/>
  <c r="A15" i="85"/>
  <c r="O14" i="85"/>
  <c r="N14" i="85"/>
  <c r="K14" i="85"/>
  <c r="D14" i="85"/>
  <c r="B14" i="85"/>
  <c r="A14" i="85"/>
  <c r="O13" i="85"/>
  <c r="N13" i="85"/>
  <c r="K13" i="85"/>
  <c r="D13" i="85"/>
  <c r="B13" i="85"/>
  <c r="A13" i="85"/>
  <c r="O12" i="85"/>
  <c r="N12" i="85"/>
  <c r="K12" i="85"/>
  <c r="D12" i="85"/>
  <c r="B12" i="85"/>
  <c r="A12" i="85"/>
  <c r="O11" i="85"/>
  <c r="N11" i="85"/>
  <c r="K11" i="85"/>
  <c r="D11" i="85"/>
  <c r="B11" i="85"/>
  <c r="A11" i="85"/>
  <c r="O10" i="85"/>
  <c r="N10" i="85"/>
  <c r="K10" i="85"/>
  <c r="D10" i="85"/>
  <c r="B10" i="85"/>
  <c r="A10" i="85"/>
  <c r="O9" i="85"/>
  <c r="N9" i="85"/>
  <c r="K9" i="85"/>
  <c r="D9" i="85"/>
  <c r="B9" i="85"/>
  <c r="A9" i="85"/>
  <c r="O8" i="85"/>
  <c r="N8" i="85"/>
  <c r="K8" i="85"/>
  <c r="D8" i="85"/>
  <c r="A8" i="85"/>
  <c r="O7" i="85"/>
  <c r="K7" i="85"/>
  <c r="D7" i="85"/>
  <c r="B7" i="85"/>
  <c r="C3" i="85"/>
  <c r="N40" i="185"/>
  <c r="M40" i="185"/>
  <c r="K40" i="185"/>
  <c r="J40" i="185"/>
  <c r="I40" i="185"/>
  <c r="H40" i="185"/>
  <c r="G40" i="185"/>
  <c r="F40" i="185"/>
  <c r="E40" i="185"/>
  <c r="D40" i="185"/>
  <c r="C40" i="185"/>
  <c r="B40" i="185"/>
  <c r="O39" i="185"/>
  <c r="N39" i="185"/>
  <c r="K39" i="185"/>
  <c r="F39" i="185"/>
  <c r="D39" i="185"/>
  <c r="B39" i="185"/>
  <c r="A39" i="185"/>
  <c r="O38" i="185"/>
  <c r="N38" i="185"/>
  <c r="K38" i="185"/>
  <c r="F38" i="185"/>
  <c r="D38" i="185"/>
  <c r="B38" i="185"/>
  <c r="A38" i="185"/>
  <c r="O37" i="185"/>
  <c r="N37" i="185"/>
  <c r="K37" i="185"/>
  <c r="F37" i="185"/>
  <c r="D37" i="185"/>
  <c r="B37" i="185"/>
  <c r="A37" i="185"/>
  <c r="O36" i="185"/>
  <c r="N36" i="185"/>
  <c r="K36" i="185"/>
  <c r="F36" i="185"/>
  <c r="D36" i="185"/>
  <c r="B36" i="185"/>
  <c r="A36" i="185"/>
  <c r="O35" i="185"/>
  <c r="N35" i="185"/>
  <c r="K35" i="185"/>
  <c r="F35" i="185"/>
  <c r="D35" i="185"/>
  <c r="B35" i="185"/>
  <c r="A35" i="185"/>
  <c r="O34" i="185"/>
  <c r="N34" i="185"/>
  <c r="K34" i="185"/>
  <c r="F34" i="185"/>
  <c r="D34" i="185"/>
  <c r="B34" i="185"/>
  <c r="A34" i="185"/>
  <c r="O33" i="185"/>
  <c r="N33" i="185"/>
  <c r="K33" i="185"/>
  <c r="F33" i="185"/>
  <c r="D33" i="185"/>
  <c r="B33" i="185"/>
  <c r="A33" i="185"/>
  <c r="O32" i="185"/>
  <c r="N32" i="185"/>
  <c r="K32" i="185"/>
  <c r="F32" i="185"/>
  <c r="D32" i="185"/>
  <c r="B32" i="185"/>
  <c r="A32" i="185"/>
  <c r="O31" i="185"/>
  <c r="N31" i="185"/>
  <c r="K31" i="185"/>
  <c r="F31" i="185"/>
  <c r="D31" i="185"/>
  <c r="B31" i="185"/>
  <c r="A31" i="185"/>
  <c r="O30" i="185"/>
  <c r="N30" i="185"/>
  <c r="K30" i="185"/>
  <c r="F30" i="185"/>
  <c r="D30" i="185"/>
  <c r="B30" i="185"/>
  <c r="A30" i="185"/>
  <c r="O29" i="185"/>
  <c r="N29" i="185"/>
  <c r="K29" i="185"/>
  <c r="F29" i="185"/>
  <c r="D29" i="185"/>
  <c r="B29" i="185"/>
  <c r="A29" i="185"/>
  <c r="O28" i="185"/>
  <c r="N28" i="185"/>
  <c r="K28" i="185"/>
  <c r="F28" i="185"/>
  <c r="D28" i="185"/>
  <c r="B28" i="185"/>
  <c r="A28" i="185"/>
  <c r="O27" i="185"/>
  <c r="N27" i="185"/>
  <c r="K27" i="185"/>
  <c r="F27" i="185"/>
  <c r="D27" i="185"/>
  <c r="B27" i="185"/>
  <c r="A27" i="185"/>
  <c r="O26" i="185"/>
  <c r="N26" i="185"/>
  <c r="K26" i="185"/>
  <c r="F26" i="185"/>
  <c r="D26" i="185"/>
  <c r="B26" i="185"/>
  <c r="A26" i="185"/>
  <c r="O25" i="185"/>
  <c r="N25" i="185"/>
  <c r="K25" i="185"/>
  <c r="F25" i="185"/>
  <c r="D25" i="185"/>
  <c r="B25" i="185"/>
  <c r="A25" i="185"/>
  <c r="O24" i="185"/>
  <c r="N24" i="185"/>
  <c r="K24" i="185"/>
  <c r="F24" i="185"/>
  <c r="D24" i="185"/>
  <c r="B24" i="185"/>
  <c r="A24" i="185"/>
  <c r="O23" i="185"/>
  <c r="N23" i="185"/>
  <c r="K23" i="185"/>
  <c r="F23" i="185"/>
  <c r="D23" i="185"/>
  <c r="B23" i="185"/>
  <c r="A23" i="185"/>
  <c r="O22" i="185"/>
  <c r="N22" i="185"/>
  <c r="K22" i="185"/>
  <c r="F22" i="185"/>
  <c r="D22" i="185"/>
  <c r="B22" i="185"/>
  <c r="A22" i="185"/>
  <c r="O21" i="185"/>
  <c r="N21" i="185"/>
  <c r="K21" i="185"/>
  <c r="F21" i="185"/>
  <c r="D21" i="185"/>
  <c r="B21" i="185"/>
  <c r="A21" i="185"/>
  <c r="O20" i="185"/>
  <c r="N20" i="185"/>
  <c r="K20" i="185"/>
  <c r="F20" i="185"/>
  <c r="D20" i="185"/>
  <c r="B20" i="185"/>
  <c r="A20" i="185"/>
  <c r="O19" i="185"/>
  <c r="N19" i="185"/>
  <c r="K19" i="185"/>
  <c r="F19" i="185"/>
  <c r="D19" i="185"/>
  <c r="B19" i="185"/>
  <c r="A19" i="185"/>
  <c r="O18" i="185"/>
  <c r="N18" i="185"/>
  <c r="K18" i="185"/>
  <c r="F18" i="185"/>
  <c r="D18" i="185"/>
  <c r="B18" i="185"/>
  <c r="A18" i="185"/>
  <c r="O17" i="185"/>
  <c r="N17" i="185"/>
  <c r="K17" i="185"/>
  <c r="F17" i="185"/>
  <c r="D17" i="185"/>
  <c r="B17" i="185"/>
  <c r="A17" i="185"/>
  <c r="O16" i="185"/>
  <c r="N16" i="185"/>
  <c r="K16" i="185"/>
  <c r="F16" i="185"/>
  <c r="D16" i="185"/>
  <c r="B16" i="185"/>
  <c r="A16" i="185"/>
  <c r="O15" i="185"/>
  <c r="N15" i="185"/>
  <c r="K15" i="185"/>
  <c r="F15" i="185"/>
  <c r="D15" i="185"/>
  <c r="B15" i="185"/>
  <c r="A15" i="185"/>
  <c r="O14" i="185"/>
  <c r="N14" i="185"/>
  <c r="K14" i="185"/>
  <c r="F14" i="185"/>
  <c r="D14" i="185"/>
  <c r="B14" i="185"/>
  <c r="A14" i="185"/>
  <c r="O13" i="185"/>
  <c r="N13" i="185"/>
  <c r="K13" i="185"/>
  <c r="F13" i="185"/>
  <c r="D13" i="185"/>
  <c r="B13" i="185"/>
  <c r="A13" i="185"/>
  <c r="O12" i="185"/>
  <c r="N12" i="185"/>
  <c r="K12" i="185"/>
  <c r="F12" i="185"/>
  <c r="D12" i="185"/>
  <c r="B12" i="185"/>
  <c r="A12" i="185"/>
  <c r="O11" i="185"/>
  <c r="N11" i="185"/>
  <c r="K11" i="185"/>
  <c r="F11" i="185"/>
  <c r="D11" i="185"/>
  <c r="B11" i="185"/>
  <c r="A11" i="185"/>
  <c r="O10" i="185"/>
  <c r="N10" i="185"/>
  <c r="K10" i="185"/>
  <c r="F10" i="185"/>
  <c r="D10" i="185"/>
  <c r="B10" i="185"/>
  <c r="A10" i="185"/>
  <c r="O9" i="185"/>
  <c r="N9" i="185"/>
  <c r="K9" i="185"/>
  <c r="F9" i="185"/>
  <c r="D9" i="185"/>
  <c r="B9" i="185"/>
  <c r="A9" i="185"/>
  <c r="O8" i="185"/>
  <c r="H4" i="185"/>
  <c r="B4" i="185"/>
  <c r="M39" i="219"/>
  <c r="L39" i="219"/>
  <c r="K39" i="219"/>
  <c r="J39" i="219"/>
  <c r="I39" i="219"/>
  <c r="H39" i="219"/>
  <c r="G39" i="219"/>
  <c r="F39" i="219"/>
  <c r="E39" i="219"/>
  <c r="D39" i="219"/>
  <c r="C39" i="219"/>
  <c r="B39" i="219"/>
  <c r="N38" i="219"/>
  <c r="M38" i="219"/>
  <c r="K38" i="219"/>
  <c r="D38" i="219"/>
  <c r="B38" i="219"/>
  <c r="A38" i="219"/>
  <c r="N37" i="219"/>
  <c r="M37" i="219"/>
  <c r="K37" i="219"/>
  <c r="D37" i="219"/>
  <c r="B37" i="219"/>
  <c r="A37" i="219"/>
  <c r="N36" i="219"/>
  <c r="M36" i="219"/>
  <c r="K36" i="219"/>
  <c r="D36" i="219"/>
  <c r="B36" i="219"/>
  <c r="A36" i="219"/>
  <c r="N35" i="219"/>
  <c r="M35" i="219"/>
  <c r="K35" i="219"/>
  <c r="D35" i="219"/>
  <c r="B35" i="219"/>
  <c r="A35" i="219"/>
  <c r="N34" i="219"/>
  <c r="M34" i="219"/>
  <c r="K34" i="219"/>
  <c r="D34" i="219"/>
  <c r="B34" i="219"/>
  <c r="A34" i="219"/>
  <c r="N33" i="219"/>
  <c r="M33" i="219"/>
  <c r="K33" i="219"/>
  <c r="D33" i="219"/>
  <c r="B33" i="219"/>
  <c r="A33" i="219"/>
  <c r="N32" i="219"/>
  <c r="M32" i="219"/>
  <c r="K32" i="219"/>
  <c r="D32" i="219"/>
  <c r="B32" i="219"/>
  <c r="A32" i="219"/>
  <c r="N31" i="219"/>
  <c r="M31" i="219"/>
  <c r="K31" i="219"/>
  <c r="D31" i="219"/>
  <c r="B31" i="219"/>
  <c r="A31" i="219"/>
  <c r="N30" i="219"/>
  <c r="M30" i="219"/>
  <c r="K30" i="219"/>
  <c r="D30" i="219"/>
  <c r="B30" i="219"/>
  <c r="A30" i="219"/>
  <c r="N29" i="219"/>
  <c r="M29" i="219"/>
  <c r="K29" i="219"/>
  <c r="D29" i="219"/>
  <c r="B29" i="219"/>
  <c r="A29" i="219"/>
  <c r="N28" i="219"/>
  <c r="M28" i="219"/>
  <c r="K28" i="219"/>
  <c r="D28" i="219"/>
  <c r="B28" i="219"/>
  <c r="A28" i="219"/>
  <c r="N27" i="219"/>
  <c r="M27" i="219"/>
  <c r="K27" i="219"/>
  <c r="D27" i="219"/>
  <c r="B27" i="219"/>
  <c r="A27" i="219"/>
  <c r="N26" i="219"/>
  <c r="M26" i="219"/>
  <c r="K26" i="219"/>
  <c r="D26" i="219"/>
  <c r="B26" i="219"/>
  <c r="A26" i="219"/>
  <c r="N25" i="219"/>
  <c r="M25" i="219"/>
  <c r="K25" i="219"/>
  <c r="D25" i="219"/>
  <c r="B25" i="219"/>
  <c r="A25" i="219"/>
  <c r="N24" i="219"/>
  <c r="M24" i="219"/>
  <c r="K24" i="219"/>
  <c r="D24" i="219"/>
  <c r="B24" i="219"/>
  <c r="A24" i="219"/>
  <c r="N23" i="219"/>
  <c r="M23" i="219"/>
  <c r="K23" i="219"/>
  <c r="D23" i="219"/>
  <c r="B23" i="219"/>
  <c r="A23" i="219"/>
  <c r="N22" i="219"/>
  <c r="M22" i="219"/>
  <c r="K22" i="219"/>
  <c r="D22" i="219"/>
  <c r="B22" i="219"/>
  <c r="A22" i="219"/>
  <c r="N21" i="219"/>
  <c r="M21" i="219"/>
  <c r="K21" i="219"/>
  <c r="D21" i="219"/>
  <c r="B21" i="219"/>
  <c r="A21" i="219"/>
  <c r="N20" i="219"/>
  <c r="M20" i="219"/>
  <c r="K20" i="219"/>
  <c r="D20" i="219"/>
  <c r="B20" i="219"/>
  <c r="A20" i="219"/>
  <c r="N19" i="219"/>
  <c r="M19" i="219"/>
  <c r="K19" i="219"/>
  <c r="D19" i="219"/>
  <c r="B19" i="219"/>
  <c r="A19" i="219"/>
  <c r="N18" i="219"/>
  <c r="M18" i="219"/>
  <c r="K18" i="219"/>
  <c r="D18" i="219"/>
  <c r="B18" i="219"/>
  <c r="A18" i="219"/>
  <c r="N17" i="219"/>
  <c r="M17" i="219"/>
  <c r="K17" i="219"/>
  <c r="D17" i="219"/>
  <c r="B17" i="219"/>
  <c r="A17" i="219"/>
  <c r="N16" i="219"/>
  <c r="M16" i="219"/>
  <c r="K16" i="219"/>
  <c r="D16" i="219"/>
  <c r="B16" i="219"/>
  <c r="A16" i="219"/>
  <c r="N15" i="219"/>
  <c r="M15" i="219"/>
  <c r="K15" i="219"/>
  <c r="D15" i="219"/>
  <c r="B15" i="219"/>
  <c r="A15" i="219"/>
  <c r="N14" i="219"/>
  <c r="M14" i="219"/>
  <c r="K14" i="219"/>
  <c r="D14" i="219"/>
  <c r="B14" i="219"/>
  <c r="A14" i="219"/>
  <c r="N13" i="219"/>
  <c r="M13" i="219"/>
  <c r="K13" i="219"/>
  <c r="D13" i="219"/>
  <c r="B13" i="219"/>
  <c r="A13" i="219"/>
  <c r="N12" i="219"/>
  <c r="M12" i="219"/>
  <c r="K12" i="219"/>
  <c r="D12" i="219"/>
  <c r="B12" i="219"/>
  <c r="A12" i="219"/>
  <c r="N11" i="219"/>
  <c r="M11" i="219"/>
  <c r="K11" i="219"/>
  <c r="D11" i="219"/>
  <c r="B11" i="219"/>
  <c r="A11" i="219"/>
  <c r="N10" i="219"/>
  <c r="M10" i="219"/>
  <c r="K10" i="219"/>
  <c r="D10" i="219"/>
  <c r="B10" i="219"/>
  <c r="A10" i="219"/>
  <c r="N9" i="219"/>
  <c r="M9" i="219"/>
  <c r="K9" i="219"/>
  <c r="D9" i="219"/>
  <c r="B9" i="219"/>
  <c r="A9" i="219"/>
  <c r="N8" i="219"/>
  <c r="M8" i="219"/>
  <c r="K8" i="219"/>
  <c r="D8" i="219"/>
  <c r="B8" i="219"/>
  <c r="A8" i="219"/>
  <c r="N7" i="219"/>
  <c r="B3" i="219"/>
  <c r="E50" i="199"/>
  <c r="D44" i="199"/>
  <c r="O43" i="199"/>
  <c r="D43" i="199"/>
  <c r="N41" i="199"/>
  <c r="M41" i="199"/>
  <c r="K41" i="199"/>
  <c r="J41" i="199"/>
  <c r="I41" i="199"/>
  <c r="H41" i="199"/>
  <c r="G41" i="199"/>
  <c r="F41" i="199"/>
  <c r="E41" i="199"/>
  <c r="D41" i="199"/>
  <c r="C41" i="199"/>
  <c r="B41" i="199"/>
  <c r="K40" i="199"/>
  <c r="F40" i="199"/>
  <c r="D40" i="199"/>
  <c r="A40" i="199"/>
  <c r="O39" i="199"/>
  <c r="N39" i="199"/>
  <c r="K39" i="199"/>
  <c r="F39" i="199"/>
  <c r="D39" i="199"/>
  <c r="B39" i="199"/>
  <c r="A39" i="199"/>
  <c r="O38" i="199"/>
  <c r="N38" i="199"/>
  <c r="K38" i="199"/>
  <c r="F38" i="199"/>
  <c r="D38" i="199"/>
  <c r="B38" i="199"/>
  <c r="A38" i="199"/>
  <c r="O37" i="199"/>
  <c r="N37" i="199"/>
  <c r="K37" i="199"/>
  <c r="F37" i="199"/>
  <c r="D37" i="199"/>
  <c r="B37" i="199"/>
  <c r="A37" i="199"/>
  <c r="O36" i="199"/>
  <c r="N36" i="199"/>
  <c r="K36" i="199"/>
  <c r="F36" i="199"/>
  <c r="D36" i="199"/>
  <c r="B36" i="199"/>
  <c r="A36" i="199"/>
  <c r="O35" i="199"/>
  <c r="N35" i="199"/>
  <c r="K35" i="199"/>
  <c r="F35" i="199"/>
  <c r="D35" i="199"/>
  <c r="B35" i="199"/>
  <c r="A35" i="199"/>
  <c r="O34" i="199"/>
  <c r="N34" i="199"/>
  <c r="K34" i="199"/>
  <c r="F34" i="199"/>
  <c r="D34" i="199"/>
  <c r="B34" i="199"/>
  <c r="A34" i="199"/>
  <c r="O33" i="199"/>
  <c r="N33" i="199"/>
  <c r="K33" i="199"/>
  <c r="F33" i="199"/>
  <c r="D33" i="199"/>
  <c r="B33" i="199"/>
  <c r="A33" i="199"/>
  <c r="P32" i="199"/>
  <c r="O32" i="199"/>
  <c r="N32" i="199"/>
  <c r="K32" i="199"/>
  <c r="F32" i="199"/>
  <c r="D32" i="199"/>
  <c r="B32" i="199"/>
  <c r="A32" i="199"/>
  <c r="O31" i="199"/>
  <c r="N31" i="199"/>
  <c r="K31" i="199"/>
  <c r="F31" i="199"/>
  <c r="D31" i="199"/>
  <c r="B31" i="199"/>
  <c r="A31" i="199"/>
  <c r="O30" i="199"/>
  <c r="N30" i="199"/>
  <c r="K30" i="199"/>
  <c r="F30" i="199"/>
  <c r="D30" i="199"/>
  <c r="B30" i="199"/>
  <c r="A30" i="199"/>
  <c r="O29" i="199"/>
  <c r="N29" i="199"/>
  <c r="K29" i="199"/>
  <c r="F29" i="199"/>
  <c r="D29" i="199"/>
  <c r="B29" i="199"/>
  <c r="A29" i="199"/>
  <c r="O28" i="199"/>
  <c r="N28" i="199"/>
  <c r="K28" i="199"/>
  <c r="F28" i="199"/>
  <c r="D28" i="199"/>
  <c r="B28" i="199"/>
  <c r="A28" i="199"/>
  <c r="O27" i="199"/>
  <c r="N27" i="199"/>
  <c r="K27" i="199"/>
  <c r="F27" i="199"/>
  <c r="D27" i="199"/>
  <c r="B27" i="199"/>
  <c r="A27" i="199"/>
  <c r="O26" i="199"/>
  <c r="N26" i="199"/>
  <c r="K26" i="199"/>
  <c r="F26" i="199"/>
  <c r="D26" i="199"/>
  <c r="B26" i="199"/>
  <c r="A26" i="199"/>
  <c r="O25" i="199"/>
  <c r="N25" i="199"/>
  <c r="K25" i="199"/>
  <c r="F25" i="199"/>
  <c r="D25" i="199"/>
  <c r="B25" i="199"/>
  <c r="A25" i="199"/>
  <c r="O24" i="199"/>
  <c r="N24" i="199"/>
  <c r="K24" i="199"/>
  <c r="F24" i="199"/>
  <c r="D24" i="199"/>
  <c r="B24" i="199"/>
  <c r="A24" i="199"/>
  <c r="O23" i="199"/>
  <c r="N23" i="199"/>
  <c r="K23" i="199"/>
  <c r="F23" i="199"/>
  <c r="D23" i="199"/>
  <c r="B23" i="199"/>
  <c r="A23" i="199"/>
  <c r="O22" i="199"/>
  <c r="N22" i="199"/>
  <c r="K22" i="199"/>
  <c r="F22" i="199"/>
  <c r="D22" i="199"/>
  <c r="B22" i="199"/>
  <c r="A22" i="199"/>
  <c r="O21" i="199"/>
  <c r="N21" i="199"/>
  <c r="K21" i="199"/>
  <c r="F21" i="199"/>
  <c r="D21" i="199"/>
  <c r="B21" i="199"/>
  <c r="A21" i="199"/>
  <c r="O20" i="199"/>
  <c r="N20" i="199"/>
  <c r="K20" i="199"/>
  <c r="F20" i="199"/>
  <c r="D20" i="199"/>
  <c r="B20" i="199"/>
  <c r="A20" i="199"/>
  <c r="O19" i="199"/>
  <c r="N19" i="199"/>
  <c r="K19" i="199"/>
  <c r="F19" i="199"/>
  <c r="D19" i="199"/>
  <c r="B19" i="199"/>
  <c r="A19" i="199"/>
  <c r="O18" i="199"/>
  <c r="N18" i="199"/>
  <c r="K18" i="199"/>
  <c r="F18" i="199"/>
  <c r="D18" i="199"/>
  <c r="B18" i="199"/>
  <c r="A18" i="199"/>
  <c r="O17" i="199"/>
  <c r="N17" i="199"/>
  <c r="K17" i="199"/>
  <c r="F17" i="199"/>
  <c r="D17" i="199"/>
  <c r="B17" i="199"/>
  <c r="A17" i="199"/>
  <c r="O16" i="199"/>
  <c r="N16" i="199"/>
  <c r="K16" i="199"/>
  <c r="F16" i="199"/>
  <c r="D16" i="199"/>
  <c r="B16" i="199"/>
  <c r="A16" i="199"/>
  <c r="O15" i="199"/>
  <c r="N15" i="199"/>
  <c r="K15" i="199"/>
  <c r="F15" i="199"/>
  <c r="D15" i="199"/>
  <c r="B15" i="199"/>
  <c r="A15" i="199"/>
  <c r="O14" i="199"/>
  <c r="N14" i="199"/>
  <c r="K14" i="199"/>
  <c r="F14" i="199"/>
  <c r="D14" i="199"/>
  <c r="B14" i="199"/>
  <c r="A14" i="199"/>
  <c r="O13" i="199"/>
  <c r="N13" i="199"/>
  <c r="K13" i="199"/>
  <c r="F13" i="199"/>
  <c r="D13" i="199"/>
  <c r="B13" i="199"/>
  <c r="A13" i="199"/>
  <c r="O12" i="199"/>
  <c r="N12" i="199"/>
  <c r="K12" i="199"/>
  <c r="F12" i="199"/>
  <c r="D12" i="199"/>
  <c r="B12" i="199"/>
  <c r="A12" i="199"/>
  <c r="O11" i="199"/>
  <c r="N11" i="199"/>
  <c r="K11" i="199"/>
  <c r="F11" i="199"/>
  <c r="D11" i="199"/>
  <c r="B11" i="199"/>
  <c r="A11" i="199"/>
  <c r="O10" i="199"/>
  <c r="N10" i="199"/>
  <c r="K10" i="199"/>
  <c r="F10" i="199"/>
  <c r="D10" i="199"/>
  <c r="B10" i="199"/>
  <c r="A10" i="199"/>
  <c r="O9" i="199"/>
  <c r="N9" i="199"/>
  <c r="K9" i="199"/>
  <c r="F9" i="199"/>
  <c r="D9" i="199"/>
  <c r="B9" i="199"/>
  <c r="A9" i="199"/>
  <c r="O8" i="199"/>
  <c r="N5" i="199"/>
  <c r="B4" i="199"/>
  <c r="N41" i="198"/>
  <c r="M41" i="198"/>
  <c r="K41" i="198"/>
  <c r="J41" i="198"/>
  <c r="I41" i="198"/>
  <c r="H41" i="198"/>
  <c r="G41" i="198"/>
  <c r="F41" i="198"/>
  <c r="E41" i="198"/>
  <c r="D41" i="198"/>
  <c r="C41" i="198"/>
  <c r="B41" i="198"/>
  <c r="O40" i="198"/>
  <c r="N40" i="198"/>
  <c r="K40" i="198"/>
  <c r="D40" i="198"/>
  <c r="A40" i="198"/>
  <c r="O39" i="198"/>
  <c r="N39" i="198"/>
  <c r="K39" i="198"/>
  <c r="F39" i="198"/>
  <c r="D39" i="198"/>
  <c r="B39" i="198"/>
  <c r="A39" i="198"/>
  <c r="O38" i="198"/>
  <c r="N38" i="198"/>
  <c r="K38" i="198"/>
  <c r="F38" i="198"/>
  <c r="D38" i="198"/>
  <c r="B38" i="198"/>
  <c r="A38" i="198"/>
  <c r="O37" i="198"/>
  <c r="N37" i="198"/>
  <c r="K37" i="198"/>
  <c r="F37" i="198"/>
  <c r="D37" i="198"/>
  <c r="B37" i="198"/>
  <c r="A37" i="198"/>
  <c r="O36" i="198"/>
  <c r="N36" i="198"/>
  <c r="K36" i="198"/>
  <c r="F36" i="198"/>
  <c r="D36" i="198"/>
  <c r="B36" i="198"/>
  <c r="A36" i="198"/>
  <c r="O35" i="198"/>
  <c r="N35" i="198"/>
  <c r="K35" i="198"/>
  <c r="F35" i="198"/>
  <c r="D35" i="198"/>
  <c r="B35" i="198"/>
  <c r="A35" i="198"/>
  <c r="O34" i="198"/>
  <c r="N34" i="198"/>
  <c r="K34" i="198"/>
  <c r="F34" i="198"/>
  <c r="D34" i="198"/>
  <c r="B34" i="198"/>
  <c r="A34" i="198"/>
  <c r="O33" i="198"/>
  <c r="N33" i="198"/>
  <c r="K33" i="198"/>
  <c r="F33" i="198"/>
  <c r="D33" i="198"/>
  <c r="B33" i="198"/>
  <c r="A33" i="198"/>
  <c r="O32" i="198"/>
  <c r="N32" i="198"/>
  <c r="K32" i="198"/>
  <c r="F32" i="198"/>
  <c r="D32" i="198"/>
  <c r="B32" i="198"/>
  <c r="A32" i="198"/>
  <c r="O31" i="198"/>
  <c r="N31" i="198"/>
  <c r="K31" i="198"/>
  <c r="F31" i="198"/>
  <c r="D31" i="198"/>
  <c r="B31" i="198"/>
  <c r="A31" i="198"/>
  <c r="O30" i="198"/>
  <c r="N30" i="198"/>
  <c r="K30" i="198"/>
  <c r="F30" i="198"/>
  <c r="D30" i="198"/>
  <c r="B30" i="198"/>
  <c r="A30" i="198"/>
  <c r="O29" i="198"/>
  <c r="N29" i="198"/>
  <c r="K29" i="198"/>
  <c r="F29" i="198"/>
  <c r="D29" i="198"/>
  <c r="B29" i="198"/>
  <c r="A29" i="198"/>
  <c r="O28" i="198"/>
  <c r="N28" i="198"/>
  <c r="K28" i="198"/>
  <c r="F28" i="198"/>
  <c r="D28" i="198"/>
  <c r="B28" i="198"/>
  <c r="A28" i="198"/>
  <c r="O27" i="198"/>
  <c r="N27" i="198"/>
  <c r="K27" i="198"/>
  <c r="F27" i="198"/>
  <c r="D27" i="198"/>
  <c r="B27" i="198"/>
  <c r="A27" i="198"/>
  <c r="O26" i="198"/>
  <c r="N26" i="198"/>
  <c r="K26" i="198"/>
  <c r="F26" i="198"/>
  <c r="D26" i="198"/>
  <c r="B26" i="198"/>
  <c r="A26" i="198"/>
  <c r="O25" i="198"/>
  <c r="N25" i="198"/>
  <c r="K25" i="198"/>
  <c r="F25" i="198"/>
  <c r="D25" i="198"/>
  <c r="B25" i="198"/>
  <c r="A25" i="198"/>
  <c r="O24" i="198"/>
  <c r="N24" i="198"/>
  <c r="K24" i="198"/>
  <c r="F24" i="198"/>
  <c r="D24" i="198"/>
  <c r="B24" i="198"/>
  <c r="A24" i="198"/>
  <c r="O23" i="198"/>
  <c r="N23" i="198"/>
  <c r="K23" i="198"/>
  <c r="F23" i="198"/>
  <c r="D23" i="198"/>
  <c r="B23" i="198"/>
  <c r="A23" i="198"/>
  <c r="O22" i="198"/>
  <c r="N22" i="198"/>
  <c r="K22" i="198"/>
  <c r="F22" i="198"/>
  <c r="D22" i="198"/>
  <c r="B22" i="198"/>
  <c r="A22" i="198"/>
  <c r="O21" i="198"/>
  <c r="N21" i="198"/>
  <c r="K21" i="198"/>
  <c r="F21" i="198"/>
  <c r="D21" i="198"/>
  <c r="B21" i="198"/>
  <c r="A21" i="198"/>
  <c r="O20" i="198"/>
  <c r="N20" i="198"/>
  <c r="K20" i="198"/>
  <c r="F20" i="198"/>
  <c r="D20" i="198"/>
  <c r="B20" i="198"/>
  <c r="A20" i="198"/>
  <c r="O19" i="198"/>
  <c r="N19" i="198"/>
  <c r="K19" i="198"/>
  <c r="F19" i="198"/>
  <c r="D19" i="198"/>
  <c r="B19" i="198"/>
  <c r="A19" i="198"/>
  <c r="O18" i="198"/>
  <c r="N18" i="198"/>
  <c r="K18" i="198"/>
  <c r="F18" i="198"/>
  <c r="D18" i="198"/>
  <c r="B18" i="198"/>
  <c r="A18" i="198"/>
  <c r="O17" i="198"/>
  <c r="N17" i="198"/>
  <c r="K17" i="198"/>
  <c r="F17" i="198"/>
  <c r="D17" i="198"/>
  <c r="B17" i="198"/>
  <c r="A17" i="198"/>
  <c r="O16" i="198"/>
  <c r="N16" i="198"/>
  <c r="K16" i="198"/>
  <c r="F16" i="198"/>
  <c r="D16" i="198"/>
  <c r="B16" i="198"/>
  <c r="A16" i="198"/>
  <c r="O15" i="198"/>
  <c r="N15" i="198"/>
  <c r="K15" i="198"/>
  <c r="F15" i="198"/>
  <c r="D15" i="198"/>
  <c r="B15" i="198"/>
  <c r="A15" i="198"/>
  <c r="O14" i="198"/>
  <c r="N14" i="198"/>
  <c r="K14" i="198"/>
  <c r="F14" i="198"/>
  <c r="D14" i="198"/>
  <c r="B14" i="198"/>
  <c r="A14" i="198"/>
  <c r="O13" i="198"/>
  <c r="N13" i="198"/>
  <c r="K13" i="198"/>
  <c r="F13" i="198"/>
  <c r="D13" i="198"/>
  <c r="B13" i="198"/>
  <c r="A13" i="198"/>
  <c r="O12" i="198"/>
  <c r="N12" i="198"/>
  <c r="K12" i="198"/>
  <c r="F12" i="198"/>
  <c r="D12" i="198"/>
  <c r="B12" i="198"/>
  <c r="A12" i="198"/>
  <c r="O11" i="198"/>
  <c r="N11" i="198"/>
  <c r="K11" i="198"/>
  <c r="F11" i="198"/>
  <c r="D11" i="198"/>
  <c r="B11" i="198"/>
  <c r="A11" i="198"/>
  <c r="O10" i="198"/>
  <c r="N10" i="198"/>
  <c r="K10" i="198"/>
  <c r="F10" i="198"/>
  <c r="D10" i="198"/>
  <c r="B10" i="198"/>
  <c r="A10" i="198"/>
  <c r="O9" i="198"/>
  <c r="N9" i="198"/>
  <c r="K9" i="198"/>
  <c r="F9" i="198"/>
  <c r="D9" i="198"/>
  <c r="B9" i="198"/>
  <c r="A9" i="198"/>
  <c r="O8" i="198"/>
  <c r="B4" i="198"/>
  <c r="D47" i="176"/>
  <c r="D46" i="176"/>
  <c r="B46" i="176"/>
  <c r="D45" i="176"/>
  <c r="B45" i="176"/>
  <c r="D44" i="176"/>
  <c r="B44" i="176"/>
  <c r="N41" i="176"/>
  <c r="M41" i="176"/>
  <c r="L41" i="176"/>
  <c r="J41" i="176"/>
  <c r="I41" i="176"/>
  <c r="H41" i="176"/>
  <c r="G41" i="176"/>
  <c r="F41" i="176"/>
  <c r="E41" i="176"/>
  <c r="D41" i="176"/>
  <c r="C41" i="176"/>
  <c r="B41" i="176"/>
  <c r="O40" i="176"/>
  <c r="N40" i="176"/>
  <c r="L40" i="176"/>
  <c r="F40" i="176"/>
  <c r="D40" i="176"/>
  <c r="B40" i="176"/>
  <c r="A40" i="176"/>
  <c r="O39" i="176"/>
  <c r="N39" i="176"/>
  <c r="L39" i="176"/>
  <c r="F39" i="176"/>
  <c r="D39" i="176"/>
  <c r="B39" i="176"/>
  <c r="A39" i="176"/>
  <c r="O38" i="176"/>
  <c r="N38" i="176"/>
  <c r="L38" i="176"/>
  <c r="F38" i="176"/>
  <c r="D38" i="176"/>
  <c r="B38" i="176"/>
  <c r="A38" i="176"/>
  <c r="O37" i="176"/>
  <c r="N37" i="176"/>
  <c r="L37" i="176"/>
  <c r="F37" i="176"/>
  <c r="D37" i="176"/>
  <c r="B37" i="176"/>
  <c r="A37" i="176"/>
  <c r="O36" i="176"/>
  <c r="N36" i="176"/>
  <c r="L36" i="176"/>
  <c r="F36" i="176"/>
  <c r="D36" i="176"/>
  <c r="B36" i="176"/>
  <c r="A36" i="176"/>
  <c r="O35" i="176"/>
  <c r="N35" i="176"/>
  <c r="L35" i="176"/>
  <c r="F35" i="176"/>
  <c r="D35" i="176"/>
  <c r="B35" i="176"/>
  <c r="A35" i="176"/>
  <c r="O34" i="176"/>
  <c r="N34" i="176"/>
  <c r="L34" i="176"/>
  <c r="F34" i="176"/>
  <c r="D34" i="176"/>
  <c r="B34" i="176"/>
  <c r="A34" i="176"/>
  <c r="O33" i="176"/>
  <c r="N33" i="176"/>
  <c r="L33" i="176"/>
  <c r="F33" i="176"/>
  <c r="D33" i="176"/>
  <c r="B33" i="176"/>
  <c r="A33" i="176"/>
  <c r="O32" i="176"/>
  <c r="N32" i="176"/>
  <c r="L32" i="176"/>
  <c r="F32" i="176"/>
  <c r="D32" i="176"/>
  <c r="B32" i="176"/>
  <c r="A32" i="176"/>
  <c r="O31" i="176"/>
  <c r="N31" i="176"/>
  <c r="L31" i="176"/>
  <c r="F31" i="176"/>
  <c r="D31" i="176"/>
  <c r="B31" i="176"/>
  <c r="A31" i="176"/>
  <c r="O30" i="176"/>
  <c r="N30" i="176"/>
  <c r="L30" i="176"/>
  <c r="F30" i="176"/>
  <c r="D30" i="176"/>
  <c r="B30" i="176"/>
  <c r="A30" i="176"/>
  <c r="O29" i="176"/>
  <c r="N29" i="176"/>
  <c r="L29" i="176"/>
  <c r="F29" i="176"/>
  <c r="D29" i="176"/>
  <c r="B29" i="176"/>
  <c r="A29" i="176"/>
  <c r="O28" i="176"/>
  <c r="N28" i="176"/>
  <c r="L28" i="176"/>
  <c r="F28" i="176"/>
  <c r="D28" i="176"/>
  <c r="B28" i="176"/>
  <c r="A28" i="176"/>
  <c r="O27" i="176"/>
  <c r="N27" i="176"/>
  <c r="L27" i="176"/>
  <c r="F27" i="176"/>
  <c r="D27" i="176"/>
  <c r="B27" i="176"/>
  <c r="A27" i="176"/>
  <c r="O26" i="176"/>
  <c r="N26" i="176"/>
  <c r="L26" i="176"/>
  <c r="F26" i="176"/>
  <c r="D26" i="176"/>
  <c r="B26" i="176"/>
  <c r="A26" i="176"/>
  <c r="O25" i="176"/>
  <c r="N25" i="176"/>
  <c r="L25" i="176"/>
  <c r="F25" i="176"/>
  <c r="D25" i="176"/>
  <c r="B25" i="176"/>
  <c r="A25" i="176"/>
  <c r="O24" i="176"/>
  <c r="N24" i="176"/>
  <c r="L24" i="176"/>
  <c r="F24" i="176"/>
  <c r="D24" i="176"/>
  <c r="B24" i="176"/>
  <c r="A24" i="176"/>
  <c r="O23" i="176"/>
  <c r="N23" i="176"/>
  <c r="L23" i="176"/>
  <c r="F23" i="176"/>
  <c r="D23" i="176"/>
  <c r="B23" i="176"/>
  <c r="A23" i="176"/>
  <c r="O22" i="176"/>
  <c r="N22" i="176"/>
  <c r="L22" i="176"/>
  <c r="F22" i="176"/>
  <c r="D22" i="176"/>
  <c r="B22" i="176"/>
  <c r="A22" i="176"/>
  <c r="O21" i="176"/>
  <c r="N21" i="176"/>
  <c r="L21" i="176"/>
  <c r="F21" i="176"/>
  <c r="D21" i="176"/>
  <c r="B21" i="176"/>
  <c r="A21" i="176"/>
  <c r="O20" i="176"/>
  <c r="N20" i="176"/>
  <c r="L20" i="176"/>
  <c r="F20" i="176"/>
  <c r="D20" i="176"/>
  <c r="B20" i="176"/>
  <c r="A20" i="176"/>
  <c r="O19" i="176"/>
  <c r="N19" i="176"/>
  <c r="L19" i="176"/>
  <c r="F19" i="176"/>
  <c r="D19" i="176"/>
  <c r="B19" i="176"/>
  <c r="A19" i="176"/>
  <c r="O18" i="176"/>
  <c r="N18" i="176"/>
  <c r="L18" i="176"/>
  <c r="F18" i="176"/>
  <c r="D18" i="176"/>
  <c r="B18" i="176"/>
  <c r="A18" i="176"/>
  <c r="O17" i="176"/>
  <c r="N17" i="176"/>
  <c r="L17" i="176"/>
  <c r="F17" i="176"/>
  <c r="D17" i="176"/>
  <c r="B17" i="176"/>
  <c r="A17" i="176"/>
  <c r="O16" i="176"/>
  <c r="N16" i="176"/>
  <c r="L16" i="176"/>
  <c r="F16" i="176"/>
  <c r="D16" i="176"/>
  <c r="B16" i="176"/>
  <c r="A16" i="176"/>
  <c r="O15" i="176"/>
  <c r="N15" i="176"/>
  <c r="L15" i="176"/>
  <c r="F15" i="176"/>
  <c r="D15" i="176"/>
  <c r="B15" i="176"/>
  <c r="A15" i="176"/>
  <c r="O14" i="176"/>
  <c r="N14" i="176"/>
  <c r="L14" i="176"/>
  <c r="F14" i="176"/>
  <c r="D14" i="176"/>
  <c r="B14" i="176"/>
  <c r="A14" i="176"/>
  <c r="O13" i="176"/>
  <c r="N13" i="176"/>
  <c r="L13" i="176"/>
  <c r="F13" i="176"/>
  <c r="D13" i="176"/>
  <c r="B13" i="176"/>
  <c r="A13" i="176"/>
  <c r="O12" i="176"/>
  <c r="N12" i="176"/>
  <c r="L12" i="176"/>
  <c r="F12" i="176"/>
  <c r="D12" i="176"/>
  <c r="B12" i="176"/>
  <c r="A12" i="176"/>
  <c r="O11" i="176"/>
  <c r="N11" i="176"/>
  <c r="L11" i="176"/>
  <c r="F11" i="176"/>
  <c r="D11" i="176"/>
  <c r="B11" i="176"/>
  <c r="A11" i="176"/>
  <c r="O10" i="176"/>
  <c r="N10" i="176"/>
  <c r="L10" i="176"/>
  <c r="F10" i="176"/>
  <c r="D10" i="176"/>
  <c r="B10" i="176"/>
  <c r="A10" i="176"/>
  <c r="O9" i="176"/>
  <c r="B3" i="176"/>
  <c r="N40" i="102"/>
  <c r="M39" i="102"/>
  <c r="L39" i="102"/>
  <c r="K39" i="102"/>
  <c r="J39" i="102"/>
  <c r="I39" i="102"/>
  <c r="H39" i="102"/>
  <c r="G39" i="102"/>
  <c r="F39" i="102"/>
  <c r="E39" i="102"/>
  <c r="D39" i="102"/>
  <c r="C39" i="102"/>
  <c r="B39" i="102"/>
  <c r="N38" i="102"/>
  <c r="M38" i="102"/>
  <c r="K38" i="102"/>
  <c r="F38" i="102"/>
  <c r="D38" i="102"/>
  <c r="B38" i="102"/>
  <c r="A38" i="102"/>
  <c r="N37" i="102"/>
  <c r="M37" i="102"/>
  <c r="K37" i="102"/>
  <c r="F37" i="102"/>
  <c r="D37" i="102"/>
  <c r="B37" i="102"/>
  <c r="A37" i="102"/>
  <c r="N36" i="102"/>
  <c r="M36" i="102"/>
  <c r="K36" i="102"/>
  <c r="F36" i="102"/>
  <c r="D36" i="102"/>
  <c r="B36" i="102"/>
  <c r="A36" i="102"/>
  <c r="N35" i="102"/>
  <c r="M35" i="102"/>
  <c r="K35" i="102"/>
  <c r="F35" i="102"/>
  <c r="D35" i="102"/>
  <c r="B35" i="102"/>
  <c r="A35" i="102"/>
  <c r="N34" i="102"/>
  <c r="M34" i="102"/>
  <c r="K34" i="102"/>
  <c r="F34" i="102"/>
  <c r="D34" i="102"/>
  <c r="B34" i="102"/>
  <c r="A34" i="102"/>
  <c r="N33" i="102"/>
  <c r="M33" i="102"/>
  <c r="K33" i="102"/>
  <c r="F33" i="102"/>
  <c r="D33" i="102"/>
  <c r="B33" i="102"/>
  <c r="A33" i="102"/>
  <c r="N32" i="102"/>
  <c r="M32" i="102"/>
  <c r="K32" i="102"/>
  <c r="F32" i="102"/>
  <c r="D32" i="102"/>
  <c r="B32" i="102"/>
  <c r="A32" i="102"/>
  <c r="N31" i="102"/>
  <c r="M31" i="102"/>
  <c r="K31" i="102"/>
  <c r="F31" i="102"/>
  <c r="D31" i="102"/>
  <c r="B31" i="102"/>
  <c r="A31" i="102"/>
  <c r="O30" i="102"/>
  <c r="N30" i="102"/>
  <c r="M30" i="102"/>
  <c r="K30" i="102"/>
  <c r="F30" i="102"/>
  <c r="D30" i="102"/>
  <c r="B30" i="102"/>
  <c r="A30" i="102"/>
  <c r="N29" i="102"/>
  <c r="M29" i="102"/>
  <c r="K29" i="102"/>
  <c r="F29" i="102"/>
  <c r="D29" i="102"/>
  <c r="B29" i="102"/>
  <c r="A29" i="102"/>
  <c r="N28" i="102"/>
  <c r="M28" i="102"/>
  <c r="K28" i="102"/>
  <c r="F28" i="102"/>
  <c r="D28" i="102"/>
  <c r="B28" i="102"/>
  <c r="A28" i="102"/>
  <c r="N27" i="102"/>
  <c r="M27" i="102"/>
  <c r="K27" i="102"/>
  <c r="F27" i="102"/>
  <c r="D27" i="102"/>
  <c r="B27" i="102"/>
  <c r="A27" i="102"/>
  <c r="N26" i="102"/>
  <c r="M26" i="102"/>
  <c r="K26" i="102"/>
  <c r="F26" i="102"/>
  <c r="D26" i="102"/>
  <c r="B26" i="102"/>
  <c r="A26" i="102"/>
  <c r="N25" i="102"/>
  <c r="M25" i="102"/>
  <c r="K25" i="102"/>
  <c r="F25" i="102"/>
  <c r="D25" i="102"/>
  <c r="B25" i="102"/>
  <c r="A25" i="102"/>
  <c r="N24" i="102"/>
  <c r="M24" i="102"/>
  <c r="K24" i="102"/>
  <c r="F24" i="102"/>
  <c r="D24" i="102"/>
  <c r="B24" i="102"/>
  <c r="A24" i="102"/>
  <c r="N23" i="102"/>
  <c r="M23" i="102"/>
  <c r="K23" i="102"/>
  <c r="F23" i="102"/>
  <c r="D23" i="102"/>
  <c r="B23" i="102"/>
  <c r="A23" i="102"/>
  <c r="N22" i="102"/>
  <c r="M22" i="102"/>
  <c r="K22" i="102"/>
  <c r="F22" i="102"/>
  <c r="D22" i="102"/>
  <c r="B22" i="102"/>
  <c r="A22" i="102"/>
  <c r="N21" i="102"/>
  <c r="M21" i="102"/>
  <c r="K21" i="102"/>
  <c r="F21" i="102"/>
  <c r="D21" i="102"/>
  <c r="B21" i="102"/>
  <c r="A21" i="102"/>
  <c r="N20" i="102"/>
  <c r="M20" i="102"/>
  <c r="K20" i="102"/>
  <c r="F20" i="102"/>
  <c r="D20" i="102"/>
  <c r="B20" i="102"/>
  <c r="A20" i="102"/>
  <c r="N19" i="102"/>
  <c r="M19" i="102"/>
  <c r="K19" i="102"/>
  <c r="D19" i="102"/>
  <c r="B19" i="102"/>
  <c r="A19" i="102"/>
  <c r="N18" i="102"/>
  <c r="M18" i="102"/>
  <c r="K18" i="102"/>
  <c r="F18" i="102"/>
  <c r="D18" i="102"/>
  <c r="B18" i="102"/>
  <c r="A18" i="102"/>
  <c r="N17" i="102"/>
  <c r="M17" i="102"/>
  <c r="K17" i="102"/>
  <c r="F17" i="102"/>
  <c r="D17" i="102"/>
  <c r="B17" i="102"/>
  <c r="A17" i="102"/>
  <c r="N16" i="102"/>
  <c r="M16" i="102"/>
  <c r="K16" i="102"/>
  <c r="F16" i="102"/>
  <c r="D16" i="102"/>
  <c r="B16" i="102"/>
  <c r="A16" i="102"/>
  <c r="N15" i="102"/>
  <c r="M15" i="102"/>
  <c r="K15" i="102"/>
  <c r="F15" i="102"/>
  <c r="D15" i="102"/>
  <c r="B15" i="102"/>
  <c r="A15" i="102"/>
  <c r="N14" i="102"/>
  <c r="M14" i="102"/>
  <c r="K14" i="102"/>
  <c r="F14" i="102"/>
  <c r="D14" i="102"/>
  <c r="B14" i="102"/>
  <c r="A14" i="102"/>
  <c r="N13" i="102"/>
  <c r="M13" i="102"/>
  <c r="K13" i="102"/>
  <c r="F13" i="102"/>
  <c r="D13" i="102"/>
  <c r="B13" i="102"/>
  <c r="A13" i="102"/>
  <c r="N12" i="102"/>
  <c r="M12" i="102"/>
  <c r="K12" i="102"/>
  <c r="F12" i="102"/>
  <c r="D12" i="102"/>
  <c r="B12" i="102"/>
  <c r="A12" i="102"/>
  <c r="N11" i="102"/>
  <c r="M11" i="102"/>
  <c r="K11" i="102"/>
  <c r="F11" i="102"/>
  <c r="D11" i="102"/>
  <c r="B11" i="102"/>
  <c r="A11" i="102"/>
  <c r="N10" i="102"/>
  <c r="M10" i="102"/>
  <c r="K10" i="102"/>
  <c r="F10" i="102"/>
  <c r="D10" i="102"/>
  <c r="B10" i="102"/>
  <c r="A10" i="102"/>
  <c r="N9" i="102"/>
  <c r="M9" i="102"/>
  <c r="K9" i="102"/>
  <c r="F9" i="102"/>
  <c r="D9" i="102"/>
  <c r="B9" i="102"/>
  <c r="A9" i="102"/>
  <c r="N8" i="102"/>
  <c r="M8" i="102"/>
  <c r="K8" i="102"/>
  <c r="F8" i="102"/>
  <c r="D8" i="102"/>
  <c r="B8" i="102"/>
  <c r="A8" i="102"/>
  <c r="N7" i="102"/>
  <c r="B3" i="102"/>
  <c r="D46" i="251"/>
  <c r="D45" i="251"/>
  <c r="B45" i="251"/>
  <c r="D44" i="251"/>
  <c r="B44" i="251"/>
  <c r="D43" i="251"/>
  <c r="B43" i="251"/>
  <c r="N40" i="251"/>
  <c r="M40" i="251"/>
  <c r="K40" i="251"/>
  <c r="J40" i="251"/>
  <c r="I40" i="251"/>
  <c r="H40" i="251"/>
  <c r="G40" i="251"/>
  <c r="F40" i="251"/>
  <c r="E40" i="251"/>
  <c r="D40" i="251"/>
  <c r="C40" i="251"/>
  <c r="B40" i="251"/>
  <c r="O39" i="251"/>
  <c r="N39" i="251"/>
  <c r="K39" i="251"/>
  <c r="F39" i="251"/>
  <c r="D39" i="251"/>
  <c r="B39" i="251"/>
  <c r="A39" i="251"/>
  <c r="O38" i="251"/>
  <c r="N38" i="251"/>
  <c r="K38" i="251"/>
  <c r="F38" i="251"/>
  <c r="D38" i="251"/>
  <c r="B38" i="251"/>
  <c r="A38" i="251"/>
  <c r="O37" i="251"/>
  <c r="N37" i="251"/>
  <c r="K37" i="251"/>
  <c r="F37" i="251"/>
  <c r="D37" i="251"/>
  <c r="B37" i="251"/>
  <c r="A37" i="251"/>
  <c r="O36" i="251"/>
  <c r="N36" i="251"/>
  <c r="K36" i="251"/>
  <c r="F36" i="251"/>
  <c r="D36" i="251"/>
  <c r="B36" i="251"/>
  <c r="A36" i="251"/>
  <c r="O35" i="251"/>
  <c r="N35" i="251"/>
  <c r="K35" i="251"/>
  <c r="F35" i="251"/>
  <c r="D35" i="251"/>
  <c r="B35" i="251"/>
  <c r="A35" i="251"/>
  <c r="O34" i="251"/>
  <c r="N34" i="251"/>
  <c r="K34" i="251"/>
  <c r="F34" i="251"/>
  <c r="D34" i="251"/>
  <c r="B34" i="251"/>
  <c r="A34" i="251"/>
  <c r="O33" i="251"/>
  <c r="N33" i="251"/>
  <c r="K33" i="251"/>
  <c r="F33" i="251"/>
  <c r="D33" i="251"/>
  <c r="B33" i="251"/>
  <c r="A33" i="251"/>
  <c r="O32" i="251"/>
  <c r="N32" i="251"/>
  <c r="K32" i="251"/>
  <c r="F32" i="251"/>
  <c r="D32" i="251"/>
  <c r="B32" i="251"/>
  <c r="A32" i="251"/>
  <c r="O31" i="251"/>
  <c r="N31" i="251"/>
  <c r="K31" i="251"/>
  <c r="F31" i="251"/>
  <c r="D31" i="251"/>
  <c r="B31" i="251"/>
  <c r="A31" i="251"/>
  <c r="O30" i="251"/>
  <c r="N30" i="251"/>
  <c r="K30" i="251"/>
  <c r="F30" i="251"/>
  <c r="D30" i="251"/>
  <c r="B30" i="251"/>
  <c r="A30" i="251"/>
  <c r="O29" i="251"/>
  <c r="N29" i="251"/>
  <c r="K29" i="251"/>
  <c r="F29" i="251"/>
  <c r="D29" i="251"/>
  <c r="B29" i="251"/>
  <c r="A29" i="251"/>
  <c r="O28" i="251"/>
  <c r="N28" i="251"/>
  <c r="K28" i="251"/>
  <c r="F28" i="251"/>
  <c r="D28" i="251"/>
  <c r="B28" i="251"/>
  <c r="A28" i="251"/>
  <c r="O27" i="251"/>
  <c r="N27" i="251"/>
  <c r="K27" i="251"/>
  <c r="F27" i="251"/>
  <c r="D27" i="251"/>
  <c r="B27" i="251"/>
  <c r="A27" i="251"/>
  <c r="O26" i="251"/>
  <c r="N26" i="251"/>
  <c r="K26" i="251"/>
  <c r="F26" i="251"/>
  <c r="D26" i="251"/>
  <c r="B26" i="251"/>
  <c r="A26" i="251"/>
  <c r="O25" i="251"/>
  <c r="N25" i="251"/>
  <c r="K25" i="251"/>
  <c r="F25" i="251"/>
  <c r="D25" i="251"/>
  <c r="B25" i="251"/>
  <c r="A25" i="251"/>
  <c r="O24" i="251"/>
  <c r="N24" i="251"/>
  <c r="K24" i="251"/>
  <c r="F24" i="251"/>
  <c r="D24" i="251"/>
  <c r="B24" i="251"/>
  <c r="A24" i="251"/>
  <c r="O23" i="251"/>
  <c r="N23" i="251"/>
  <c r="K23" i="251"/>
  <c r="F23" i="251"/>
  <c r="D23" i="251"/>
  <c r="B23" i="251"/>
  <c r="A23" i="251"/>
  <c r="O22" i="251"/>
  <c r="N22" i="251"/>
  <c r="K22" i="251"/>
  <c r="F22" i="251"/>
  <c r="D22" i="251"/>
  <c r="B22" i="251"/>
  <c r="A22" i="251"/>
  <c r="O21" i="251"/>
  <c r="N21" i="251"/>
  <c r="K21" i="251"/>
  <c r="F21" i="251"/>
  <c r="D21" i="251"/>
  <c r="B21" i="251"/>
  <c r="A21" i="251"/>
  <c r="O20" i="251"/>
  <c r="N20" i="251"/>
  <c r="K20" i="251"/>
  <c r="F20" i="251"/>
  <c r="D20" i="251"/>
  <c r="B20" i="251"/>
  <c r="A20" i="251"/>
  <c r="O19" i="251"/>
  <c r="N19" i="251"/>
  <c r="K19" i="251"/>
  <c r="F19" i="251"/>
  <c r="D19" i="251"/>
  <c r="B19" i="251"/>
  <c r="A19" i="251"/>
  <c r="O18" i="251"/>
  <c r="N18" i="251"/>
  <c r="K18" i="251"/>
  <c r="F18" i="251"/>
  <c r="D18" i="251"/>
  <c r="B18" i="251"/>
  <c r="A18" i="251"/>
  <c r="O17" i="251"/>
  <c r="N17" i="251"/>
  <c r="K17" i="251"/>
  <c r="F17" i="251"/>
  <c r="D17" i="251"/>
  <c r="B17" i="251"/>
  <c r="A17" i="251"/>
  <c r="O16" i="251"/>
  <c r="N16" i="251"/>
  <c r="K16" i="251"/>
  <c r="F16" i="251"/>
  <c r="D16" i="251"/>
  <c r="B16" i="251"/>
  <c r="A16" i="251"/>
  <c r="O15" i="251"/>
  <c r="N15" i="251"/>
  <c r="K15" i="251"/>
  <c r="F15" i="251"/>
  <c r="D15" i="251"/>
  <c r="B15" i="251"/>
  <c r="A15" i="251"/>
  <c r="O14" i="251"/>
  <c r="N14" i="251"/>
  <c r="K14" i="251"/>
  <c r="F14" i="251"/>
  <c r="D14" i="251"/>
  <c r="B14" i="251"/>
  <c r="A14" i="251"/>
  <c r="O13" i="251"/>
  <c r="N13" i="251"/>
  <c r="K13" i="251"/>
  <c r="F13" i="251"/>
  <c r="D13" i="251"/>
  <c r="B13" i="251"/>
  <c r="A13" i="251"/>
  <c r="O12" i="251"/>
  <c r="N12" i="251"/>
  <c r="K12" i="251"/>
  <c r="F12" i="251"/>
  <c r="D12" i="251"/>
  <c r="B12" i="251"/>
  <c r="A12" i="251"/>
  <c r="O11" i="251"/>
  <c r="K11" i="251"/>
  <c r="F11" i="251"/>
  <c r="D11" i="251"/>
  <c r="B11" i="251"/>
  <c r="A11" i="251"/>
  <c r="O10" i="251"/>
  <c r="N10" i="251"/>
  <c r="K10" i="251"/>
  <c r="F10" i="251"/>
  <c r="D10" i="251"/>
  <c r="B10" i="251"/>
  <c r="A10" i="251"/>
  <c r="O9" i="251"/>
  <c r="N9" i="251"/>
  <c r="K9" i="251"/>
  <c r="F9" i="251"/>
  <c r="D9" i="251"/>
  <c r="B9" i="251"/>
  <c r="A9" i="251"/>
  <c r="O8" i="251"/>
  <c r="B4" i="251"/>
  <c r="D46" i="82"/>
  <c r="D45" i="82"/>
  <c r="B45" i="82"/>
  <c r="D44" i="82"/>
  <c r="B44" i="82"/>
  <c r="D43" i="82"/>
  <c r="B43" i="82"/>
  <c r="N40" i="82"/>
  <c r="M40" i="82"/>
  <c r="K40" i="82"/>
  <c r="J40" i="82"/>
  <c r="I40" i="82"/>
  <c r="H40" i="82"/>
  <c r="G40" i="82"/>
  <c r="F40" i="82"/>
  <c r="E40" i="82"/>
  <c r="D40" i="82"/>
  <c r="C40" i="82"/>
  <c r="B40" i="82"/>
  <c r="O39" i="82"/>
  <c r="N39" i="82"/>
  <c r="K39" i="82"/>
  <c r="F39" i="82"/>
  <c r="D39" i="82"/>
  <c r="B39" i="82"/>
  <c r="A39" i="82"/>
  <c r="O38" i="82"/>
  <c r="N38" i="82"/>
  <c r="K38" i="82"/>
  <c r="F38" i="82"/>
  <c r="D38" i="82"/>
  <c r="B38" i="82"/>
  <c r="A38" i="82"/>
  <c r="O37" i="82"/>
  <c r="N37" i="82"/>
  <c r="K37" i="82"/>
  <c r="F37" i="82"/>
  <c r="D37" i="82"/>
  <c r="B37" i="82"/>
  <c r="A37" i="82"/>
  <c r="O36" i="82"/>
  <c r="N36" i="82"/>
  <c r="K36" i="82"/>
  <c r="F36" i="82"/>
  <c r="D36" i="82"/>
  <c r="B36" i="82"/>
  <c r="A36" i="82"/>
  <c r="O35" i="82"/>
  <c r="N35" i="82"/>
  <c r="K35" i="82"/>
  <c r="F35" i="82"/>
  <c r="D35" i="82"/>
  <c r="B35" i="82"/>
  <c r="A35" i="82"/>
  <c r="O34" i="82"/>
  <c r="N34" i="82"/>
  <c r="K34" i="82"/>
  <c r="F34" i="82"/>
  <c r="D34" i="82"/>
  <c r="B34" i="82"/>
  <c r="A34" i="82"/>
  <c r="O33" i="82"/>
  <c r="N33" i="82"/>
  <c r="K33" i="82"/>
  <c r="F33" i="82"/>
  <c r="D33" i="82"/>
  <c r="B33" i="82"/>
  <c r="A33" i="82"/>
  <c r="O32" i="82"/>
  <c r="N32" i="82"/>
  <c r="K32" i="82"/>
  <c r="F32" i="82"/>
  <c r="D32" i="82"/>
  <c r="B32" i="82"/>
  <c r="A32" i="82"/>
  <c r="O31" i="82"/>
  <c r="N31" i="82"/>
  <c r="K31" i="82"/>
  <c r="F31" i="82"/>
  <c r="D31" i="82"/>
  <c r="B31" i="82"/>
  <c r="A31" i="82"/>
  <c r="O30" i="82"/>
  <c r="N30" i="82"/>
  <c r="K30" i="82"/>
  <c r="F30" i="82"/>
  <c r="D30" i="82"/>
  <c r="B30" i="82"/>
  <c r="A30" i="82"/>
  <c r="O29" i="82"/>
  <c r="N29" i="82"/>
  <c r="K29" i="82"/>
  <c r="F29" i="82"/>
  <c r="D29" i="82"/>
  <c r="B29" i="82"/>
  <c r="A29" i="82"/>
  <c r="O28" i="82"/>
  <c r="N28" i="82"/>
  <c r="K28" i="82"/>
  <c r="F28" i="82"/>
  <c r="D28" i="82"/>
  <c r="B28" i="82"/>
  <c r="A28" i="82"/>
  <c r="O27" i="82"/>
  <c r="N27" i="82"/>
  <c r="K27" i="82"/>
  <c r="F27" i="82"/>
  <c r="D27" i="82"/>
  <c r="B27" i="82"/>
  <c r="A27" i="82"/>
  <c r="O26" i="82"/>
  <c r="N26" i="82"/>
  <c r="K26" i="82"/>
  <c r="F26" i="82"/>
  <c r="D26" i="82"/>
  <c r="B26" i="82"/>
  <c r="A26" i="82"/>
  <c r="O25" i="82"/>
  <c r="N25" i="82"/>
  <c r="K25" i="82"/>
  <c r="F25" i="82"/>
  <c r="D25" i="82"/>
  <c r="B25" i="82"/>
  <c r="A25" i="82"/>
  <c r="O24" i="82"/>
  <c r="N24" i="82"/>
  <c r="K24" i="82"/>
  <c r="F24" i="82"/>
  <c r="D24" i="82"/>
  <c r="B24" i="82"/>
  <c r="A24" i="82"/>
  <c r="O23" i="82"/>
  <c r="N23" i="82"/>
  <c r="K23" i="82"/>
  <c r="F23" i="82"/>
  <c r="D23" i="82"/>
  <c r="B23" i="82"/>
  <c r="A23" i="82"/>
  <c r="O22" i="82"/>
  <c r="N22" i="82"/>
  <c r="K22" i="82"/>
  <c r="F22" i="82"/>
  <c r="D22" i="82"/>
  <c r="B22" i="82"/>
  <c r="A22" i="82"/>
  <c r="O21" i="82"/>
  <c r="N21" i="82"/>
  <c r="K21" i="82"/>
  <c r="F21" i="82"/>
  <c r="D21" i="82"/>
  <c r="B21" i="82"/>
  <c r="A21" i="82"/>
  <c r="O20" i="82"/>
  <c r="N20" i="82"/>
  <c r="K20" i="82"/>
  <c r="F20" i="82"/>
  <c r="D20" i="82"/>
  <c r="B20" i="82"/>
  <c r="A20" i="82"/>
  <c r="O19" i="82"/>
  <c r="N19" i="82"/>
  <c r="K19" i="82"/>
  <c r="F19" i="82"/>
  <c r="D19" i="82"/>
  <c r="B19" i="82"/>
  <c r="A19" i="82"/>
  <c r="O18" i="82"/>
  <c r="N18" i="82"/>
  <c r="K18" i="82"/>
  <c r="F18" i="82"/>
  <c r="D18" i="82"/>
  <c r="B18" i="82"/>
  <c r="A18" i="82"/>
  <c r="O17" i="82"/>
  <c r="N17" i="82"/>
  <c r="K17" i="82"/>
  <c r="F17" i="82"/>
  <c r="D17" i="82"/>
  <c r="B17" i="82"/>
  <c r="A17" i="82"/>
  <c r="O16" i="82"/>
  <c r="N16" i="82"/>
  <c r="K16" i="82"/>
  <c r="F16" i="82"/>
  <c r="D16" i="82"/>
  <c r="B16" i="82"/>
  <c r="A16" i="82"/>
  <c r="O15" i="82"/>
  <c r="N15" i="82"/>
  <c r="K15" i="82"/>
  <c r="F15" i="82"/>
  <c r="D15" i="82"/>
  <c r="B15" i="82"/>
  <c r="A15" i="82"/>
  <c r="O14" i="82"/>
  <c r="N14" i="82"/>
  <c r="K14" i="82"/>
  <c r="F14" i="82"/>
  <c r="D14" i="82"/>
  <c r="B14" i="82"/>
  <c r="A14" i="82"/>
  <c r="O13" i="82"/>
  <c r="N13" i="82"/>
  <c r="K13" i="82"/>
  <c r="F13" i="82"/>
  <c r="D13" i="82"/>
  <c r="B13" i="82"/>
  <c r="A13" i="82"/>
  <c r="O12" i="82"/>
  <c r="N12" i="82"/>
  <c r="K12" i="82"/>
  <c r="F12" i="82"/>
  <c r="D12" i="82"/>
  <c r="B12" i="82"/>
  <c r="A12" i="82"/>
  <c r="O11" i="82"/>
  <c r="K11" i="82"/>
  <c r="F11" i="82"/>
  <c r="D11" i="82"/>
  <c r="B11" i="82"/>
  <c r="A11" i="82"/>
  <c r="O10" i="82"/>
  <c r="N10" i="82"/>
  <c r="K10" i="82"/>
  <c r="F10" i="82"/>
  <c r="D10" i="82"/>
  <c r="B10" i="82"/>
  <c r="A10" i="82"/>
  <c r="O9" i="82"/>
  <c r="N9" i="82"/>
  <c r="K9" i="82"/>
  <c r="F9" i="82"/>
  <c r="D9" i="82"/>
  <c r="B9" i="82"/>
  <c r="A9" i="82"/>
  <c r="O8" i="82"/>
  <c r="B4" i="82"/>
  <c r="D47" i="145"/>
  <c r="D46" i="145"/>
  <c r="B46" i="145"/>
  <c r="D45" i="145"/>
  <c r="B45" i="145"/>
  <c r="D44" i="145"/>
  <c r="B44" i="145"/>
  <c r="P43" i="145"/>
  <c r="O43" i="145"/>
  <c r="O42" i="145"/>
  <c r="N41" i="145"/>
  <c r="M41" i="145"/>
  <c r="K41" i="145"/>
  <c r="J41" i="145"/>
  <c r="I41" i="145"/>
  <c r="H41" i="145"/>
  <c r="G41" i="145"/>
  <c r="F41" i="145"/>
  <c r="E41" i="145"/>
  <c r="D41" i="145"/>
  <c r="C41" i="145"/>
  <c r="B41" i="145"/>
  <c r="O40" i="145"/>
  <c r="N40" i="145"/>
  <c r="K40" i="145"/>
  <c r="F40" i="145"/>
  <c r="D40" i="145"/>
  <c r="B40" i="145"/>
  <c r="A40" i="145"/>
  <c r="O39" i="145"/>
  <c r="K39" i="145"/>
  <c r="F39" i="145"/>
  <c r="D39" i="145"/>
  <c r="B39" i="145"/>
  <c r="A39" i="145"/>
  <c r="O38" i="145"/>
  <c r="N38" i="145"/>
  <c r="K38" i="145"/>
  <c r="F38" i="145"/>
  <c r="D38" i="145"/>
  <c r="B38" i="145"/>
  <c r="A38" i="145"/>
  <c r="O37" i="145"/>
  <c r="N37" i="145"/>
  <c r="K37" i="145"/>
  <c r="F37" i="145"/>
  <c r="D37" i="145"/>
  <c r="B37" i="145"/>
  <c r="A37" i="145"/>
  <c r="O36" i="145"/>
  <c r="N36" i="145"/>
  <c r="K36" i="145"/>
  <c r="F36" i="145"/>
  <c r="D36" i="145"/>
  <c r="B36" i="145"/>
  <c r="A36" i="145"/>
  <c r="O35" i="145"/>
  <c r="N35" i="145"/>
  <c r="K35" i="145"/>
  <c r="F35" i="145"/>
  <c r="D35" i="145"/>
  <c r="B35" i="145"/>
  <c r="A35" i="145"/>
  <c r="O34" i="145"/>
  <c r="N34" i="145"/>
  <c r="K34" i="145"/>
  <c r="F34" i="145"/>
  <c r="D34" i="145"/>
  <c r="B34" i="145"/>
  <c r="A34" i="145"/>
  <c r="O33" i="145"/>
  <c r="N33" i="145"/>
  <c r="K33" i="145"/>
  <c r="F33" i="145"/>
  <c r="D33" i="145"/>
  <c r="B33" i="145"/>
  <c r="A33" i="145"/>
  <c r="O32" i="145"/>
  <c r="N32" i="145"/>
  <c r="K32" i="145"/>
  <c r="F32" i="145"/>
  <c r="D32" i="145"/>
  <c r="B32" i="145"/>
  <c r="A32" i="145"/>
  <c r="O31" i="145"/>
  <c r="N31" i="145"/>
  <c r="K31" i="145"/>
  <c r="F31" i="145"/>
  <c r="D31" i="145"/>
  <c r="B31" i="145"/>
  <c r="A31" i="145"/>
  <c r="O30" i="145"/>
  <c r="N30" i="145"/>
  <c r="K30" i="145"/>
  <c r="F30" i="145"/>
  <c r="D30" i="145"/>
  <c r="B30" i="145"/>
  <c r="A30" i="145"/>
  <c r="O29" i="145"/>
  <c r="N29" i="145"/>
  <c r="K29" i="145"/>
  <c r="F29" i="145"/>
  <c r="D29" i="145"/>
  <c r="B29" i="145"/>
  <c r="A29" i="145"/>
  <c r="O28" i="145"/>
  <c r="N28" i="145"/>
  <c r="K28" i="145"/>
  <c r="F28" i="145"/>
  <c r="D28" i="145"/>
  <c r="B28" i="145"/>
  <c r="A28" i="145"/>
  <c r="O27" i="145"/>
  <c r="N27" i="145"/>
  <c r="K27" i="145"/>
  <c r="F27" i="145"/>
  <c r="D27" i="145"/>
  <c r="B27" i="145"/>
  <c r="A27" i="145"/>
  <c r="O26" i="145"/>
  <c r="N26" i="145"/>
  <c r="K26" i="145"/>
  <c r="F26" i="145"/>
  <c r="D26" i="145"/>
  <c r="B26" i="145"/>
  <c r="A26" i="145"/>
  <c r="O25" i="145"/>
  <c r="N25" i="145"/>
  <c r="K25" i="145"/>
  <c r="F25" i="145"/>
  <c r="D25" i="145"/>
  <c r="B25" i="145"/>
  <c r="A25" i="145"/>
  <c r="O24" i="145"/>
  <c r="N24" i="145"/>
  <c r="K24" i="145"/>
  <c r="F24" i="145"/>
  <c r="D24" i="145"/>
  <c r="B24" i="145"/>
  <c r="A24" i="145"/>
  <c r="O23" i="145"/>
  <c r="N23" i="145"/>
  <c r="K23" i="145"/>
  <c r="F23" i="145"/>
  <c r="D23" i="145"/>
  <c r="B23" i="145"/>
  <c r="A23" i="145"/>
  <c r="O22" i="145"/>
  <c r="N22" i="145"/>
  <c r="K22" i="145"/>
  <c r="F22" i="145"/>
  <c r="D22" i="145"/>
  <c r="B22" i="145"/>
  <c r="A22" i="145"/>
  <c r="O21" i="145"/>
  <c r="N21" i="145"/>
  <c r="K21" i="145"/>
  <c r="F21" i="145"/>
  <c r="D21" i="145"/>
  <c r="B21" i="145"/>
  <c r="A21" i="145"/>
  <c r="O20" i="145"/>
  <c r="N20" i="145"/>
  <c r="K20" i="145"/>
  <c r="F20" i="145"/>
  <c r="D20" i="145"/>
  <c r="B20" i="145"/>
  <c r="A20" i="145"/>
  <c r="O19" i="145"/>
  <c r="N19" i="145"/>
  <c r="K19" i="145"/>
  <c r="F19" i="145"/>
  <c r="D19" i="145"/>
  <c r="B19" i="145"/>
  <c r="A19" i="145"/>
  <c r="O18" i="145"/>
  <c r="N18" i="145"/>
  <c r="K18" i="145"/>
  <c r="F18" i="145"/>
  <c r="D18" i="145"/>
  <c r="B18" i="145"/>
  <c r="A18" i="145"/>
  <c r="O17" i="145"/>
  <c r="N17" i="145"/>
  <c r="K17" i="145"/>
  <c r="F17" i="145"/>
  <c r="D17" i="145"/>
  <c r="B17" i="145"/>
  <c r="A17" i="145"/>
  <c r="O16" i="145"/>
  <c r="N16" i="145"/>
  <c r="K16" i="145"/>
  <c r="F16" i="145"/>
  <c r="D16" i="145"/>
  <c r="B16" i="145"/>
  <c r="A16" i="145"/>
  <c r="O15" i="145"/>
  <c r="N15" i="145"/>
  <c r="K15" i="145"/>
  <c r="F15" i="145"/>
  <c r="D15" i="145"/>
  <c r="B15" i="145"/>
  <c r="A15" i="145"/>
  <c r="O14" i="145"/>
  <c r="N14" i="145"/>
  <c r="K14" i="145"/>
  <c r="F14" i="145"/>
  <c r="D14" i="145"/>
  <c r="B14" i="145"/>
  <c r="A14" i="145"/>
  <c r="O13" i="145"/>
  <c r="N13" i="145"/>
  <c r="K13" i="145"/>
  <c r="F13" i="145"/>
  <c r="D13" i="145"/>
  <c r="B13" i="145"/>
  <c r="A13" i="145"/>
  <c r="O12" i="145"/>
  <c r="N12" i="145"/>
  <c r="K12" i="145"/>
  <c r="F12" i="145"/>
  <c r="D12" i="145"/>
  <c r="B12" i="145"/>
  <c r="A12" i="145"/>
  <c r="O11" i="145"/>
  <c r="N11" i="145"/>
  <c r="K11" i="145"/>
  <c r="F11" i="145"/>
  <c r="D11" i="145"/>
  <c r="B11" i="145"/>
  <c r="A11" i="145"/>
  <c r="O10" i="145"/>
  <c r="N10" i="145"/>
  <c r="K10" i="145"/>
  <c r="F10" i="145"/>
  <c r="D10" i="145"/>
  <c r="B10" i="145"/>
  <c r="A10" i="145"/>
  <c r="O9" i="145"/>
  <c r="N5" i="145"/>
  <c r="L5" i="145"/>
  <c r="K5" i="145"/>
  <c r="J5" i="145"/>
  <c r="H5" i="145"/>
  <c r="G5" i="145"/>
  <c r="B3" i="145"/>
  <c r="M39" i="138"/>
  <c r="L39" i="138"/>
  <c r="K39" i="138"/>
  <c r="J39" i="138"/>
  <c r="I39" i="138"/>
  <c r="H39" i="138"/>
  <c r="G39" i="138"/>
  <c r="F39" i="138"/>
  <c r="E39" i="138"/>
  <c r="D39" i="138"/>
  <c r="C39" i="138"/>
  <c r="B39" i="138"/>
  <c r="N38" i="138"/>
  <c r="M38" i="138"/>
  <c r="K38" i="138"/>
  <c r="D38" i="138"/>
  <c r="B38" i="138"/>
  <c r="A38" i="138"/>
  <c r="N37" i="138"/>
  <c r="M37" i="138"/>
  <c r="K37" i="138"/>
  <c r="D37" i="138"/>
  <c r="B37" i="138"/>
  <c r="A37" i="138"/>
  <c r="N36" i="138"/>
  <c r="M36" i="138"/>
  <c r="K36" i="138"/>
  <c r="D36" i="138"/>
  <c r="B36" i="138"/>
  <c r="A36" i="138"/>
  <c r="N35" i="138"/>
  <c r="M35" i="138"/>
  <c r="K35" i="138"/>
  <c r="D35" i="138"/>
  <c r="B35" i="138"/>
  <c r="A35" i="138"/>
  <c r="N34" i="138"/>
  <c r="M34" i="138"/>
  <c r="K34" i="138"/>
  <c r="D34" i="138"/>
  <c r="B34" i="138"/>
  <c r="A34" i="138"/>
  <c r="N33" i="138"/>
  <c r="M33" i="138"/>
  <c r="K33" i="138"/>
  <c r="D33" i="138"/>
  <c r="B33" i="138"/>
  <c r="A33" i="138"/>
  <c r="N32" i="138"/>
  <c r="M32" i="138"/>
  <c r="K32" i="138"/>
  <c r="D32" i="138"/>
  <c r="B32" i="138"/>
  <c r="A32" i="138"/>
  <c r="N31" i="138"/>
  <c r="M31" i="138"/>
  <c r="K31" i="138"/>
  <c r="D31" i="138"/>
  <c r="B31" i="138"/>
  <c r="A31" i="138"/>
  <c r="N30" i="138"/>
  <c r="M30" i="138"/>
  <c r="K30" i="138"/>
  <c r="D30" i="138"/>
  <c r="B30" i="138"/>
  <c r="A30" i="138"/>
  <c r="N29" i="138"/>
  <c r="M29" i="138"/>
  <c r="K29" i="138"/>
  <c r="D29" i="138"/>
  <c r="B29" i="138"/>
  <c r="A29" i="138"/>
  <c r="N28" i="138"/>
  <c r="M28" i="138"/>
  <c r="K28" i="138"/>
  <c r="D28" i="138"/>
  <c r="B28" i="138"/>
  <c r="A28" i="138"/>
  <c r="N27" i="138"/>
  <c r="M27" i="138"/>
  <c r="K27" i="138"/>
  <c r="D27" i="138"/>
  <c r="B27" i="138"/>
  <c r="A27" i="138"/>
  <c r="N26" i="138"/>
  <c r="M26" i="138"/>
  <c r="K26" i="138"/>
  <c r="D26" i="138"/>
  <c r="B26" i="138"/>
  <c r="A26" i="138"/>
  <c r="N25" i="138"/>
  <c r="M25" i="138"/>
  <c r="K25" i="138"/>
  <c r="D25" i="138"/>
  <c r="B25" i="138"/>
  <c r="A25" i="138"/>
  <c r="N24" i="138"/>
  <c r="M24" i="138"/>
  <c r="K24" i="138"/>
  <c r="D24" i="138"/>
  <c r="B24" i="138"/>
  <c r="A24" i="138"/>
  <c r="N23" i="138"/>
  <c r="M23" i="138"/>
  <c r="K23" i="138"/>
  <c r="D23" i="138"/>
  <c r="B23" i="138"/>
  <c r="A23" i="138"/>
  <c r="N22" i="138"/>
  <c r="M22" i="138"/>
  <c r="K22" i="138"/>
  <c r="D22" i="138"/>
  <c r="B22" i="138"/>
  <c r="A22" i="138"/>
  <c r="N21" i="138"/>
  <c r="M21" i="138"/>
  <c r="K21" i="138"/>
  <c r="D21" i="138"/>
  <c r="B21" i="138"/>
  <c r="A21" i="138"/>
  <c r="N20" i="138"/>
  <c r="M20" i="138"/>
  <c r="K20" i="138"/>
  <c r="D20" i="138"/>
  <c r="B20" i="138"/>
  <c r="A20" i="138"/>
  <c r="N19" i="138"/>
  <c r="M19" i="138"/>
  <c r="K19" i="138"/>
  <c r="D19" i="138"/>
  <c r="B19" i="138"/>
  <c r="A19" i="138"/>
  <c r="N18" i="138"/>
  <c r="M18" i="138"/>
  <c r="K18" i="138"/>
  <c r="D18" i="138"/>
  <c r="B18" i="138"/>
  <c r="A18" i="138"/>
  <c r="N17" i="138"/>
  <c r="M17" i="138"/>
  <c r="K17" i="138"/>
  <c r="D17" i="138"/>
  <c r="B17" i="138"/>
  <c r="A17" i="138"/>
  <c r="N16" i="138"/>
  <c r="M16" i="138"/>
  <c r="K16" i="138"/>
  <c r="D16" i="138"/>
  <c r="B16" i="138"/>
  <c r="A16" i="138"/>
  <c r="N15" i="138"/>
  <c r="M15" i="138"/>
  <c r="K15" i="138"/>
  <c r="D15" i="138"/>
  <c r="B15" i="138"/>
  <c r="A15" i="138"/>
  <c r="N14" i="138"/>
  <c r="M14" i="138"/>
  <c r="K14" i="138"/>
  <c r="D14" i="138"/>
  <c r="B14" i="138"/>
  <c r="A14" i="138"/>
  <c r="N13" i="138"/>
  <c r="M13" i="138"/>
  <c r="K13" i="138"/>
  <c r="D13" i="138"/>
  <c r="B13" i="138"/>
  <c r="A13" i="138"/>
  <c r="N12" i="138"/>
  <c r="M12" i="138"/>
  <c r="K12" i="138"/>
  <c r="D12" i="138"/>
  <c r="B12" i="138"/>
  <c r="A12" i="138"/>
  <c r="N11" i="138"/>
  <c r="M11" i="138"/>
  <c r="K11" i="138"/>
  <c r="D11" i="138"/>
  <c r="B11" i="138"/>
  <c r="A11" i="138"/>
  <c r="N10" i="138"/>
  <c r="M10" i="138"/>
  <c r="K10" i="138"/>
  <c r="D10" i="138"/>
  <c r="B10" i="138"/>
  <c r="A10" i="138"/>
  <c r="N9" i="138"/>
  <c r="M9" i="138"/>
  <c r="K9" i="138"/>
  <c r="D9" i="138"/>
  <c r="B9" i="138"/>
  <c r="A9" i="138"/>
  <c r="N8" i="138"/>
  <c r="M8" i="138"/>
  <c r="K8" i="138"/>
  <c r="D8" i="138"/>
  <c r="B8" i="138"/>
  <c r="N7" i="138"/>
  <c r="D47" i="191"/>
  <c r="D46" i="191"/>
  <c r="B46" i="191"/>
  <c r="D45" i="191"/>
  <c r="B45" i="191"/>
  <c r="D44" i="191"/>
  <c r="B44" i="191"/>
  <c r="N41" i="191"/>
  <c r="M41" i="191"/>
  <c r="K41" i="191"/>
  <c r="J41" i="191"/>
  <c r="I41" i="191"/>
  <c r="H41" i="191"/>
  <c r="G41" i="191"/>
  <c r="F41" i="191"/>
  <c r="E41" i="191"/>
  <c r="D41" i="191"/>
  <c r="C41" i="191"/>
  <c r="B41" i="191"/>
  <c r="O40" i="191"/>
  <c r="N40" i="191"/>
  <c r="K40" i="191"/>
  <c r="F40" i="191"/>
  <c r="D40" i="191"/>
  <c r="B40" i="191"/>
  <c r="A40" i="191"/>
  <c r="O39" i="191"/>
  <c r="N39" i="191"/>
  <c r="K39" i="191"/>
  <c r="F39" i="191"/>
  <c r="D39" i="191"/>
  <c r="B39" i="191"/>
  <c r="A39" i="191"/>
  <c r="O38" i="191"/>
  <c r="N38" i="191"/>
  <c r="K38" i="191"/>
  <c r="F38" i="191"/>
  <c r="D38" i="191"/>
  <c r="B38" i="191"/>
  <c r="A38" i="191"/>
  <c r="O37" i="191"/>
  <c r="N37" i="191"/>
  <c r="K37" i="191"/>
  <c r="F37" i="191"/>
  <c r="D37" i="191"/>
  <c r="B37" i="191"/>
  <c r="A37" i="191"/>
  <c r="O36" i="191"/>
  <c r="N36" i="191"/>
  <c r="K36" i="191"/>
  <c r="F36" i="191"/>
  <c r="D36" i="191"/>
  <c r="B36" i="191"/>
  <c r="A36" i="191"/>
  <c r="O35" i="191"/>
  <c r="N35" i="191"/>
  <c r="K35" i="191"/>
  <c r="F35" i="191"/>
  <c r="D35" i="191"/>
  <c r="B35" i="191"/>
  <c r="A35" i="191"/>
  <c r="O34" i="191"/>
  <c r="N34" i="191"/>
  <c r="K34" i="191"/>
  <c r="F34" i="191"/>
  <c r="D34" i="191"/>
  <c r="B34" i="191"/>
  <c r="A34" i="191"/>
  <c r="O33" i="191"/>
  <c r="N33" i="191"/>
  <c r="K33" i="191"/>
  <c r="F33" i="191"/>
  <c r="D33" i="191"/>
  <c r="B33" i="191"/>
  <c r="A33" i="191"/>
  <c r="O32" i="191"/>
  <c r="N32" i="191"/>
  <c r="K32" i="191"/>
  <c r="F32" i="191"/>
  <c r="D32" i="191"/>
  <c r="B32" i="191"/>
  <c r="A32" i="191"/>
  <c r="O31" i="191"/>
  <c r="N31" i="191"/>
  <c r="K31" i="191"/>
  <c r="F31" i="191"/>
  <c r="D31" i="191"/>
  <c r="B31" i="191"/>
  <c r="A31" i="191"/>
  <c r="O30" i="191"/>
  <c r="N30" i="191"/>
  <c r="K30" i="191"/>
  <c r="F30" i="191"/>
  <c r="D30" i="191"/>
  <c r="B30" i="191"/>
  <c r="A30" i="191"/>
  <c r="O29" i="191"/>
  <c r="N29" i="191"/>
  <c r="K29" i="191"/>
  <c r="F29" i="191"/>
  <c r="D29" i="191"/>
  <c r="B29" i="191"/>
  <c r="A29" i="191"/>
  <c r="O28" i="191"/>
  <c r="K28" i="191"/>
  <c r="F28" i="191"/>
  <c r="D28" i="191"/>
  <c r="B28" i="191"/>
  <c r="A28" i="191"/>
  <c r="O27" i="191"/>
  <c r="N27" i="191"/>
  <c r="K27" i="191"/>
  <c r="F27" i="191"/>
  <c r="D27" i="191"/>
  <c r="B27" i="191"/>
  <c r="A27" i="191"/>
  <c r="O26" i="191"/>
  <c r="N26" i="191"/>
  <c r="K26" i="191"/>
  <c r="F26" i="191"/>
  <c r="D26" i="191"/>
  <c r="B26" i="191"/>
  <c r="A26" i="191"/>
  <c r="O25" i="191"/>
  <c r="N25" i="191"/>
  <c r="K25" i="191"/>
  <c r="F25" i="191"/>
  <c r="D25" i="191"/>
  <c r="B25" i="191"/>
  <c r="A25" i="191"/>
  <c r="O24" i="191"/>
  <c r="N24" i="191"/>
  <c r="K24" i="191"/>
  <c r="F24" i="191"/>
  <c r="D24" i="191"/>
  <c r="B24" i="191"/>
  <c r="A24" i="191"/>
  <c r="O23" i="191"/>
  <c r="N23" i="191"/>
  <c r="K23" i="191"/>
  <c r="F23" i="191"/>
  <c r="D23" i="191"/>
  <c r="B23" i="191"/>
  <c r="A23" i="191"/>
  <c r="O22" i="191"/>
  <c r="N22" i="191"/>
  <c r="K22" i="191"/>
  <c r="F22" i="191"/>
  <c r="D22" i="191"/>
  <c r="B22" i="191"/>
  <c r="A22" i="191"/>
  <c r="O21" i="191"/>
  <c r="N21" i="191"/>
  <c r="K21" i="191"/>
  <c r="F21" i="191"/>
  <c r="D21" i="191"/>
  <c r="B21" i="191"/>
  <c r="A21" i="191"/>
  <c r="O20" i="191"/>
  <c r="N20" i="191"/>
  <c r="K20" i="191"/>
  <c r="F20" i="191"/>
  <c r="D20" i="191"/>
  <c r="B20" i="191"/>
  <c r="A20" i="191"/>
  <c r="O19" i="191"/>
  <c r="N19" i="191"/>
  <c r="K19" i="191"/>
  <c r="F19" i="191"/>
  <c r="D19" i="191"/>
  <c r="B19" i="191"/>
  <c r="A19" i="191"/>
  <c r="O18" i="191"/>
  <c r="N18" i="191"/>
  <c r="K18" i="191"/>
  <c r="F18" i="191"/>
  <c r="D18" i="191"/>
  <c r="B18" i="191"/>
  <c r="A18" i="191"/>
  <c r="O17" i="191"/>
  <c r="N17" i="191"/>
  <c r="K17" i="191"/>
  <c r="F17" i="191"/>
  <c r="D17" i="191"/>
  <c r="B17" i="191"/>
  <c r="A17" i="191"/>
  <c r="O16" i="191"/>
  <c r="N16" i="191"/>
  <c r="K16" i="191"/>
  <c r="F16" i="191"/>
  <c r="D16" i="191"/>
  <c r="B16" i="191"/>
  <c r="A16" i="191"/>
  <c r="O15" i="191"/>
  <c r="N15" i="191"/>
  <c r="K15" i="191"/>
  <c r="F15" i="191"/>
  <c r="D15" i="191"/>
  <c r="B15" i="191"/>
  <c r="A15" i="191"/>
  <c r="O14" i="191"/>
  <c r="N14" i="191"/>
  <c r="K14" i="191"/>
  <c r="F14" i="191"/>
  <c r="D14" i="191"/>
  <c r="B14" i="191"/>
  <c r="A14" i="191"/>
  <c r="O13" i="191"/>
  <c r="N13" i="191"/>
  <c r="K13" i="191"/>
  <c r="F13" i="191"/>
  <c r="D13" i="191"/>
  <c r="B13" i="191"/>
  <c r="A13" i="191"/>
  <c r="O12" i="191"/>
  <c r="K12" i="191"/>
  <c r="F12" i="191"/>
  <c r="D12" i="191"/>
  <c r="B12" i="191"/>
  <c r="A12" i="191"/>
  <c r="O11" i="191"/>
  <c r="N11" i="191"/>
  <c r="K11" i="191"/>
  <c r="F11" i="191"/>
  <c r="D11" i="191"/>
  <c r="B11" i="191"/>
  <c r="A11" i="191"/>
  <c r="O10" i="191"/>
  <c r="N10" i="191"/>
  <c r="K10" i="191"/>
  <c r="F10" i="191"/>
  <c r="D10" i="191"/>
  <c r="B10" i="191"/>
  <c r="A10" i="191"/>
  <c r="B3" i="191"/>
  <c r="G51" i="229"/>
  <c r="F48" i="229"/>
  <c r="D48" i="229"/>
  <c r="H47" i="229"/>
  <c r="D47" i="229"/>
  <c r="B47" i="229"/>
  <c r="D46" i="229"/>
  <c r="B46" i="229"/>
  <c r="D45" i="229"/>
  <c r="B45" i="229"/>
  <c r="N42" i="229"/>
  <c r="M42" i="229"/>
  <c r="K42" i="229"/>
  <c r="J42" i="229"/>
  <c r="I42" i="229"/>
  <c r="H42" i="229"/>
  <c r="G42" i="229"/>
  <c r="F42" i="229"/>
  <c r="E42" i="229"/>
  <c r="D42" i="229"/>
  <c r="C42" i="229"/>
  <c r="B42" i="229"/>
  <c r="N41" i="229"/>
  <c r="K41" i="229"/>
  <c r="D41" i="229"/>
  <c r="N40" i="229"/>
  <c r="K40" i="229"/>
  <c r="F40" i="229"/>
  <c r="D40" i="229"/>
  <c r="B40" i="229"/>
  <c r="A40" i="229"/>
  <c r="O39" i="229"/>
  <c r="N39" i="229"/>
  <c r="K39" i="229"/>
  <c r="F39" i="229"/>
  <c r="D39" i="229"/>
  <c r="B39" i="229"/>
  <c r="A39" i="229"/>
  <c r="O38" i="229"/>
  <c r="N38" i="229"/>
  <c r="K38" i="229"/>
  <c r="F38" i="229"/>
  <c r="D38" i="229"/>
  <c r="B38" i="229"/>
  <c r="A38" i="229"/>
  <c r="O37" i="229"/>
  <c r="N37" i="229"/>
  <c r="K37" i="229"/>
  <c r="F37" i="229"/>
  <c r="D37" i="229"/>
  <c r="B37" i="229"/>
  <c r="A37" i="229"/>
  <c r="O36" i="229"/>
  <c r="N36" i="229"/>
  <c r="K36" i="229"/>
  <c r="F36" i="229"/>
  <c r="D36" i="229"/>
  <c r="B36" i="229"/>
  <c r="A36" i="229"/>
  <c r="O35" i="229"/>
  <c r="N35" i="229"/>
  <c r="K35" i="229"/>
  <c r="F35" i="229"/>
  <c r="D35" i="229"/>
  <c r="B35" i="229"/>
  <c r="A35" i="229"/>
  <c r="O34" i="229"/>
  <c r="N34" i="229"/>
  <c r="K34" i="229"/>
  <c r="F34" i="229"/>
  <c r="D34" i="229"/>
  <c r="B34" i="229"/>
  <c r="A34" i="229"/>
  <c r="O33" i="229"/>
  <c r="N33" i="229"/>
  <c r="K33" i="229"/>
  <c r="F33" i="229"/>
  <c r="D33" i="229"/>
  <c r="B33" i="229"/>
  <c r="A33" i="229"/>
  <c r="O32" i="229"/>
  <c r="N32" i="229"/>
  <c r="K32" i="229"/>
  <c r="F32" i="229"/>
  <c r="D32" i="229"/>
  <c r="B32" i="229"/>
  <c r="A32" i="229"/>
  <c r="O31" i="229"/>
  <c r="N31" i="229"/>
  <c r="K31" i="229"/>
  <c r="F31" i="229"/>
  <c r="D31" i="229"/>
  <c r="B31" i="229"/>
  <c r="A31" i="229"/>
  <c r="O30" i="229"/>
  <c r="N30" i="229"/>
  <c r="K30" i="229"/>
  <c r="F30" i="229"/>
  <c r="D30" i="229"/>
  <c r="B30" i="229"/>
  <c r="A30" i="229"/>
  <c r="O29" i="229"/>
  <c r="N29" i="229"/>
  <c r="K29" i="229"/>
  <c r="F29" i="229"/>
  <c r="D29" i="229"/>
  <c r="B29" i="229"/>
  <c r="A29" i="229"/>
  <c r="O28" i="229"/>
  <c r="N28" i="229"/>
  <c r="K28" i="229"/>
  <c r="F28" i="229"/>
  <c r="D28" i="229"/>
  <c r="B28" i="229"/>
  <c r="A28" i="229"/>
  <c r="P27" i="229"/>
  <c r="O27" i="229"/>
  <c r="N27" i="229"/>
  <c r="K27" i="229"/>
  <c r="F27" i="229"/>
  <c r="D27" i="229"/>
  <c r="B27" i="229"/>
  <c r="A27" i="229"/>
  <c r="O26" i="229"/>
  <c r="N26" i="229"/>
  <c r="K26" i="229"/>
  <c r="F26" i="229"/>
  <c r="D26" i="229"/>
  <c r="B26" i="229"/>
  <c r="A26" i="229"/>
  <c r="O25" i="229"/>
  <c r="N25" i="229"/>
  <c r="K25" i="229"/>
  <c r="F25" i="229"/>
  <c r="D25" i="229"/>
  <c r="B25" i="229"/>
  <c r="A25" i="229"/>
  <c r="O24" i="229"/>
  <c r="N24" i="229"/>
  <c r="K24" i="229"/>
  <c r="F24" i="229"/>
  <c r="D24" i="229"/>
  <c r="B24" i="229"/>
  <c r="A24" i="229"/>
  <c r="O23" i="229"/>
  <c r="N23" i="229"/>
  <c r="K23" i="229"/>
  <c r="F23" i="229"/>
  <c r="D23" i="229"/>
  <c r="B23" i="229"/>
  <c r="A23" i="229"/>
  <c r="O22" i="229"/>
  <c r="N22" i="229"/>
  <c r="K22" i="229"/>
  <c r="F22" i="229"/>
  <c r="D22" i="229"/>
  <c r="B22" i="229"/>
  <c r="A22" i="229"/>
  <c r="O21" i="229"/>
  <c r="N21" i="229"/>
  <c r="K21" i="229"/>
  <c r="F21" i="229"/>
  <c r="D21" i="229"/>
  <c r="B21" i="229"/>
  <c r="A21" i="229"/>
  <c r="O20" i="229"/>
  <c r="N20" i="229"/>
  <c r="K20" i="229"/>
  <c r="F20" i="229"/>
  <c r="D20" i="229"/>
  <c r="B20" i="229"/>
  <c r="A20" i="229"/>
  <c r="O19" i="229"/>
  <c r="N19" i="229"/>
  <c r="K19" i="229"/>
  <c r="F19" i="229"/>
  <c r="D19" i="229"/>
  <c r="B19" i="229"/>
  <c r="A19" i="229"/>
  <c r="O18" i="229"/>
  <c r="N18" i="229"/>
  <c r="K18" i="229"/>
  <c r="F18" i="229"/>
  <c r="D18" i="229"/>
  <c r="B18" i="229"/>
  <c r="A18" i="229"/>
  <c r="O17" i="229"/>
  <c r="N17" i="229"/>
  <c r="K17" i="229"/>
  <c r="F17" i="229"/>
  <c r="D17" i="229"/>
  <c r="B17" i="229"/>
  <c r="A17" i="229"/>
  <c r="O16" i="229"/>
  <c r="N16" i="229"/>
  <c r="K16" i="229"/>
  <c r="F16" i="229"/>
  <c r="D16" i="229"/>
  <c r="B16" i="229"/>
  <c r="A16" i="229"/>
  <c r="O15" i="229"/>
  <c r="N15" i="229"/>
  <c r="K15" i="229"/>
  <c r="F15" i="229"/>
  <c r="D15" i="229"/>
  <c r="B15" i="229"/>
  <c r="A15" i="229"/>
  <c r="O14" i="229"/>
  <c r="N14" i="229"/>
  <c r="K14" i="229"/>
  <c r="F14" i="229"/>
  <c r="D14" i="229"/>
  <c r="B14" i="229"/>
  <c r="A14" i="229"/>
  <c r="O13" i="229"/>
  <c r="N13" i="229"/>
  <c r="K13" i="229"/>
  <c r="F13" i="229"/>
  <c r="D13" i="229"/>
  <c r="B13" i="229"/>
  <c r="A13" i="229"/>
  <c r="O12" i="229"/>
  <c r="N12" i="229"/>
  <c r="K12" i="229"/>
  <c r="F12" i="229"/>
  <c r="D12" i="229"/>
  <c r="B12" i="229"/>
  <c r="A12" i="229"/>
  <c r="O11" i="229"/>
  <c r="N11" i="229"/>
  <c r="K11" i="229"/>
  <c r="F11" i="229"/>
  <c r="D11" i="229"/>
  <c r="B11" i="229"/>
  <c r="A11" i="229"/>
  <c r="O10" i="229"/>
  <c r="N10" i="229"/>
  <c r="K10" i="229"/>
  <c r="F10" i="229"/>
  <c r="D10" i="229"/>
  <c r="B10" i="229"/>
  <c r="A10" i="229"/>
  <c r="O9" i="229"/>
  <c r="G5" i="229"/>
  <c r="B3" i="229"/>
  <c r="G51" i="260"/>
  <c r="F48" i="260"/>
  <c r="D48" i="260"/>
  <c r="H47" i="260"/>
  <c r="D47" i="260"/>
  <c r="B47" i="260"/>
  <c r="D46" i="260"/>
  <c r="B46" i="260"/>
  <c r="D45" i="260"/>
  <c r="B45" i="260"/>
  <c r="N42" i="260"/>
  <c r="M42" i="260"/>
  <c r="K42" i="260"/>
  <c r="J42" i="260"/>
  <c r="I42" i="260"/>
  <c r="H42" i="260"/>
  <c r="G42" i="260"/>
  <c r="F42" i="260"/>
  <c r="E42" i="260"/>
  <c r="D42" i="260"/>
  <c r="C42" i="260"/>
  <c r="B42" i="260"/>
  <c r="N41" i="260"/>
  <c r="K41" i="260"/>
  <c r="D41" i="260"/>
  <c r="O40" i="260"/>
  <c r="N40" i="260"/>
  <c r="K40" i="260"/>
  <c r="F40" i="260"/>
  <c r="D40" i="260"/>
  <c r="B40" i="260"/>
  <c r="A40" i="260"/>
  <c r="O39" i="260"/>
  <c r="N39" i="260"/>
  <c r="K39" i="260"/>
  <c r="F39" i="260"/>
  <c r="D39" i="260"/>
  <c r="B39" i="260"/>
  <c r="A39" i="260"/>
  <c r="O38" i="260"/>
  <c r="N38" i="260"/>
  <c r="K38" i="260"/>
  <c r="F38" i="260"/>
  <c r="D38" i="260"/>
  <c r="B38" i="260"/>
  <c r="A38" i="260"/>
  <c r="O37" i="260"/>
  <c r="N37" i="260"/>
  <c r="K37" i="260"/>
  <c r="F37" i="260"/>
  <c r="D37" i="260"/>
  <c r="B37" i="260"/>
  <c r="A37" i="260"/>
  <c r="O36" i="260"/>
  <c r="N36" i="260"/>
  <c r="K36" i="260"/>
  <c r="F36" i="260"/>
  <c r="D36" i="260"/>
  <c r="B36" i="260"/>
  <c r="A36" i="260"/>
  <c r="O35" i="260"/>
  <c r="N35" i="260"/>
  <c r="K35" i="260"/>
  <c r="F35" i="260"/>
  <c r="D35" i="260"/>
  <c r="B35" i="260"/>
  <c r="A35" i="260"/>
  <c r="O34" i="260"/>
  <c r="N34" i="260"/>
  <c r="K34" i="260"/>
  <c r="F34" i="260"/>
  <c r="D34" i="260"/>
  <c r="B34" i="260"/>
  <c r="A34" i="260"/>
  <c r="O33" i="260"/>
  <c r="N33" i="260"/>
  <c r="K33" i="260"/>
  <c r="F33" i="260"/>
  <c r="D33" i="260"/>
  <c r="B33" i="260"/>
  <c r="A33" i="260"/>
  <c r="O32" i="260"/>
  <c r="N32" i="260"/>
  <c r="K32" i="260"/>
  <c r="F32" i="260"/>
  <c r="D32" i="260"/>
  <c r="B32" i="260"/>
  <c r="A32" i="260"/>
  <c r="O31" i="260"/>
  <c r="N31" i="260"/>
  <c r="K31" i="260"/>
  <c r="F31" i="260"/>
  <c r="D31" i="260"/>
  <c r="B31" i="260"/>
  <c r="A31" i="260"/>
  <c r="O30" i="260"/>
  <c r="N30" i="260"/>
  <c r="K30" i="260"/>
  <c r="F30" i="260"/>
  <c r="D30" i="260"/>
  <c r="B30" i="260"/>
  <c r="A30" i="260"/>
  <c r="O29" i="260"/>
  <c r="N29" i="260"/>
  <c r="K29" i="260"/>
  <c r="F29" i="260"/>
  <c r="D29" i="260"/>
  <c r="B29" i="260"/>
  <c r="A29" i="260"/>
  <c r="O28" i="260"/>
  <c r="N28" i="260"/>
  <c r="K28" i="260"/>
  <c r="F28" i="260"/>
  <c r="D28" i="260"/>
  <c r="B28" i="260"/>
  <c r="A28" i="260"/>
  <c r="P27" i="260"/>
  <c r="O27" i="260"/>
  <c r="N27" i="260"/>
  <c r="K27" i="260"/>
  <c r="F27" i="260"/>
  <c r="D27" i="260"/>
  <c r="B27" i="260"/>
  <c r="A27" i="260"/>
  <c r="O26" i="260"/>
  <c r="N26" i="260"/>
  <c r="K26" i="260"/>
  <c r="F26" i="260"/>
  <c r="D26" i="260"/>
  <c r="B26" i="260"/>
  <c r="A26" i="260"/>
  <c r="O25" i="260"/>
  <c r="N25" i="260"/>
  <c r="K25" i="260"/>
  <c r="F25" i="260"/>
  <c r="D25" i="260"/>
  <c r="B25" i="260"/>
  <c r="A25" i="260"/>
  <c r="O24" i="260"/>
  <c r="N24" i="260"/>
  <c r="K24" i="260"/>
  <c r="F24" i="260"/>
  <c r="D24" i="260"/>
  <c r="B24" i="260"/>
  <c r="A24" i="260"/>
  <c r="O23" i="260"/>
  <c r="N23" i="260"/>
  <c r="K23" i="260"/>
  <c r="F23" i="260"/>
  <c r="D23" i="260"/>
  <c r="B23" i="260"/>
  <c r="A23" i="260"/>
  <c r="O22" i="260"/>
  <c r="N22" i="260"/>
  <c r="K22" i="260"/>
  <c r="F22" i="260"/>
  <c r="D22" i="260"/>
  <c r="B22" i="260"/>
  <c r="A22" i="260"/>
  <c r="O21" i="260"/>
  <c r="N21" i="260"/>
  <c r="K21" i="260"/>
  <c r="F21" i="260"/>
  <c r="D21" i="260"/>
  <c r="B21" i="260"/>
  <c r="A21" i="260"/>
  <c r="O20" i="260"/>
  <c r="N20" i="260"/>
  <c r="K20" i="260"/>
  <c r="F20" i="260"/>
  <c r="D20" i="260"/>
  <c r="B20" i="260"/>
  <c r="A20" i="260"/>
  <c r="O19" i="260"/>
  <c r="N19" i="260"/>
  <c r="K19" i="260"/>
  <c r="F19" i="260"/>
  <c r="D19" i="260"/>
  <c r="B19" i="260"/>
  <c r="A19" i="260"/>
  <c r="O18" i="260"/>
  <c r="N18" i="260"/>
  <c r="K18" i="260"/>
  <c r="F18" i="260"/>
  <c r="D18" i="260"/>
  <c r="B18" i="260"/>
  <c r="A18" i="260"/>
  <c r="O17" i="260"/>
  <c r="N17" i="260"/>
  <c r="K17" i="260"/>
  <c r="F17" i="260"/>
  <c r="D17" i="260"/>
  <c r="B17" i="260"/>
  <c r="A17" i="260"/>
  <c r="O16" i="260"/>
  <c r="N16" i="260"/>
  <c r="K16" i="260"/>
  <c r="F16" i="260"/>
  <c r="D16" i="260"/>
  <c r="B16" i="260"/>
  <c r="A16" i="260"/>
  <c r="O15" i="260"/>
  <c r="N15" i="260"/>
  <c r="K15" i="260"/>
  <c r="F15" i="260"/>
  <c r="D15" i="260"/>
  <c r="B15" i="260"/>
  <c r="A15" i="260"/>
  <c r="O14" i="260"/>
  <c r="N14" i="260"/>
  <c r="K14" i="260"/>
  <c r="F14" i="260"/>
  <c r="D14" i="260"/>
  <c r="B14" i="260"/>
  <c r="A14" i="260"/>
  <c r="O13" i="260"/>
  <c r="N13" i="260"/>
  <c r="K13" i="260"/>
  <c r="F13" i="260"/>
  <c r="D13" i="260"/>
  <c r="B13" i="260"/>
  <c r="A13" i="260"/>
  <c r="O12" i="260"/>
  <c r="N12" i="260"/>
  <c r="K12" i="260"/>
  <c r="F12" i="260"/>
  <c r="D12" i="260"/>
  <c r="B12" i="260"/>
  <c r="A12" i="260"/>
  <c r="O11" i="260"/>
  <c r="N11" i="260"/>
  <c r="K11" i="260"/>
  <c r="F11" i="260"/>
  <c r="D11" i="260"/>
  <c r="B11" i="260"/>
  <c r="A11" i="260"/>
  <c r="O10" i="260"/>
  <c r="N10" i="260"/>
  <c r="K10" i="260"/>
  <c r="F10" i="260"/>
  <c r="D10" i="260"/>
  <c r="B10" i="260"/>
  <c r="A10" i="260"/>
  <c r="O9" i="260"/>
  <c r="B3" i="260"/>
  <c r="D46" i="235"/>
  <c r="D45" i="235"/>
  <c r="B45" i="235"/>
  <c r="O44" i="235"/>
  <c r="N44" i="235"/>
  <c r="M44" i="235"/>
  <c r="F44" i="235"/>
  <c r="D44" i="235"/>
  <c r="B44" i="235"/>
  <c r="D43" i="235"/>
  <c r="B43" i="235"/>
  <c r="N40" i="235"/>
  <c r="M40" i="235"/>
  <c r="K40" i="235"/>
  <c r="J40" i="235"/>
  <c r="I40" i="235"/>
  <c r="H40" i="235"/>
  <c r="G40" i="235"/>
  <c r="F40" i="235"/>
  <c r="E40" i="235"/>
  <c r="D40" i="235"/>
  <c r="C40" i="235"/>
  <c r="B40" i="235"/>
  <c r="O39" i="235"/>
  <c r="N39" i="235"/>
  <c r="K39" i="235"/>
  <c r="F39" i="235"/>
  <c r="D39" i="235"/>
  <c r="B39" i="235"/>
  <c r="A39" i="235"/>
  <c r="O38" i="235"/>
  <c r="N38" i="235"/>
  <c r="K38" i="235"/>
  <c r="F38" i="235"/>
  <c r="D38" i="235"/>
  <c r="B38" i="235"/>
  <c r="A38" i="235"/>
  <c r="O37" i="235"/>
  <c r="N37" i="235"/>
  <c r="K37" i="235"/>
  <c r="F37" i="235"/>
  <c r="D37" i="235"/>
  <c r="B37" i="235"/>
  <c r="A37" i="235"/>
  <c r="O36" i="235"/>
  <c r="N36" i="235"/>
  <c r="K36" i="235"/>
  <c r="F36" i="235"/>
  <c r="D36" i="235"/>
  <c r="B36" i="235"/>
  <c r="A36" i="235"/>
  <c r="O35" i="235"/>
  <c r="N35" i="235"/>
  <c r="K35" i="235"/>
  <c r="F35" i="235"/>
  <c r="D35" i="235"/>
  <c r="B35" i="235"/>
  <c r="A35" i="235"/>
  <c r="O34" i="235"/>
  <c r="N34" i="235"/>
  <c r="K34" i="235"/>
  <c r="F34" i="235"/>
  <c r="D34" i="235"/>
  <c r="B34" i="235"/>
  <c r="A34" i="235"/>
  <c r="O33" i="235"/>
  <c r="N33" i="235"/>
  <c r="K33" i="235"/>
  <c r="F33" i="235"/>
  <c r="D33" i="235"/>
  <c r="B33" i="235"/>
  <c r="A33" i="235"/>
  <c r="O32" i="235"/>
  <c r="N32" i="235"/>
  <c r="K32" i="235"/>
  <c r="F32" i="235"/>
  <c r="D32" i="235"/>
  <c r="B32" i="235"/>
  <c r="A32" i="235"/>
  <c r="O31" i="235"/>
  <c r="N31" i="235"/>
  <c r="K31" i="235"/>
  <c r="F31" i="235"/>
  <c r="D31" i="235"/>
  <c r="B31" i="235"/>
  <c r="A31" i="235"/>
  <c r="O30" i="235"/>
  <c r="N30" i="235"/>
  <c r="K30" i="235"/>
  <c r="F30" i="235"/>
  <c r="D30" i="235"/>
  <c r="B30" i="235"/>
  <c r="A30" i="235"/>
  <c r="O29" i="235"/>
  <c r="N29" i="235"/>
  <c r="K29" i="235"/>
  <c r="F29" i="235"/>
  <c r="D29" i="235"/>
  <c r="B29" i="235"/>
  <c r="A29" i="235"/>
  <c r="O28" i="235"/>
  <c r="N28" i="235"/>
  <c r="K28" i="235"/>
  <c r="F28" i="235"/>
  <c r="D28" i="235"/>
  <c r="B28" i="235"/>
  <c r="A28" i="235"/>
  <c r="O27" i="235"/>
  <c r="N27" i="235"/>
  <c r="K27" i="235"/>
  <c r="F27" i="235"/>
  <c r="D27" i="235"/>
  <c r="B27" i="235"/>
  <c r="A27" i="235"/>
  <c r="O26" i="235"/>
  <c r="N26" i="235"/>
  <c r="K26" i="235"/>
  <c r="F26" i="235"/>
  <c r="D26" i="235"/>
  <c r="B26" i="235"/>
  <c r="A26" i="235"/>
  <c r="O25" i="235"/>
  <c r="N25" i="235"/>
  <c r="K25" i="235"/>
  <c r="F25" i="235"/>
  <c r="D25" i="235"/>
  <c r="B25" i="235"/>
  <c r="A25" i="235"/>
  <c r="O24" i="235"/>
  <c r="N24" i="235"/>
  <c r="K24" i="235"/>
  <c r="F24" i="235"/>
  <c r="D24" i="235"/>
  <c r="B24" i="235"/>
  <c r="A24" i="235"/>
  <c r="O23" i="235"/>
  <c r="N23" i="235"/>
  <c r="K23" i="235"/>
  <c r="F23" i="235"/>
  <c r="D23" i="235"/>
  <c r="B23" i="235"/>
  <c r="A23" i="235"/>
  <c r="O22" i="235"/>
  <c r="N22" i="235"/>
  <c r="K22" i="235"/>
  <c r="F22" i="235"/>
  <c r="D22" i="235"/>
  <c r="B22" i="235"/>
  <c r="A22" i="235"/>
  <c r="O21" i="235"/>
  <c r="N21" i="235"/>
  <c r="K21" i="235"/>
  <c r="F21" i="235"/>
  <c r="D21" i="235"/>
  <c r="B21" i="235"/>
  <c r="A21" i="235"/>
  <c r="O20" i="235"/>
  <c r="N20" i="235"/>
  <c r="K20" i="235"/>
  <c r="F20" i="235"/>
  <c r="D20" i="235"/>
  <c r="B20" i="235"/>
  <c r="A20" i="235"/>
  <c r="O19" i="235"/>
  <c r="N19" i="235"/>
  <c r="K19" i="235"/>
  <c r="F19" i="235"/>
  <c r="D19" i="235"/>
  <c r="B19" i="235"/>
  <c r="A19" i="235"/>
  <c r="O18" i="235"/>
  <c r="N18" i="235"/>
  <c r="K18" i="235"/>
  <c r="F18" i="235"/>
  <c r="D18" i="235"/>
  <c r="B18" i="235"/>
  <c r="A18" i="235"/>
  <c r="O17" i="235"/>
  <c r="N17" i="235"/>
  <c r="K17" i="235"/>
  <c r="F17" i="235"/>
  <c r="D17" i="235"/>
  <c r="B17" i="235"/>
  <c r="A17" i="235"/>
  <c r="O16" i="235"/>
  <c r="N16" i="235"/>
  <c r="K16" i="235"/>
  <c r="F16" i="235"/>
  <c r="D16" i="235"/>
  <c r="B16" i="235"/>
  <c r="A16" i="235"/>
  <c r="O15" i="235"/>
  <c r="N15" i="235"/>
  <c r="K15" i="235"/>
  <c r="F15" i="235"/>
  <c r="D15" i="235"/>
  <c r="B15" i="235"/>
  <c r="A15" i="235"/>
  <c r="O14" i="235"/>
  <c r="N14" i="235"/>
  <c r="K14" i="235"/>
  <c r="F14" i="235"/>
  <c r="D14" i="235"/>
  <c r="B14" i="235"/>
  <c r="A14" i="235"/>
  <c r="O13" i="235"/>
  <c r="N13" i="235"/>
  <c r="K13" i="235"/>
  <c r="F13" i="235"/>
  <c r="D13" i="235"/>
  <c r="B13" i="235"/>
  <c r="A13" i="235"/>
  <c r="O12" i="235"/>
  <c r="N12" i="235"/>
  <c r="K12" i="235"/>
  <c r="F12" i="235"/>
  <c r="D12" i="235"/>
  <c r="B12" i="235"/>
  <c r="A12" i="235"/>
  <c r="O11" i="235"/>
  <c r="N11" i="235"/>
  <c r="K11" i="235"/>
  <c r="F11" i="235"/>
  <c r="D11" i="235"/>
  <c r="B11" i="235"/>
  <c r="A11" i="235"/>
  <c r="O10" i="235"/>
  <c r="N10" i="235"/>
  <c r="K10" i="235"/>
  <c r="F10" i="235"/>
  <c r="D10" i="235"/>
  <c r="B10" i="235"/>
  <c r="A10" i="235"/>
  <c r="O9" i="235"/>
  <c r="N9" i="235"/>
  <c r="K9" i="235"/>
  <c r="F9" i="235"/>
  <c r="D9" i="235"/>
  <c r="B9" i="235"/>
  <c r="A9" i="235"/>
  <c r="O8" i="235"/>
  <c r="B4" i="235"/>
  <c r="D47" i="283"/>
  <c r="D46" i="283"/>
  <c r="B46" i="283"/>
  <c r="D45" i="283"/>
  <c r="B45" i="283"/>
  <c r="D44" i="283"/>
  <c r="B44" i="283"/>
  <c r="N41" i="283"/>
  <c r="M41" i="283"/>
  <c r="K41" i="283"/>
  <c r="J41" i="283"/>
  <c r="I41" i="283"/>
  <c r="H41" i="283"/>
  <c r="G41" i="283"/>
  <c r="F41" i="283"/>
  <c r="E41" i="283"/>
  <c r="D41" i="283"/>
  <c r="C41" i="283"/>
  <c r="B41" i="283"/>
  <c r="O40" i="283"/>
  <c r="N40" i="283"/>
  <c r="K40" i="283"/>
  <c r="F40" i="283"/>
  <c r="D40" i="283"/>
  <c r="B40" i="283"/>
  <c r="A40" i="283"/>
  <c r="O39" i="283"/>
  <c r="N39" i="283"/>
  <c r="K39" i="283"/>
  <c r="F39" i="283"/>
  <c r="D39" i="283"/>
  <c r="B39" i="283"/>
  <c r="A39" i="283"/>
  <c r="O38" i="283"/>
  <c r="N38" i="283"/>
  <c r="K38" i="283"/>
  <c r="F38" i="283"/>
  <c r="D38" i="283"/>
  <c r="B38" i="283"/>
  <c r="A38" i="283"/>
  <c r="O37" i="283"/>
  <c r="N37" i="283"/>
  <c r="K37" i="283"/>
  <c r="F37" i="283"/>
  <c r="D37" i="283"/>
  <c r="B37" i="283"/>
  <c r="A37" i="283"/>
  <c r="O36" i="283"/>
  <c r="N36" i="283"/>
  <c r="K36" i="283"/>
  <c r="F36" i="283"/>
  <c r="D36" i="283"/>
  <c r="B36" i="283"/>
  <c r="A36" i="283"/>
  <c r="O35" i="283"/>
  <c r="N35" i="283"/>
  <c r="K35" i="283"/>
  <c r="F35" i="283"/>
  <c r="D35" i="283"/>
  <c r="B35" i="283"/>
  <c r="A35" i="283"/>
  <c r="O34" i="283"/>
  <c r="N34" i="283"/>
  <c r="K34" i="283"/>
  <c r="F34" i="283"/>
  <c r="D34" i="283"/>
  <c r="B34" i="283"/>
  <c r="A34" i="283"/>
  <c r="O33" i="283"/>
  <c r="N33" i="283"/>
  <c r="K33" i="283"/>
  <c r="F33" i="283"/>
  <c r="D33" i="283"/>
  <c r="B33" i="283"/>
  <c r="A33" i="283"/>
  <c r="O32" i="283"/>
  <c r="N32" i="283"/>
  <c r="K32" i="283"/>
  <c r="F32" i="283"/>
  <c r="D32" i="283"/>
  <c r="B32" i="283"/>
  <c r="A32" i="283"/>
  <c r="O31" i="283"/>
  <c r="N31" i="283"/>
  <c r="K31" i="283"/>
  <c r="F31" i="283"/>
  <c r="D31" i="283"/>
  <c r="B31" i="283"/>
  <c r="A31" i="283"/>
  <c r="O30" i="283"/>
  <c r="N30" i="283"/>
  <c r="K30" i="283"/>
  <c r="F30" i="283"/>
  <c r="D30" i="283"/>
  <c r="B30" i="283"/>
  <c r="A30" i="283"/>
  <c r="O29" i="283"/>
  <c r="N29" i="283"/>
  <c r="K29" i="283"/>
  <c r="F29" i="283"/>
  <c r="D29" i="283"/>
  <c r="B29" i="283"/>
  <c r="A29" i="283"/>
  <c r="O28" i="283"/>
  <c r="N28" i="283"/>
  <c r="K28" i="283"/>
  <c r="F28" i="283"/>
  <c r="D28" i="283"/>
  <c r="B28" i="283"/>
  <c r="A28" i="283"/>
  <c r="O27" i="283"/>
  <c r="N27" i="283"/>
  <c r="K27" i="283"/>
  <c r="F27" i="283"/>
  <c r="D27" i="283"/>
  <c r="B27" i="283"/>
  <c r="A27" i="283"/>
  <c r="O26" i="283"/>
  <c r="N26" i="283"/>
  <c r="K26" i="283"/>
  <c r="F26" i="283"/>
  <c r="D26" i="283"/>
  <c r="B26" i="283"/>
  <c r="A26" i="283"/>
  <c r="O25" i="283"/>
  <c r="N25" i="283"/>
  <c r="K25" i="283"/>
  <c r="F25" i="283"/>
  <c r="D25" i="283"/>
  <c r="B25" i="283"/>
  <c r="A25" i="283"/>
  <c r="O24" i="283"/>
  <c r="N24" i="283"/>
  <c r="K24" i="283"/>
  <c r="F24" i="283"/>
  <c r="D24" i="283"/>
  <c r="B24" i="283"/>
  <c r="A24" i="283"/>
  <c r="O23" i="283"/>
  <c r="N23" i="283"/>
  <c r="K23" i="283"/>
  <c r="F23" i="283"/>
  <c r="D23" i="283"/>
  <c r="B23" i="283"/>
  <c r="A23" i="283"/>
  <c r="O22" i="283"/>
  <c r="N22" i="283"/>
  <c r="K22" i="283"/>
  <c r="F22" i="283"/>
  <c r="D22" i="283"/>
  <c r="B22" i="283"/>
  <c r="A22" i="283"/>
  <c r="O21" i="283"/>
  <c r="N21" i="283"/>
  <c r="K21" i="283"/>
  <c r="F21" i="283"/>
  <c r="D21" i="283"/>
  <c r="B21" i="283"/>
  <c r="A21" i="283"/>
  <c r="O20" i="283"/>
  <c r="N20" i="283"/>
  <c r="K20" i="283"/>
  <c r="F20" i="283"/>
  <c r="D20" i="283"/>
  <c r="B20" i="283"/>
  <c r="A20" i="283"/>
  <c r="O19" i="283"/>
  <c r="N19" i="283"/>
  <c r="K19" i="283"/>
  <c r="F19" i="283"/>
  <c r="D19" i="283"/>
  <c r="B19" i="283"/>
  <c r="A19" i="283"/>
  <c r="O18" i="283"/>
  <c r="N18" i="283"/>
  <c r="K18" i="283"/>
  <c r="F18" i="283"/>
  <c r="D18" i="283"/>
  <c r="B18" i="283"/>
  <c r="A18" i="283"/>
  <c r="O17" i="283"/>
  <c r="N17" i="283"/>
  <c r="K17" i="283"/>
  <c r="F17" i="283"/>
  <c r="D17" i="283"/>
  <c r="B17" i="283"/>
  <c r="A17" i="283"/>
  <c r="O16" i="283"/>
  <c r="N16" i="283"/>
  <c r="K16" i="283"/>
  <c r="F16" i="283"/>
  <c r="D16" i="283"/>
  <c r="B16" i="283"/>
  <c r="A16" i="283"/>
  <c r="O15" i="283"/>
  <c r="N15" i="283"/>
  <c r="K15" i="283"/>
  <c r="F15" i="283"/>
  <c r="D15" i="283"/>
  <c r="B15" i="283"/>
  <c r="A15" i="283"/>
  <c r="O14" i="283"/>
  <c r="N14" i="283"/>
  <c r="K14" i="283"/>
  <c r="F14" i="283"/>
  <c r="D14" i="283"/>
  <c r="B14" i="283"/>
  <c r="A14" i="283"/>
  <c r="P13" i="283"/>
  <c r="O13" i="283"/>
  <c r="N13" i="283"/>
  <c r="K13" i="283"/>
  <c r="F13" i="283"/>
  <c r="D13" i="283"/>
  <c r="B13" i="283"/>
  <c r="A13" i="283"/>
  <c r="O12" i="283"/>
  <c r="N12" i="283"/>
  <c r="K12" i="283"/>
  <c r="F12" i="283"/>
  <c r="D12" i="283"/>
  <c r="B12" i="283"/>
  <c r="A12" i="283"/>
  <c r="O11" i="283"/>
  <c r="N11" i="283"/>
  <c r="K11" i="283"/>
  <c r="F11" i="283"/>
  <c r="D11" i="283"/>
  <c r="B11" i="283"/>
  <c r="A11" i="283"/>
  <c r="O10" i="283"/>
  <c r="N10" i="283"/>
  <c r="K10" i="283"/>
  <c r="F10" i="283"/>
  <c r="D10" i="283"/>
  <c r="B10" i="283"/>
  <c r="A10" i="283"/>
  <c r="O9" i="283"/>
  <c r="N9" i="283"/>
  <c r="H67" i="196"/>
  <c r="J66" i="196"/>
  <c r="N40" i="196"/>
  <c r="M40" i="196"/>
  <c r="K40" i="196"/>
  <c r="J40" i="196"/>
  <c r="I40" i="196"/>
  <c r="H40" i="196"/>
  <c r="G40" i="196"/>
  <c r="F40" i="196"/>
  <c r="E40" i="196"/>
  <c r="D40" i="196"/>
  <c r="C40" i="196"/>
  <c r="B40" i="196"/>
  <c r="O39" i="196"/>
  <c r="N39" i="196"/>
  <c r="K39" i="196"/>
  <c r="F39" i="196"/>
  <c r="D39" i="196"/>
  <c r="B39" i="196"/>
  <c r="O38" i="196"/>
  <c r="N38" i="196"/>
  <c r="K38" i="196"/>
  <c r="F38" i="196"/>
  <c r="D38" i="196"/>
  <c r="B38" i="196"/>
  <c r="A38" i="196"/>
  <c r="O37" i="196"/>
  <c r="N37" i="196"/>
  <c r="K37" i="196"/>
  <c r="F37" i="196"/>
  <c r="D37" i="196"/>
  <c r="B37" i="196"/>
  <c r="A37" i="196"/>
  <c r="O36" i="196"/>
  <c r="N36" i="196"/>
  <c r="K36" i="196"/>
  <c r="F36" i="196"/>
  <c r="D36" i="196"/>
  <c r="B36" i="196"/>
  <c r="A36" i="196"/>
  <c r="O35" i="196"/>
  <c r="N35" i="196"/>
  <c r="K35" i="196"/>
  <c r="F35" i="196"/>
  <c r="D35" i="196"/>
  <c r="B35" i="196"/>
  <c r="A35" i="196"/>
  <c r="O34" i="196"/>
  <c r="N34" i="196"/>
  <c r="K34" i="196"/>
  <c r="F34" i="196"/>
  <c r="D34" i="196"/>
  <c r="B34" i="196"/>
  <c r="A34" i="196"/>
  <c r="O33" i="196"/>
  <c r="N33" i="196"/>
  <c r="K33" i="196"/>
  <c r="F33" i="196"/>
  <c r="D33" i="196"/>
  <c r="B33" i="196"/>
  <c r="A33" i="196"/>
  <c r="O32" i="196"/>
  <c r="N32" i="196"/>
  <c r="K32" i="196"/>
  <c r="F32" i="196"/>
  <c r="D32" i="196"/>
  <c r="B32" i="196"/>
  <c r="A32" i="196"/>
  <c r="O31" i="196"/>
  <c r="N31" i="196"/>
  <c r="K31" i="196"/>
  <c r="F31" i="196"/>
  <c r="D31" i="196"/>
  <c r="B31" i="196"/>
  <c r="A31" i="196"/>
  <c r="O30" i="196"/>
  <c r="N30" i="196"/>
  <c r="K30" i="196"/>
  <c r="F30" i="196"/>
  <c r="D30" i="196"/>
  <c r="B30" i="196"/>
  <c r="A30" i="196"/>
  <c r="O29" i="196"/>
  <c r="N29" i="196"/>
  <c r="K29" i="196"/>
  <c r="F29" i="196"/>
  <c r="D29" i="196"/>
  <c r="B29" i="196"/>
  <c r="A29" i="196"/>
  <c r="O28" i="196"/>
  <c r="N28" i="196"/>
  <c r="K28" i="196"/>
  <c r="F28" i="196"/>
  <c r="D28" i="196"/>
  <c r="B28" i="196"/>
  <c r="A28" i="196"/>
  <c r="O27" i="196"/>
  <c r="N27" i="196"/>
  <c r="K27" i="196"/>
  <c r="F27" i="196"/>
  <c r="D27" i="196"/>
  <c r="B27" i="196"/>
  <c r="A27" i="196"/>
  <c r="O26" i="196"/>
  <c r="N26" i="196"/>
  <c r="K26" i="196"/>
  <c r="F26" i="196"/>
  <c r="D26" i="196"/>
  <c r="B26" i="196"/>
  <c r="A26" i="196"/>
  <c r="O25" i="196"/>
  <c r="N25" i="196"/>
  <c r="K25" i="196"/>
  <c r="F25" i="196"/>
  <c r="D25" i="196"/>
  <c r="B25" i="196"/>
  <c r="A25" i="196"/>
  <c r="O24" i="196"/>
  <c r="N24" i="196"/>
  <c r="K24" i="196"/>
  <c r="F24" i="196"/>
  <c r="D24" i="196"/>
  <c r="B24" i="196"/>
  <c r="A24" i="196"/>
  <c r="O23" i="196"/>
  <c r="N23" i="196"/>
  <c r="K23" i="196"/>
  <c r="F23" i="196"/>
  <c r="D23" i="196"/>
  <c r="B23" i="196"/>
  <c r="A23" i="196"/>
  <c r="O22" i="196"/>
  <c r="N22" i="196"/>
  <c r="K22" i="196"/>
  <c r="F22" i="196"/>
  <c r="D22" i="196"/>
  <c r="B22" i="196"/>
  <c r="A22" i="196"/>
  <c r="O21" i="196"/>
  <c r="N21" i="196"/>
  <c r="K21" i="196"/>
  <c r="F21" i="196"/>
  <c r="D21" i="196"/>
  <c r="B21" i="196"/>
  <c r="A21" i="196"/>
  <c r="O20" i="196"/>
  <c r="N20" i="196"/>
  <c r="K20" i="196"/>
  <c r="F20" i="196"/>
  <c r="D20" i="196"/>
  <c r="B20" i="196"/>
  <c r="A20" i="196"/>
  <c r="O19" i="196"/>
  <c r="N19" i="196"/>
  <c r="K19" i="196"/>
  <c r="F19" i="196"/>
  <c r="D19" i="196"/>
  <c r="B19" i="196"/>
  <c r="A19" i="196"/>
  <c r="O18" i="196"/>
  <c r="N18" i="196"/>
  <c r="K18" i="196"/>
  <c r="F18" i="196"/>
  <c r="D18" i="196"/>
  <c r="B18" i="196"/>
  <c r="A18" i="196"/>
  <c r="O17" i="196"/>
  <c r="N17" i="196"/>
  <c r="K17" i="196"/>
  <c r="F17" i="196"/>
  <c r="D17" i="196"/>
  <c r="B17" i="196"/>
  <c r="A17" i="196"/>
  <c r="O16" i="196"/>
  <c r="N16" i="196"/>
  <c r="K16" i="196"/>
  <c r="F16" i="196"/>
  <c r="D16" i="196"/>
  <c r="B16" i="196"/>
  <c r="A16" i="196"/>
  <c r="O15" i="196"/>
  <c r="N15" i="196"/>
  <c r="K15" i="196"/>
  <c r="F15" i="196"/>
  <c r="D15" i="196"/>
  <c r="B15" i="196"/>
  <c r="A15" i="196"/>
  <c r="O14" i="196"/>
  <c r="N14" i="196"/>
  <c r="K14" i="196"/>
  <c r="F14" i="196"/>
  <c r="D14" i="196"/>
  <c r="B14" i="196"/>
  <c r="A14" i="196"/>
  <c r="O13" i="196"/>
  <c r="N13" i="196"/>
  <c r="K13" i="196"/>
  <c r="F13" i="196"/>
  <c r="D13" i="196"/>
  <c r="B13" i="196"/>
  <c r="A13" i="196"/>
  <c r="O12" i="196"/>
  <c r="N12" i="196"/>
  <c r="K12" i="196"/>
  <c r="F12" i="196"/>
  <c r="D12" i="196"/>
  <c r="B12" i="196"/>
  <c r="A12" i="196"/>
  <c r="O11" i="196"/>
  <c r="N11" i="196"/>
  <c r="K11" i="196"/>
  <c r="F11" i="196"/>
  <c r="D11" i="196"/>
  <c r="B11" i="196"/>
  <c r="A11" i="196"/>
  <c r="O10" i="196"/>
  <c r="N10" i="196"/>
  <c r="K10" i="196"/>
  <c r="F10" i="196"/>
  <c r="D10" i="196"/>
  <c r="B10" i="196"/>
  <c r="A10" i="196"/>
  <c r="O9" i="196"/>
  <c r="N9" i="196"/>
  <c r="K9" i="196"/>
  <c r="F9" i="196"/>
  <c r="D9" i="196"/>
  <c r="B9" i="196"/>
  <c r="A9" i="196"/>
  <c r="O8" i="196"/>
  <c r="H4" i="196"/>
  <c r="B4" i="196"/>
  <c r="N50" i="75"/>
  <c r="D46" i="75"/>
  <c r="D45" i="75"/>
  <c r="B45" i="75"/>
  <c r="D44" i="75"/>
  <c r="B44" i="75"/>
  <c r="D43" i="75"/>
  <c r="B43" i="75"/>
  <c r="N40" i="75"/>
  <c r="M40" i="75"/>
  <c r="K40" i="75"/>
  <c r="J40" i="75"/>
  <c r="I40" i="75"/>
  <c r="H40" i="75"/>
  <c r="G40" i="75"/>
  <c r="F40" i="75"/>
  <c r="E40" i="75"/>
  <c r="D40" i="75"/>
  <c r="C40" i="75"/>
  <c r="B40" i="75"/>
  <c r="O39" i="75"/>
  <c r="N39" i="75"/>
  <c r="K39" i="75"/>
  <c r="F39" i="75"/>
  <c r="D39" i="75"/>
  <c r="A39" i="75"/>
  <c r="O38" i="75"/>
  <c r="N38" i="75"/>
  <c r="K38" i="75"/>
  <c r="F38" i="75"/>
  <c r="D38" i="75"/>
  <c r="A38" i="75"/>
  <c r="O37" i="75"/>
  <c r="N37" i="75"/>
  <c r="K37" i="75"/>
  <c r="F37" i="75"/>
  <c r="D37" i="75"/>
  <c r="B37" i="75"/>
  <c r="A37" i="75"/>
  <c r="O36" i="75"/>
  <c r="N36" i="75"/>
  <c r="K36" i="75"/>
  <c r="F36" i="75"/>
  <c r="D36" i="75"/>
  <c r="B36" i="75"/>
  <c r="A36" i="75"/>
  <c r="O35" i="75"/>
  <c r="N35" i="75"/>
  <c r="K35" i="75"/>
  <c r="F35" i="75"/>
  <c r="D35" i="75"/>
  <c r="B35" i="75"/>
  <c r="A35" i="75"/>
  <c r="O34" i="75"/>
  <c r="N34" i="75"/>
  <c r="K34" i="75"/>
  <c r="F34" i="75"/>
  <c r="D34" i="75"/>
  <c r="B34" i="75"/>
  <c r="A34" i="75"/>
  <c r="O33" i="75"/>
  <c r="N33" i="75"/>
  <c r="K33" i="75"/>
  <c r="F33" i="75"/>
  <c r="D33" i="75"/>
  <c r="B33" i="75"/>
  <c r="A33" i="75"/>
  <c r="O32" i="75"/>
  <c r="N32" i="75"/>
  <c r="K32" i="75"/>
  <c r="F32" i="75"/>
  <c r="D32" i="75"/>
  <c r="B32" i="75"/>
  <c r="A32" i="75"/>
  <c r="O31" i="75"/>
  <c r="N31" i="75"/>
  <c r="K31" i="75"/>
  <c r="F31" i="75"/>
  <c r="D31" i="75"/>
  <c r="B31" i="75"/>
  <c r="A31" i="75"/>
  <c r="O30" i="75"/>
  <c r="N30" i="75"/>
  <c r="K30" i="75"/>
  <c r="F30" i="75"/>
  <c r="D30" i="75"/>
  <c r="B30" i="75"/>
  <c r="A30" i="75"/>
  <c r="O29" i="75"/>
  <c r="N29" i="75"/>
  <c r="K29" i="75"/>
  <c r="F29" i="75"/>
  <c r="D29" i="75"/>
  <c r="B29" i="75"/>
  <c r="A29" i="75"/>
  <c r="O28" i="75"/>
  <c r="N28" i="75"/>
  <c r="K28" i="75"/>
  <c r="F28" i="75"/>
  <c r="D28" i="75"/>
  <c r="B28" i="75"/>
  <c r="A28" i="75"/>
  <c r="O27" i="75"/>
  <c r="N27" i="75"/>
  <c r="K27" i="75"/>
  <c r="F27" i="75"/>
  <c r="D27" i="75"/>
  <c r="B27" i="75"/>
  <c r="A27" i="75"/>
  <c r="O26" i="75"/>
  <c r="N26" i="75"/>
  <c r="K26" i="75"/>
  <c r="F26" i="75"/>
  <c r="D26" i="75"/>
  <c r="B26" i="75"/>
  <c r="A26" i="75"/>
  <c r="O25" i="75"/>
  <c r="N25" i="75"/>
  <c r="K25" i="75"/>
  <c r="F25" i="75"/>
  <c r="D25" i="75"/>
  <c r="B25" i="75"/>
  <c r="A25" i="75"/>
  <c r="O24" i="75"/>
  <c r="N24" i="75"/>
  <c r="K24" i="75"/>
  <c r="F24" i="75"/>
  <c r="D24" i="75"/>
  <c r="B24" i="75"/>
  <c r="A24" i="75"/>
  <c r="O23" i="75"/>
  <c r="N23" i="75"/>
  <c r="K23" i="75"/>
  <c r="F23" i="75"/>
  <c r="D23" i="75"/>
  <c r="B23" i="75"/>
  <c r="A23" i="75"/>
  <c r="O22" i="75"/>
  <c r="N22" i="75"/>
  <c r="K22" i="75"/>
  <c r="F22" i="75"/>
  <c r="D22" i="75"/>
  <c r="B22" i="75"/>
  <c r="A22" i="75"/>
  <c r="O21" i="75"/>
  <c r="N21" i="75"/>
  <c r="K21" i="75"/>
  <c r="F21" i="75"/>
  <c r="D21" i="75"/>
  <c r="B21" i="75"/>
  <c r="A21" i="75"/>
  <c r="O20" i="75"/>
  <c r="N20" i="75"/>
  <c r="K20" i="75"/>
  <c r="F20" i="75"/>
  <c r="D20" i="75"/>
  <c r="B20" i="75"/>
  <c r="A20" i="75"/>
  <c r="O19" i="75"/>
  <c r="N19" i="75"/>
  <c r="K19" i="75"/>
  <c r="F19" i="75"/>
  <c r="D19" i="75"/>
  <c r="B19" i="75"/>
  <c r="A19" i="75"/>
  <c r="O18" i="75"/>
  <c r="N18" i="75"/>
  <c r="K18" i="75"/>
  <c r="F18" i="75"/>
  <c r="D18" i="75"/>
  <c r="B18" i="75"/>
  <c r="A18" i="75"/>
  <c r="O17" i="75"/>
  <c r="N17" i="75"/>
  <c r="K17" i="75"/>
  <c r="F17" i="75"/>
  <c r="D17" i="75"/>
  <c r="B17" i="75"/>
  <c r="A17" i="75"/>
  <c r="O16" i="75"/>
  <c r="N16" i="75"/>
  <c r="K16" i="75"/>
  <c r="F16" i="75"/>
  <c r="D16" i="75"/>
  <c r="B16" i="75"/>
  <c r="A16" i="75"/>
  <c r="O15" i="75"/>
  <c r="N15" i="75"/>
  <c r="K15" i="75"/>
  <c r="F15" i="75"/>
  <c r="D15" i="75"/>
  <c r="B15" i="75"/>
  <c r="A15" i="75"/>
  <c r="O14" i="75"/>
  <c r="N14" i="75"/>
  <c r="K14" i="75"/>
  <c r="F14" i="75"/>
  <c r="D14" i="75"/>
  <c r="B14" i="75"/>
  <c r="A14" i="75"/>
  <c r="O13" i="75"/>
  <c r="N13" i="75"/>
  <c r="K13" i="75"/>
  <c r="F13" i="75"/>
  <c r="D13" i="75"/>
  <c r="B13" i="75"/>
  <c r="A13" i="75"/>
  <c r="O12" i="75"/>
  <c r="N12" i="75"/>
  <c r="K12" i="75"/>
  <c r="F12" i="75"/>
  <c r="D12" i="75"/>
  <c r="B12" i="75"/>
  <c r="A12" i="75"/>
  <c r="O11" i="75"/>
  <c r="N11" i="75"/>
  <c r="K11" i="75"/>
  <c r="F11" i="75"/>
  <c r="D11" i="75"/>
  <c r="B11" i="75"/>
  <c r="A11" i="75"/>
  <c r="O10" i="75"/>
  <c r="N10" i="75"/>
  <c r="K10" i="75"/>
  <c r="F10" i="75"/>
  <c r="D10" i="75"/>
  <c r="A10" i="75"/>
  <c r="O9" i="75"/>
  <c r="N9" i="75"/>
  <c r="K9" i="75"/>
  <c r="F9" i="75"/>
  <c r="D9" i="75"/>
  <c r="B9" i="75"/>
  <c r="O8" i="75"/>
  <c r="H3" i="75"/>
  <c r="D46" i="282"/>
  <c r="D45" i="282"/>
  <c r="B45" i="282"/>
  <c r="D44" i="282"/>
  <c r="B44" i="282"/>
  <c r="H43" i="282"/>
  <c r="D43" i="282"/>
  <c r="B43" i="282"/>
  <c r="F42" i="282"/>
  <c r="E42" i="282"/>
  <c r="N40" i="282"/>
  <c r="M40" i="282"/>
  <c r="K40" i="282"/>
  <c r="J40" i="282"/>
  <c r="I40" i="282"/>
  <c r="H40" i="282"/>
  <c r="G40" i="282"/>
  <c r="F40" i="282"/>
  <c r="E40" i="282"/>
  <c r="D40" i="282"/>
  <c r="C40" i="282"/>
  <c r="B40" i="282"/>
  <c r="P39" i="282"/>
  <c r="O39" i="282"/>
  <c r="N39" i="282"/>
  <c r="K39" i="282"/>
  <c r="F39" i="282"/>
  <c r="D39" i="282"/>
  <c r="B39" i="282"/>
  <c r="A39" i="282"/>
  <c r="P38" i="282"/>
  <c r="O38" i="282"/>
  <c r="N38" i="282"/>
  <c r="K38" i="282"/>
  <c r="F38" i="282"/>
  <c r="D38" i="282"/>
  <c r="B38" i="282"/>
  <c r="A38" i="282"/>
  <c r="P37" i="282"/>
  <c r="O37" i="282"/>
  <c r="N37" i="282"/>
  <c r="K37" i="282"/>
  <c r="F37" i="282"/>
  <c r="D37" i="282"/>
  <c r="B37" i="282"/>
  <c r="A37" i="282"/>
  <c r="P36" i="282"/>
  <c r="O36" i="282"/>
  <c r="N36" i="282"/>
  <c r="K36" i="282"/>
  <c r="F36" i="282"/>
  <c r="D36" i="282"/>
  <c r="B36" i="282"/>
  <c r="A36" i="282"/>
  <c r="P35" i="282"/>
  <c r="O35" i="282"/>
  <c r="N35" i="282"/>
  <c r="K35" i="282"/>
  <c r="F35" i="282"/>
  <c r="D35" i="282"/>
  <c r="B35" i="282"/>
  <c r="A35" i="282"/>
  <c r="P34" i="282"/>
  <c r="O34" i="282"/>
  <c r="N34" i="282"/>
  <c r="K34" i="282"/>
  <c r="F34" i="282"/>
  <c r="D34" i="282"/>
  <c r="B34" i="282"/>
  <c r="A34" i="282"/>
  <c r="P33" i="282"/>
  <c r="O33" i="282"/>
  <c r="N33" i="282"/>
  <c r="K33" i="282"/>
  <c r="F33" i="282"/>
  <c r="D33" i="282"/>
  <c r="B33" i="282"/>
  <c r="A33" i="282"/>
  <c r="P32" i="282"/>
  <c r="O32" i="282"/>
  <c r="N32" i="282"/>
  <c r="K32" i="282"/>
  <c r="F32" i="282"/>
  <c r="D32" i="282"/>
  <c r="B32" i="282"/>
  <c r="A32" i="282"/>
  <c r="P31" i="282"/>
  <c r="O31" i="282"/>
  <c r="N31" i="282"/>
  <c r="K31" i="282"/>
  <c r="F31" i="282"/>
  <c r="D31" i="282"/>
  <c r="B31" i="282"/>
  <c r="A31" i="282"/>
  <c r="P30" i="282"/>
  <c r="O30" i="282"/>
  <c r="N30" i="282"/>
  <c r="K30" i="282"/>
  <c r="F30" i="282"/>
  <c r="D30" i="282"/>
  <c r="B30" i="282"/>
  <c r="A30" i="282"/>
  <c r="P29" i="282"/>
  <c r="O29" i="282"/>
  <c r="N29" i="282"/>
  <c r="K29" i="282"/>
  <c r="F29" i="282"/>
  <c r="D29" i="282"/>
  <c r="B29" i="282"/>
  <c r="A29" i="282"/>
  <c r="P28" i="282"/>
  <c r="O28" i="282"/>
  <c r="N28" i="282"/>
  <c r="K28" i="282"/>
  <c r="F28" i="282"/>
  <c r="D28" i="282"/>
  <c r="B28" i="282"/>
  <c r="A28" i="282"/>
  <c r="P27" i="282"/>
  <c r="O27" i="282"/>
  <c r="N27" i="282"/>
  <c r="K27" i="282"/>
  <c r="F27" i="282"/>
  <c r="D27" i="282"/>
  <c r="B27" i="282"/>
  <c r="A27" i="282"/>
  <c r="P26" i="282"/>
  <c r="O26" i="282"/>
  <c r="N26" i="282"/>
  <c r="K26" i="282"/>
  <c r="F26" i="282"/>
  <c r="D26" i="282"/>
  <c r="B26" i="282"/>
  <c r="A26" i="282"/>
  <c r="P25" i="282"/>
  <c r="O25" i="282"/>
  <c r="N25" i="282"/>
  <c r="K25" i="282"/>
  <c r="F25" i="282"/>
  <c r="D25" i="282"/>
  <c r="B25" i="282"/>
  <c r="A25" i="282"/>
  <c r="P24" i="282"/>
  <c r="O24" i="282"/>
  <c r="N24" i="282"/>
  <c r="K24" i="282"/>
  <c r="F24" i="282"/>
  <c r="D24" i="282"/>
  <c r="B24" i="282"/>
  <c r="A24" i="282"/>
  <c r="P23" i="282"/>
  <c r="O23" i="282"/>
  <c r="N23" i="282"/>
  <c r="K23" i="282"/>
  <c r="F23" i="282"/>
  <c r="D23" i="282"/>
  <c r="B23" i="282"/>
  <c r="A23" i="282"/>
  <c r="P22" i="282"/>
  <c r="O22" i="282"/>
  <c r="N22" i="282"/>
  <c r="K22" i="282"/>
  <c r="F22" i="282"/>
  <c r="D22" i="282"/>
  <c r="B22" i="282"/>
  <c r="A22" i="282"/>
  <c r="P21" i="282"/>
  <c r="O21" i="282"/>
  <c r="N21" i="282"/>
  <c r="K21" i="282"/>
  <c r="F21" i="282"/>
  <c r="D21" i="282"/>
  <c r="B21" i="282"/>
  <c r="A21" i="282"/>
  <c r="Q20" i="282"/>
  <c r="P20" i="282"/>
  <c r="O20" i="282"/>
  <c r="N20" i="282"/>
  <c r="K20" i="282"/>
  <c r="F20" i="282"/>
  <c r="D20" i="282"/>
  <c r="B20" i="282"/>
  <c r="A20" i="282"/>
  <c r="O19" i="282"/>
  <c r="N19" i="282"/>
  <c r="K19" i="282"/>
  <c r="F19" i="282"/>
  <c r="D19" i="282"/>
  <c r="B19" i="282"/>
  <c r="A19" i="282"/>
  <c r="O18" i="282"/>
  <c r="N18" i="282"/>
  <c r="K18" i="282"/>
  <c r="F18" i="282"/>
  <c r="D18" i="282"/>
  <c r="B18" i="282"/>
  <c r="A18" i="282"/>
  <c r="O17" i="282"/>
  <c r="N17" i="282"/>
  <c r="K17" i="282"/>
  <c r="F17" i="282"/>
  <c r="D17" i="282"/>
  <c r="B17" i="282"/>
  <c r="A17" i="282"/>
  <c r="O16" i="282"/>
  <c r="N16" i="282"/>
  <c r="K16" i="282"/>
  <c r="F16" i="282"/>
  <c r="D16" i="282"/>
  <c r="B16" i="282"/>
  <c r="A16" i="282"/>
  <c r="O15" i="282"/>
  <c r="N15" i="282"/>
  <c r="K15" i="282"/>
  <c r="F15" i="282"/>
  <c r="D15" i="282"/>
  <c r="B15" i="282"/>
  <c r="A15" i="282"/>
  <c r="O14" i="282"/>
  <c r="N14" i="282"/>
  <c r="K14" i="282"/>
  <c r="F14" i="282"/>
  <c r="D14" i="282"/>
  <c r="B14" i="282"/>
  <c r="A14" i="282"/>
  <c r="O13" i="282"/>
  <c r="N13" i="282"/>
  <c r="K13" i="282"/>
  <c r="F13" i="282"/>
  <c r="D13" i="282"/>
  <c r="B13" i="282"/>
  <c r="A13" i="282"/>
  <c r="O12" i="282"/>
  <c r="N12" i="282"/>
  <c r="K12" i="282"/>
  <c r="F12" i="282"/>
  <c r="D12" i="282"/>
  <c r="B12" i="282"/>
  <c r="A12" i="282"/>
  <c r="O11" i="282"/>
  <c r="N11" i="282"/>
  <c r="K11" i="282"/>
  <c r="F11" i="282"/>
  <c r="D11" i="282"/>
  <c r="B11" i="282"/>
  <c r="A11" i="282"/>
  <c r="O10" i="282"/>
  <c r="N10" i="282"/>
  <c r="K10" i="282"/>
  <c r="F10" i="282"/>
  <c r="D10" i="282"/>
  <c r="B10" i="282"/>
  <c r="A10" i="282"/>
  <c r="O9" i="282"/>
  <c r="N9" i="282"/>
  <c r="K9" i="282"/>
  <c r="F9" i="282"/>
  <c r="D9" i="282"/>
  <c r="B9" i="282"/>
  <c r="A9" i="282"/>
  <c r="O8" i="282"/>
  <c r="B4" i="282"/>
  <c r="N39" i="122"/>
  <c r="M39" i="122"/>
  <c r="K39" i="122"/>
  <c r="J39" i="122"/>
  <c r="I39" i="122"/>
  <c r="H39" i="122"/>
  <c r="G39" i="122"/>
  <c r="F39" i="122"/>
  <c r="E39" i="122"/>
  <c r="D39" i="122"/>
  <c r="C39" i="122"/>
  <c r="B39" i="122"/>
  <c r="P38" i="122"/>
  <c r="O38" i="122"/>
  <c r="N38" i="122"/>
  <c r="K38" i="122"/>
  <c r="F38" i="122"/>
  <c r="D38" i="122"/>
  <c r="B38" i="122"/>
  <c r="A38" i="122"/>
  <c r="P37" i="122"/>
  <c r="O37" i="122"/>
  <c r="N37" i="122"/>
  <c r="K37" i="122"/>
  <c r="F37" i="122"/>
  <c r="D37" i="122"/>
  <c r="B37" i="122"/>
  <c r="A37" i="122"/>
  <c r="P36" i="122"/>
  <c r="O36" i="122"/>
  <c r="N36" i="122"/>
  <c r="K36" i="122"/>
  <c r="F36" i="122"/>
  <c r="D36" i="122"/>
  <c r="B36" i="122"/>
  <c r="A36" i="122"/>
  <c r="P35" i="122"/>
  <c r="O35" i="122"/>
  <c r="N35" i="122"/>
  <c r="K35" i="122"/>
  <c r="F35" i="122"/>
  <c r="D35" i="122"/>
  <c r="B35" i="122"/>
  <c r="A35" i="122"/>
  <c r="P34" i="122"/>
  <c r="O34" i="122"/>
  <c r="N34" i="122"/>
  <c r="K34" i="122"/>
  <c r="F34" i="122"/>
  <c r="D34" i="122"/>
  <c r="B34" i="122"/>
  <c r="A34" i="122"/>
  <c r="P33" i="122"/>
  <c r="O33" i="122"/>
  <c r="N33" i="122"/>
  <c r="K33" i="122"/>
  <c r="F33" i="122"/>
  <c r="D33" i="122"/>
  <c r="B33" i="122"/>
  <c r="A33" i="122"/>
  <c r="O32" i="122"/>
  <c r="N32" i="122"/>
  <c r="K32" i="122"/>
  <c r="F32" i="122"/>
  <c r="D32" i="122"/>
  <c r="B32" i="122"/>
  <c r="A32" i="122"/>
  <c r="O31" i="122"/>
  <c r="N31" i="122"/>
  <c r="K31" i="122"/>
  <c r="F31" i="122"/>
  <c r="D31" i="122"/>
  <c r="B31" i="122"/>
  <c r="A31" i="122"/>
  <c r="O30" i="122"/>
  <c r="N30" i="122"/>
  <c r="K30" i="122"/>
  <c r="F30" i="122"/>
  <c r="D30" i="122"/>
  <c r="B30" i="122"/>
  <c r="A30" i="122"/>
  <c r="O29" i="122"/>
  <c r="N29" i="122"/>
  <c r="K29" i="122"/>
  <c r="F29" i="122"/>
  <c r="D29" i="122"/>
  <c r="B29" i="122"/>
  <c r="A29" i="122"/>
  <c r="O28" i="122"/>
  <c r="N28" i="122"/>
  <c r="K28" i="122"/>
  <c r="F28" i="122"/>
  <c r="D28" i="122"/>
  <c r="B28" i="122"/>
  <c r="A28" i="122"/>
  <c r="O27" i="122"/>
  <c r="N27" i="122"/>
  <c r="K27" i="122"/>
  <c r="F27" i="122"/>
  <c r="D27" i="122"/>
  <c r="B27" i="122"/>
  <c r="A27" i="122"/>
  <c r="O26" i="122"/>
  <c r="N26" i="122"/>
  <c r="K26" i="122"/>
  <c r="F26" i="122"/>
  <c r="D26" i="122"/>
  <c r="B26" i="122"/>
  <c r="A26" i="122"/>
  <c r="O25" i="122"/>
  <c r="N25" i="122"/>
  <c r="K25" i="122"/>
  <c r="F25" i="122"/>
  <c r="D25" i="122"/>
  <c r="B25" i="122"/>
  <c r="A25" i="122"/>
  <c r="O24" i="122"/>
  <c r="N24" i="122"/>
  <c r="K24" i="122"/>
  <c r="F24" i="122"/>
  <c r="D24" i="122"/>
  <c r="B24" i="122"/>
  <c r="A24" i="122"/>
  <c r="O23" i="122"/>
  <c r="N23" i="122"/>
  <c r="K23" i="122"/>
  <c r="F23" i="122"/>
  <c r="D23" i="122"/>
  <c r="B23" i="122"/>
  <c r="A23" i="122"/>
  <c r="O22" i="122"/>
  <c r="N22" i="122"/>
  <c r="K22" i="122"/>
  <c r="F22" i="122"/>
  <c r="D22" i="122"/>
  <c r="B22" i="122"/>
  <c r="A22" i="122"/>
  <c r="O21" i="122"/>
  <c r="N21" i="122"/>
  <c r="K21" i="122"/>
  <c r="F21" i="122"/>
  <c r="D21" i="122"/>
  <c r="B21" i="122"/>
  <c r="A21" i="122"/>
  <c r="O20" i="122"/>
  <c r="N20" i="122"/>
  <c r="K20" i="122"/>
  <c r="F20" i="122"/>
  <c r="D20" i="122"/>
  <c r="B20" i="122"/>
  <c r="A20" i="122"/>
  <c r="O19" i="122"/>
  <c r="N19" i="122"/>
  <c r="K19" i="122"/>
  <c r="F19" i="122"/>
  <c r="D19" i="122"/>
  <c r="B19" i="122"/>
  <c r="A19" i="122"/>
  <c r="O18" i="122"/>
  <c r="N18" i="122"/>
  <c r="K18" i="122"/>
  <c r="F18" i="122"/>
  <c r="D18" i="122"/>
  <c r="B18" i="122"/>
  <c r="A18" i="122"/>
  <c r="O17" i="122"/>
  <c r="N17" i="122"/>
  <c r="K17" i="122"/>
  <c r="F17" i="122"/>
  <c r="D17" i="122"/>
  <c r="B17" i="122"/>
  <c r="A17" i="122"/>
  <c r="O16" i="122"/>
  <c r="N16" i="122"/>
  <c r="K16" i="122"/>
  <c r="F16" i="122"/>
  <c r="D16" i="122"/>
  <c r="B16" i="122"/>
  <c r="A16" i="122"/>
  <c r="O15" i="122"/>
  <c r="N15" i="122"/>
  <c r="K15" i="122"/>
  <c r="F15" i="122"/>
  <c r="D15" i="122"/>
  <c r="B15" i="122"/>
  <c r="A15" i="122"/>
  <c r="O14" i="122"/>
  <c r="N14" i="122"/>
  <c r="K14" i="122"/>
  <c r="F14" i="122"/>
  <c r="D14" i="122"/>
  <c r="B14" i="122"/>
  <c r="A14" i="122"/>
  <c r="O13" i="122"/>
  <c r="N13" i="122"/>
  <c r="K13" i="122"/>
  <c r="F13" i="122"/>
  <c r="D13" i="122"/>
  <c r="B13" i="122"/>
  <c r="A13" i="122"/>
  <c r="O12" i="122"/>
  <c r="N12" i="122"/>
  <c r="K12" i="122"/>
  <c r="F12" i="122"/>
  <c r="D12" i="122"/>
  <c r="B12" i="122"/>
  <c r="A12" i="122"/>
  <c r="O11" i="122"/>
  <c r="N11" i="122"/>
  <c r="K11" i="122"/>
  <c r="F11" i="122"/>
  <c r="D11" i="122"/>
  <c r="B11" i="122"/>
  <c r="A11" i="122"/>
  <c r="O10" i="122"/>
  <c r="N10" i="122"/>
  <c r="K10" i="122"/>
  <c r="F10" i="122"/>
  <c r="D10" i="122"/>
  <c r="B10" i="122"/>
  <c r="A10" i="122"/>
  <c r="O9" i="122"/>
  <c r="N9" i="122"/>
  <c r="K9" i="122"/>
  <c r="F9" i="122"/>
  <c r="D9" i="122"/>
  <c r="B9" i="122"/>
  <c r="A9" i="122"/>
  <c r="O8" i="122"/>
  <c r="N8" i="122"/>
  <c r="K8" i="122"/>
  <c r="F8" i="122"/>
  <c r="D8" i="122"/>
  <c r="B8" i="122"/>
  <c r="A8" i="122"/>
  <c r="O7" i="122"/>
  <c r="B3" i="122"/>
  <c r="D47" i="142"/>
  <c r="D46" i="142"/>
  <c r="B46" i="142"/>
  <c r="D45" i="142"/>
  <c r="B45" i="142"/>
  <c r="D44" i="142"/>
  <c r="B44" i="142"/>
  <c r="N41" i="142"/>
  <c r="M41" i="142"/>
  <c r="K41" i="142"/>
  <c r="J41" i="142"/>
  <c r="I41" i="142"/>
  <c r="H41" i="142"/>
  <c r="G41" i="142"/>
  <c r="F41" i="142"/>
  <c r="E41" i="142"/>
  <c r="D41" i="142"/>
  <c r="C41" i="142"/>
  <c r="B41" i="142"/>
  <c r="O40" i="142"/>
  <c r="N40" i="142"/>
  <c r="K40" i="142"/>
  <c r="F40" i="142"/>
  <c r="D40" i="142"/>
  <c r="B40" i="142"/>
  <c r="A40" i="142"/>
  <c r="O39" i="142"/>
  <c r="N39" i="142"/>
  <c r="K39" i="142"/>
  <c r="F39" i="142"/>
  <c r="D39" i="142"/>
  <c r="B39" i="142"/>
  <c r="A39" i="142"/>
  <c r="O38" i="142"/>
  <c r="N38" i="142"/>
  <c r="K38" i="142"/>
  <c r="F38" i="142"/>
  <c r="D38" i="142"/>
  <c r="B38" i="142"/>
  <c r="A38" i="142"/>
  <c r="O37" i="142"/>
  <c r="N37" i="142"/>
  <c r="K37" i="142"/>
  <c r="F37" i="142"/>
  <c r="D37" i="142"/>
  <c r="B37" i="142"/>
  <c r="A37" i="142"/>
  <c r="O36" i="142"/>
  <c r="N36" i="142"/>
  <c r="K36" i="142"/>
  <c r="F36" i="142"/>
  <c r="D36" i="142"/>
  <c r="B36" i="142"/>
  <c r="A36" i="142"/>
  <c r="O35" i="142"/>
  <c r="N35" i="142"/>
  <c r="K35" i="142"/>
  <c r="F35" i="142"/>
  <c r="D35" i="142"/>
  <c r="B35" i="142"/>
  <c r="A35" i="142"/>
  <c r="O34" i="142"/>
  <c r="N34" i="142"/>
  <c r="K34" i="142"/>
  <c r="F34" i="142"/>
  <c r="D34" i="142"/>
  <c r="B34" i="142"/>
  <c r="A34" i="142"/>
  <c r="O33" i="142"/>
  <c r="N33" i="142"/>
  <c r="K33" i="142"/>
  <c r="F33" i="142"/>
  <c r="D33" i="142"/>
  <c r="B33" i="142"/>
  <c r="A33" i="142"/>
  <c r="O32" i="142"/>
  <c r="N32" i="142"/>
  <c r="K32" i="142"/>
  <c r="F32" i="142"/>
  <c r="D32" i="142"/>
  <c r="B32" i="142"/>
  <c r="A32" i="142"/>
  <c r="O31" i="142"/>
  <c r="N31" i="142"/>
  <c r="K31" i="142"/>
  <c r="F31" i="142"/>
  <c r="D31" i="142"/>
  <c r="B31" i="142"/>
  <c r="A31" i="142"/>
  <c r="O30" i="142"/>
  <c r="N30" i="142"/>
  <c r="K30" i="142"/>
  <c r="F30" i="142"/>
  <c r="D30" i="142"/>
  <c r="B30" i="142"/>
  <c r="A30" i="142"/>
  <c r="O29" i="142"/>
  <c r="N29" i="142"/>
  <c r="K29" i="142"/>
  <c r="F29" i="142"/>
  <c r="D29" i="142"/>
  <c r="B29" i="142"/>
  <c r="A29" i="142"/>
  <c r="O28" i="142"/>
  <c r="N28" i="142"/>
  <c r="K28" i="142"/>
  <c r="F28" i="142"/>
  <c r="D28" i="142"/>
  <c r="B28" i="142"/>
  <c r="A28" i="142"/>
  <c r="O27" i="142"/>
  <c r="N27" i="142"/>
  <c r="K27" i="142"/>
  <c r="F27" i="142"/>
  <c r="D27" i="142"/>
  <c r="B27" i="142"/>
  <c r="A27" i="142"/>
  <c r="O26" i="142"/>
  <c r="N26" i="142"/>
  <c r="K26" i="142"/>
  <c r="F26" i="142"/>
  <c r="D26" i="142"/>
  <c r="B26" i="142"/>
  <c r="A26" i="142"/>
  <c r="O25" i="142"/>
  <c r="N25" i="142"/>
  <c r="K25" i="142"/>
  <c r="F25" i="142"/>
  <c r="D25" i="142"/>
  <c r="B25" i="142"/>
  <c r="A25" i="142"/>
  <c r="O24" i="142"/>
  <c r="N24" i="142"/>
  <c r="K24" i="142"/>
  <c r="F24" i="142"/>
  <c r="D24" i="142"/>
  <c r="B24" i="142"/>
  <c r="A24" i="142"/>
  <c r="O23" i="142"/>
  <c r="N23" i="142"/>
  <c r="K23" i="142"/>
  <c r="F23" i="142"/>
  <c r="D23" i="142"/>
  <c r="B23" i="142"/>
  <c r="A23" i="142"/>
  <c r="O22" i="142"/>
  <c r="N22" i="142"/>
  <c r="K22" i="142"/>
  <c r="F22" i="142"/>
  <c r="D22" i="142"/>
  <c r="B22" i="142"/>
  <c r="A22" i="142"/>
  <c r="O21" i="142"/>
  <c r="N21" i="142"/>
  <c r="K21" i="142"/>
  <c r="F21" i="142"/>
  <c r="D21" i="142"/>
  <c r="B21" i="142"/>
  <c r="A21" i="142"/>
  <c r="O20" i="142"/>
  <c r="N20" i="142"/>
  <c r="K20" i="142"/>
  <c r="F20" i="142"/>
  <c r="D20" i="142"/>
  <c r="B20" i="142"/>
  <c r="A20" i="142"/>
  <c r="O19" i="142"/>
  <c r="N19" i="142"/>
  <c r="K19" i="142"/>
  <c r="F19" i="142"/>
  <c r="D19" i="142"/>
  <c r="B19" i="142"/>
  <c r="A19" i="142"/>
  <c r="O18" i="142"/>
  <c r="N18" i="142"/>
  <c r="K18" i="142"/>
  <c r="F18" i="142"/>
  <c r="D18" i="142"/>
  <c r="B18" i="142"/>
  <c r="A18" i="142"/>
  <c r="O17" i="142"/>
  <c r="N17" i="142"/>
  <c r="K17" i="142"/>
  <c r="F17" i="142"/>
  <c r="D17" i="142"/>
  <c r="B17" i="142"/>
  <c r="A17" i="142"/>
  <c r="O16" i="142"/>
  <c r="N16" i="142"/>
  <c r="K16" i="142"/>
  <c r="F16" i="142"/>
  <c r="D16" i="142"/>
  <c r="B16" i="142"/>
  <c r="A16" i="142"/>
  <c r="O15" i="142"/>
  <c r="N15" i="142"/>
  <c r="K15" i="142"/>
  <c r="F15" i="142"/>
  <c r="D15" i="142"/>
  <c r="B15" i="142"/>
  <c r="A15" i="142"/>
  <c r="O14" i="142"/>
  <c r="N14" i="142"/>
  <c r="K14" i="142"/>
  <c r="F14" i="142"/>
  <c r="D14" i="142"/>
  <c r="B14" i="142"/>
  <c r="A14" i="142"/>
  <c r="O13" i="142"/>
  <c r="N13" i="142"/>
  <c r="K13" i="142"/>
  <c r="F13" i="142"/>
  <c r="D13" i="142"/>
  <c r="B13" i="142"/>
  <c r="A13" i="142"/>
  <c r="O12" i="142"/>
  <c r="N12" i="142"/>
  <c r="K12" i="142"/>
  <c r="F12" i="142"/>
  <c r="D12" i="142"/>
  <c r="B12" i="142"/>
  <c r="A12" i="142"/>
  <c r="O11" i="142"/>
  <c r="N11" i="142"/>
  <c r="K11" i="142"/>
  <c r="F11" i="142"/>
  <c r="D11" i="142"/>
  <c r="B11" i="142"/>
  <c r="A11" i="142"/>
  <c r="O10" i="142"/>
  <c r="N10" i="142"/>
  <c r="K10" i="142"/>
  <c r="F10" i="142"/>
  <c r="D10" i="142"/>
  <c r="B10" i="142"/>
  <c r="A10" i="142"/>
  <c r="O9" i="142"/>
  <c r="N40" i="83"/>
  <c r="M40" i="83"/>
  <c r="K40" i="83"/>
  <c r="J40" i="83"/>
  <c r="I40" i="83"/>
  <c r="H40" i="83"/>
  <c r="G40" i="83"/>
  <c r="F40" i="83"/>
  <c r="E40" i="83"/>
  <c r="D40" i="83"/>
  <c r="C40" i="83"/>
  <c r="B40" i="83"/>
  <c r="O39" i="83"/>
  <c r="N39" i="83"/>
  <c r="K39" i="83"/>
  <c r="F39" i="83"/>
  <c r="D39" i="83"/>
  <c r="B39" i="83"/>
  <c r="A39" i="83"/>
  <c r="O38" i="83"/>
  <c r="N38" i="83"/>
  <c r="K38" i="83"/>
  <c r="F38" i="83"/>
  <c r="D38" i="83"/>
  <c r="B38" i="83"/>
  <c r="A38" i="83"/>
  <c r="O37" i="83"/>
  <c r="N37" i="83"/>
  <c r="K37" i="83"/>
  <c r="F37" i="83"/>
  <c r="D37" i="83"/>
  <c r="B37" i="83"/>
  <c r="A37" i="83"/>
  <c r="O36" i="83"/>
  <c r="N36" i="83"/>
  <c r="K36" i="83"/>
  <c r="F36" i="83"/>
  <c r="D36" i="83"/>
  <c r="B36" i="83"/>
  <c r="A36" i="83"/>
  <c r="O35" i="83"/>
  <c r="N35" i="83"/>
  <c r="K35" i="83"/>
  <c r="F35" i="83"/>
  <c r="D35" i="83"/>
  <c r="B35" i="83"/>
  <c r="A35" i="83"/>
  <c r="O34" i="83"/>
  <c r="N34" i="83"/>
  <c r="K34" i="83"/>
  <c r="F34" i="83"/>
  <c r="D34" i="83"/>
  <c r="B34" i="83"/>
  <c r="A34" i="83"/>
  <c r="O33" i="83"/>
  <c r="N33" i="83"/>
  <c r="K33" i="83"/>
  <c r="F33" i="83"/>
  <c r="D33" i="83"/>
  <c r="B33" i="83"/>
  <c r="A33" i="83"/>
  <c r="O32" i="83"/>
  <c r="N32" i="83"/>
  <c r="K32" i="83"/>
  <c r="F32" i="83"/>
  <c r="D32" i="83"/>
  <c r="B32" i="83"/>
  <c r="A32" i="83"/>
  <c r="O31" i="83"/>
  <c r="N31" i="83"/>
  <c r="K31" i="83"/>
  <c r="F31" i="83"/>
  <c r="D31" i="83"/>
  <c r="B31" i="83"/>
  <c r="A31" i="83"/>
  <c r="O30" i="83"/>
  <c r="N30" i="83"/>
  <c r="K30" i="83"/>
  <c r="F30" i="83"/>
  <c r="D30" i="83"/>
  <c r="B30" i="83"/>
  <c r="A30" i="83"/>
  <c r="O29" i="83"/>
  <c r="N29" i="83"/>
  <c r="K29" i="83"/>
  <c r="F29" i="83"/>
  <c r="D29" i="83"/>
  <c r="B29" i="83"/>
  <c r="A29" i="83"/>
  <c r="O28" i="83"/>
  <c r="N28" i="83"/>
  <c r="K28" i="83"/>
  <c r="F28" i="83"/>
  <c r="D28" i="83"/>
  <c r="B28" i="83"/>
  <c r="A28" i="83"/>
  <c r="O27" i="83"/>
  <c r="N27" i="83"/>
  <c r="K27" i="83"/>
  <c r="F27" i="83"/>
  <c r="D27" i="83"/>
  <c r="B27" i="83"/>
  <c r="A27" i="83"/>
  <c r="O26" i="83"/>
  <c r="N26" i="83"/>
  <c r="K26" i="83"/>
  <c r="F26" i="83"/>
  <c r="D26" i="83"/>
  <c r="B26" i="83"/>
  <c r="A26" i="83"/>
  <c r="O25" i="83"/>
  <c r="N25" i="83"/>
  <c r="K25" i="83"/>
  <c r="F25" i="83"/>
  <c r="D25" i="83"/>
  <c r="B25" i="83"/>
  <c r="A25" i="83"/>
  <c r="O24" i="83"/>
  <c r="N24" i="83"/>
  <c r="K24" i="83"/>
  <c r="F24" i="83"/>
  <c r="D24" i="83"/>
  <c r="B24" i="83"/>
  <c r="A24" i="83"/>
  <c r="O23" i="83"/>
  <c r="N23" i="83"/>
  <c r="K23" i="83"/>
  <c r="F23" i="83"/>
  <c r="D23" i="83"/>
  <c r="B23" i="83"/>
  <c r="A23" i="83"/>
  <c r="O22" i="83"/>
  <c r="N22" i="83"/>
  <c r="K22" i="83"/>
  <c r="F22" i="83"/>
  <c r="D22" i="83"/>
  <c r="B22" i="83"/>
  <c r="A22" i="83"/>
  <c r="O21" i="83"/>
  <c r="N21" i="83"/>
  <c r="K21" i="83"/>
  <c r="F21" i="83"/>
  <c r="D21" i="83"/>
  <c r="B21" i="83"/>
  <c r="A21" i="83"/>
  <c r="Q20" i="83"/>
  <c r="O20" i="83"/>
  <c r="N20" i="83"/>
  <c r="K20" i="83"/>
  <c r="F20" i="83"/>
  <c r="D20" i="83"/>
  <c r="B20" i="83"/>
  <c r="A20" i="83"/>
  <c r="O19" i="83"/>
  <c r="N19" i="83"/>
  <c r="K19" i="83"/>
  <c r="F19" i="83"/>
  <c r="D19" i="83"/>
  <c r="B19" i="83"/>
  <c r="A19" i="83"/>
  <c r="O18" i="83"/>
  <c r="N18" i="83"/>
  <c r="K18" i="83"/>
  <c r="F18" i="83"/>
  <c r="D18" i="83"/>
  <c r="B18" i="83"/>
  <c r="A18" i="83"/>
  <c r="Q17" i="83"/>
  <c r="O17" i="83"/>
  <c r="N17" i="83"/>
  <c r="K17" i="83"/>
  <c r="F17" i="83"/>
  <c r="D17" i="83"/>
  <c r="B17" i="83"/>
  <c r="A17" i="83"/>
  <c r="O16" i="83"/>
  <c r="N16" i="83"/>
  <c r="K16" i="83"/>
  <c r="F16" i="83"/>
  <c r="D16" i="83"/>
  <c r="B16" i="83"/>
  <c r="A16" i="83"/>
  <c r="O15" i="83"/>
  <c r="N15" i="83"/>
  <c r="K15" i="83"/>
  <c r="F15" i="83"/>
  <c r="D15" i="83"/>
  <c r="B15" i="83"/>
  <c r="A15" i="83"/>
  <c r="Q14" i="83"/>
  <c r="O14" i="83"/>
  <c r="N14" i="83"/>
  <c r="K14" i="83"/>
  <c r="F14" i="83"/>
  <c r="D14" i="83"/>
  <c r="B14" i="83"/>
  <c r="A14" i="83"/>
  <c r="O13" i="83"/>
  <c r="N13" i="83"/>
  <c r="K13" i="83"/>
  <c r="F13" i="83"/>
  <c r="D13" i="83"/>
  <c r="B13" i="83"/>
  <c r="A13" i="83"/>
  <c r="O12" i="83"/>
  <c r="N12" i="83"/>
  <c r="K12" i="83"/>
  <c r="F12" i="83"/>
  <c r="D12" i="83"/>
  <c r="B12" i="83"/>
  <c r="A12" i="83"/>
  <c r="Q11" i="83"/>
  <c r="O11" i="83"/>
  <c r="N11" i="83"/>
  <c r="K11" i="83"/>
  <c r="F11" i="83"/>
  <c r="D11" i="83"/>
  <c r="B11" i="83"/>
  <c r="A11" i="83"/>
  <c r="O10" i="83"/>
  <c r="N10" i="83"/>
  <c r="K10" i="83"/>
  <c r="F10" i="83"/>
  <c r="D10" i="83"/>
  <c r="B10" i="83"/>
  <c r="A10" i="83"/>
  <c r="O9" i="83"/>
  <c r="N9" i="83"/>
  <c r="K9" i="83"/>
  <c r="F9" i="83"/>
  <c r="D9" i="83"/>
  <c r="B9" i="83"/>
  <c r="A9" i="83"/>
  <c r="O8" i="83"/>
  <c r="H4" i="83"/>
  <c r="B4" i="83"/>
  <c r="K45" i="227"/>
  <c r="N39" i="227"/>
  <c r="M39" i="227"/>
  <c r="K39" i="227"/>
  <c r="J39" i="227"/>
  <c r="I39" i="227"/>
  <c r="H39" i="227"/>
  <c r="G39" i="227"/>
  <c r="F39" i="227"/>
  <c r="E39" i="227"/>
  <c r="D39" i="227"/>
  <c r="C39" i="227"/>
  <c r="B39" i="227"/>
  <c r="O38" i="227"/>
  <c r="N38" i="227"/>
  <c r="K38" i="227"/>
  <c r="D38" i="227"/>
  <c r="B38" i="227"/>
  <c r="A38" i="227"/>
  <c r="O37" i="227"/>
  <c r="N37" i="227"/>
  <c r="K37" i="227"/>
  <c r="D37" i="227"/>
  <c r="B37" i="227"/>
  <c r="A37" i="227"/>
  <c r="O36" i="227"/>
  <c r="N36" i="227"/>
  <c r="K36" i="227"/>
  <c r="D36" i="227"/>
  <c r="B36" i="227"/>
  <c r="A36" i="227"/>
  <c r="O35" i="227"/>
  <c r="N35" i="227"/>
  <c r="K35" i="227"/>
  <c r="D35" i="227"/>
  <c r="B35" i="227"/>
  <c r="A35" i="227"/>
  <c r="O34" i="227"/>
  <c r="N34" i="227"/>
  <c r="K34" i="227"/>
  <c r="D34" i="227"/>
  <c r="B34" i="227"/>
  <c r="A34" i="227"/>
  <c r="O33" i="227"/>
  <c r="N33" i="227"/>
  <c r="K33" i="227"/>
  <c r="D33" i="227"/>
  <c r="B33" i="227"/>
  <c r="A33" i="227"/>
  <c r="O32" i="227"/>
  <c r="N32" i="227"/>
  <c r="K32" i="227"/>
  <c r="D32" i="227"/>
  <c r="B32" i="227"/>
  <c r="A32" i="227"/>
  <c r="O31" i="227"/>
  <c r="N31" i="227"/>
  <c r="K31" i="227"/>
  <c r="D31" i="227"/>
  <c r="B31" i="227"/>
  <c r="A31" i="227"/>
  <c r="O30" i="227"/>
  <c r="N30" i="227"/>
  <c r="K30" i="227"/>
  <c r="D30" i="227"/>
  <c r="B30" i="227"/>
  <c r="A30" i="227"/>
  <c r="O29" i="227"/>
  <c r="N29" i="227"/>
  <c r="K29" i="227"/>
  <c r="D29" i="227"/>
  <c r="B29" i="227"/>
  <c r="A29" i="227"/>
  <c r="O28" i="227"/>
  <c r="N28" i="227"/>
  <c r="K28" i="227"/>
  <c r="D28" i="227"/>
  <c r="B28" i="227"/>
  <c r="A28" i="227"/>
  <c r="O27" i="227"/>
  <c r="N27" i="227"/>
  <c r="K27" i="227"/>
  <c r="D27" i="227"/>
  <c r="B27" i="227"/>
  <c r="A27" i="227"/>
  <c r="O26" i="227"/>
  <c r="N26" i="227"/>
  <c r="K26" i="227"/>
  <c r="D26" i="227"/>
  <c r="B26" i="227"/>
  <c r="A26" i="227"/>
  <c r="O25" i="227"/>
  <c r="N25" i="227"/>
  <c r="K25" i="227"/>
  <c r="D25" i="227"/>
  <c r="B25" i="227"/>
  <c r="A25" i="227"/>
  <c r="O24" i="227"/>
  <c r="N24" i="227"/>
  <c r="K24" i="227"/>
  <c r="D24" i="227"/>
  <c r="B24" i="227"/>
  <c r="A24" i="227"/>
  <c r="O23" i="227"/>
  <c r="N23" i="227"/>
  <c r="K23" i="227"/>
  <c r="D23" i="227"/>
  <c r="B23" i="227"/>
  <c r="A23" i="227"/>
  <c r="O22" i="227"/>
  <c r="N22" i="227"/>
  <c r="K22" i="227"/>
  <c r="D22" i="227"/>
  <c r="B22" i="227"/>
  <c r="A22" i="227"/>
  <c r="O21" i="227"/>
  <c r="N21" i="227"/>
  <c r="K21" i="227"/>
  <c r="D21" i="227"/>
  <c r="B21" i="227"/>
  <c r="A21" i="227"/>
  <c r="O20" i="227"/>
  <c r="N20" i="227"/>
  <c r="K20" i="227"/>
  <c r="D20" i="227"/>
  <c r="B20" i="227"/>
  <c r="A20" i="227"/>
  <c r="O19" i="227"/>
  <c r="N19" i="227"/>
  <c r="K19" i="227"/>
  <c r="D19" i="227"/>
  <c r="B19" i="227"/>
  <c r="A19" i="227"/>
  <c r="O18" i="227"/>
  <c r="N18" i="227"/>
  <c r="K18" i="227"/>
  <c r="D18" i="227"/>
  <c r="B18" i="227"/>
  <c r="A18" i="227"/>
  <c r="O17" i="227"/>
  <c r="N17" i="227"/>
  <c r="K17" i="227"/>
  <c r="D17" i="227"/>
  <c r="B17" i="227"/>
  <c r="A17" i="227"/>
  <c r="O16" i="227"/>
  <c r="N16" i="227"/>
  <c r="K16" i="227"/>
  <c r="D16" i="227"/>
  <c r="B16" i="227"/>
  <c r="A16" i="227"/>
  <c r="O15" i="227"/>
  <c r="N15" i="227"/>
  <c r="K15" i="227"/>
  <c r="D15" i="227"/>
  <c r="B15" i="227"/>
  <c r="A15" i="227"/>
  <c r="O14" i="227"/>
  <c r="N14" i="227"/>
  <c r="K14" i="227"/>
  <c r="D14" i="227"/>
  <c r="B14" i="227"/>
  <c r="A14" i="227"/>
  <c r="O13" i="227"/>
  <c r="N13" i="227"/>
  <c r="K13" i="227"/>
  <c r="D13" i="227"/>
  <c r="B13" i="227"/>
  <c r="A13" i="227"/>
  <c r="O12" i="227"/>
  <c r="N12" i="227"/>
  <c r="K12" i="227"/>
  <c r="D12" i="227"/>
  <c r="B12" i="227"/>
  <c r="A12" i="227"/>
  <c r="O11" i="227"/>
  <c r="N11" i="227"/>
  <c r="K11" i="227"/>
  <c r="D11" i="227"/>
  <c r="B11" i="227"/>
  <c r="A11" i="227"/>
  <c r="O10" i="227"/>
  <c r="N10" i="227"/>
  <c r="K10" i="227"/>
  <c r="D10" i="227"/>
  <c r="B10" i="227"/>
  <c r="A10" i="227"/>
  <c r="O9" i="227"/>
  <c r="N9" i="227"/>
  <c r="K9" i="227"/>
  <c r="D9" i="227"/>
  <c r="B9" i="227"/>
  <c r="A9" i="227"/>
  <c r="O8" i="227"/>
  <c r="N8" i="227"/>
  <c r="K8" i="227"/>
  <c r="D8" i="227"/>
  <c r="B8" i="227"/>
  <c r="A8" i="227"/>
  <c r="O7" i="227"/>
  <c r="N3" i="227"/>
  <c r="B3" i="227"/>
  <c r="G51" i="259"/>
  <c r="F48" i="259"/>
  <c r="D48" i="259"/>
  <c r="H47" i="259"/>
  <c r="D47" i="259"/>
  <c r="B47" i="259"/>
  <c r="D46" i="259"/>
  <c r="B46" i="259"/>
  <c r="D45" i="259"/>
  <c r="B45" i="259"/>
  <c r="N42" i="259"/>
  <c r="M42" i="259"/>
  <c r="K42" i="259"/>
  <c r="J42" i="259"/>
  <c r="I42" i="259"/>
  <c r="H42" i="259"/>
  <c r="G42" i="259"/>
  <c r="F42" i="259"/>
  <c r="E42" i="259"/>
  <c r="D42" i="259"/>
  <c r="C42" i="259"/>
  <c r="B42" i="259"/>
  <c r="N41" i="259"/>
  <c r="K41" i="259"/>
  <c r="D41" i="259"/>
  <c r="O40" i="259"/>
  <c r="N40" i="259"/>
  <c r="K40" i="259"/>
  <c r="F40" i="259"/>
  <c r="D40" i="259"/>
  <c r="B40" i="259"/>
  <c r="A40" i="259"/>
  <c r="O39" i="259"/>
  <c r="N39" i="259"/>
  <c r="K39" i="259"/>
  <c r="F39" i="259"/>
  <c r="D39" i="259"/>
  <c r="B39" i="259"/>
  <c r="A39" i="259"/>
  <c r="O38" i="259"/>
  <c r="N38" i="259"/>
  <c r="K38" i="259"/>
  <c r="F38" i="259"/>
  <c r="D38" i="259"/>
  <c r="B38" i="259"/>
  <c r="A38" i="259"/>
  <c r="O37" i="259"/>
  <c r="N37" i="259"/>
  <c r="K37" i="259"/>
  <c r="F37" i="259"/>
  <c r="D37" i="259"/>
  <c r="B37" i="259"/>
  <c r="A37" i="259"/>
  <c r="O36" i="259"/>
  <c r="N36" i="259"/>
  <c r="K36" i="259"/>
  <c r="F36" i="259"/>
  <c r="D36" i="259"/>
  <c r="B36" i="259"/>
  <c r="A36" i="259"/>
  <c r="O35" i="259"/>
  <c r="N35" i="259"/>
  <c r="K35" i="259"/>
  <c r="F35" i="259"/>
  <c r="D35" i="259"/>
  <c r="B35" i="259"/>
  <c r="A35" i="259"/>
  <c r="O34" i="259"/>
  <c r="N34" i="259"/>
  <c r="K34" i="259"/>
  <c r="F34" i="259"/>
  <c r="D34" i="259"/>
  <c r="B34" i="259"/>
  <c r="A34" i="259"/>
  <c r="O33" i="259"/>
  <c r="N33" i="259"/>
  <c r="K33" i="259"/>
  <c r="F33" i="259"/>
  <c r="D33" i="259"/>
  <c r="B33" i="259"/>
  <c r="A33" i="259"/>
  <c r="O32" i="259"/>
  <c r="N32" i="259"/>
  <c r="K32" i="259"/>
  <c r="F32" i="259"/>
  <c r="D32" i="259"/>
  <c r="B32" i="259"/>
  <c r="A32" i="259"/>
  <c r="O31" i="259"/>
  <c r="N31" i="259"/>
  <c r="K31" i="259"/>
  <c r="F31" i="259"/>
  <c r="D31" i="259"/>
  <c r="B31" i="259"/>
  <c r="A31" i="259"/>
  <c r="O30" i="259"/>
  <c r="N30" i="259"/>
  <c r="K30" i="259"/>
  <c r="F30" i="259"/>
  <c r="D30" i="259"/>
  <c r="B30" i="259"/>
  <c r="A30" i="259"/>
  <c r="O29" i="259"/>
  <c r="N29" i="259"/>
  <c r="K29" i="259"/>
  <c r="F29" i="259"/>
  <c r="D29" i="259"/>
  <c r="B29" i="259"/>
  <c r="A29" i="259"/>
  <c r="O28" i="259"/>
  <c r="N28" i="259"/>
  <c r="K28" i="259"/>
  <c r="F28" i="259"/>
  <c r="D28" i="259"/>
  <c r="B28" i="259"/>
  <c r="A28" i="259"/>
  <c r="P27" i="259"/>
  <c r="O27" i="259"/>
  <c r="N27" i="259"/>
  <c r="K27" i="259"/>
  <c r="F27" i="259"/>
  <c r="D27" i="259"/>
  <c r="B27" i="259"/>
  <c r="A27" i="259"/>
  <c r="O26" i="259"/>
  <c r="N26" i="259"/>
  <c r="K26" i="259"/>
  <c r="F26" i="259"/>
  <c r="D26" i="259"/>
  <c r="B26" i="259"/>
  <c r="A26" i="259"/>
  <c r="O25" i="259"/>
  <c r="N25" i="259"/>
  <c r="K25" i="259"/>
  <c r="F25" i="259"/>
  <c r="D25" i="259"/>
  <c r="B25" i="259"/>
  <c r="A25" i="259"/>
  <c r="O24" i="259"/>
  <c r="N24" i="259"/>
  <c r="K24" i="259"/>
  <c r="F24" i="259"/>
  <c r="D24" i="259"/>
  <c r="B24" i="259"/>
  <c r="A24" i="259"/>
  <c r="O23" i="259"/>
  <c r="N23" i="259"/>
  <c r="K23" i="259"/>
  <c r="F23" i="259"/>
  <c r="D23" i="259"/>
  <c r="B23" i="259"/>
  <c r="A23" i="259"/>
  <c r="O22" i="259"/>
  <c r="N22" i="259"/>
  <c r="K22" i="259"/>
  <c r="F22" i="259"/>
  <c r="D22" i="259"/>
  <c r="B22" i="259"/>
  <c r="A22" i="259"/>
  <c r="O21" i="259"/>
  <c r="N21" i="259"/>
  <c r="K21" i="259"/>
  <c r="F21" i="259"/>
  <c r="D21" i="259"/>
  <c r="B21" i="259"/>
  <c r="A21" i="259"/>
  <c r="O20" i="259"/>
  <c r="N20" i="259"/>
  <c r="K20" i="259"/>
  <c r="F20" i="259"/>
  <c r="D20" i="259"/>
  <c r="B20" i="259"/>
  <c r="A20" i="259"/>
  <c r="O19" i="259"/>
  <c r="N19" i="259"/>
  <c r="K19" i="259"/>
  <c r="F19" i="259"/>
  <c r="D19" i="259"/>
  <c r="B19" i="259"/>
  <c r="A19" i="259"/>
  <c r="O18" i="259"/>
  <c r="N18" i="259"/>
  <c r="K18" i="259"/>
  <c r="F18" i="259"/>
  <c r="D18" i="259"/>
  <c r="B18" i="259"/>
  <c r="A18" i="259"/>
  <c r="O17" i="259"/>
  <c r="N17" i="259"/>
  <c r="K17" i="259"/>
  <c r="F17" i="259"/>
  <c r="D17" i="259"/>
  <c r="B17" i="259"/>
  <c r="A17" i="259"/>
  <c r="O16" i="259"/>
  <c r="N16" i="259"/>
  <c r="K16" i="259"/>
  <c r="F16" i="259"/>
  <c r="D16" i="259"/>
  <c r="B16" i="259"/>
  <c r="A16" i="259"/>
  <c r="O15" i="259"/>
  <c r="N15" i="259"/>
  <c r="K15" i="259"/>
  <c r="F15" i="259"/>
  <c r="D15" i="259"/>
  <c r="B15" i="259"/>
  <c r="A15" i="259"/>
  <c r="O14" i="259"/>
  <c r="N14" i="259"/>
  <c r="K14" i="259"/>
  <c r="F14" i="259"/>
  <c r="D14" i="259"/>
  <c r="B14" i="259"/>
  <c r="A14" i="259"/>
  <c r="O13" i="259"/>
  <c r="N13" i="259"/>
  <c r="K13" i="259"/>
  <c r="F13" i="259"/>
  <c r="D13" i="259"/>
  <c r="B13" i="259"/>
  <c r="A13" i="259"/>
  <c r="O12" i="259"/>
  <c r="N12" i="259"/>
  <c r="K12" i="259"/>
  <c r="F12" i="259"/>
  <c r="D12" i="259"/>
  <c r="B12" i="259"/>
  <c r="A12" i="259"/>
  <c r="O11" i="259"/>
  <c r="N11" i="259"/>
  <c r="K11" i="259"/>
  <c r="F11" i="259"/>
  <c r="D11" i="259"/>
  <c r="B11" i="259"/>
  <c r="A11" i="259"/>
  <c r="O10" i="259"/>
  <c r="N10" i="259"/>
  <c r="K10" i="259"/>
  <c r="F10" i="259"/>
  <c r="D10" i="259"/>
  <c r="B10" i="259"/>
  <c r="A10" i="259"/>
  <c r="O9" i="259"/>
  <c r="B3" i="259"/>
  <c r="M41" i="97"/>
  <c r="L41" i="97"/>
  <c r="K41" i="97"/>
  <c r="J41" i="97"/>
  <c r="I41" i="97"/>
  <c r="H41" i="97"/>
  <c r="G41" i="97"/>
  <c r="F41" i="97"/>
  <c r="E41" i="97"/>
  <c r="D41" i="97"/>
  <c r="C41" i="97"/>
  <c r="B41" i="97"/>
  <c r="N40" i="97"/>
  <c r="M40" i="97"/>
  <c r="K40" i="97"/>
  <c r="A40" i="97"/>
  <c r="N39" i="97"/>
  <c r="M39" i="97"/>
  <c r="K39" i="97"/>
  <c r="D39" i="97"/>
  <c r="A39" i="97"/>
  <c r="N38" i="97"/>
  <c r="M38" i="97"/>
  <c r="K38" i="97"/>
  <c r="D38" i="97"/>
  <c r="B38" i="97"/>
  <c r="A38" i="97"/>
  <c r="N37" i="97"/>
  <c r="M37" i="97"/>
  <c r="K37" i="97"/>
  <c r="D37" i="97"/>
  <c r="B37" i="97"/>
  <c r="A37" i="97"/>
  <c r="N36" i="97"/>
  <c r="M36" i="97"/>
  <c r="K36" i="97"/>
  <c r="D36" i="97"/>
  <c r="B36" i="97"/>
  <c r="A36" i="97"/>
  <c r="N35" i="97"/>
  <c r="M35" i="97"/>
  <c r="K35" i="97"/>
  <c r="D35" i="97"/>
  <c r="B35" i="97"/>
  <c r="A35" i="97"/>
  <c r="N34" i="97"/>
  <c r="M34" i="97"/>
  <c r="K34" i="97"/>
  <c r="D34" i="97"/>
  <c r="B34" i="97"/>
  <c r="A34" i="97"/>
  <c r="N33" i="97"/>
  <c r="M33" i="97"/>
  <c r="K33" i="97"/>
  <c r="D33" i="97"/>
  <c r="B33" i="97"/>
  <c r="A33" i="97"/>
  <c r="N32" i="97"/>
  <c r="M32" i="97"/>
  <c r="K32" i="97"/>
  <c r="D32" i="97"/>
  <c r="B32" i="97"/>
  <c r="A32" i="97"/>
  <c r="N31" i="97"/>
  <c r="M31" i="97"/>
  <c r="K31" i="97"/>
  <c r="D31" i="97"/>
  <c r="B31" i="97"/>
  <c r="A31" i="97"/>
  <c r="N30" i="97"/>
  <c r="M30" i="97"/>
  <c r="K30" i="97"/>
  <c r="D30" i="97"/>
  <c r="B30" i="97"/>
  <c r="A30" i="97"/>
  <c r="N29" i="97"/>
  <c r="M29" i="97"/>
  <c r="K29" i="97"/>
  <c r="D29" i="97"/>
  <c r="B29" i="97"/>
  <c r="A29" i="97"/>
  <c r="N28" i="97"/>
  <c r="M28" i="97"/>
  <c r="K28" i="97"/>
  <c r="D28" i="97"/>
  <c r="B28" i="97"/>
  <c r="A28" i="97"/>
  <c r="N27" i="97"/>
  <c r="M27" i="97"/>
  <c r="K27" i="97"/>
  <c r="D27" i="97"/>
  <c r="B27" i="97"/>
  <c r="A27" i="97"/>
  <c r="N26" i="97"/>
  <c r="M26" i="97"/>
  <c r="K26" i="97"/>
  <c r="D26" i="97"/>
  <c r="B26" i="97"/>
  <c r="A26" i="97"/>
  <c r="N25" i="97"/>
  <c r="M25" i="97"/>
  <c r="K25" i="97"/>
  <c r="D25" i="97"/>
  <c r="B25" i="97"/>
  <c r="A25" i="97"/>
  <c r="N24" i="97"/>
  <c r="M24" i="97"/>
  <c r="K24" i="97"/>
  <c r="D24" i="97"/>
  <c r="B24" i="97"/>
  <c r="A24" i="97"/>
  <c r="N23" i="97"/>
  <c r="M23" i="97"/>
  <c r="K23" i="97"/>
  <c r="D23" i="97"/>
  <c r="B23" i="97"/>
  <c r="A23" i="97"/>
  <c r="N22" i="97"/>
  <c r="M22" i="97"/>
  <c r="K22" i="97"/>
  <c r="D22" i="97"/>
  <c r="B22" i="97"/>
  <c r="A22" i="97"/>
  <c r="N21" i="97"/>
  <c r="M21" i="97"/>
  <c r="K21" i="97"/>
  <c r="D21" i="97"/>
  <c r="B21" i="97"/>
  <c r="A21" i="97"/>
  <c r="N20" i="97"/>
  <c r="M20" i="97"/>
  <c r="K20" i="97"/>
  <c r="D20" i="97"/>
  <c r="B20" i="97"/>
  <c r="A20" i="97"/>
  <c r="N19" i="97"/>
  <c r="M19" i="97"/>
  <c r="K19" i="97"/>
  <c r="D19" i="97"/>
  <c r="B19" i="97"/>
  <c r="A19" i="97"/>
  <c r="N18" i="97"/>
  <c r="M18" i="97"/>
  <c r="K18" i="97"/>
  <c r="D18" i="97"/>
  <c r="B18" i="97"/>
  <c r="A18" i="97"/>
  <c r="N17" i="97"/>
  <c r="M17" i="97"/>
  <c r="K17" i="97"/>
  <c r="D17" i="97"/>
  <c r="B17" i="97"/>
  <c r="A17" i="97"/>
  <c r="N16" i="97"/>
  <c r="M16" i="97"/>
  <c r="K16" i="97"/>
  <c r="D16" i="97"/>
  <c r="B16" i="97"/>
  <c r="A16" i="97"/>
  <c r="N15" i="97"/>
  <c r="M15" i="97"/>
  <c r="K15" i="97"/>
  <c r="D15" i="97"/>
  <c r="B15" i="97"/>
  <c r="A15" i="97"/>
  <c r="N14" i="97"/>
  <c r="M14" i="97"/>
  <c r="K14" i="97"/>
  <c r="D14" i="97"/>
  <c r="B14" i="97"/>
  <c r="A14" i="97"/>
  <c r="N13" i="97"/>
  <c r="M13" i="97"/>
  <c r="K13" i="97"/>
  <c r="D13" i="97"/>
  <c r="B13" i="97"/>
  <c r="A13" i="97"/>
  <c r="N12" i="97"/>
  <c r="M12" i="97"/>
  <c r="K12" i="97"/>
  <c r="D12" i="97"/>
  <c r="B12" i="97"/>
  <c r="A12" i="97"/>
  <c r="N11" i="97"/>
  <c r="M11" i="97"/>
  <c r="K11" i="97"/>
  <c r="D11" i="97"/>
  <c r="B11" i="97"/>
  <c r="A11" i="97"/>
  <c r="N10" i="97"/>
  <c r="M10" i="97"/>
  <c r="K10" i="97"/>
  <c r="D10" i="97"/>
  <c r="B10" i="97"/>
  <c r="A10" i="97"/>
  <c r="N9" i="97"/>
  <c r="M9" i="97"/>
  <c r="K9" i="97"/>
  <c r="D9" i="97"/>
  <c r="B9" i="97"/>
  <c r="A9" i="97"/>
  <c r="N8" i="97"/>
  <c r="M8" i="97"/>
  <c r="K8" i="97"/>
  <c r="D8" i="97"/>
  <c r="B8" i="97"/>
  <c r="A8" i="97"/>
  <c r="N7" i="97"/>
  <c r="B3" i="97"/>
  <c r="D46" i="239"/>
  <c r="D45" i="239"/>
  <c r="B45" i="239"/>
  <c r="D44" i="239"/>
  <c r="B44" i="239"/>
  <c r="D43" i="239"/>
  <c r="B43" i="239"/>
  <c r="N40" i="239"/>
  <c r="M40" i="239"/>
  <c r="K40" i="239"/>
  <c r="J40" i="239"/>
  <c r="I40" i="239"/>
  <c r="H40" i="239"/>
  <c r="G40" i="239"/>
  <c r="F40" i="239"/>
  <c r="E40" i="239"/>
  <c r="D40" i="239"/>
  <c r="C40" i="239"/>
  <c r="B40" i="239"/>
  <c r="P39" i="239"/>
  <c r="O39" i="239"/>
  <c r="N39" i="239"/>
  <c r="K39" i="239"/>
  <c r="F39" i="239"/>
  <c r="D39" i="239"/>
  <c r="B39" i="239"/>
  <c r="A39" i="239"/>
  <c r="P38" i="239"/>
  <c r="O38" i="239"/>
  <c r="N38" i="239"/>
  <c r="K38" i="239"/>
  <c r="F38" i="239"/>
  <c r="D38" i="239"/>
  <c r="B38" i="239"/>
  <c r="A38" i="239"/>
  <c r="P37" i="239"/>
  <c r="O37" i="239"/>
  <c r="N37" i="239"/>
  <c r="K37" i="239"/>
  <c r="F37" i="239"/>
  <c r="D37" i="239"/>
  <c r="B37" i="239"/>
  <c r="A37" i="239"/>
  <c r="P36" i="239"/>
  <c r="O36" i="239"/>
  <c r="N36" i="239"/>
  <c r="K36" i="239"/>
  <c r="F36" i="239"/>
  <c r="D36" i="239"/>
  <c r="B36" i="239"/>
  <c r="A36" i="239"/>
  <c r="P35" i="239"/>
  <c r="O35" i="239"/>
  <c r="N35" i="239"/>
  <c r="K35" i="239"/>
  <c r="F35" i="239"/>
  <c r="D35" i="239"/>
  <c r="B35" i="239"/>
  <c r="A35" i="239"/>
  <c r="P34" i="239"/>
  <c r="O34" i="239"/>
  <c r="N34" i="239"/>
  <c r="K34" i="239"/>
  <c r="F34" i="239"/>
  <c r="D34" i="239"/>
  <c r="B34" i="239"/>
  <c r="A34" i="239"/>
  <c r="P33" i="239"/>
  <c r="O33" i="239"/>
  <c r="N33" i="239"/>
  <c r="K33" i="239"/>
  <c r="F33" i="239"/>
  <c r="D33" i="239"/>
  <c r="B33" i="239"/>
  <c r="A33" i="239"/>
  <c r="Q32" i="239"/>
  <c r="P32" i="239"/>
  <c r="O32" i="239"/>
  <c r="N32" i="239"/>
  <c r="K32" i="239"/>
  <c r="F32" i="239"/>
  <c r="D32" i="239"/>
  <c r="B32" i="239"/>
  <c r="A32" i="239"/>
  <c r="O31" i="239"/>
  <c r="N31" i="239"/>
  <c r="K31" i="239"/>
  <c r="F31" i="239"/>
  <c r="D31" i="239"/>
  <c r="B31" i="239"/>
  <c r="A31" i="239"/>
  <c r="O30" i="239"/>
  <c r="N30" i="239"/>
  <c r="K30" i="239"/>
  <c r="F30" i="239"/>
  <c r="D30" i="239"/>
  <c r="B30" i="239"/>
  <c r="A30" i="239"/>
  <c r="O29" i="239"/>
  <c r="N29" i="239"/>
  <c r="K29" i="239"/>
  <c r="F29" i="239"/>
  <c r="D29" i="239"/>
  <c r="B29" i="239"/>
  <c r="A29" i="239"/>
  <c r="O28" i="239"/>
  <c r="N28" i="239"/>
  <c r="K28" i="239"/>
  <c r="F28" i="239"/>
  <c r="D28" i="239"/>
  <c r="B28" i="239"/>
  <c r="A28" i="239"/>
  <c r="O27" i="239"/>
  <c r="N27" i="239"/>
  <c r="K27" i="239"/>
  <c r="F27" i="239"/>
  <c r="D27" i="239"/>
  <c r="B27" i="239"/>
  <c r="A27" i="239"/>
  <c r="O26" i="239"/>
  <c r="N26" i="239"/>
  <c r="K26" i="239"/>
  <c r="F26" i="239"/>
  <c r="D26" i="239"/>
  <c r="B26" i="239"/>
  <c r="A26" i="239"/>
  <c r="O25" i="239"/>
  <c r="N25" i="239"/>
  <c r="K25" i="239"/>
  <c r="F25" i="239"/>
  <c r="D25" i="239"/>
  <c r="B25" i="239"/>
  <c r="A25" i="239"/>
  <c r="O24" i="239"/>
  <c r="N24" i="239"/>
  <c r="K24" i="239"/>
  <c r="F24" i="239"/>
  <c r="D24" i="239"/>
  <c r="B24" i="239"/>
  <c r="A24" i="239"/>
  <c r="O23" i="239"/>
  <c r="N23" i="239"/>
  <c r="K23" i="239"/>
  <c r="F23" i="239"/>
  <c r="D23" i="239"/>
  <c r="B23" i="239"/>
  <c r="A23" i="239"/>
  <c r="O22" i="239"/>
  <c r="N22" i="239"/>
  <c r="K22" i="239"/>
  <c r="F22" i="239"/>
  <c r="D22" i="239"/>
  <c r="B22" i="239"/>
  <c r="A22" i="239"/>
  <c r="O21" i="239"/>
  <c r="N21" i="239"/>
  <c r="K21" i="239"/>
  <c r="F21" i="239"/>
  <c r="D21" i="239"/>
  <c r="B21" i="239"/>
  <c r="A21" i="239"/>
  <c r="O20" i="239"/>
  <c r="N20" i="239"/>
  <c r="K20" i="239"/>
  <c r="F20" i="239"/>
  <c r="D20" i="239"/>
  <c r="B20" i="239"/>
  <c r="A20" i="239"/>
  <c r="O19" i="239"/>
  <c r="N19" i="239"/>
  <c r="K19" i="239"/>
  <c r="F19" i="239"/>
  <c r="D19" i="239"/>
  <c r="B19" i="239"/>
  <c r="A19" i="239"/>
  <c r="O18" i="239"/>
  <c r="N18" i="239"/>
  <c r="K18" i="239"/>
  <c r="F18" i="239"/>
  <c r="D18" i="239"/>
  <c r="B18" i="239"/>
  <c r="A18" i="239"/>
  <c r="O17" i="239"/>
  <c r="N17" i="239"/>
  <c r="K17" i="239"/>
  <c r="F17" i="239"/>
  <c r="D17" i="239"/>
  <c r="B17" i="239"/>
  <c r="A17" i="239"/>
  <c r="O16" i="239"/>
  <c r="N16" i="239"/>
  <c r="K16" i="239"/>
  <c r="F16" i="239"/>
  <c r="D16" i="239"/>
  <c r="B16" i="239"/>
  <c r="A16" i="239"/>
  <c r="O15" i="239"/>
  <c r="N15" i="239"/>
  <c r="K15" i="239"/>
  <c r="F15" i="239"/>
  <c r="D15" i="239"/>
  <c r="B15" i="239"/>
  <c r="A15" i="239"/>
  <c r="O14" i="239"/>
  <c r="N14" i="239"/>
  <c r="K14" i="239"/>
  <c r="F14" i="239"/>
  <c r="D14" i="239"/>
  <c r="B14" i="239"/>
  <c r="A14" i="239"/>
  <c r="O13" i="239"/>
  <c r="N13" i="239"/>
  <c r="K13" i="239"/>
  <c r="F13" i="239"/>
  <c r="D13" i="239"/>
  <c r="B13" i="239"/>
  <c r="A13" i="239"/>
  <c r="O12" i="239"/>
  <c r="N12" i="239"/>
  <c r="K12" i="239"/>
  <c r="F12" i="239"/>
  <c r="D12" i="239"/>
  <c r="B12" i="239"/>
  <c r="A12" i="239"/>
  <c r="O11" i="239"/>
  <c r="K11" i="239"/>
  <c r="F11" i="239"/>
  <c r="D11" i="239"/>
  <c r="B11" i="239"/>
  <c r="A11" i="239"/>
  <c r="O10" i="239"/>
  <c r="N10" i="239"/>
  <c r="K10" i="239"/>
  <c r="F10" i="239"/>
  <c r="D10" i="239"/>
  <c r="B10" i="239"/>
  <c r="A10" i="239"/>
  <c r="O9" i="239"/>
  <c r="N9" i="239"/>
  <c r="K9" i="239"/>
  <c r="F9" i="239"/>
  <c r="D9" i="239"/>
  <c r="B9" i="239"/>
  <c r="A9" i="239"/>
  <c r="O8" i="239"/>
  <c r="D47" i="149"/>
  <c r="D46" i="149"/>
  <c r="B46" i="149"/>
  <c r="D45" i="149"/>
  <c r="B45" i="149"/>
  <c r="D44" i="149"/>
  <c r="B44" i="149"/>
  <c r="N41" i="149"/>
  <c r="M41" i="149"/>
  <c r="K41" i="149"/>
  <c r="J41" i="149"/>
  <c r="I41" i="149"/>
  <c r="H41" i="149"/>
  <c r="G41" i="149"/>
  <c r="F41" i="149"/>
  <c r="E41" i="149"/>
  <c r="D41" i="149"/>
  <c r="C41" i="149"/>
  <c r="B41" i="149"/>
  <c r="Q40" i="149"/>
  <c r="O40" i="149"/>
  <c r="N40" i="149"/>
  <c r="K40" i="149"/>
  <c r="F40" i="149"/>
  <c r="D40" i="149"/>
  <c r="B40" i="149"/>
  <c r="A40" i="149"/>
  <c r="Q39" i="149"/>
  <c r="P39" i="149"/>
  <c r="O39" i="149"/>
  <c r="N39" i="149"/>
  <c r="K39" i="149"/>
  <c r="F39" i="149"/>
  <c r="D39" i="149"/>
  <c r="B39" i="149"/>
  <c r="A39" i="149"/>
  <c r="Q38" i="149"/>
  <c r="P38" i="149"/>
  <c r="O38" i="149"/>
  <c r="N38" i="149"/>
  <c r="K38" i="149"/>
  <c r="F38" i="149"/>
  <c r="D38" i="149"/>
  <c r="B38" i="149"/>
  <c r="A38" i="149"/>
  <c r="Q37" i="149"/>
  <c r="P37" i="149"/>
  <c r="O37" i="149"/>
  <c r="N37" i="149"/>
  <c r="K37" i="149"/>
  <c r="F37" i="149"/>
  <c r="D37" i="149"/>
  <c r="B37" i="149"/>
  <c r="A37" i="149"/>
  <c r="Q36" i="149"/>
  <c r="P36" i="149"/>
  <c r="O36" i="149"/>
  <c r="N36" i="149"/>
  <c r="K36" i="149"/>
  <c r="F36" i="149"/>
  <c r="D36" i="149"/>
  <c r="B36" i="149"/>
  <c r="A36" i="149"/>
  <c r="Q35" i="149"/>
  <c r="P35" i="149"/>
  <c r="O35" i="149"/>
  <c r="N35" i="149"/>
  <c r="K35" i="149"/>
  <c r="F35" i="149"/>
  <c r="D35" i="149"/>
  <c r="B35" i="149"/>
  <c r="A35" i="149"/>
  <c r="Q34" i="149"/>
  <c r="P34" i="149"/>
  <c r="O34" i="149"/>
  <c r="N34" i="149"/>
  <c r="K34" i="149"/>
  <c r="F34" i="149"/>
  <c r="D34" i="149"/>
  <c r="B34" i="149"/>
  <c r="A34" i="149"/>
  <c r="Q33" i="149"/>
  <c r="P33" i="149"/>
  <c r="O33" i="149"/>
  <c r="N33" i="149"/>
  <c r="K33" i="149"/>
  <c r="F33" i="149"/>
  <c r="D33" i="149"/>
  <c r="B33" i="149"/>
  <c r="A33" i="149"/>
  <c r="Q32" i="149"/>
  <c r="P32" i="149"/>
  <c r="O32" i="149"/>
  <c r="N32" i="149"/>
  <c r="K32" i="149"/>
  <c r="F32" i="149"/>
  <c r="D32" i="149"/>
  <c r="B32" i="149"/>
  <c r="A32" i="149"/>
  <c r="Q31" i="149"/>
  <c r="P31" i="149"/>
  <c r="O31" i="149"/>
  <c r="N31" i="149"/>
  <c r="K31" i="149"/>
  <c r="F31" i="149"/>
  <c r="D31" i="149"/>
  <c r="B31" i="149"/>
  <c r="A31" i="149"/>
  <c r="Q30" i="149"/>
  <c r="P30" i="149"/>
  <c r="O30" i="149"/>
  <c r="N30" i="149"/>
  <c r="K30" i="149"/>
  <c r="F30" i="149"/>
  <c r="D30" i="149"/>
  <c r="B30" i="149"/>
  <c r="A30" i="149"/>
  <c r="Q29" i="149"/>
  <c r="P29" i="149"/>
  <c r="O29" i="149"/>
  <c r="N29" i="149"/>
  <c r="K29" i="149"/>
  <c r="F29" i="149"/>
  <c r="D29" i="149"/>
  <c r="B29" i="149"/>
  <c r="A29" i="149"/>
  <c r="Q28" i="149"/>
  <c r="P28" i="149"/>
  <c r="O28" i="149"/>
  <c r="N28" i="149"/>
  <c r="K28" i="149"/>
  <c r="F28" i="149"/>
  <c r="D28" i="149"/>
  <c r="B28" i="149"/>
  <c r="A28" i="149"/>
  <c r="Q27" i="149"/>
  <c r="P27" i="149"/>
  <c r="O27" i="149"/>
  <c r="N27" i="149"/>
  <c r="K27" i="149"/>
  <c r="F27" i="149"/>
  <c r="D27" i="149"/>
  <c r="B27" i="149"/>
  <c r="A27" i="149"/>
  <c r="Q26" i="149"/>
  <c r="P26" i="149"/>
  <c r="O26" i="149"/>
  <c r="N26" i="149"/>
  <c r="K26" i="149"/>
  <c r="F26" i="149"/>
  <c r="D26" i="149"/>
  <c r="B26" i="149"/>
  <c r="A26" i="149"/>
  <c r="Q25" i="149"/>
  <c r="P25" i="149"/>
  <c r="O25" i="149"/>
  <c r="N25" i="149"/>
  <c r="K25" i="149"/>
  <c r="F25" i="149"/>
  <c r="D25" i="149"/>
  <c r="B25" i="149"/>
  <c r="A25" i="149"/>
  <c r="Q24" i="149"/>
  <c r="P24" i="149"/>
  <c r="O24" i="149"/>
  <c r="N24" i="149"/>
  <c r="K24" i="149"/>
  <c r="F24" i="149"/>
  <c r="D24" i="149"/>
  <c r="B24" i="149"/>
  <c r="A24" i="149"/>
  <c r="Q23" i="149"/>
  <c r="P23" i="149"/>
  <c r="O23" i="149"/>
  <c r="N23" i="149"/>
  <c r="K23" i="149"/>
  <c r="F23" i="149"/>
  <c r="D23" i="149"/>
  <c r="B23" i="149"/>
  <c r="A23" i="149"/>
  <c r="Q22" i="149"/>
  <c r="P22" i="149"/>
  <c r="O22" i="149"/>
  <c r="N22" i="149"/>
  <c r="K22" i="149"/>
  <c r="F22" i="149"/>
  <c r="D22" i="149"/>
  <c r="B22" i="149"/>
  <c r="A22" i="149"/>
  <c r="Q21" i="149"/>
  <c r="P21" i="149"/>
  <c r="O21" i="149"/>
  <c r="N21" i="149"/>
  <c r="K21" i="149"/>
  <c r="F21" i="149"/>
  <c r="D21" i="149"/>
  <c r="B21" i="149"/>
  <c r="A21" i="149"/>
  <c r="Q20" i="149"/>
  <c r="P20" i="149"/>
  <c r="O20" i="149"/>
  <c r="N20" i="149"/>
  <c r="K20" i="149"/>
  <c r="F20" i="149"/>
  <c r="D20" i="149"/>
  <c r="B20" i="149"/>
  <c r="A20" i="149"/>
  <c r="Q19" i="149"/>
  <c r="P19" i="149"/>
  <c r="O19" i="149"/>
  <c r="N19" i="149"/>
  <c r="K19" i="149"/>
  <c r="F19" i="149"/>
  <c r="D19" i="149"/>
  <c r="B19" i="149"/>
  <c r="A19" i="149"/>
  <c r="Q18" i="149"/>
  <c r="P18" i="149"/>
  <c r="O18" i="149"/>
  <c r="N18" i="149"/>
  <c r="K18" i="149"/>
  <c r="F18" i="149"/>
  <c r="D18" i="149"/>
  <c r="B18" i="149"/>
  <c r="A18" i="149"/>
  <c r="Q17" i="149"/>
  <c r="P17" i="149"/>
  <c r="O17" i="149"/>
  <c r="N17" i="149"/>
  <c r="K17" i="149"/>
  <c r="F17" i="149"/>
  <c r="D17" i="149"/>
  <c r="B17" i="149"/>
  <c r="A17" i="149"/>
  <c r="Q16" i="149"/>
  <c r="P16" i="149"/>
  <c r="O16" i="149"/>
  <c r="N16" i="149"/>
  <c r="K16" i="149"/>
  <c r="F16" i="149"/>
  <c r="D16" i="149"/>
  <c r="B16" i="149"/>
  <c r="A16" i="149"/>
  <c r="Q15" i="149"/>
  <c r="P15" i="149"/>
  <c r="O15" i="149"/>
  <c r="N15" i="149"/>
  <c r="K15" i="149"/>
  <c r="F15" i="149"/>
  <c r="D15" i="149"/>
  <c r="B15" i="149"/>
  <c r="A15" i="149"/>
  <c r="Q14" i="149"/>
  <c r="P14" i="149"/>
  <c r="O14" i="149"/>
  <c r="N14" i="149"/>
  <c r="K14" i="149"/>
  <c r="F14" i="149"/>
  <c r="D14" i="149"/>
  <c r="B14" i="149"/>
  <c r="A14" i="149"/>
  <c r="Q13" i="149"/>
  <c r="P13" i="149"/>
  <c r="O13" i="149"/>
  <c r="N13" i="149"/>
  <c r="K13" i="149"/>
  <c r="F13" i="149"/>
  <c r="D13" i="149"/>
  <c r="B13" i="149"/>
  <c r="A13" i="149"/>
  <c r="P12" i="149"/>
  <c r="O12" i="149"/>
  <c r="N12" i="149"/>
  <c r="K12" i="149"/>
  <c r="F12" i="149"/>
  <c r="D12" i="149"/>
  <c r="B12" i="149"/>
  <c r="A12" i="149"/>
  <c r="P11" i="149"/>
  <c r="O11" i="149"/>
  <c r="N11" i="149"/>
  <c r="K11" i="149"/>
  <c r="F11" i="149"/>
  <c r="D11" i="149"/>
  <c r="B11" i="149"/>
  <c r="A11" i="149"/>
  <c r="P10" i="149"/>
  <c r="O10" i="149"/>
  <c r="N10" i="149"/>
  <c r="K10" i="149"/>
  <c r="F10" i="149"/>
  <c r="D10" i="149"/>
  <c r="B10" i="149"/>
  <c r="A10" i="149"/>
  <c r="O9" i="149"/>
  <c r="B3" i="149"/>
  <c r="D46" i="275"/>
  <c r="D45" i="275"/>
  <c r="B45" i="275"/>
  <c r="D44" i="275"/>
  <c r="B44" i="275"/>
  <c r="D43" i="275"/>
  <c r="B43" i="275"/>
  <c r="N40" i="275"/>
  <c r="M40" i="275"/>
  <c r="K40" i="275"/>
  <c r="J40" i="275"/>
  <c r="I40" i="275"/>
  <c r="H40" i="275"/>
  <c r="G40" i="275"/>
  <c r="F40" i="275"/>
  <c r="E40" i="275"/>
  <c r="D40" i="275"/>
  <c r="C40" i="275"/>
  <c r="B40" i="275"/>
  <c r="O39" i="275"/>
  <c r="N39" i="275"/>
  <c r="K39" i="275"/>
  <c r="F39" i="275"/>
  <c r="D39" i="275"/>
  <c r="B39" i="275"/>
  <c r="A39" i="275"/>
  <c r="O38" i="275"/>
  <c r="N38" i="275"/>
  <c r="K38" i="275"/>
  <c r="F38" i="275"/>
  <c r="D38" i="275"/>
  <c r="B38" i="275"/>
  <c r="A38" i="275"/>
  <c r="O37" i="275"/>
  <c r="N37" i="275"/>
  <c r="K37" i="275"/>
  <c r="F37" i="275"/>
  <c r="D37" i="275"/>
  <c r="B37" i="275"/>
  <c r="A37" i="275"/>
  <c r="O36" i="275"/>
  <c r="N36" i="275"/>
  <c r="K36" i="275"/>
  <c r="F36" i="275"/>
  <c r="D36" i="275"/>
  <c r="B36" i="275"/>
  <c r="A36" i="275"/>
  <c r="O35" i="275"/>
  <c r="N35" i="275"/>
  <c r="K35" i="275"/>
  <c r="F35" i="275"/>
  <c r="D35" i="275"/>
  <c r="B35" i="275"/>
  <c r="A35" i="275"/>
  <c r="O34" i="275"/>
  <c r="N34" i="275"/>
  <c r="K34" i="275"/>
  <c r="F34" i="275"/>
  <c r="D34" i="275"/>
  <c r="B34" i="275"/>
  <c r="A34" i="275"/>
  <c r="O33" i="275"/>
  <c r="N33" i="275"/>
  <c r="K33" i="275"/>
  <c r="F33" i="275"/>
  <c r="D33" i="275"/>
  <c r="B33" i="275"/>
  <c r="A33" i="275"/>
  <c r="O32" i="275"/>
  <c r="N32" i="275"/>
  <c r="K32" i="275"/>
  <c r="F32" i="275"/>
  <c r="D32" i="275"/>
  <c r="B32" i="275"/>
  <c r="A32" i="275"/>
  <c r="O31" i="275"/>
  <c r="N31" i="275"/>
  <c r="K31" i="275"/>
  <c r="F31" i="275"/>
  <c r="D31" i="275"/>
  <c r="B31" i="275"/>
  <c r="A31" i="275"/>
  <c r="O30" i="275"/>
  <c r="N30" i="275"/>
  <c r="K30" i="275"/>
  <c r="F30" i="275"/>
  <c r="D30" i="275"/>
  <c r="B30" i="275"/>
  <c r="A30" i="275"/>
  <c r="O29" i="275"/>
  <c r="N29" i="275"/>
  <c r="K29" i="275"/>
  <c r="F29" i="275"/>
  <c r="D29" i="275"/>
  <c r="B29" i="275"/>
  <c r="A29" i="275"/>
  <c r="O28" i="275"/>
  <c r="N28" i="275"/>
  <c r="K28" i="275"/>
  <c r="F28" i="275"/>
  <c r="D28" i="275"/>
  <c r="B28" i="275"/>
  <c r="A28" i="275"/>
  <c r="O27" i="275"/>
  <c r="N27" i="275"/>
  <c r="K27" i="275"/>
  <c r="F27" i="275"/>
  <c r="D27" i="275"/>
  <c r="B27" i="275"/>
  <c r="A27" i="275"/>
  <c r="O26" i="275"/>
  <c r="N26" i="275"/>
  <c r="K26" i="275"/>
  <c r="F26" i="275"/>
  <c r="D26" i="275"/>
  <c r="B26" i="275"/>
  <c r="A26" i="275"/>
  <c r="O25" i="275"/>
  <c r="N25" i="275"/>
  <c r="K25" i="275"/>
  <c r="F25" i="275"/>
  <c r="D25" i="275"/>
  <c r="B25" i="275"/>
  <c r="A25" i="275"/>
  <c r="O24" i="275"/>
  <c r="N24" i="275"/>
  <c r="K24" i="275"/>
  <c r="F24" i="275"/>
  <c r="D24" i="275"/>
  <c r="B24" i="275"/>
  <c r="A24" i="275"/>
  <c r="O23" i="275"/>
  <c r="N23" i="275"/>
  <c r="K23" i="275"/>
  <c r="F23" i="275"/>
  <c r="D23" i="275"/>
  <c r="B23" i="275"/>
  <c r="A23" i="275"/>
  <c r="O22" i="275"/>
  <c r="N22" i="275"/>
  <c r="K22" i="275"/>
  <c r="F22" i="275"/>
  <c r="D22" i="275"/>
  <c r="B22" i="275"/>
  <c r="A22" i="275"/>
  <c r="O21" i="275"/>
  <c r="N21" i="275"/>
  <c r="K21" i="275"/>
  <c r="F21" i="275"/>
  <c r="D21" i="275"/>
  <c r="B21" i="275"/>
  <c r="A21" i="275"/>
  <c r="O20" i="275"/>
  <c r="N20" i="275"/>
  <c r="K20" i="275"/>
  <c r="F20" i="275"/>
  <c r="D20" i="275"/>
  <c r="B20" i="275"/>
  <c r="A20" i="275"/>
  <c r="O19" i="275"/>
  <c r="N19" i="275"/>
  <c r="K19" i="275"/>
  <c r="F19" i="275"/>
  <c r="D19" i="275"/>
  <c r="B19" i="275"/>
  <c r="A19" i="275"/>
  <c r="O18" i="275"/>
  <c r="N18" i="275"/>
  <c r="K18" i="275"/>
  <c r="F18" i="275"/>
  <c r="D18" i="275"/>
  <c r="B18" i="275"/>
  <c r="A18" i="275"/>
  <c r="O17" i="275"/>
  <c r="N17" i="275"/>
  <c r="K17" i="275"/>
  <c r="F17" i="275"/>
  <c r="D17" i="275"/>
  <c r="B17" i="275"/>
  <c r="A17" i="275"/>
  <c r="O16" i="275"/>
  <c r="N16" i="275"/>
  <c r="K16" i="275"/>
  <c r="F16" i="275"/>
  <c r="D16" i="275"/>
  <c r="B16" i="275"/>
  <c r="A16" i="275"/>
  <c r="O15" i="275"/>
  <c r="N15" i="275"/>
  <c r="K15" i="275"/>
  <c r="F15" i="275"/>
  <c r="D15" i="275"/>
  <c r="B15" i="275"/>
  <c r="A15" i="275"/>
  <c r="O14" i="275"/>
  <c r="N14" i="275"/>
  <c r="K14" i="275"/>
  <c r="F14" i="275"/>
  <c r="D14" i="275"/>
  <c r="B14" i="275"/>
  <c r="A14" i="275"/>
  <c r="O13" i="275"/>
  <c r="N13" i="275"/>
  <c r="K13" i="275"/>
  <c r="F13" i="275"/>
  <c r="D13" i="275"/>
  <c r="B13" i="275"/>
  <c r="A13" i="275"/>
  <c r="O12" i="275"/>
  <c r="N12" i="275"/>
  <c r="K12" i="275"/>
  <c r="F12" i="275"/>
  <c r="D12" i="275"/>
  <c r="B12" i="275"/>
  <c r="A12" i="275"/>
  <c r="O11" i="275"/>
  <c r="K11" i="275"/>
  <c r="F11" i="275"/>
  <c r="D11" i="275"/>
  <c r="B11" i="275"/>
  <c r="A11" i="275"/>
  <c r="O10" i="275"/>
  <c r="N10" i="275"/>
  <c r="K10" i="275"/>
  <c r="F10" i="275"/>
  <c r="D10" i="275"/>
  <c r="B10" i="275"/>
  <c r="A10" i="275"/>
  <c r="O9" i="275"/>
  <c r="N9" i="275"/>
  <c r="K9" i="275"/>
  <c r="F9" i="275"/>
  <c r="D9" i="275"/>
  <c r="B9" i="275"/>
  <c r="A9" i="275"/>
  <c r="O8" i="275"/>
  <c r="B4" i="275"/>
  <c r="D47" i="280"/>
  <c r="D46" i="280"/>
  <c r="B46" i="280"/>
  <c r="D45" i="280"/>
  <c r="B45" i="280"/>
  <c r="D44" i="280"/>
  <c r="B44" i="280"/>
  <c r="P42" i="280"/>
  <c r="N41" i="280"/>
  <c r="M41" i="280"/>
  <c r="K41" i="280"/>
  <c r="J41" i="280"/>
  <c r="I41" i="280"/>
  <c r="H41" i="280"/>
  <c r="G41" i="280"/>
  <c r="F41" i="280"/>
  <c r="E41" i="280"/>
  <c r="D41" i="280"/>
  <c r="C41" i="280"/>
  <c r="B41" i="280"/>
  <c r="O40" i="280"/>
  <c r="N40" i="280"/>
  <c r="K40" i="280"/>
  <c r="F40" i="280"/>
  <c r="D40" i="280"/>
  <c r="B40" i="280"/>
  <c r="A40" i="280"/>
  <c r="O39" i="280"/>
  <c r="N39" i="280"/>
  <c r="K39" i="280"/>
  <c r="F39" i="280"/>
  <c r="D39" i="280"/>
  <c r="B39" i="280"/>
  <c r="A39" i="280"/>
  <c r="O38" i="280"/>
  <c r="N38" i="280"/>
  <c r="K38" i="280"/>
  <c r="F38" i="280"/>
  <c r="D38" i="280"/>
  <c r="B38" i="280"/>
  <c r="A38" i="280"/>
  <c r="O37" i="280"/>
  <c r="N37" i="280"/>
  <c r="K37" i="280"/>
  <c r="F37" i="280"/>
  <c r="D37" i="280"/>
  <c r="B37" i="280"/>
  <c r="A37" i="280"/>
  <c r="O36" i="280"/>
  <c r="N36" i="280"/>
  <c r="K36" i="280"/>
  <c r="F36" i="280"/>
  <c r="D36" i="280"/>
  <c r="B36" i="280"/>
  <c r="A36" i="280"/>
  <c r="O35" i="280"/>
  <c r="N35" i="280"/>
  <c r="K35" i="280"/>
  <c r="F35" i="280"/>
  <c r="D35" i="280"/>
  <c r="B35" i="280"/>
  <c r="A35" i="280"/>
  <c r="O34" i="280"/>
  <c r="N34" i="280"/>
  <c r="K34" i="280"/>
  <c r="F34" i="280"/>
  <c r="D34" i="280"/>
  <c r="B34" i="280"/>
  <c r="A34" i="280"/>
  <c r="O33" i="280"/>
  <c r="N33" i="280"/>
  <c r="K33" i="280"/>
  <c r="F33" i="280"/>
  <c r="D33" i="280"/>
  <c r="B33" i="280"/>
  <c r="A33" i="280"/>
  <c r="O32" i="280"/>
  <c r="N32" i="280"/>
  <c r="K32" i="280"/>
  <c r="F32" i="280"/>
  <c r="D32" i="280"/>
  <c r="B32" i="280"/>
  <c r="A32" i="280"/>
  <c r="O31" i="280"/>
  <c r="N31" i="280"/>
  <c r="K31" i="280"/>
  <c r="F31" i="280"/>
  <c r="D31" i="280"/>
  <c r="B31" i="280"/>
  <c r="A31" i="280"/>
  <c r="O30" i="280"/>
  <c r="N30" i="280"/>
  <c r="K30" i="280"/>
  <c r="F30" i="280"/>
  <c r="D30" i="280"/>
  <c r="B30" i="280"/>
  <c r="A30" i="280"/>
  <c r="O29" i="280"/>
  <c r="N29" i="280"/>
  <c r="K29" i="280"/>
  <c r="F29" i="280"/>
  <c r="D29" i="280"/>
  <c r="B29" i="280"/>
  <c r="A29" i="280"/>
  <c r="O28" i="280"/>
  <c r="N28" i="280"/>
  <c r="K28" i="280"/>
  <c r="F28" i="280"/>
  <c r="D28" i="280"/>
  <c r="B28" i="280"/>
  <c r="A28" i="280"/>
  <c r="O27" i="280"/>
  <c r="N27" i="280"/>
  <c r="K27" i="280"/>
  <c r="F27" i="280"/>
  <c r="D27" i="280"/>
  <c r="B27" i="280"/>
  <c r="A27" i="280"/>
  <c r="O26" i="280"/>
  <c r="N26" i="280"/>
  <c r="K26" i="280"/>
  <c r="F26" i="280"/>
  <c r="D26" i="280"/>
  <c r="B26" i="280"/>
  <c r="A26" i="280"/>
  <c r="O25" i="280"/>
  <c r="N25" i="280"/>
  <c r="K25" i="280"/>
  <c r="F25" i="280"/>
  <c r="D25" i="280"/>
  <c r="B25" i="280"/>
  <c r="A25" i="280"/>
  <c r="O24" i="280"/>
  <c r="N24" i="280"/>
  <c r="K24" i="280"/>
  <c r="F24" i="280"/>
  <c r="D24" i="280"/>
  <c r="B24" i="280"/>
  <c r="A24" i="280"/>
  <c r="O23" i="280"/>
  <c r="N23" i="280"/>
  <c r="K23" i="280"/>
  <c r="F23" i="280"/>
  <c r="D23" i="280"/>
  <c r="B23" i="280"/>
  <c r="A23" i="280"/>
  <c r="O22" i="280"/>
  <c r="N22" i="280"/>
  <c r="K22" i="280"/>
  <c r="F22" i="280"/>
  <c r="D22" i="280"/>
  <c r="B22" i="280"/>
  <c r="A22" i="280"/>
  <c r="O21" i="280"/>
  <c r="N21" i="280"/>
  <c r="K21" i="280"/>
  <c r="F21" i="280"/>
  <c r="D21" i="280"/>
  <c r="B21" i="280"/>
  <c r="A21" i="280"/>
  <c r="O20" i="280"/>
  <c r="N20" i="280"/>
  <c r="K20" i="280"/>
  <c r="F20" i="280"/>
  <c r="D20" i="280"/>
  <c r="B20" i="280"/>
  <c r="A20" i="280"/>
  <c r="O19" i="280"/>
  <c r="N19" i="280"/>
  <c r="K19" i="280"/>
  <c r="F19" i="280"/>
  <c r="D19" i="280"/>
  <c r="B19" i="280"/>
  <c r="A19" i="280"/>
  <c r="O18" i="280"/>
  <c r="N18" i="280"/>
  <c r="K18" i="280"/>
  <c r="F18" i="280"/>
  <c r="D18" i="280"/>
  <c r="B18" i="280"/>
  <c r="A18" i="280"/>
  <c r="O17" i="280"/>
  <c r="N17" i="280"/>
  <c r="K17" i="280"/>
  <c r="F17" i="280"/>
  <c r="D17" i="280"/>
  <c r="B17" i="280"/>
  <c r="A17" i="280"/>
  <c r="O16" i="280"/>
  <c r="N16" i="280"/>
  <c r="K16" i="280"/>
  <c r="F16" i="280"/>
  <c r="D16" i="280"/>
  <c r="B16" i="280"/>
  <c r="A16" i="280"/>
  <c r="R15" i="280"/>
  <c r="O15" i="280"/>
  <c r="N15" i="280"/>
  <c r="K15" i="280"/>
  <c r="F15" i="280"/>
  <c r="D15" i="280"/>
  <c r="B15" i="280"/>
  <c r="A15" i="280"/>
  <c r="O14" i="280"/>
  <c r="N14" i="280"/>
  <c r="K14" i="280"/>
  <c r="F14" i="280"/>
  <c r="D14" i="280"/>
  <c r="B14" i="280"/>
  <c r="A14" i="280"/>
  <c r="O13" i="280"/>
  <c r="N13" i="280"/>
  <c r="K13" i="280"/>
  <c r="F13" i="280"/>
  <c r="D13" i="280"/>
  <c r="B13" i="280"/>
  <c r="A13" i="280"/>
  <c r="O12" i="280"/>
  <c r="N12" i="280"/>
  <c r="K12" i="280"/>
  <c r="F12" i="280"/>
  <c r="D12" i="280"/>
  <c r="B12" i="280"/>
  <c r="A12" i="280"/>
  <c r="O11" i="280"/>
  <c r="N11" i="280"/>
  <c r="K11" i="280"/>
  <c r="F11" i="280"/>
  <c r="D11" i="280"/>
  <c r="B11" i="280"/>
  <c r="A11" i="280"/>
  <c r="O10" i="280"/>
  <c r="N10" i="280"/>
  <c r="K10" i="280"/>
  <c r="F10" i="280"/>
  <c r="D10" i="280"/>
  <c r="B10" i="280"/>
  <c r="A10" i="280"/>
  <c r="O9" i="280"/>
  <c r="B3" i="280"/>
  <c r="D48" i="29"/>
  <c r="D47" i="29"/>
  <c r="B47" i="29"/>
  <c r="D46" i="29"/>
  <c r="B46" i="29"/>
  <c r="D45" i="29"/>
  <c r="B45" i="29"/>
  <c r="N42" i="29"/>
  <c r="M42" i="29"/>
  <c r="K42" i="29"/>
  <c r="J42" i="29"/>
  <c r="I42" i="29"/>
  <c r="H42" i="29"/>
  <c r="G42" i="29"/>
  <c r="F42" i="29"/>
  <c r="E42" i="29"/>
  <c r="D42" i="29"/>
  <c r="C42" i="29"/>
  <c r="B42" i="29"/>
  <c r="O41" i="29"/>
  <c r="N41" i="29"/>
  <c r="K41" i="29"/>
  <c r="F41" i="29"/>
  <c r="D41" i="29"/>
  <c r="B41" i="29"/>
  <c r="A41" i="29"/>
  <c r="K40" i="29"/>
  <c r="D40" i="29"/>
  <c r="A40" i="29"/>
  <c r="O39" i="29"/>
  <c r="N39" i="29"/>
  <c r="K39" i="29"/>
  <c r="F39" i="29"/>
  <c r="D39" i="29"/>
  <c r="B39" i="29"/>
  <c r="A39" i="29"/>
  <c r="O38" i="29"/>
  <c r="N38" i="29"/>
  <c r="K38" i="29"/>
  <c r="F38" i="29"/>
  <c r="D38" i="29"/>
  <c r="B38" i="29"/>
  <c r="A38" i="29"/>
  <c r="O37" i="29"/>
  <c r="N37" i="29"/>
  <c r="K37" i="29"/>
  <c r="F37" i="29"/>
  <c r="D37" i="29"/>
  <c r="B37" i="29"/>
  <c r="A37" i="29"/>
  <c r="O36" i="29"/>
  <c r="N36" i="29"/>
  <c r="K36" i="29"/>
  <c r="F36" i="29"/>
  <c r="D36" i="29"/>
  <c r="B36" i="29"/>
  <c r="A36" i="29"/>
  <c r="O35" i="29"/>
  <c r="N35" i="29"/>
  <c r="K35" i="29"/>
  <c r="F35" i="29"/>
  <c r="D35" i="29"/>
  <c r="B35" i="29"/>
  <c r="A35" i="29"/>
  <c r="O34" i="29"/>
  <c r="N34" i="29"/>
  <c r="K34" i="29"/>
  <c r="F34" i="29"/>
  <c r="D34" i="29"/>
  <c r="B34" i="29"/>
  <c r="A34" i="29"/>
  <c r="O33" i="29"/>
  <c r="N33" i="29"/>
  <c r="K33" i="29"/>
  <c r="F33" i="29"/>
  <c r="D33" i="29"/>
  <c r="B33" i="29"/>
  <c r="A33" i="29"/>
  <c r="O32" i="29"/>
  <c r="N32" i="29"/>
  <c r="K32" i="29"/>
  <c r="F32" i="29"/>
  <c r="D32" i="29"/>
  <c r="B32" i="29"/>
  <c r="A32" i="29"/>
  <c r="O31" i="29"/>
  <c r="N31" i="29"/>
  <c r="K31" i="29"/>
  <c r="F31" i="29"/>
  <c r="D31" i="29"/>
  <c r="B31" i="29"/>
  <c r="A31" i="29"/>
  <c r="O30" i="29"/>
  <c r="N30" i="29"/>
  <c r="K30" i="29"/>
  <c r="F30" i="29"/>
  <c r="D30" i="29"/>
  <c r="B30" i="29"/>
  <c r="A30" i="29"/>
  <c r="O29" i="29"/>
  <c r="N29" i="29"/>
  <c r="K29" i="29"/>
  <c r="F29" i="29"/>
  <c r="D29" i="29"/>
  <c r="B29" i="29"/>
  <c r="A29" i="29"/>
  <c r="O28" i="29"/>
  <c r="N28" i="29"/>
  <c r="K28" i="29"/>
  <c r="F28" i="29"/>
  <c r="D28" i="29"/>
  <c r="B28" i="29"/>
  <c r="A28" i="29"/>
  <c r="O27" i="29"/>
  <c r="N27" i="29"/>
  <c r="K27" i="29"/>
  <c r="F27" i="29"/>
  <c r="D27" i="29"/>
  <c r="B27" i="29"/>
  <c r="A27" i="29"/>
  <c r="O26" i="29"/>
  <c r="N26" i="29"/>
  <c r="K26" i="29"/>
  <c r="F26" i="29"/>
  <c r="D26" i="29"/>
  <c r="B26" i="29"/>
  <c r="A26" i="29"/>
  <c r="O25" i="29"/>
  <c r="N25" i="29"/>
  <c r="K25" i="29"/>
  <c r="F25" i="29"/>
  <c r="D25" i="29"/>
  <c r="B25" i="29"/>
  <c r="A25" i="29"/>
  <c r="O24" i="29"/>
  <c r="N24" i="29"/>
  <c r="K24" i="29"/>
  <c r="F24" i="29"/>
  <c r="D24" i="29"/>
  <c r="B24" i="29"/>
  <c r="A24" i="29"/>
  <c r="O23" i="29"/>
  <c r="N23" i="29"/>
  <c r="K23" i="29"/>
  <c r="F23" i="29"/>
  <c r="D23" i="29"/>
  <c r="B23" i="29"/>
  <c r="A23" i="29"/>
  <c r="O22" i="29"/>
  <c r="N22" i="29"/>
  <c r="K22" i="29"/>
  <c r="F22" i="29"/>
  <c r="D22" i="29"/>
  <c r="B22" i="29"/>
  <c r="A22" i="29"/>
  <c r="O21" i="29"/>
  <c r="N21" i="29"/>
  <c r="K21" i="29"/>
  <c r="F21" i="29"/>
  <c r="D21" i="29"/>
  <c r="B21" i="29"/>
  <c r="A21" i="29"/>
  <c r="O20" i="29"/>
  <c r="N20" i="29"/>
  <c r="K20" i="29"/>
  <c r="F20" i="29"/>
  <c r="D20" i="29"/>
  <c r="B20" i="29"/>
  <c r="A20" i="29"/>
  <c r="O19" i="29"/>
  <c r="N19" i="29"/>
  <c r="K19" i="29"/>
  <c r="F19" i="29"/>
  <c r="D19" i="29"/>
  <c r="B19" i="29"/>
  <c r="A19" i="29"/>
  <c r="O18" i="29"/>
  <c r="N18" i="29"/>
  <c r="K18" i="29"/>
  <c r="F18" i="29"/>
  <c r="D18" i="29"/>
  <c r="B18" i="29"/>
  <c r="A18" i="29"/>
  <c r="O17" i="29"/>
  <c r="N17" i="29"/>
  <c r="K17" i="29"/>
  <c r="F17" i="29"/>
  <c r="D17" i="29"/>
  <c r="B17" i="29"/>
  <c r="A17" i="29"/>
  <c r="O16" i="29"/>
  <c r="N16" i="29"/>
  <c r="K16" i="29"/>
  <c r="F16" i="29"/>
  <c r="D16" i="29"/>
  <c r="B16" i="29"/>
  <c r="A16" i="29"/>
  <c r="O15" i="29"/>
  <c r="N15" i="29"/>
  <c r="K15" i="29"/>
  <c r="F15" i="29"/>
  <c r="D15" i="29"/>
  <c r="B15" i="29"/>
  <c r="A15" i="29"/>
  <c r="O14" i="29"/>
  <c r="N14" i="29"/>
  <c r="K14" i="29"/>
  <c r="F14" i="29"/>
  <c r="D14" i="29"/>
  <c r="B14" i="29"/>
  <c r="A14" i="29"/>
  <c r="O13" i="29"/>
  <c r="N13" i="29"/>
  <c r="K13" i="29"/>
  <c r="F13" i="29"/>
  <c r="D13" i="29"/>
  <c r="B13" i="29"/>
  <c r="A13" i="29"/>
  <c r="O12" i="29"/>
  <c r="N12" i="29"/>
  <c r="K12" i="29"/>
  <c r="F12" i="29"/>
  <c r="D12" i="29"/>
  <c r="B12" i="29"/>
  <c r="A12" i="29"/>
  <c r="O11" i="29"/>
  <c r="N11" i="29"/>
  <c r="K11" i="29"/>
  <c r="F11" i="29"/>
  <c r="D11" i="29"/>
  <c r="B11" i="29"/>
  <c r="A11" i="29"/>
  <c r="O10" i="29"/>
  <c r="N10" i="29"/>
  <c r="K10" i="29"/>
  <c r="F10" i="29"/>
  <c r="D10" i="29"/>
  <c r="B10" i="29"/>
  <c r="A10" i="29"/>
  <c r="O9" i="29"/>
  <c r="N39" i="189"/>
  <c r="M39" i="189"/>
  <c r="K39" i="189"/>
  <c r="J39" i="189"/>
  <c r="I39" i="189"/>
  <c r="H39" i="189"/>
  <c r="G39" i="189"/>
  <c r="F39" i="189"/>
  <c r="E39" i="189"/>
  <c r="D39" i="189"/>
  <c r="C39" i="189"/>
  <c r="B39" i="189"/>
  <c r="O38" i="189"/>
  <c r="N38" i="189"/>
  <c r="K38" i="189"/>
  <c r="F38" i="189"/>
  <c r="D38" i="189"/>
  <c r="B38" i="189"/>
  <c r="A38" i="189"/>
  <c r="O37" i="189"/>
  <c r="N37" i="189"/>
  <c r="K37" i="189"/>
  <c r="F37" i="189"/>
  <c r="D37" i="189"/>
  <c r="B37" i="189"/>
  <c r="A37" i="189"/>
  <c r="O36" i="189"/>
  <c r="N36" i="189"/>
  <c r="K36" i="189"/>
  <c r="F36" i="189"/>
  <c r="D36" i="189"/>
  <c r="B36" i="189"/>
  <c r="A36" i="189"/>
  <c r="O35" i="189"/>
  <c r="N35" i="189"/>
  <c r="K35" i="189"/>
  <c r="F35" i="189"/>
  <c r="D35" i="189"/>
  <c r="B35" i="189"/>
  <c r="A35" i="189"/>
  <c r="O34" i="189"/>
  <c r="N34" i="189"/>
  <c r="K34" i="189"/>
  <c r="F34" i="189"/>
  <c r="D34" i="189"/>
  <c r="B34" i="189"/>
  <c r="A34" i="189"/>
  <c r="O33" i="189"/>
  <c r="N33" i="189"/>
  <c r="K33" i="189"/>
  <c r="F33" i="189"/>
  <c r="D33" i="189"/>
  <c r="B33" i="189"/>
  <c r="A33" i="189"/>
  <c r="O32" i="189"/>
  <c r="N32" i="189"/>
  <c r="K32" i="189"/>
  <c r="F32" i="189"/>
  <c r="D32" i="189"/>
  <c r="B32" i="189"/>
  <c r="A32" i="189"/>
  <c r="O31" i="189"/>
  <c r="N31" i="189"/>
  <c r="K31" i="189"/>
  <c r="F31" i="189"/>
  <c r="D31" i="189"/>
  <c r="B31" i="189"/>
  <c r="A31" i="189"/>
  <c r="O30" i="189"/>
  <c r="N30" i="189"/>
  <c r="K30" i="189"/>
  <c r="F30" i="189"/>
  <c r="D30" i="189"/>
  <c r="B30" i="189"/>
  <c r="A30" i="189"/>
  <c r="O29" i="189"/>
  <c r="N29" i="189"/>
  <c r="K29" i="189"/>
  <c r="F29" i="189"/>
  <c r="D29" i="189"/>
  <c r="B29" i="189"/>
  <c r="A29" i="189"/>
  <c r="O28" i="189"/>
  <c r="N28" i="189"/>
  <c r="K28" i="189"/>
  <c r="F28" i="189"/>
  <c r="D28" i="189"/>
  <c r="B28" i="189"/>
  <c r="A28" i="189"/>
  <c r="O27" i="189"/>
  <c r="N27" i="189"/>
  <c r="K27" i="189"/>
  <c r="F27" i="189"/>
  <c r="D27" i="189"/>
  <c r="B27" i="189"/>
  <c r="A27" i="189"/>
  <c r="O26" i="189"/>
  <c r="N26" i="189"/>
  <c r="K26" i="189"/>
  <c r="F26" i="189"/>
  <c r="D26" i="189"/>
  <c r="B26" i="189"/>
  <c r="A26" i="189"/>
  <c r="O25" i="189"/>
  <c r="N25" i="189"/>
  <c r="K25" i="189"/>
  <c r="F25" i="189"/>
  <c r="D25" i="189"/>
  <c r="B25" i="189"/>
  <c r="A25" i="189"/>
  <c r="O24" i="189"/>
  <c r="N24" i="189"/>
  <c r="K24" i="189"/>
  <c r="F24" i="189"/>
  <c r="D24" i="189"/>
  <c r="B24" i="189"/>
  <c r="A24" i="189"/>
  <c r="O23" i="189"/>
  <c r="N23" i="189"/>
  <c r="K23" i="189"/>
  <c r="F23" i="189"/>
  <c r="D23" i="189"/>
  <c r="B23" i="189"/>
  <c r="A23" i="189"/>
  <c r="O22" i="189"/>
  <c r="N22" i="189"/>
  <c r="K22" i="189"/>
  <c r="F22" i="189"/>
  <c r="D22" i="189"/>
  <c r="B22" i="189"/>
  <c r="A22" i="189"/>
  <c r="O21" i="189"/>
  <c r="N21" i="189"/>
  <c r="K21" i="189"/>
  <c r="F21" i="189"/>
  <c r="D21" i="189"/>
  <c r="B21" i="189"/>
  <c r="A21" i="189"/>
  <c r="O20" i="189"/>
  <c r="N20" i="189"/>
  <c r="K20" i="189"/>
  <c r="F20" i="189"/>
  <c r="D20" i="189"/>
  <c r="B20" i="189"/>
  <c r="A20" i="189"/>
  <c r="O19" i="189"/>
  <c r="N19" i="189"/>
  <c r="K19" i="189"/>
  <c r="F19" i="189"/>
  <c r="D19" i="189"/>
  <c r="B19" i="189"/>
  <c r="A19" i="189"/>
  <c r="O18" i="189"/>
  <c r="N18" i="189"/>
  <c r="K18" i="189"/>
  <c r="F18" i="189"/>
  <c r="D18" i="189"/>
  <c r="B18" i="189"/>
  <c r="A18" i="189"/>
  <c r="O17" i="189"/>
  <c r="N17" i="189"/>
  <c r="K17" i="189"/>
  <c r="F17" i="189"/>
  <c r="D17" i="189"/>
  <c r="B17" i="189"/>
  <c r="A17" i="189"/>
  <c r="O16" i="189"/>
  <c r="N16" i="189"/>
  <c r="K16" i="189"/>
  <c r="F16" i="189"/>
  <c r="D16" i="189"/>
  <c r="B16" i="189"/>
  <c r="A16" i="189"/>
  <c r="O15" i="189"/>
  <c r="N15" i="189"/>
  <c r="K15" i="189"/>
  <c r="F15" i="189"/>
  <c r="D15" i="189"/>
  <c r="B15" i="189"/>
  <c r="A15" i="189"/>
  <c r="O14" i="189"/>
  <c r="N14" i="189"/>
  <c r="K14" i="189"/>
  <c r="F14" i="189"/>
  <c r="D14" i="189"/>
  <c r="B14" i="189"/>
  <c r="A14" i="189"/>
  <c r="O13" i="189"/>
  <c r="N13" i="189"/>
  <c r="K13" i="189"/>
  <c r="F13" i="189"/>
  <c r="D13" i="189"/>
  <c r="B13" i="189"/>
  <c r="A13" i="189"/>
  <c r="O12" i="189"/>
  <c r="N12" i="189"/>
  <c r="K12" i="189"/>
  <c r="F12" i="189"/>
  <c r="D12" i="189"/>
  <c r="B12" i="189"/>
  <c r="A12" i="189"/>
  <c r="O11" i="189"/>
  <c r="N11" i="189"/>
  <c r="K11" i="189"/>
  <c r="F11" i="189"/>
  <c r="D11" i="189"/>
  <c r="B11" i="189"/>
  <c r="A11" i="189"/>
  <c r="O10" i="189"/>
  <c r="N10" i="189"/>
  <c r="K10" i="189"/>
  <c r="F10" i="189"/>
  <c r="D10" i="189"/>
  <c r="B10" i="189"/>
  <c r="A10" i="189"/>
  <c r="O9" i="189"/>
  <c r="N9" i="189"/>
  <c r="K9" i="189"/>
  <c r="F9" i="189"/>
  <c r="D9" i="189"/>
  <c r="B9" i="189"/>
  <c r="A9" i="189"/>
  <c r="O8" i="189"/>
  <c r="N8" i="189"/>
  <c r="K8" i="189"/>
  <c r="F8" i="189"/>
  <c r="D8" i="189"/>
  <c r="B8" i="189"/>
  <c r="A8" i="189"/>
  <c r="O7" i="189"/>
  <c r="N4" i="189"/>
  <c r="B3" i="189"/>
  <c r="G51" i="298"/>
  <c r="F48" i="298"/>
  <c r="D48" i="298"/>
  <c r="H47" i="298"/>
  <c r="D47" i="298"/>
  <c r="B47" i="298"/>
  <c r="D46" i="298"/>
  <c r="B46" i="298"/>
  <c r="D45" i="298"/>
  <c r="B45" i="298"/>
  <c r="N42" i="298"/>
  <c r="M42" i="298"/>
  <c r="K42" i="298"/>
  <c r="J42" i="298"/>
  <c r="I42" i="298"/>
  <c r="H42" i="298"/>
  <c r="G42" i="298"/>
  <c r="F42" i="298"/>
  <c r="E42" i="298"/>
  <c r="D42" i="298"/>
  <c r="C42" i="298"/>
  <c r="B42" i="298"/>
  <c r="N41" i="298"/>
  <c r="K41" i="298"/>
  <c r="D41" i="298"/>
  <c r="O40" i="298"/>
  <c r="N40" i="298"/>
  <c r="K40" i="298"/>
  <c r="F40" i="298"/>
  <c r="D40" i="298"/>
  <c r="B40" i="298"/>
  <c r="A40" i="298"/>
  <c r="O39" i="298"/>
  <c r="N39" i="298"/>
  <c r="K39" i="298"/>
  <c r="F39" i="298"/>
  <c r="D39" i="298"/>
  <c r="B39" i="298"/>
  <c r="A39" i="298"/>
  <c r="O38" i="298"/>
  <c r="N38" i="298"/>
  <c r="K38" i="298"/>
  <c r="F38" i="298"/>
  <c r="D38" i="298"/>
  <c r="B38" i="298"/>
  <c r="A38" i="298"/>
  <c r="O37" i="298"/>
  <c r="N37" i="298"/>
  <c r="K37" i="298"/>
  <c r="F37" i="298"/>
  <c r="D37" i="298"/>
  <c r="B37" i="298"/>
  <c r="A37" i="298"/>
  <c r="O36" i="298"/>
  <c r="N36" i="298"/>
  <c r="K36" i="298"/>
  <c r="F36" i="298"/>
  <c r="D36" i="298"/>
  <c r="B36" i="298"/>
  <c r="A36" i="298"/>
  <c r="O35" i="298"/>
  <c r="N35" i="298"/>
  <c r="K35" i="298"/>
  <c r="F35" i="298"/>
  <c r="D35" i="298"/>
  <c r="B35" i="298"/>
  <c r="A35" i="298"/>
  <c r="O34" i="298"/>
  <c r="N34" i="298"/>
  <c r="K34" i="298"/>
  <c r="F34" i="298"/>
  <c r="D34" i="298"/>
  <c r="B34" i="298"/>
  <c r="A34" i="298"/>
  <c r="O33" i="298"/>
  <c r="N33" i="298"/>
  <c r="K33" i="298"/>
  <c r="F33" i="298"/>
  <c r="D33" i="298"/>
  <c r="B33" i="298"/>
  <c r="A33" i="298"/>
  <c r="O32" i="298"/>
  <c r="N32" i="298"/>
  <c r="K32" i="298"/>
  <c r="F32" i="298"/>
  <c r="D32" i="298"/>
  <c r="B32" i="298"/>
  <c r="A32" i="298"/>
  <c r="O31" i="298"/>
  <c r="N31" i="298"/>
  <c r="K31" i="298"/>
  <c r="F31" i="298"/>
  <c r="D31" i="298"/>
  <c r="B31" i="298"/>
  <c r="A31" i="298"/>
  <c r="O30" i="298"/>
  <c r="N30" i="298"/>
  <c r="K30" i="298"/>
  <c r="F30" i="298"/>
  <c r="D30" i="298"/>
  <c r="B30" i="298"/>
  <c r="A30" i="298"/>
  <c r="O29" i="298"/>
  <c r="N29" i="298"/>
  <c r="K29" i="298"/>
  <c r="F29" i="298"/>
  <c r="D29" i="298"/>
  <c r="B29" i="298"/>
  <c r="A29" i="298"/>
  <c r="O28" i="298"/>
  <c r="N28" i="298"/>
  <c r="K28" i="298"/>
  <c r="F28" i="298"/>
  <c r="D28" i="298"/>
  <c r="B28" i="298"/>
  <c r="A28" i="298"/>
  <c r="P27" i="298"/>
  <c r="O27" i="298"/>
  <c r="N27" i="298"/>
  <c r="K27" i="298"/>
  <c r="F27" i="298"/>
  <c r="D27" i="298"/>
  <c r="B27" i="298"/>
  <c r="A27" i="298"/>
  <c r="O26" i="298"/>
  <c r="N26" i="298"/>
  <c r="K26" i="298"/>
  <c r="F26" i="298"/>
  <c r="D26" i="298"/>
  <c r="B26" i="298"/>
  <c r="A26" i="298"/>
  <c r="O25" i="298"/>
  <c r="N25" i="298"/>
  <c r="K25" i="298"/>
  <c r="F25" i="298"/>
  <c r="D25" i="298"/>
  <c r="B25" i="298"/>
  <c r="A25" i="298"/>
  <c r="O24" i="298"/>
  <c r="N24" i="298"/>
  <c r="K24" i="298"/>
  <c r="F24" i="298"/>
  <c r="D24" i="298"/>
  <c r="B24" i="298"/>
  <c r="A24" i="298"/>
  <c r="O23" i="298"/>
  <c r="N23" i="298"/>
  <c r="K23" i="298"/>
  <c r="F23" i="298"/>
  <c r="D23" i="298"/>
  <c r="B23" i="298"/>
  <c r="A23" i="298"/>
  <c r="O22" i="298"/>
  <c r="N22" i="298"/>
  <c r="K22" i="298"/>
  <c r="F22" i="298"/>
  <c r="D22" i="298"/>
  <c r="B22" i="298"/>
  <c r="A22" i="298"/>
  <c r="O21" i="298"/>
  <c r="N21" i="298"/>
  <c r="K21" i="298"/>
  <c r="F21" i="298"/>
  <c r="D21" i="298"/>
  <c r="B21" i="298"/>
  <c r="A21" i="298"/>
  <c r="O20" i="298"/>
  <c r="N20" i="298"/>
  <c r="K20" i="298"/>
  <c r="F20" i="298"/>
  <c r="D20" i="298"/>
  <c r="B20" i="298"/>
  <c r="A20" i="298"/>
  <c r="O19" i="298"/>
  <c r="N19" i="298"/>
  <c r="K19" i="298"/>
  <c r="F19" i="298"/>
  <c r="D19" i="298"/>
  <c r="B19" i="298"/>
  <c r="A19" i="298"/>
  <c r="O18" i="298"/>
  <c r="N18" i="298"/>
  <c r="K18" i="298"/>
  <c r="F18" i="298"/>
  <c r="D18" i="298"/>
  <c r="B18" i="298"/>
  <c r="A18" i="298"/>
  <c r="O17" i="298"/>
  <c r="N17" i="298"/>
  <c r="K17" i="298"/>
  <c r="F17" i="298"/>
  <c r="D17" i="298"/>
  <c r="B17" i="298"/>
  <c r="A17" i="298"/>
  <c r="O16" i="298"/>
  <c r="N16" i="298"/>
  <c r="K16" i="298"/>
  <c r="F16" i="298"/>
  <c r="D16" i="298"/>
  <c r="B16" i="298"/>
  <c r="A16" i="298"/>
  <c r="O15" i="298"/>
  <c r="N15" i="298"/>
  <c r="K15" i="298"/>
  <c r="F15" i="298"/>
  <c r="D15" i="298"/>
  <c r="B15" i="298"/>
  <c r="A15" i="298"/>
  <c r="O14" i="298"/>
  <c r="N14" i="298"/>
  <c r="K14" i="298"/>
  <c r="F14" i="298"/>
  <c r="D14" i="298"/>
  <c r="B14" i="298"/>
  <c r="A14" i="298"/>
  <c r="O13" i="298"/>
  <c r="N13" i="298"/>
  <c r="K13" i="298"/>
  <c r="F13" i="298"/>
  <c r="D13" i="298"/>
  <c r="B13" i="298"/>
  <c r="A13" i="298"/>
  <c r="O12" i="298"/>
  <c r="N12" i="298"/>
  <c r="K12" i="298"/>
  <c r="F12" i="298"/>
  <c r="D12" i="298"/>
  <c r="B12" i="298"/>
  <c r="A12" i="298"/>
  <c r="O11" i="298"/>
  <c r="N11" i="298"/>
  <c r="K11" i="298"/>
  <c r="F11" i="298"/>
  <c r="D11" i="298"/>
  <c r="B11" i="298"/>
  <c r="A11" i="298"/>
  <c r="O10" i="298"/>
  <c r="N10" i="298"/>
  <c r="K10" i="298"/>
  <c r="F10" i="298"/>
  <c r="D10" i="298"/>
  <c r="B10" i="298"/>
  <c r="A10" i="298"/>
  <c r="O9" i="298"/>
  <c r="B3" i="298"/>
  <c r="I61" i="223"/>
  <c r="D61" i="223"/>
  <c r="E57" i="223"/>
  <c r="D46" i="223"/>
  <c r="D45" i="223"/>
  <c r="B45" i="223"/>
  <c r="D44" i="223"/>
  <c r="B44" i="223"/>
  <c r="D43" i="223"/>
  <c r="B43" i="223"/>
  <c r="M40" i="223"/>
  <c r="L40" i="223"/>
  <c r="K40" i="223"/>
  <c r="J40" i="223"/>
  <c r="I40" i="223"/>
  <c r="H40" i="223"/>
  <c r="G40" i="223"/>
  <c r="F40" i="223"/>
  <c r="E40" i="223"/>
  <c r="D40" i="223"/>
  <c r="C40" i="223"/>
  <c r="B40" i="223"/>
  <c r="N39" i="223"/>
  <c r="M39" i="223"/>
  <c r="K39" i="223"/>
  <c r="F39" i="223"/>
  <c r="D39" i="223"/>
  <c r="B39" i="223"/>
  <c r="A39" i="223"/>
  <c r="N38" i="223"/>
  <c r="M38" i="223"/>
  <c r="K38" i="223"/>
  <c r="F38" i="223"/>
  <c r="D38" i="223"/>
  <c r="B38" i="223"/>
  <c r="A38" i="223"/>
  <c r="N37" i="223"/>
  <c r="M37" i="223"/>
  <c r="K37" i="223"/>
  <c r="F37" i="223"/>
  <c r="D37" i="223"/>
  <c r="B37" i="223"/>
  <c r="A37" i="223"/>
  <c r="N36" i="223"/>
  <c r="M36" i="223"/>
  <c r="K36" i="223"/>
  <c r="F36" i="223"/>
  <c r="D36" i="223"/>
  <c r="B36" i="223"/>
  <c r="A36" i="223"/>
  <c r="N35" i="223"/>
  <c r="M35" i="223"/>
  <c r="K35" i="223"/>
  <c r="F35" i="223"/>
  <c r="D35" i="223"/>
  <c r="B35" i="223"/>
  <c r="A35" i="223"/>
  <c r="N34" i="223"/>
  <c r="M34" i="223"/>
  <c r="K34" i="223"/>
  <c r="F34" i="223"/>
  <c r="D34" i="223"/>
  <c r="B34" i="223"/>
  <c r="A34" i="223"/>
  <c r="N33" i="223"/>
  <c r="M33" i="223"/>
  <c r="K33" i="223"/>
  <c r="F33" i="223"/>
  <c r="D33" i="223"/>
  <c r="B33" i="223"/>
  <c r="A33" i="223"/>
  <c r="N32" i="223"/>
  <c r="M32" i="223"/>
  <c r="K32" i="223"/>
  <c r="F32" i="223"/>
  <c r="D32" i="223"/>
  <c r="B32" i="223"/>
  <c r="A32" i="223"/>
  <c r="N31" i="223"/>
  <c r="M31" i="223"/>
  <c r="K31" i="223"/>
  <c r="F31" i="223"/>
  <c r="D31" i="223"/>
  <c r="B31" i="223"/>
  <c r="A31" i="223"/>
  <c r="N30" i="223"/>
  <c r="M30" i="223"/>
  <c r="K30" i="223"/>
  <c r="F30" i="223"/>
  <c r="D30" i="223"/>
  <c r="B30" i="223"/>
  <c r="A30" i="223"/>
  <c r="N29" i="223"/>
  <c r="M29" i="223"/>
  <c r="K29" i="223"/>
  <c r="F29" i="223"/>
  <c r="D29" i="223"/>
  <c r="B29" i="223"/>
  <c r="A29" i="223"/>
  <c r="N28" i="223"/>
  <c r="M28" i="223"/>
  <c r="K28" i="223"/>
  <c r="F28" i="223"/>
  <c r="D28" i="223"/>
  <c r="B28" i="223"/>
  <c r="A28" i="223"/>
  <c r="N27" i="223"/>
  <c r="M27" i="223"/>
  <c r="K27" i="223"/>
  <c r="F27" i="223"/>
  <c r="D27" i="223"/>
  <c r="B27" i="223"/>
  <c r="A27" i="223"/>
  <c r="N26" i="223"/>
  <c r="M26" i="223"/>
  <c r="K26" i="223"/>
  <c r="F26" i="223"/>
  <c r="D26" i="223"/>
  <c r="B26" i="223"/>
  <c r="A26" i="223"/>
  <c r="N25" i="223"/>
  <c r="M25" i="223"/>
  <c r="K25" i="223"/>
  <c r="F25" i="223"/>
  <c r="D25" i="223"/>
  <c r="B25" i="223"/>
  <c r="A25" i="223"/>
  <c r="N24" i="223"/>
  <c r="M24" i="223"/>
  <c r="K24" i="223"/>
  <c r="F24" i="223"/>
  <c r="D24" i="223"/>
  <c r="B24" i="223"/>
  <c r="A24" i="223"/>
  <c r="N23" i="223"/>
  <c r="M23" i="223"/>
  <c r="K23" i="223"/>
  <c r="F23" i="223"/>
  <c r="D23" i="223"/>
  <c r="A23" i="223"/>
  <c r="N22" i="223"/>
  <c r="M22" i="223"/>
  <c r="K22" i="223"/>
  <c r="F22" i="223"/>
  <c r="D22" i="223"/>
  <c r="B22" i="223"/>
  <c r="A22" i="223"/>
  <c r="N21" i="223"/>
  <c r="M21" i="223"/>
  <c r="K21" i="223"/>
  <c r="F21" i="223"/>
  <c r="D21" i="223"/>
  <c r="B21" i="223"/>
  <c r="A21" i="223"/>
  <c r="S20" i="223"/>
  <c r="N20" i="223"/>
  <c r="M20" i="223"/>
  <c r="K20" i="223"/>
  <c r="F20" i="223"/>
  <c r="D20" i="223"/>
  <c r="B20" i="223"/>
  <c r="A20" i="223"/>
  <c r="N19" i="223"/>
  <c r="M19" i="223"/>
  <c r="K19" i="223"/>
  <c r="F19" i="223"/>
  <c r="D19" i="223"/>
  <c r="B19" i="223"/>
  <c r="A19" i="223"/>
  <c r="N18" i="223"/>
  <c r="M18" i="223"/>
  <c r="K18" i="223"/>
  <c r="F18" i="223"/>
  <c r="D18" i="223"/>
  <c r="B18" i="223"/>
  <c r="A18" i="223"/>
  <c r="N17" i="223"/>
  <c r="M17" i="223"/>
  <c r="K17" i="223"/>
  <c r="F17" i="223"/>
  <c r="D17" i="223"/>
  <c r="B17" i="223"/>
  <c r="A17" i="223"/>
  <c r="N16" i="223"/>
  <c r="M16" i="223"/>
  <c r="K16" i="223"/>
  <c r="F16" i="223"/>
  <c r="D16" i="223"/>
  <c r="B16" i="223"/>
  <c r="A16" i="223"/>
  <c r="N15" i="223"/>
  <c r="M15" i="223"/>
  <c r="K15" i="223"/>
  <c r="F15" i="223"/>
  <c r="D15" i="223"/>
  <c r="B15" i="223"/>
  <c r="A15" i="223"/>
  <c r="N14" i="223"/>
  <c r="M14" i="223"/>
  <c r="K14" i="223"/>
  <c r="F14" i="223"/>
  <c r="D14" i="223"/>
  <c r="B14" i="223"/>
  <c r="A14" i="223"/>
  <c r="N13" i="223"/>
  <c r="M13" i="223"/>
  <c r="K13" i="223"/>
  <c r="F13" i="223"/>
  <c r="D13" i="223"/>
  <c r="B13" i="223"/>
  <c r="A13" i="223"/>
  <c r="N12" i="223"/>
  <c r="M12" i="223"/>
  <c r="K12" i="223"/>
  <c r="F12" i="223"/>
  <c r="D12" i="223"/>
  <c r="B12" i="223"/>
  <c r="A12" i="223"/>
  <c r="N11" i="223"/>
  <c r="M11" i="223"/>
  <c r="K11" i="223"/>
  <c r="F11" i="223"/>
  <c r="D11" i="223"/>
  <c r="B11" i="223"/>
  <c r="A11" i="223"/>
  <c r="N10" i="223"/>
  <c r="M10" i="223"/>
  <c r="K10" i="223"/>
  <c r="F10" i="223"/>
  <c r="D10" i="223"/>
  <c r="B10" i="223"/>
  <c r="A10" i="223"/>
  <c r="N9" i="223"/>
  <c r="M9" i="223"/>
  <c r="K9" i="223"/>
  <c r="F9" i="223"/>
  <c r="D9" i="223"/>
  <c r="B9" i="223"/>
  <c r="A9" i="223"/>
  <c r="N8" i="223"/>
  <c r="M4" i="223"/>
  <c r="D4" i="223"/>
  <c r="M3" i="223"/>
  <c r="L3" i="223"/>
  <c r="K3" i="223"/>
  <c r="K2" i="223"/>
  <c r="D46" i="268"/>
  <c r="D45" i="268"/>
  <c r="B45" i="268"/>
  <c r="D44" i="268"/>
  <c r="B44" i="268"/>
  <c r="D43" i="268"/>
  <c r="B43" i="268"/>
  <c r="N40" i="268"/>
  <c r="M40" i="268"/>
  <c r="K40" i="268"/>
  <c r="J40" i="268"/>
  <c r="I40" i="268"/>
  <c r="H40" i="268"/>
  <c r="G40" i="268"/>
  <c r="F40" i="268"/>
  <c r="E40" i="268"/>
  <c r="D40" i="268"/>
  <c r="C40" i="268"/>
  <c r="B40" i="268"/>
  <c r="O39" i="268"/>
  <c r="N39" i="268"/>
  <c r="K39" i="268"/>
  <c r="F39" i="268"/>
  <c r="D39" i="268"/>
  <c r="B39" i="268"/>
  <c r="A39" i="268"/>
  <c r="O38" i="268"/>
  <c r="N38" i="268"/>
  <c r="K38" i="268"/>
  <c r="F38" i="268"/>
  <c r="D38" i="268"/>
  <c r="B38" i="268"/>
  <c r="A38" i="268"/>
  <c r="O37" i="268"/>
  <c r="N37" i="268"/>
  <c r="K37" i="268"/>
  <c r="F37" i="268"/>
  <c r="D37" i="268"/>
  <c r="B37" i="268"/>
  <c r="A37" i="268"/>
  <c r="O36" i="268"/>
  <c r="N36" i="268"/>
  <c r="K36" i="268"/>
  <c r="F36" i="268"/>
  <c r="D36" i="268"/>
  <c r="B36" i="268"/>
  <c r="A36" i="268"/>
  <c r="O35" i="268"/>
  <c r="N35" i="268"/>
  <c r="K35" i="268"/>
  <c r="F35" i="268"/>
  <c r="D35" i="268"/>
  <c r="B35" i="268"/>
  <c r="A35" i="268"/>
  <c r="O34" i="268"/>
  <c r="N34" i="268"/>
  <c r="K34" i="268"/>
  <c r="F34" i="268"/>
  <c r="D34" i="268"/>
  <c r="B34" i="268"/>
  <c r="A34" i="268"/>
  <c r="O33" i="268"/>
  <c r="N33" i="268"/>
  <c r="K33" i="268"/>
  <c r="F33" i="268"/>
  <c r="D33" i="268"/>
  <c r="B33" i="268"/>
  <c r="A33" i="268"/>
  <c r="O32" i="268"/>
  <c r="N32" i="268"/>
  <c r="K32" i="268"/>
  <c r="F32" i="268"/>
  <c r="D32" i="268"/>
  <c r="B32" i="268"/>
  <c r="A32" i="268"/>
  <c r="O31" i="268"/>
  <c r="N31" i="268"/>
  <c r="K31" i="268"/>
  <c r="F31" i="268"/>
  <c r="D31" i="268"/>
  <c r="B31" i="268"/>
  <c r="A31" i="268"/>
  <c r="O30" i="268"/>
  <c r="N30" i="268"/>
  <c r="K30" i="268"/>
  <c r="F30" i="268"/>
  <c r="D30" i="268"/>
  <c r="B30" i="268"/>
  <c r="A30" i="268"/>
  <c r="O29" i="268"/>
  <c r="N29" i="268"/>
  <c r="K29" i="268"/>
  <c r="F29" i="268"/>
  <c r="D29" i="268"/>
  <c r="B29" i="268"/>
  <c r="A29" i="268"/>
  <c r="O28" i="268"/>
  <c r="N28" i="268"/>
  <c r="K28" i="268"/>
  <c r="F28" i="268"/>
  <c r="D28" i="268"/>
  <c r="B28" i="268"/>
  <c r="A28" i="268"/>
  <c r="O27" i="268"/>
  <c r="N27" i="268"/>
  <c r="K27" i="268"/>
  <c r="F27" i="268"/>
  <c r="D27" i="268"/>
  <c r="B27" i="268"/>
  <c r="A27" i="268"/>
  <c r="O26" i="268"/>
  <c r="N26" i="268"/>
  <c r="K26" i="268"/>
  <c r="F26" i="268"/>
  <c r="D26" i="268"/>
  <c r="B26" i="268"/>
  <c r="A26" i="268"/>
  <c r="O25" i="268"/>
  <c r="N25" i="268"/>
  <c r="K25" i="268"/>
  <c r="F25" i="268"/>
  <c r="D25" i="268"/>
  <c r="B25" i="268"/>
  <c r="A25" i="268"/>
  <c r="O24" i="268"/>
  <c r="N24" i="268"/>
  <c r="K24" i="268"/>
  <c r="F24" i="268"/>
  <c r="D24" i="268"/>
  <c r="B24" i="268"/>
  <c r="A24" i="268"/>
  <c r="O23" i="268"/>
  <c r="N23" i="268"/>
  <c r="K23" i="268"/>
  <c r="F23" i="268"/>
  <c r="D23" i="268"/>
  <c r="B23" i="268"/>
  <c r="A23" i="268"/>
  <c r="O22" i="268"/>
  <c r="N22" i="268"/>
  <c r="K22" i="268"/>
  <c r="F22" i="268"/>
  <c r="D22" i="268"/>
  <c r="B22" i="268"/>
  <c r="A22" i="268"/>
  <c r="Q21" i="268"/>
  <c r="O21" i="268"/>
  <c r="N21" i="268"/>
  <c r="K21" i="268"/>
  <c r="F21" i="268"/>
  <c r="D21" i="268"/>
  <c r="B21" i="268"/>
  <c r="A21" i="268"/>
  <c r="Q20" i="268"/>
  <c r="O20" i="268"/>
  <c r="N20" i="268"/>
  <c r="K20" i="268"/>
  <c r="F20" i="268"/>
  <c r="D20" i="268"/>
  <c r="B20" i="268"/>
  <c r="A20" i="268"/>
  <c r="Q19" i="268"/>
  <c r="O19" i="268"/>
  <c r="N19" i="268"/>
  <c r="K19" i="268"/>
  <c r="F19" i="268"/>
  <c r="D19" i="268"/>
  <c r="B19" i="268"/>
  <c r="A19" i="268"/>
  <c r="Q18" i="268"/>
  <c r="O18" i="268"/>
  <c r="N18" i="268"/>
  <c r="K18" i="268"/>
  <c r="F18" i="268"/>
  <c r="D18" i="268"/>
  <c r="B18" i="268"/>
  <c r="A18" i="268"/>
  <c r="Q17" i="268"/>
  <c r="O17" i="268"/>
  <c r="N17" i="268"/>
  <c r="K17" i="268"/>
  <c r="F17" i="268"/>
  <c r="D17" i="268"/>
  <c r="B17" i="268"/>
  <c r="A17" i="268"/>
  <c r="Q16" i="268"/>
  <c r="O16" i="268"/>
  <c r="N16" i="268"/>
  <c r="K16" i="268"/>
  <c r="F16" i="268"/>
  <c r="D16" i="268"/>
  <c r="B16" i="268"/>
  <c r="A16" i="268"/>
  <c r="Q15" i="268"/>
  <c r="O15" i="268"/>
  <c r="N15" i="268"/>
  <c r="K15" i="268"/>
  <c r="F15" i="268"/>
  <c r="D15" i="268"/>
  <c r="B15" i="268"/>
  <c r="A15" i="268"/>
  <c r="Q14" i="268"/>
  <c r="O14" i="268"/>
  <c r="N14" i="268"/>
  <c r="K14" i="268"/>
  <c r="F14" i="268"/>
  <c r="D14" i="268"/>
  <c r="B14" i="268"/>
  <c r="A14" i="268"/>
  <c r="Q13" i="268"/>
  <c r="O13" i="268"/>
  <c r="N13" i="268"/>
  <c r="K13" i="268"/>
  <c r="F13" i="268"/>
  <c r="D13" i="268"/>
  <c r="B13" i="268"/>
  <c r="A13" i="268"/>
  <c r="O12" i="268"/>
  <c r="N12" i="268"/>
  <c r="K12" i="268"/>
  <c r="F12" i="268"/>
  <c r="D12" i="268"/>
  <c r="B12" i="268"/>
  <c r="A12" i="268"/>
  <c r="O11" i="268"/>
  <c r="N11" i="268"/>
  <c r="K11" i="268"/>
  <c r="F11" i="268"/>
  <c r="D11" i="268"/>
  <c r="B11" i="268"/>
  <c r="A11" i="268"/>
  <c r="O10" i="268"/>
  <c r="N10" i="268"/>
  <c r="K10" i="268"/>
  <c r="F10" i="268"/>
  <c r="D10" i="268"/>
  <c r="B10" i="268"/>
  <c r="A10" i="268"/>
  <c r="O9" i="268"/>
  <c r="N9" i="268"/>
  <c r="K9" i="268"/>
  <c r="F9" i="268"/>
  <c r="D9" i="268"/>
  <c r="B9" i="268"/>
  <c r="A9" i="268"/>
  <c r="O8" i="268"/>
  <c r="B4" i="268"/>
  <c r="N40" i="301"/>
  <c r="M40" i="301"/>
  <c r="K40" i="301"/>
  <c r="J40" i="301"/>
  <c r="I40" i="301"/>
  <c r="H40" i="301"/>
  <c r="G40" i="301"/>
  <c r="F40" i="301"/>
  <c r="E40" i="301"/>
  <c r="D40" i="301"/>
  <c r="C40" i="301"/>
  <c r="B40" i="301"/>
  <c r="P39" i="301"/>
  <c r="O39" i="301"/>
  <c r="N39" i="301"/>
  <c r="K39" i="301"/>
  <c r="F39" i="301"/>
  <c r="D39" i="301"/>
  <c r="B39" i="301"/>
  <c r="A39" i="301"/>
  <c r="P38" i="301"/>
  <c r="O38" i="301"/>
  <c r="N38" i="301"/>
  <c r="K38" i="301"/>
  <c r="F38" i="301"/>
  <c r="D38" i="301"/>
  <c r="B38" i="301"/>
  <c r="A38" i="301"/>
  <c r="P37" i="301"/>
  <c r="O37" i="301"/>
  <c r="N37" i="301"/>
  <c r="K37" i="301"/>
  <c r="F37" i="301"/>
  <c r="D37" i="301"/>
  <c r="B37" i="301"/>
  <c r="A37" i="301"/>
  <c r="P36" i="301"/>
  <c r="O36" i="301"/>
  <c r="N36" i="301"/>
  <c r="K36" i="301"/>
  <c r="F36" i="301"/>
  <c r="D36" i="301"/>
  <c r="B36" i="301"/>
  <c r="A36" i="301"/>
  <c r="P35" i="301"/>
  <c r="O35" i="301"/>
  <c r="N35" i="301"/>
  <c r="K35" i="301"/>
  <c r="F35" i="301"/>
  <c r="D35" i="301"/>
  <c r="B35" i="301"/>
  <c r="A35" i="301"/>
  <c r="P34" i="301"/>
  <c r="O34" i="301"/>
  <c r="N34" i="301"/>
  <c r="K34" i="301"/>
  <c r="F34" i="301"/>
  <c r="D34" i="301"/>
  <c r="B34" i="301"/>
  <c r="A34" i="301"/>
  <c r="P33" i="301"/>
  <c r="O33" i="301"/>
  <c r="N33" i="301"/>
  <c r="K33" i="301"/>
  <c r="F33" i="301"/>
  <c r="D33" i="301"/>
  <c r="B33" i="301"/>
  <c r="A33" i="301"/>
  <c r="P32" i="301"/>
  <c r="O32" i="301"/>
  <c r="N32" i="301"/>
  <c r="K32" i="301"/>
  <c r="F32" i="301"/>
  <c r="D32" i="301"/>
  <c r="B32" i="301"/>
  <c r="A32" i="301"/>
  <c r="P31" i="301"/>
  <c r="O31" i="301"/>
  <c r="N31" i="301"/>
  <c r="K31" i="301"/>
  <c r="F31" i="301"/>
  <c r="D31" i="301"/>
  <c r="B31" i="301"/>
  <c r="A31" i="301"/>
  <c r="P30" i="301"/>
  <c r="O30" i="301"/>
  <c r="N30" i="301"/>
  <c r="K30" i="301"/>
  <c r="F30" i="301"/>
  <c r="D30" i="301"/>
  <c r="B30" i="301"/>
  <c r="A30" i="301"/>
  <c r="P29" i="301"/>
  <c r="O29" i="301"/>
  <c r="N29" i="301"/>
  <c r="K29" i="301"/>
  <c r="F29" i="301"/>
  <c r="D29" i="301"/>
  <c r="B29" i="301"/>
  <c r="A29" i="301"/>
  <c r="P28" i="301"/>
  <c r="O28" i="301"/>
  <c r="N28" i="301"/>
  <c r="K28" i="301"/>
  <c r="F28" i="301"/>
  <c r="D28" i="301"/>
  <c r="B28" i="301"/>
  <c r="A28" i="301"/>
  <c r="P27" i="301"/>
  <c r="O27" i="301"/>
  <c r="N27" i="301"/>
  <c r="K27" i="301"/>
  <c r="F27" i="301"/>
  <c r="D27" i="301"/>
  <c r="B27" i="301"/>
  <c r="A27" i="301"/>
  <c r="P26" i="301"/>
  <c r="O26" i="301"/>
  <c r="N26" i="301"/>
  <c r="K26" i="301"/>
  <c r="F26" i="301"/>
  <c r="D26" i="301"/>
  <c r="B26" i="301"/>
  <c r="A26" i="301"/>
  <c r="P25" i="301"/>
  <c r="O25" i="301"/>
  <c r="N25" i="301"/>
  <c r="K25" i="301"/>
  <c r="F25" i="301"/>
  <c r="D25" i="301"/>
  <c r="B25" i="301"/>
  <c r="A25" i="301"/>
  <c r="P24" i="301"/>
  <c r="O24" i="301"/>
  <c r="N24" i="301"/>
  <c r="K24" i="301"/>
  <c r="F24" i="301"/>
  <c r="D24" i="301"/>
  <c r="B24" i="301"/>
  <c r="A24" i="301"/>
  <c r="P23" i="301"/>
  <c r="O23" i="301"/>
  <c r="N23" i="301"/>
  <c r="K23" i="301"/>
  <c r="F23" i="301"/>
  <c r="D23" i="301"/>
  <c r="B23" i="301"/>
  <c r="A23" i="301"/>
  <c r="P22" i="301"/>
  <c r="O22" i="301"/>
  <c r="N22" i="301"/>
  <c r="K22" i="301"/>
  <c r="F22" i="301"/>
  <c r="D22" i="301"/>
  <c r="B22" i="301"/>
  <c r="A22" i="301"/>
  <c r="P21" i="301"/>
  <c r="O21" i="301"/>
  <c r="N21" i="301"/>
  <c r="K21" i="301"/>
  <c r="F21" i="301"/>
  <c r="D21" i="301"/>
  <c r="B21" i="301"/>
  <c r="A21" i="301"/>
  <c r="P20" i="301"/>
  <c r="O20" i="301"/>
  <c r="N20" i="301"/>
  <c r="K20" i="301"/>
  <c r="F20" i="301"/>
  <c r="D20" i="301"/>
  <c r="B20" i="301"/>
  <c r="A20" i="301"/>
  <c r="Q19" i="301"/>
  <c r="P19" i="301"/>
  <c r="O19" i="301"/>
  <c r="N19" i="301"/>
  <c r="K19" i="301"/>
  <c r="F19" i="301"/>
  <c r="D19" i="301"/>
  <c r="B19" i="301"/>
  <c r="A19" i="301"/>
  <c r="P18" i="301"/>
  <c r="O18" i="301"/>
  <c r="N18" i="301"/>
  <c r="K18" i="301"/>
  <c r="F18" i="301"/>
  <c r="D18" i="301"/>
  <c r="B18" i="301"/>
  <c r="A18" i="301"/>
  <c r="P17" i="301"/>
  <c r="K17" i="301"/>
  <c r="F17" i="301"/>
  <c r="D17" i="301"/>
  <c r="B17" i="301"/>
  <c r="A17" i="301"/>
  <c r="P16" i="301"/>
  <c r="O16" i="301"/>
  <c r="N16" i="301"/>
  <c r="K16" i="301"/>
  <c r="F16" i="301"/>
  <c r="D16" i="301"/>
  <c r="B16" i="301"/>
  <c r="A16" i="301"/>
  <c r="P15" i="301"/>
  <c r="O15" i="301"/>
  <c r="N15" i="301"/>
  <c r="K15" i="301"/>
  <c r="F15" i="301"/>
  <c r="D15" i="301"/>
  <c r="B15" i="301"/>
  <c r="A15" i="301"/>
  <c r="P14" i="301"/>
  <c r="O14" i="301"/>
  <c r="N14" i="301"/>
  <c r="K14" i="301"/>
  <c r="F14" i="301"/>
  <c r="D14" i="301"/>
  <c r="B14" i="301"/>
  <c r="A14" i="301"/>
  <c r="P13" i="301"/>
  <c r="O13" i="301"/>
  <c r="N13" i="301"/>
  <c r="K13" i="301"/>
  <c r="F13" i="301"/>
  <c r="D13" i="301"/>
  <c r="B13" i="301"/>
  <c r="A13" i="301"/>
  <c r="P12" i="301"/>
  <c r="O12" i="301"/>
  <c r="N12" i="301"/>
  <c r="K12" i="301"/>
  <c r="F12" i="301"/>
  <c r="D12" i="301"/>
  <c r="B12" i="301"/>
  <c r="A12" i="301"/>
  <c r="P11" i="301"/>
  <c r="O11" i="301"/>
  <c r="N11" i="301"/>
  <c r="K11" i="301"/>
  <c r="F11" i="301"/>
  <c r="D11" i="301"/>
  <c r="B11" i="301"/>
  <c r="A11" i="301"/>
  <c r="P10" i="301"/>
  <c r="O10" i="301"/>
  <c r="N10" i="301"/>
  <c r="K10" i="301"/>
  <c r="F10" i="301"/>
  <c r="D10" i="301"/>
  <c r="B10" i="301"/>
  <c r="A10" i="301"/>
  <c r="P9" i="301"/>
  <c r="O9" i="301"/>
  <c r="N9" i="301"/>
  <c r="K9" i="301"/>
  <c r="F9" i="301"/>
  <c r="D9" i="301"/>
  <c r="B9" i="301"/>
  <c r="A9" i="301"/>
  <c r="O8" i="301"/>
  <c r="H4" i="301"/>
  <c r="B4" i="301"/>
  <c r="O42" i="136"/>
  <c r="N39" i="136"/>
  <c r="M39" i="136"/>
  <c r="K39" i="136"/>
  <c r="J39" i="136"/>
  <c r="I39" i="136"/>
  <c r="H39" i="136"/>
  <c r="G39" i="136"/>
  <c r="F39" i="136"/>
  <c r="E39" i="136"/>
  <c r="D39" i="136"/>
  <c r="C39" i="136"/>
  <c r="B39" i="136"/>
  <c r="P38" i="136"/>
  <c r="O38" i="136"/>
  <c r="N38" i="136"/>
  <c r="K38" i="136"/>
  <c r="D38" i="136"/>
  <c r="B38" i="136"/>
  <c r="A38" i="136"/>
  <c r="P37" i="136"/>
  <c r="O37" i="136"/>
  <c r="N37" i="136"/>
  <c r="K37" i="136"/>
  <c r="D37" i="136"/>
  <c r="B37" i="136"/>
  <c r="A37" i="136"/>
  <c r="P36" i="136"/>
  <c r="O36" i="136"/>
  <c r="N36" i="136"/>
  <c r="K36" i="136"/>
  <c r="D36" i="136"/>
  <c r="B36" i="136"/>
  <c r="A36" i="136"/>
  <c r="P35" i="136"/>
  <c r="O35" i="136"/>
  <c r="N35" i="136"/>
  <c r="K35" i="136"/>
  <c r="D35" i="136"/>
  <c r="B35" i="136"/>
  <c r="A35" i="136"/>
  <c r="Q34" i="136"/>
  <c r="P34" i="136"/>
  <c r="O34" i="136"/>
  <c r="N34" i="136"/>
  <c r="K34" i="136"/>
  <c r="D34" i="136"/>
  <c r="B34" i="136"/>
  <c r="A34" i="136"/>
  <c r="P33" i="136"/>
  <c r="O33" i="136"/>
  <c r="N33" i="136"/>
  <c r="K33" i="136"/>
  <c r="D33" i="136"/>
  <c r="B33" i="136"/>
  <c r="A33" i="136"/>
  <c r="P32" i="136"/>
  <c r="O32" i="136"/>
  <c r="N32" i="136"/>
  <c r="K32" i="136"/>
  <c r="D32" i="136"/>
  <c r="B32" i="136"/>
  <c r="A32" i="136"/>
  <c r="P31" i="136"/>
  <c r="O31" i="136"/>
  <c r="N31" i="136"/>
  <c r="K31" i="136"/>
  <c r="D31" i="136"/>
  <c r="B31" i="136"/>
  <c r="A31" i="136"/>
  <c r="P30" i="136"/>
  <c r="O30" i="136"/>
  <c r="N30" i="136"/>
  <c r="K30" i="136"/>
  <c r="D30" i="136"/>
  <c r="B30" i="136"/>
  <c r="A30" i="136"/>
  <c r="P29" i="136"/>
  <c r="O29" i="136"/>
  <c r="N29" i="136"/>
  <c r="K29" i="136"/>
  <c r="D29" i="136"/>
  <c r="B29" i="136"/>
  <c r="A29" i="136"/>
  <c r="P28" i="136"/>
  <c r="O28" i="136"/>
  <c r="N28" i="136"/>
  <c r="K28" i="136"/>
  <c r="D28" i="136"/>
  <c r="B28" i="136"/>
  <c r="A28" i="136"/>
  <c r="P27" i="136"/>
  <c r="O27" i="136"/>
  <c r="N27" i="136"/>
  <c r="K27" i="136"/>
  <c r="D27" i="136"/>
  <c r="B27" i="136"/>
  <c r="A27" i="136"/>
  <c r="P26" i="136"/>
  <c r="O26" i="136"/>
  <c r="N26" i="136"/>
  <c r="K26" i="136"/>
  <c r="D26" i="136"/>
  <c r="B26" i="136"/>
  <c r="A26" i="136"/>
  <c r="P25" i="136"/>
  <c r="O25" i="136"/>
  <c r="N25" i="136"/>
  <c r="K25" i="136"/>
  <c r="D25" i="136"/>
  <c r="B25" i="136"/>
  <c r="A25" i="136"/>
  <c r="P24" i="136"/>
  <c r="O24" i="136"/>
  <c r="N24" i="136"/>
  <c r="K24" i="136"/>
  <c r="D24" i="136"/>
  <c r="B24" i="136"/>
  <c r="A24" i="136"/>
  <c r="P23" i="136"/>
  <c r="O23" i="136"/>
  <c r="N23" i="136"/>
  <c r="K23" i="136"/>
  <c r="D23" i="136"/>
  <c r="B23" i="136"/>
  <c r="A23" i="136"/>
  <c r="P22" i="136"/>
  <c r="O22" i="136"/>
  <c r="N22" i="136"/>
  <c r="K22" i="136"/>
  <c r="D22" i="136"/>
  <c r="B22" i="136"/>
  <c r="A22" i="136"/>
  <c r="P21" i="136"/>
  <c r="O21" i="136"/>
  <c r="N21" i="136"/>
  <c r="K21" i="136"/>
  <c r="D21" i="136"/>
  <c r="B21" i="136"/>
  <c r="A21" i="136"/>
  <c r="P20" i="136"/>
  <c r="O20" i="136"/>
  <c r="N20" i="136"/>
  <c r="K20" i="136"/>
  <c r="D20" i="136"/>
  <c r="B20" i="136"/>
  <c r="A20" i="136"/>
  <c r="P19" i="136"/>
  <c r="O19" i="136"/>
  <c r="N19" i="136"/>
  <c r="K19" i="136"/>
  <c r="D19" i="136"/>
  <c r="B19" i="136"/>
  <c r="A19" i="136"/>
  <c r="P18" i="136"/>
  <c r="O18" i="136"/>
  <c r="N18" i="136"/>
  <c r="K18" i="136"/>
  <c r="D18" i="136"/>
  <c r="B18" i="136"/>
  <c r="A18" i="136"/>
  <c r="P17" i="136"/>
  <c r="O17" i="136"/>
  <c r="N17" i="136"/>
  <c r="K17" i="136"/>
  <c r="D17" i="136"/>
  <c r="B17" i="136"/>
  <c r="A17" i="136"/>
  <c r="P16" i="136"/>
  <c r="O16" i="136"/>
  <c r="N16" i="136"/>
  <c r="K16" i="136"/>
  <c r="D16" i="136"/>
  <c r="B16" i="136"/>
  <c r="A16" i="136"/>
  <c r="P15" i="136"/>
  <c r="O15" i="136"/>
  <c r="N15" i="136"/>
  <c r="K15" i="136"/>
  <c r="D15" i="136"/>
  <c r="B15" i="136"/>
  <c r="A15" i="136"/>
  <c r="P14" i="136"/>
  <c r="O14" i="136"/>
  <c r="N14" i="136"/>
  <c r="K14" i="136"/>
  <c r="D14" i="136"/>
  <c r="B14" i="136"/>
  <c r="A14" i="136"/>
  <c r="P13" i="136"/>
  <c r="O13" i="136"/>
  <c r="N13" i="136"/>
  <c r="K13" i="136"/>
  <c r="D13" i="136"/>
  <c r="B13" i="136"/>
  <c r="A13" i="136"/>
  <c r="P12" i="136"/>
  <c r="O12" i="136"/>
  <c r="N12" i="136"/>
  <c r="K12" i="136"/>
  <c r="D12" i="136"/>
  <c r="B12" i="136"/>
  <c r="A12" i="136"/>
  <c r="P11" i="136"/>
  <c r="O11" i="136"/>
  <c r="N11" i="136"/>
  <c r="K11" i="136"/>
  <c r="D11" i="136"/>
  <c r="B11" i="136"/>
  <c r="A11" i="136"/>
  <c r="P10" i="136"/>
  <c r="O10" i="136"/>
  <c r="N10" i="136"/>
  <c r="K10" i="136"/>
  <c r="D10" i="136"/>
  <c r="B10" i="136"/>
  <c r="A10" i="136"/>
  <c r="P9" i="136"/>
  <c r="O9" i="136"/>
  <c r="N9" i="136"/>
  <c r="K9" i="136"/>
  <c r="D9" i="136"/>
  <c r="B9" i="136"/>
  <c r="A9" i="136"/>
  <c r="P8" i="136"/>
  <c r="O8" i="136"/>
  <c r="N8" i="136"/>
  <c r="K8" i="136"/>
  <c r="D8" i="136"/>
  <c r="B8" i="136"/>
  <c r="A8" i="136"/>
  <c r="O7" i="136"/>
  <c r="B3" i="136"/>
  <c r="D46" i="28"/>
  <c r="D45" i="28"/>
  <c r="B45" i="28"/>
  <c r="D44" i="28"/>
  <c r="B44" i="28"/>
  <c r="D43" i="28"/>
  <c r="B43" i="28"/>
  <c r="N40" i="28"/>
  <c r="M40" i="28"/>
  <c r="K40" i="28"/>
  <c r="J40" i="28"/>
  <c r="I40" i="28"/>
  <c r="H40" i="28"/>
  <c r="G40" i="28"/>
  <c r="F40" i="28"/>
  <c r="E40" i="28"/>
  <c r="D40" i="28"/>
  <c r="C40" i="28"/>
  <c r="B40" i="28"/>
  <c r="O39" i="28"/>
  <c r="N39" i="28"/>
  <c r="K39" i="28"/>
  <c r="F39" i="28"/>
  <c r="D39" i="28"/>
  <c r="B39" i="28"/>
  <c r="A39" i="28"/>
  <c r="O38" i="28"/>
  <c r="N38" i="28"/>
  <c r="K38" i="28"/>
  <c r="F38" i="28"/>
  <c r="D38" i="28"/>
  <c r="B38" i="28"/>
  <c r="A38" i="28"/>
  <c r="O37" i="28"/>
  <c r="N37" i="28"/>
  <c r="K37" i="28"/>
  <c r="F37" i="28"/>
  <c r="D37" i="28"/>
  <c r="B37" i="28"/>
  <c r="A37" i="28"/>
  <c r="O36" i="28"/>
  <c r="N36" i="28"/>
  <c r="K36" i="28"/>
  <c r="F36" i="28"/>
  <c r="D36" i="28"/>
  <c r="B36" i="28"/>
  <c r="A36" i="28"/>
  <c r="O35" i="28"/>
  <c r="N35" i="28"/>
  <c r="K35" i="28"/>
  <c r="F35" i="28"/>
  <c r="D35" i="28"/>
  <c r="B35" i="28"/>
  <c r="A35" i="28"/>
  <c r="O34" i="28"/>
  <c r="N34" i="28"/>
  <c r="K34" i="28"/>
  <c r="F34" i="28"/>
  <c r="D34" i="28"/>
  <c r="B34" i="28"/>
  <c r="A34" i="28"/>
  <c r="O33" i="28"/>
  <c r="N33" i="28"/>
  <c r="K33" i="28"/>
  <c r="F33" i="28"/>
  <c r="D33" i="28"/>
  <c r="B33" i="28"/>
  <c r="A33" i="28"/>
  <c r="O32" i="28"/>
  <c r="N32" i="28"/>
  <c r="K32" i="28"/>
  <c r="F32" i="28"/>
  <c r="D32" i="28"/>
  <c r="B32" i="28"/>
  <c r="A32" i="28"/>
  <c r="O31" i="28"/>
  <c r="N31" i="28"/>
  <c r="K31" i="28"/>
  <c r="F31" i="28"/>
  <c r="D31" i="28"/>
  <c r="B31" i="28"/>
  <c r="A31" i="28"/>
  <c r="O30" i="28"/>
  <c r="N30" i="28"/>
  <c r="K30" i="28"/>
  <c r="F30" i="28"/>
  <c r="D30" i="28"/>
  <c r="B30" i="28"/>
  <c r="A30" i="28"/>
  <c r="O29" i="28"/>
  <c r="N29" i="28"/>
  <c r="K29" i="28"/>
  <c r="F29" i="28"/>
  <c r="D29" i="28"/>
  <c r="B29" i="28"/>
  <c r="A29" i="28"/>
  <c r="O28" i="28"/>
  <c r="N28" i="28"/>
  <c r="K28" i="28"/>
  <c r="F28" i="28"/>
  <c r="D28" i="28"/>
  <c r="B28" i="28"/>
  <c r="A28" i="28"/>
  <c r="O27" i="28"/>
  <c r="N27" i="28"/>
  <c r="K27" i="28"/>
  <c r="F27" i="28"/>
  <c r="D27" i="28"/>
  <c r="B27" i="28"/>
  <c r="A27" i="28"/>
  <c r="O26" i="28"/>
  <c r="N26" i="28"/>
  <c r="K26" i="28"/>
  <c r="F26" i="28"/>
  <c r="D26" i="28"/>
  <c r="B26" i="28"/>
  <c r="A26" i="28"/>
  <c r="O25" i="28"/>
  <c r="N25" i="28"/>
  <c r="K25" i="28"/>
  <c r="F25" i="28"/>
  <c r="D25" i="28"/>
  <c r="B25" i="28"/>
  <c r="A25" i="28"/>
  <c r="O24" i="28"/>
  <c r="N24" i="28"/>
  <c r="K24" i="28"/>
  <c r="F24" i="28"/>
  <c r="D24" i="28"/>
  <c r="B24" i="28"/>
  <c r="A24" i="28"/>
  <c r="O23" i="28"/>
  <c r="N23" i="28"/>
  <c r="K23" i="28"/>
  <c r="F23" i="28"/>
  <c r="D23" i="28"/>
  <c r="B23" i="28"/>
  <c r="A23" i="28"/>
  <c r="O22" i="28"/>
  <c r="N22" i="28"/>
  <c r="K22" i="28"/>
  <c r="F22" i="28"/>
  <c r="D22" i="28"/>
  <c r="B22" i="28"/>
  <c r="A22" i="28"/>
  <c r="O21" i="28"/>
  <c r="N21" i="28"/>
  <c r="K21" i="28"/>
  <c r="F21" i="28"/>
  <c r="D21" i="28"/>
  <c r="B21" i="28"/>
  <c r="A21" i="28"/>
  <c r="O20" i="28"/>
  <c r="N20" i="28"/>
  <c r="K20" i="28"/>
  <c r="F20" i="28"/>
  <c r="D20" i="28"/>
  <c r="B20" i="28"/>
  <c r="A20" i="28"/>
  <c r="O19" i="28"/>
  <c r="N19" i="28"/>
  <c r="K19" i="28"/>
  <c r="F19" i="28"/>
  <c r="D19" i="28"/>
  <c r="B19" i="28"/>
  <c r="A19" i="28"/>
  <c r="O18" i="28"/>
  <c r="N18" i="28"/>
  <c r="K18" i="28"/>
  <c r="F18" i="28"/>
  <c r="D18" i="28"/>
  <c r="B18" i="28"/>
  <c r="A18" i="28"/>
  <c r="O17" i="28"/>
  <c r="N17" i="28"/>
  <c r="K17" i="28"/>
  <c r="F17" i="28"/>
  <c r="D17" i="28"/>
  <c r="B17" i="28"/>
  <c r="A17" i="28"/>
  <c r="O16" i="28"/>
  <c r="N16" i="28"/>
  <c r="K16" i="28"/>
  <c r="F16" i="28"/>
  <c r="D16" i="28"/>
  <c r="B16" i="28"/>
  <c r="A16" i="28"/>
  <c r="O15" i="28"/>
  <c r="N15" i="28"/>
  <c r="K15" i="28"/>
  <c r="F15" i="28"/>
  <c r="D15" i="28"/>
  <c r="B15" i="28"/>
  <c r="A15" i="28"/>
  <c r="O14" i="28"/>
  <c r="N14" i="28"/>
  <c r="K14" i="28"/>
  <c r="F14" i="28"/>
  <c r="D14" i="28"/>
  <c r="B14" i="28"/>
  <c r="A14" i="28"/>
  <c r="O13" i="28"/>
  <c r="N13" i="28"/>
  <c r="K13" i="28"/>
  <c r="F13" i="28"/>
  <c r="D13" i="28"/>
  <c r="B13" i="28"/>
  <c r="A13" i="28"/>
  <c r="O12" i="28"/>
  <c r="N12" i="28"/>
  <c r="K12" i="28"/>
  <c r="F12" i="28"/>
  <c r="D12" i="28"/>
  <c r="B12" i="28"/>
  <c r="A12" i="28"/>
  <c r="O11" i="28"/>
  <c r="N11" i="28"/>
  <c r="K11" i="28"/>
  <c r="F11" i="28"/>
  <c r="D11" i="28"/>
  <c r="B11" i="28"/>
  <c r="A11" i="28"/>
  <c r="O10" i="28"/>
  <c r="N10" i="28"/>
  <c r="K10" i="28"/>
  <c r="F10" i="28"/>
  <c r="D10" i="28"/>
  <c r="B10" i="28"/>
  <c r="A10" i="28"/>
  <c r="O9" i="28"/>
  <c r="N9" i="28"/>
  <c r="K9" i="28"/>
  <c r="F9" i="28"/>
  <c r="D9" i="28"/>
  <c r="B9" i="28"/>
  <c r="A9" i="28"/>
  <c r="O8" i="28"/>
  <c r="B4" i="28"/>
  <c r="D53" i="30"/>
  <c r="O52" i="30"/>
  <c r="D52" i="30"/>
  <c r="B52" i="30"/>
  <c r="D51" i="30"/>
  <c r="B51" i="30"/>
  <c r="O50" i="30"/>
  <c r="D50" i="30"/>
  <c r="B50" i="30"/>
  <c r="N47" i="30"/>
  <c r="M47" i="30"/>
  <c r="K47" i="30"/>
  <c r="J47" i="30"/>
  <c r="I47" i="30"/>
  <c r="H47" i="30"/>
  <c r="G47" i="30"/>
  <c r="F47" i="30"/>
  <c r="E47" i="30"/>
  <c r="D47" i="30"/>
  <c r="C47" i="30"/>
  <c r="B47" i="30"/>
  <c r="O46" i="30"/>
  <c r="N46" i="30"/>
  <c r="K46" i="30"/>
  <c r="F46" i="30"/>
  <c r="D46" i="30"/>
  <c r="B46" i="30"/>
  <c r="A46" i="30"/>
  <c r="O45" i="30"/>
  <c r="N45" i="30"/>
  <c r="K45" i="30"/>
  <c r="D45" i="30"/>
  <c r="A45" i="30"/>
  <c r="O44" i="30"/>
  <c r="N44" i="30"/>
  <c r="K44" i="30"/>
  <c r="D44" i="30"/>
  <c r="A44" i="30"/>
  <c r="O43" i="30"/>
  <c r="N43" i="30"/>
  <c r="K43" i="30"/>
  <c r="D43" i="30"/>
  <c r="A43" i="30"/>
  <c r="O42" i="30"/>
  <c r="N42" i="30"/>
  <c r="K42" i="30"/>
  <c r="D42" i="30"/>
  <c r="A42" i="30"/>
  <c r="O41" i="30"/>
  <c r="N41" i="30"/>
  <c r="K41" i="30"/>
  <c r="D41" i="30"/>
  <c r="A41" i="30"/>
  <c r="O40" i="30"/>
  <c r="N40" i="30"/>
  <c r="K40" i="30"/>
  <c r="D40" i="30"/>
  <c r="A40" i="30"/>
  <c r="O39" i="30"/>
  <c r="N39" i="30"/>
  <c r="K39" i="30"/>
  <c r="D39" i="30"/>
  <c r="A39" i="30"/>
  <c r="O38" i="30"/>
  <c r="N38" i="30"/>
  <c r="K38" i="30"/>
  <c r="F38" i="30"/>
  <c r="D38" i="30"/>
  <c r="B38" i="30"/>
  <c r="A38" i="30"/>
  <c r="O37" i="30"/>
  <c r="N37" i="30"/>
  <c r="K37" i="30"/>
  <c r="F37" i="30"/>
  <c r="D37" i="30"/>
  <c r="B37" i="30"/>
  <c r="A37" i="30"/>
  <c r="O36" i="30"/>
  <c r="N36" i="30"/>
  <c r="K36" i="30"/>
  <c r="F36" i="30"/>
  <c r="D36" i="30"/>
  <c r="B36" i="30"/>
  <c r="A36" i="30"/>
  <c r="O35" i="30"/>
  <c r="N35" i="30"/>
  <c r="K35" i="30"/>
  <c r="F35" i="30"/>
  <c r="D35" i="30"/>
  <c r="B35" i="30"/>
  <c r="A35" i="30"/>
  <c r="O34" i="30"/>
  <c r="N34" i="30"/>
  <c r="K34" i="30"/>
  <c r="F34" i="30"/>
  <c r="D34" i="30"/>
  <c r="B34" i="30"/>
  <c r="A34" i="30"/>
  <c r="O33" i="30"/>
  <c r="N33" i="30"/>
  <c r="K33" i="30"/>
  <c r="F33" i="30"/>
  <c r="D33" i="30"/>
  <c r="B33" i="30"/>
  <c r="A33" i="30"/>
  <c r="O32" i="30"/>
  <c r="N32" i="30"/>
  <c r="K32" i="30"/>
  <c r="F32" i="30"/>
  <c r="D32" i="30"/>
  <c r="B32" i="30"/>
  <c r="A32" i="30"/>
  <c r="O31" i="30"/>
  <c r="N31" i="30"/>
  <c r="K31" i="30"/>
  <c r="F31" i="30"/>
  <c r="D31" i="30"/>
  <c r="B31" i="30"/>
  <c r="A31" i="30"/>
  <c r="O30" i="30"/>
  <c r="N30" i="30"/>
  <c r="K30" i="30"/>
  <c r="F30" i="30"/>
  <c r="D30" i="30"/>
  <c r="B30" i="30"/>
  <c r="A30" i="30"/>
  <c r="O29" i="30"/>
  <c r="N29" i="30"/>
  <c r="K29" i="30"/>
  <c r="F29" i="30"/>
  <c r="D29" i="30"/>
  <c r="B29" i="30"/>
  <c r="A29" i="30"/>
  <c r="O28" i="30"/>
  <c r="N28" i="30"/>
  <c r="K28" i="30"/>
  <c r="F28" i="30"/>
  <c r="D28" i="30"/>
  <c r="B28" i="30"/>
  <c r="A28" i="30"/>
  <c r="O27" i="30"/>
  <c r="N27" i="30"/>
  <c r="K27" i="30"/>
  <c r="F27" i="30"/>
  <c r="D27" i="30"/>
  <c r="B27" i="30"/>
  <c r="A27" i="30"/>
  <c r="O26" i="30"/>
  <c r="N26" i="30"/>
  <c r="K26" i="30"/>
  <c r="F26" i="30"/>
  <c r="D26" i="30"/>
  <c r="B26" i="30"/>
  <c r="A26" i="30"/>
  <c r="O25" i="30"/>
  <c r="N25" i="30"/>
  <c r="K25" i="30"/>
  <c r="F25" i="30"/>
  <c r="D25" i="30"/>
  <c r="B25" i="30"/>
  <c r="A25" i="30"/>
  <c r="O24" i="30"/>
  <c r="N24" i="30"/>
  <c r="K24" i="30"/>
  <c r="F24" i="30"/>
  <c r="D24" i="30"/>
  <c r="B24" i="30"/>
  <c r="A24" i="30"/>
  <c r="O23" i="30"/>
  <c r="N23" i="30"/>
  <c r="K23" i="30"/>
  <c r="F23" i="30"/>
  <c r="D23" i="30"/>
  <c r="B23" i="30"/>
  <c r="A23" i="30"/>
  <c r="O22" i="30"/>
  <c r="N22" i="30"/>
  <c r="K22" i="30"/>
  <c r="F22" i="30"/>
  <c r="D22" i="30"/>
  <c r="B22" i="30"/>
  <c r="A22" i="30"/>
  <c r="O21" i="30"/>
  <c r="N21" i="30"/>
  <c r="K21" i="30"/>
  <c r="F21" i="30"/>
  <c r="D21" i="30"/>
  <c r="B21" i="30"/>
  <c r="A21" i="30"/>
  <c r="O20" i="30"/>
  <c r="N20" i="30"/>
  <c r="K20" i="30"/>
  <c r="F20" i="30"/>
  <c r="D20" i="30"/>
  <c r="B20" i="30"/>
  <c r="A20" i="30"/>
  <c r="O19" i="30"/>
  <c r="N19" i="30"/>
  <c r="K19" i="30"/>
  <c r="F19" i="30"/>
  <c r="D19" i="30"/>
  <c r="B19" i="30"/>
  <c r="A19" i="30"/>
  <c r="O18" i="30"/>
  <c r="N18" i="30"/>
  <c r="K18" i="30"/>
  <c r="F18" i="30"/>
  <c r="D18" i="30"/>
  <c r="B18" i="30"/>
  <c r="A18" i="30"/>
  <c r="O17" i="30"/>
  <c r="N17" i="30"/>
  <c r="K17" i="30"/>
  <c r="F17" i="30"/>
  <c r="D17" i="30"/>
  <c r="B17" i="30"/>
  <c r="A17" i="30"/>
  <c r="O16" i="30"/>
  <c r="N16" i="30"/>
  <c r="K16" i="30"/>
  <c r="F16" i="30"/>
  <c r="D16" i="30"/>
  <c r="B16" i="30"/>
  <c r="A16" i="30"/>
  <c r="O15" i="30"/>
  <c r="N15" i="30"/>
  <c r="K15" i="30"/>
  <c r="F15" i="30"/>
  <c r="D15" i="30"/>
  <c r="B15" i="30"/>
  <c r="A15" i="30"/>
  <c r="O14" i="30"/>
  <c r="N14" i="30"/>
  <c r="K14" i="30"/>
  <c r="F14" i="30"/>
  <c r="D14" i="30"/>
  <c r="B14" i="30"/>
  <c r="A14" i="30"/>
  <c r="O13" i="30"/>
  <c r="N13" i="30"/>
  <c r="K13" i="30"/>
  <c r="F13" i="30"/>
  <c r="D13" i="30"/>
  <c r="B13" i="30"/>
  <c r="A13" i="30"/>
  <c r="O12" i="30"/>
  <c r="N12" i="30"/>
  <c r="K12" i="30"/>
  <c r="F12" i="30"/>
  <c r="D12" i="30"/>
  <c r="B12" i="30"/>
  <c r="A12" i="30"/>
  <c r="O11" i="30"/>
  <c r="N11" i="30"/>
  <c r="K11" i="30"/>
  <c r="F11" i="30"/>
  <c r="D11" i="30"/>
  <c r="B11" i="30"/>
  <c r="A11" i="30"/>
  <c r="O10" i="30"/>
  <c r="N10" i="30"/>
  <c r="K10" i="30"/>
  <c r="F10" i="30"/>
  <c r="D10" i="30"/>
  <c r="B10" i="30"/>
  <c r="A10" i="30"/>
  <c r="O9" i="30"/>
  <c r="N9" i="30"/>
  <c r="K9" i="30"/>
  <c r="F9" i="30"/>
  <c r="D9" i="30"/>
  <c r="B9" i="30"/>
  <c r="O8" i="30"/>
  <c r="O7" i="30"/>
  <c r="D46" i="267"/>
  <c r="D45" i="267"/>
  <c r="B45" i="267"/>
  <c r="D44" i="267"/>
  <c r="B44" i="267"/>
  <c r="D43" i="267"/>
  <c r="B43" i="267"/>
  <c r="F42" i="267"/>
  <c r="E42" i="267"/>
  <c r="N40" i="267"/>
  <c r="M40" i="267"/>
  <c r="K40" i="267"/>
  <c r="J40" i="267"/>
  <c r="I40" i="267"/>
  <c r="H40" i="267"/>
  <c r="G40" i="267"/>
  <c r="F40" i="267"/>
  <c r="E40" i="267"/>
  <c r="D40" i="267"/>
  <c r="C40" i="267"/>
  <c r="B40" i="267"/>
  <c r="P39" i="267"/>
  <c r="O39" i="267"/>
  <c r="N39" i="267"/>
  <c r="K39" i="267"/>
  <c r="F39" i="267"/>
  <c r="D39" i="267"/>
  <c r="B39" i="267"/>
  <c r="A39" i="267"/>
  <c r="P38" i="267"/>
  <c r="O38" i="267"/>
  <c r="N38" i="267"/>
  <c r="K38" i="267"/>
  <c r="F38" i="267"/>
  <c r="D38" i="267"/>
  <c r="B38" i="267"/>
  <c r="A38" i="267"/>
  <c r="P37" i="267"/>
  <c r="O37" i="267"/>
  <c r="N37" i="267"/>
  <c r="K37" i="267"/>
  <c r="F37" i="267"/>
  <c r="D37" i="267"/>
  <c r="B37" i="267"/>
  <c r="A37" i="267"/>
  <c r="P36" i="267"/>
  <c r="O36" i="267"/>
  <c r="N36" i="267"/>
  <c r="K36" i="267"/>
  <c r="F36" i="267"/>
  <c r="D36" i="267"/>
  <c r="B36" i="267"/>
  <c r="A36" i="267"/>
  <c r="P35" i="267"/>
  <c r="O35" i="267"/>
  <c r="N35" i="267"/>
  <c r="K35" i="267"/>
  <c r="F35" i="267"/>
  <c r="D35" i="267"/>
  <c r="B35" i="267"/>
  <c r="A35" i="267"/>
  <c r="P34" i="267"/>
  <c r="O34" i="267"/>
  <c r="N34" i="267"/>
  <c r="K34" i="267"/>
  <c r="F34" i="267"/>
  <c r="D34" i="267"/>
  <c r="B34" i="267"/>
  <c r="A34" i="267"/>
  <c r="P33" i="267"/>
  <c r="O33" i="267"/>
  <c r="N33" i="267"/>
  <c r="K33" i="267"/>
  <c r="F33" i="267"/>
  <c r="D33" i="267"/>
  <c r="B33" i="267"/>
  <c r="A33" i="267"/>
  <c r="P32" i="267"/>
  <c r="O32" i="267"/>
  <c r="N32" i="267"/>
  <c r="K32" i="267"/>
  <c r="F32" i="267"/>
  <c r="D32" i="267"/>
  <c r="B32" i="267"/>
  <c r="A32" i="267"/>
  <c r="P31" i="267"/>
  <c r="O31" i="267"/>
  <c r="N31" i="267"/>
  <c r="K31" i="267"/>
  <c r="F31" i="267"/>
  <c r="D31" i="267"/>
  <c r="B31" i="267"/>
  <c r="A31" i="267"/>
  <c r="P30" i="267"/>
  <c r="O30" i="267"/>
  <c r="N30" i="267"/>
  <c r="K30" i="267"/>
  <c r="F30" i="267"/>
  <c r="D30" i="267"/>
  <c r="B30" i="267"/>
  <c r="A30" i="267"/>
  <c r="P29" i="267"/>
  <c r="O29" i="267"/>
  <c r="N29" i="267"/>
  <c r="K29" i="267"/>
  <c r="F29" i="267"/>
  <c r="D29" i="267"/>
  <c r="B29" i="267"/>
  <c r="A29" i="267"/>
  <c r="P28" i="267"/>
  <c r="O28" i="267"/>
  <c r="N28" i="267"/>
  <c r="K28" i="267"/>
  <c r="F28" i="267"/>
  <c r="D28" i="267"/>
  <c r="B28" i="267"/>
  <c r="A28" i="267"/>
  <c r="P27" i="267"/>
  <c r="O27" i="267"/>
  <c r="N27" i="267"/>
  <c r="K27" i="267"/>
  <c r="F27" i="267"/>
  <c r="D27" i="267"/>
  <c r="B27" i="267"/>
  <c r="A27" i="267"/>
  <c r="P26" i="267"/>
  <c r="O26" i="267"/>
  <c r="N26" i="267"/>
  <c r="K26" i="267"/>
  <c r="F26" i="267"/>
  <c r="D26" i="267"/>
  <c r="B26" i="267"/>
  <c r="A26" i="267"/>
  <c r="P25" i="267"/>
  <c r="O25" i="267"/>
  <c r="N25" i="267"/>
  <c r="K25" i="267"/>
  <c r="F25" i="267"/>
  <c r="D25" i="267"/>
  <c r="B25" i="267"/>
  <c r="A25" i="267"/>
  <c r="P24" i="267"/>
  <c r="O24" i="267"/>
  <c r="N24" i="267"/>
  <c r="K24" i="267"/>
  <c r="F24" i="267"/>
  <c r="D24" i="267"/>
  <c r="B24" i="267"/>
  <c r="A24" i="267"/>
  <c r="P23" i="267"/>
  <c r="O23" i="267"/>
  <c r="N23" i="267"/>
  <c r="K23" i="267"/>
  <c r="F23" i="267"/>
  <c r="D23" i="267"/>
  <c r="B23" i="267"/>
  <c r="A23" i="267"/>
  <c r="P22" i="267"/>
  <c r="O22" i="267"/>
  <c r="N22" i="267"/>
  <c r="K22" i="267"/>
  <c r="F22" i="267"/>
  <c r="D22" i="267"/>
  <c r="B22" i="267"/>
  <c r="A22" i="267"/>
  <c r="P21" i="267"/>
  <c r="O21" i="267"/>
  <c r="N21" i="267"/>
  <c r="K21" i="267"/>
  <c r="F21" i="267"/>
  <c r="D21" i="267"/>
  <c r="B21" i="267"/>
  <c r="A21" i="267"/>
  <c r="Q20" i="267"/>
  <c r="P20" i="267"/>
  <c r="O20" i="267"/>
  <c r="N20" i="267"/>
  <c r="K20" i="267"/>
  <c r="F20" i="267"/>
  <c r="D20" i="267"/>
  <c r="B20" i="267"/>
  <c r="A20" i="267"/>
  <c r="O19" i="267"/>
  <c r="N19" i="267"/>
  <c r="K19" i="267"/>
  <c r="F19" i="267"/>
  <c r="D19" i="267"/>
  <c r="B19" i="267"/>
  <c r="A19" i="267"/>
  <c r="O18" i="267"/>
  <c r="N18" i="267"/>
  <c r="K18" i="267"/>
  <c r="F18" i="267"/>
  <c r="D18" i="267"/>
  <c r="B18" i="267"/>
  <c r="A18" i="267"/>
  <c r="O17" i="267"/>
  <c r="N17" i="267"/>
  <c r="K17" i="267"/>
  <c r="F17" i="267"/>
  <c r="D17" i="267"/>
  <c r="B17" i="267"/>
  <c r="A17" i="267"/>
  <c r="O16" i="267"/>
  <c r="N16" i="267"/>
  <c r="K16" i="267"/>
  <c r="F16" i="267"/>
  <c r="D16" i="267"/>
  <c r="B16" i="267"/>
  <c r="A16" i="267"/>
  <c r="O15" i="267"/>
  <c r="N15" i="267"/>
  <c r="K15" i="267"/>
  <c r="F15" i="267"/>
  <c r="D15" i="267"/>
  <c r="B15" i="267"/>
  <c r="A15" i="267"/>
  <c r="O14" i="267"/>
  <c r="N14" i="267"/>
  <c r="K14" i="267"/>
  <c r="F14" i="267"/>
  <c r="D14" i="267"/>
  <c r="B14" i="267"/>
  <c r="A14" i="267"/>
  <c r="O13" i="267"/>
  <c r="N13" i="267"/>
  <c r="K13" i="267"/>
  <c r="F13" i="267"/>
  <c r="D13" i="267"/>
  <c r="B13" i="267"/>
  <c r="A13" i="267"/>
  <c r="O12" i="267"/>
  <c r="N12" i="267"/>
  <c r="K12" i="267"/>
  <c r="F12" i="267"/>
  <c r="D12" i="267"/>
  <c r="B12" i="267"/>
  <c r="A12" i="267"/>
  <c r="O11" i="267"/>
  <c r="N11" i="267"/>
  <c r="K11" i="267"/>
  <c r="F11" i="267"/>
  <c r="D11" i="267"/>
  <c r="B11" i="267"/>
  <c r="A11" i="267"/>
  <c r="O10" i="267"/>
  <c r="N10" i="267"/>
  <c r="K10" i="267"/>
  <c r="F10" i="267"/>
  <c r="D10" i="267"/>
  <c r="B10" i="267"/>
  <c r="A10" i="267"/>
  <c r="O9" i="267"/>
  <c r="N9" i="267"/>
  <c r="K9" i="267"/>
  <c r="F9" i="267"/>
  <c r="D9" i="267"/>
  <c r="B9" i="267"/>
  <c r="O8" i="267"/>
  <c r="M588" i="303"/>
  <c r="M586" i="303"/>
  <c r="M584" i="303"/>
  <c r="L584" i="303"/>
  <c r="K584" i="303"/>
  <c r="J584" i="303"/>
  <c r="I584" i="303"/>
  <c r="H584" i="303"/>
  <c r="G584" i="303"/>
  <c r="F584" i="303"/>
  <c r="E584" i="303"/>
  <c r="D584" i="303"/>
  <c r="C584" i="303"/>
  <c r="B584" i="303"/>
  <c r="M52" i="303"/>
  <c r="O51" i="303"/>
  <c r="M50" i="303"/>
  <c r="G48" i="303"/>
  <c r="G47" i="303"/>
  <c r="J46" i="303"/>
  <c r="G46" i="303"/>
  <c r="N44" i="303"/>
  <c r="M44" i="303"/>
  <c r="N43" i="303"/>
  <c r="M43" i="303"/>
  <c r="M41" i="303"/>
  <c r="O40" i="303"/>
  <c r="M40" i="303"/>
  <c r="L40" i="303"/>
  <c r="J40" i="303"/>
  <c r="I40" i="303"/>
  <c r="C40" i="303"/>
  <c r="B40" i="303"/>
  <c r="O39" i="303"/>
  <c r="M39" i="303"/>
  <c r="I39" i="303"/>
  <c r="H39" i="303"/>
  <c r="B39" i="303"/>
  <c r="A39" i="303"/>
  <c r="Q38" i="303"/>
  <c r="P38" i="303"/>
  <c r="O38" i="303"/>
  <c r="N38" i="303"/>
  <c r="M38" i="303"/>
  <c r="I38" i="303"/>
  <c r="H38" i="303"/>
  <c r="D38" i="303"/>
  <c r="B38" i="303"/>
  <c r="A38" i="303"/>
  <c r="Q37" i="303"/>
  <c r="P37" i="303"/>
  <c r="O37" i="303"/>
  <c r="N37" i="303"/>
  <c r="M37" i="303"/>
  <c r="I37" i="303"/>
  <c r="H37" i="303"/>
  <c r="D37" i="303"/>
  <c r="B37" i="303"/>
  <c r="A37" i="303"/>
  <c r="Q36" i="303"/>
  <c r="P36" i="303"/>
  <c r="O36" i="303"/>
  <c r="N36" i="303"/>
  <c r="M36" i="303"/>
  <c r="I36" i="303"/>
  <c r="H36" i="303"/>
  <c r="D36" i="303"/>
  <c r="B36" i="303"/>
  <c r="A36" i="303"/>
  <c r="Q35" i="303"/>
  <c r="P35" i="303"/>
  <c r="O35" i="303"/>
  <c r="N35" i="303"/>
  <c r="M35" i="303"/>
  <c r="I35" i="303"/>
  <c r="H35" i="303"/>
  <c r="D35" i="303"/>
  <c r="B35" i="303"/>
  <c r="A35" i="303"/>
  <c r="Q34" i="303"/>
  <c r="P34" i="303"/>
  <c r="O34" i="303"/>
  <c r="N34" i="303"/>
  <c r="M34" i="303"/>
  <c r="I34" i="303"/>
  <c r="H34" i="303"/>
  <c r="D34" i="303"/>
  <c r="B34" i="303"/>
  <c r="A34" i="303"/>
  <c r="Q33" i="303"/>
  <c r="P33" i="303"/>
  <c r="O33" i="303"/>
  <c r="N33" i="303"/>
  <c r="M33" i="303"/>
  <c r="I33" i="303"/>
  <c r="H33" i="303"/>
  <c r="D33" i="303"/>
  <c r="B33" i="303"/>
  <c r="A33" i="303"/>
  <c r="Q32" i="303"/>
  <c r="P32" i="303"/>
  <c r="O32" i="303"/>
  <c r="N32" i="303"/>
  <c r="M32" i="303"/>
  <c r="I32" i="303"/>
  <c r="H32" i="303"/>
  <c r="D32" i="303"/>
  <c r="B32" i="303"/>
  <c r="A32" i="303"/>
  <c r="Q31" i="303"/>
  <c r="P31" i="303"/>
  <c r="O31" i="303"/>
  <c r="N31" i="303"/>
  <c r="M31" i="303"/>
  <c r="I31" i="303"/>
  <c r="H31" i="303"/>
  <c r="D31" i="303"/>
  <c r="B31" i="303"/>
  <c r="A31" i="303"/>
  <c r="Q30" i="303"/>
  <c r="P30" i="303"/>
  <c r="O30" i="303"/>
  <c r="N30" i="303"/>
  <c r="M30" i="303"/>
  <c r="I30" i="303"/>
  <c r="H30" i="303"/>
  <c r="D30" i="303"/>
  <c r="B30" i="303"/>
  <c r="A30" i="303"/>
  <c r="Q29" i="303"/>
  <c r="P29" i="303"/>
  <c r="O29" i="303"/>
  <c r="N29" i="303"/>
  <c r="M29" i="303"/>
  <c r="I29" i="303"/>
  <c r="H29" i="303"/>
  <c r="D29" i="303"/>
  <c r="B29" i="303"/>
  <c r="A29" i="303"/>
  <c r="Q28" i="303"/>
  <c r="P28" i="303"/>
  <c r="O28" i="303"/>
  <c r="N28" i="303"/>
  <c r="M28" i="303"/>
  <c r="I28" i="303"/>
  <c r="H28" i="303"/>
  <c r="D28" i="303"/>
  <c r="B28" i="303"/>
  <c r="A28" i="303"/>
  <c r="Q27" i="303"/>
  <c r="P27" i="303"/>
  <c r="O27" i="303"/>
  <c r="N27" i="303"/>
  <c r="M27" i="303"/>
  <c r="I27" i="303"/>
  <c r="H27" i="303"/>
  <c r="D27" i="303"/>
  <c r="B27" i="303"/>
  <c r="A27" i="303"/>
  <c r="Q26" i="303"/>
  <c r="P26" i="303"/>
  <c r="O26" i="303"/>
  <c r="N26" i="303"/>
  <c r="M26" i="303"/>
  <c r="I26" i="303"/>
  <c r="H26" i="303"/>
  <c r="D26" i="303"/>
  <c r="B26" i="303"/>
  <c r="A26" i="303"/>
  <c r="Q25" i="303"/>
  <c r="P25" i="303"/>
  <c r="O25" i="303"/>
  <c r="N25" i="303"/>
  <c r="M25" i="303"/>
  <c r="I25" i="303"/>
  <c r="H25" i="303"/>
  <c r="D25" i="303"/>
  <c r="B25" i="303"/>
  <c r="A25" i="303"/>
  <c r="Q24" i="303"/>
  <c r="P24" i="303"/>
  <c r="O24" i="303"/>
  <c r="N24" i="303"/>
  <c r="M24" i="303"/>
  <c r="I24" i="303"/>
  <c r="H24" i="303"/>
  <c r="D24" i="303"/>
  <c r="B24" i="303"/>
  <c r="A24" i="303"/>
  <c r="Q23" i="303"/>
  <c r="P23" i="303"/>
  <c r="O23" i="303"/>
  <c r="N23" i="303"/>
  <c r="M23" i="303"/>
  <c r="I23" i="303"/>
  <c r="H23" i="303"/>
  <c r="D23" i="303"/>
  <c r="B23" i="303"/>
  <c r="A23" i="303"/>
  <c r="Q22" i="303"/>
  <c r="P22" i="303"/>
  <c r="O22" i="303"/>
  <c r="N22" i="303"/>
  <c r="M22" i="303"/>
  <c r="I22" i="303"/>
  <c r="H22" i="303"/>
  <c r="D22" i="303"/>
  <c r="B22" i="303"/>
  <c r="A22" i="303"/>
  <c r="Q21" i="303"/>
  <c r="P21" i="303"/>
  <c r="O21" i="303"/>
  <c r="N21" i="303"/>
  <c r="M21" i="303"/>
  <c r="I21" i="303"/>
  <c r="H21" i="303"/>
  <c r="D21" i="303"/>
  <c r="B21" i="303"/>
  <c r="A21" i="303"/>
  <c r="Q20" i="303"/>
  <c r="P20" i="303"/>
  <c r="O20" i="303"/>
  <c r="N20" i="303"/>
  <c r="M20" i="303"/>
  <c r="I20" i="303"/>
  <c r="H20" i="303"/>
  <c r="D20" i="303"/>
  <c r="B20" i="303"/>
  <c r="A20" i="303"/>
  <c r="Q19" i="303"/>
  <c r="P19" i="303"/>
  <c r="O19" i="303"/>
  <c r="N19" i="303"/>
  <c r="M19" i="303"/>
  <c r="I19" i="303"/>
  <c r="H19" i="303"/>
  <c r="D19" i="303"/>
  <c r="B19" i="303"/>
  <c r="A19" i="303"/>
  <c r="Q18" i="303"/>
  <c r="P18" i="303"/>
  <c r="O18" i="303"/>
  <c r="N18" i="303"/>
  <c r="M18" i="303"/>
  <c r="I18" i="303"/>
  <c r="H18" i="303"/>
  <c r="D18" i="303"/>
  <c r="B18" i="303"/>
  <c r="A18" i="303"/>
  <c r="Q17" i="303"/>
  <c r="P17" i="303"/>
  <c r="O17" i="303"/>
  <c r="N17" i="303"/>
  <c r="M17" i="303"/>
  <c r="I17" i="303"/>
  <c r="H17" i="303"/>
  <c r="D17" i="303"/>
  <c r="B17" i="303"/>
  <c r="A17" i="303"/>
  <c r="Q16" i="303"/>
  <c r="P16" i="303"/>
  <c r="O16" i="303"/>
  <c r="N16" i="303"/>
  <c r="M16" i="303"/>
  <c r="I16" i="303"/>
  <c r="H16" i="303"/>
  <c r="D16" i="303"/>
  <c r="B16" i="303"/>
  <c r="A16" i="303"/>
  <c r="Q15" i="303"/>
  <c r="P15" i="303"/>
  <c r="O15" i="303"/>
  <c r="N15" i="303"/>
  <c r="M15" i="303"/>
  <c r="I15" i="303"/>
  <c r="H15" i="303"/>
  <c r="D15" i="303"/>
  <c r="B15" i="303"/>
  <c r="A15" i="303"/>
  <c r="Q14" i="303"/>
  <c r="P14" i="303"/>
  <c r="O14" i="303"/>
  <c r="N14" i="303"/>
  <c r="M14" i="303"/>
  <c r="I14" i="303"/>
  <c r="H14" i="303"/>
  <c r="D14" i="303"/>
  <c r="B14" i="303"/>
  <c r="A14" i="303"/>
  <c r="Q13" i="303"/>
  <c r="P13" i="303"/>
  <c r="O13" i="303"/>
  <c r="N13" i="303"/>
  <c r="M13" i="303"/>
  <c r="I13" i="303"/>
  <c r="H13" i="303"/>
  <c r="D13" i="303"/>
  <c r="B13" i="303"/>
  <c r="A13" i="303"/>
  <c r="Q12" i="303"/>
  <c r="P12" i="303"/>
  <c r="O12" i="303"/>
  <c r="N12" i="303"/>
  <c r="M12" i="303"/>
  <c r="I12" i="303"/>
  <c r="H12" i="303"/>
  <c r="D12" i="303"/>
  <c r="B12" i="303"/>
  <c r="A12" i="303"/>
  <c r="Q11" i="303"/>
  <c r="P11" i="303"/>
  <c r="O11" i="303"/>
  <c r="N11" i="303"/>
  <c r="M11" i="303"/>
  <c r="I11" i="303"/>
  <c r="H11" i="303"/>
  <c r="D11" i="303"/>
  <c r="B11" i="303"/>
  <c r="A11" i="303"/>
  <c r="Q10" i="303"/>
  <c r="P10" i="303"/>
  <c r="O10" i="303"/>
  <c r="N10" i="303"/>
  <c r="M10" i="303"/>
  <c r="I10" i="303"/>
  <c r="H10" i="303"/>
  <c r="D10" i="303"/>
  <c r="B10" i="303"/>
  <c r="A10" i="303"/>
  <c r="Q9" i="303"/>
  <c r="P9" i="303"/>
  <c r="O9" i="303"/>
  <c r="N9" i="303"/>
  <c r="M9" i="303"/>
  <c r="I9" i="303"/>
  <c r="H9" i="303"/>
  <c r="D9" i="303"/>
  <c r="B9" i="303"/>
  <c r="Q8" i="303"/>
  <c r="P8" i="303"/>
  <c r="Q5" i="303"/>
  <c r="M2" i="303"/>
  <c r="K2" i="303"/>
  <c r="K1" i="303"/>
  <c r="Q584" i="131"/>
  <c r="N584" i="131"/>
  <c r="M584" i="131"/>
  <c r="L584" i="131"/>
  <c r="K584" i="131"/>
  <c r="J584" i="131"/>
  <c r="I584" i="131"/>
  <c r="H584" i="131"/>
  <c r="G584" i="131"/>
  <c r="F584" i="131"/>
  <c r="E584" i="131"/>
  <c r="D584" i="131"/>
  <c r="C584" i="131"/>
  <c r="B584" i="131"/>
  <c r="M52" i="131"/>
  <c r="O51" i="131"/>
  <c r="M50" i="131"/>
  <c r="G48" i="131"/>
  <c r="G47" i="131"/>
  <c r="J46" i="131"/>
  <c r="G46" i="131"/>
  <c r="N44" i="131"/>
  <c r="M44" i="131"/>
  <c r="N43" i="131"/>
  <c r="M43" i="131"/>
  <c r="M41" i="131"/>
  <c r="Q40" i="131"/>
  <c r="P40" i="131"/>
  <c r="O40" i="131"/>
  <c r="N40" i="131"/>
  <c r="M40" i="131"/>
  <c r="L40" i="131"/>
  <c r="J40" i="131"/>
  <c r="I40" i="131"/>
  <c r="H40" i="131"/>
  <c r="E40" i="131"/>
  <c r="D40" i="131"/>
  <c r="C40" i="131"/>
  <c r="B40" i="131"/>
  <c r="Q39" i="131"/>
  <c r="P39" i="131"/>
  <c r="O39" i="131"/>
  <c r="N39" i="131"/>
  <c r="M39" i="131"/>
  <c r="I39" i="131"/>
  <c r="H39" i="131"/>
  <c r="A39" i="131"/>
  <c r="Q38" i="131"/>
  <c r="P38" i="131"/>
  <c r="O38" i="131"/>
  <c r="N38" i="131"/>
  <c r="M38" i="131"/>
  <c r="I38" i="131"/>
  <c r="H38" i="131"/>
  <c r="D38" i="131"/>
  <c r="B38" i="131"/>
  <c r="A38" i="131"/>
  <c r="Q37" i="131"/>
  <c r="P37" i="131"/>
  <c r="O37" i="131"/>
  <c r="N37" i="131"/>
  <c r="M37" i="131"/>
  <c r="I37" i="131"/>
  <c r="H37" i="131"/>
  <c r="D37" i="131"/>
  <c r="B37" i="131"/>
  <c r="A37" i="131"/>
  <c r="Q36" i="131"/>
  <c r="P36" i="131"/>
  <c r="O36" i="131"/>
  <c r="N36" i="131"/>
  <c r="M36" i="131"/>
  <c r="I36" i="131"/>
  <c r="H36" i="131"/>
  <c r="D36" i="131"/>
  <c r="B36" i="131"/>
  <c r="A36" i="131"/>
  <c r="Q35" i="131"/>
  <c r="P35" i="131"/>
  <c r="O35" i="131"/>
  <c r="N35" i="131"/>
  <c r="M35" i="131"/>
  <c r="I35" i="131"/>
  <c r="H35" i="131"/>
  <c r="D35" i="131"/>
  <c r="B35" i="131"/>
  <c r="A35" i="131"/>
  <c r="Q34" i="131"/>
  <c r="P34" i="131"/>
  <c r="O34" i="131"/>
  <c r="N34" i="131"/>
  <c r="M34" i="131"/>
  <c r="I34" i="131"/>
  <c r="H34" i="131"/>
  <c r="D34" i="131"/>
  <c r="B34" i="131"/>
  <c r="A34" i="131"/>
  <c r="Q33" i="131"/>
  <c r="P33" i="131"/>
  <c r="O33" i="131"/>
  <c r="N33" i="131"/>
  <c r="M33" i="131"/>
  <c r="I33" i="131"/>
  <c r="H33" i="131"/>
  <c r="D33" i="131"/>
  <c r="B33" i="131"/>
  <c r="A33" i="131"/>
  <c r="Q32" i="131"/>
  <c r="P32" i="131"/>
  <c r="O32" i="131"/>
  <c r="N32" i="131"/>
  <c r="M32" i="131"/>
  <c r="I32" i="131"/>
  <c r="H32" i="131"/>
  <c r="D32" i="131"/>
  <c r="B32" i="131"/>
  <c r="A32" i="131"/>
  <c r="Q31" i="131"/>
  <c r="P31" i="131"/>
  <c r="O31" i="131"/>
  <c r="N31" i="131"/>
  <c r="M31" i="131"/>
  <c r="I31" i="131"/>
  <c r="H31" i="131"/>
  <c r="D31" i="131"/>
  <c r="B31" i="131"/>
  <c r="A31" i="131"/>
  <c r="Q30" i="131"/>
  <c r="P30" i="131"/>
  <c r="O30" i="131"/>
  <c r="N30" i="131"/>
  <c r="M30" i="131"/>
  <c r="I30" i="131"/>
  <c r="H30" i="131"/>
  <c r="D30" i="131"/>
  <c r="B30" i="131"/>
  <c r="A30" i="131"/>
  <c r="Q29" i="131"/>
  <c r="P29" i="131"/>
  <c r="O29" i="131"/>
  <c r="N29" i="131"/>
  <c r="M29" i="131"/>
  <c r="I29" i="131"/>
  <c r="H29" i="131"/>
  <c r="D29" i="131"/>
  <c r="B29" i="131"/>
  <c r="A29" i="131"/>
  <c r="Q28" i="131"/>
  <c r="P28" i="131"/>
  <c r="O28" i="131"/>
  <c r="N28" i="131"/>
  <c r="M28" i="131"/>
  <c r="I28" i="131"/>
  <c r="H28" i="131"/>
  <c r="D28" i="131"/>
  <c r="B28" i="131"/>
  <c r="A28" i="131"/>
  <c r="Q27" i="131"/>
  <c r="P27" i="131"/>
  <c r="O27" i="131"/>
  <c r="N27" i="131"/>
  <c r="M27" i="131"/>
  <c r="I27" i="131"/>
  <c r="H27" i="131"/>
  <c r="D27" i="131"/>
  <c r="B27" i="131"/>
  <c r="A27" i="131"/>
  <c r="Q26" i="131"/>
  <c r="P26" i="131"/>
  <c r="O26" i="131"/>
  <c r="N26" i="131"/>
  <c r="M26" i="131"/>
  <c r="I26" i="131"/>
  <c r="H26" i="131"/>
  <c r="D26" i="131"/>
  <c r="B26" i="131"/>
  <c r="A26" i="131"/>
  <c r="Q25" i="131"/>
  <c r="P25" i="131"/>
  <c r="O25" i="131"/>
  <c r="N25" i="131"/>
  <c r="M25" i="131"/>
  <c r="I25" i="131"/>
  <c r="H25" i="131"/>
  <c r="D25" i="131"/>
  <c r="B25" i="131"/>
  <c r="A25" i="131"/>
  <c r="Q24" i="131"/>
  <c r="P24" i="131"/>
  <c r="O24" i="131"/>
  <c r="N24" i="131"/>
  <c r="M24" i="131"/>
  <c r="I24" i="131"/>
  <c r="H24" i="131"/>
  <c r="D24" i="131"/>
  <c r="B24" i="131"/>
  <c r="A24" i="131"/>
  <c r="Q23" i="131"/>
  <c r="P23" i="131"/>
  <c r="O23" i="131"/>
  <c r="N23" i="131"/>
  <c r="M23" i="131"/>
  <c r="I23" i="131"/>
  <c r="H23" i="131"/>
  <c r="D23" i="131"/>
  <c r="B23" i="131"/>
  <c r="A23" i="131"/>
  <c r="Q22" i="131"/>
  <c r="P22" i="131"/>
  <c r="O22" i="131"/>
  <c r="N22" i="131"/>
  <c r="M22" i="131"/>
  <c r="I22" i="131"/>
  <c r="H22" i="131"/>
  <c r="D22" i="131"/>
  <c r="B22" i="131"/>
  <c r="A22" i="131"/>
  <c r="Q21" i="131"/>
  <c r="P21" i="131"/>
  <c r="O21" i="131"/>
  <c r="N21" i="131"/>
  <c r="M21" i="131"/>
  <c r="I21" i="131"/>
  <c r="H21" i="131"/>
  <c r="D21" i="131"/>
  <c r="B21" i="131"/>
  <c r="A21" i="131"/>
  <c r="Q20" i="131"/>
  <c r="P20" i="131"/>
  <c r="O20" i="131"/>
  <c r="N20" i="131"/>
  <c r="M20" i="131"/>
  <c r="I20" i="131"/>
  <c r="H20" i="131"/>
  <c r="D20" i="131"/>
  <c r="B20" i="131"/>
  <c r="A20" i="131"/>
  <c r="Q19" i="131"/>
  <c r="P19" i="131"/>
  <c r="O19" i="131"/>
  <c r="N19" i="131"/>
  <c r="M19" i="131"/>
  <c r="I19" i="131"/>
  <c r="H19" i="131"/>
  <c r="D19" i="131"/>
  <c r="B19" i="131"/>
  <c r="A19" i="131"/>
  <c r="Q18" i="131"/>
  <c r="P18" i="131"/>
  <c r="O18" i="131"/>
  <c r="N18" i="131"/>
  <c r="M18" i="131"/>
  <c r="I18" i="131"/>
  <c r="H18" i="131"/>
  <c r="D18" i="131"/>
  <c r="B18" i="131"/>
  <c r="A18" i="131"/>
  <c r="Q17" i="131"/>
  <c r="P17" i="131"/>
  <c r="O17" i="131"/>
  <c r="N17" i="131"/>
  <c r="M17" i="131"/>
  <c r="I17" i="131"/>
  <c r="H17" i="131"/>
  <c r="D17" i="131"/>
  <c r="B17" i="131"/>
  <c r="A17" i="131"/>
  <c r="Q16" i="131"/>
  <c r="P16" i="131"/>
  <c r="O16" i="131"/>
  <c r="N16" i="131"/>
  <c r="M16" i="131"/>
  <c r="I16" i="131"/>
  <c r="H16" i="131"/>
  <c r="D16" i="131"/>
  <c r="B16" i="131"/>
  <c r="A16" i="131"/>
  <c r="Q15" i="131"/>
  <c r="P15" i="131"/>
  <c r="O15" i="131"/>
  <c r="N15" i="131"/>
  <c r="M15" i="131"/>
  <c r="I15" i="131"/>
  <c r="H15" i="131"/>
  <c r="D15" i="131"/>
  <c r="B15" i="131"/>
  <c r="A15" i="131"/>
  <c r="Q14" i="131"/>
  <c r="P14" i="131"/>
  <c r="O14" i="131"/>
  <c r="N14" i="131"/>
  <c r="M14" i="131"/>
  <c r="I14" i="131"/>
  <c r="H14" i="131"/>
  <c r="D14" i="131"/>
  <c r="B14" i="131"/>
  <c r="A14" i="131"/>
  <c r="Q13" i="131"/>
  <c r="P13" i="131"/>
  <c r="O13" i="131"/>
  <c r="N13" i="131"/>
  <c r="M13" i="131"/>
  <c r="I13" i="131"/>
  <c r="H13" i="131"/>
  <c r="D13" i="131"/>
  <c r="B13" i="131"/>
  <c r="A13" i="131"/>
  <c r="Q12" i="131"/>
  <c r="P12" i="131"/>
  <c r="O12" i="131"/>
  <c r="N12" i="131"/>
  <c r="M12" i="131"/>
  <c r="I12" i="131"/>
  <c r="H12" i="131"/>
  <c r="D12" i="131"/>
  <c r="B12" i="131"/>
  <c r="A12" i="131"/>
  <c r="Q11" i="131"/>
  <c r="P11" i="131"/>
  <c r="O11" i="131"/>
  <c r="N11" i="131"/>
  <c r="M11" i="131"/>
  <c r="I11" i="131"/>
  <c r="H11" i="131"/>
  <c r="D11" i="131"/>
  <c r="B11" i="131"/>
  <c r="A11" i="131"/>
  <c r="Q10" i="131"/>
  <c r="P10" i="131"/>
  <c r="O10" i="131"/>
  <c r="N10" i="131"/>
  <c r="M10" i="131"/>
  <c r="I10" i="131"/>
  <c r="H10" i="131"/>
  <c r="D10" i="131"/>
  <c r="B10" i="131"/>
  <c r="A10" i="131"/>
  <c r="Q9" i="131"/>
  <c r="P9" i="131"/>
  <c r="O9" i="131"/>
  <c r="N9" i="131"/>
  <c r="M9" i="131"/>
  <c r="I9" i="131"/>
  <c r="H9" i="131"/>
  <c r="D9" i="131"/>
  <c r="B9" i="131"/>
  <c r="A9" i="131"/>
  <c r="Q8" i="131"/>
  <c r="P8" i="131"/>
  <c r="Q5" i="131"/>
  <c r="I3" i="131"/>
  <c r="M2" i="131"/>
  <c r="L2" i="131"/>
  <c r="I2" i="131"/>
  <c r="E45" i="108"/>
  <c r="I44" i="108"/>
  <c r="D41" i="108"/>
  <c r="M40" i="108"/>
  <c r="J40" i="108"/>
  <c r="I40" i="108"/>
  <c r="H40" i="108"/>
  <c r="G40" i="108"/>
  <c r="F40" i="108"/>
  <c r="E40" i="108"/>
  <c r="D40" i="108" s="1"/>
  <c r="D40" i="12" s="1"/>
  <c r="C40" i="108"/>
  <c r="B40" i="108"/>
  <c r="N39" i="108"/>
  <c r="K39" i="108"/>
  <c r="F39" i="108"/>
  <c r="D39" i="108"/>
  <c r="B39" i="108"/>
  <c r="A39" i="108"/>
  <c r="N38" i="108"/>
  <c r="K38" i="108"/>
  <c r="F38" i="108"/>
  <c r="D38" i="108"/>
  <c r="B38" i="108"/>
  <c r="A38" i="108"/>
  <c r="N37" i="108"/>
  <c r="K37" i="108"/>
  <c r="F37" i="108"/>
  <c r="D37" i="108"/>
  <c r="B37" i="108"/>
  <c r="A37" i="108"/>
  <c r="N36" i="108"/>
  <c r="K36" i="108"/>
  <c r="F36" i="108"/>
  <c r="D36" i="108"/>
  <c r="B36" i="108"/>
  <c r="A36" i="108"/>
  <c r="N35" i="108"/>
  <c r="K35" i="108"/>
  <c r="F35" i="108"/>
  <c r="D35" i="108"/>
  <c r="B35" i="108"/>
  <c r="A35" i="108"/>
  <c r="N34" i="108"/>
  <c r="K34" i="108"/>
  <c r="F34" i="108"/>
  <c r="D34" i="108"/>
  <c r="B34" i="108"/>
  <c r="A34" i="108"/>
  <c r="N33" i="108"/>
  <c r="K33" i="108"/>
  <c r="F33" i="108"/>
  <c r="D33" i="108"/>
  <c r="B33" i="108"/>
  <c r="A33" i="108"/>
  <c r="N32" i="108"/>
  <c r="K32" i="108"/>
  <c r="F32" i="108"/>
  <c r="D32" i="108"/>
  <c r="B32" i="108"/>
  <c r="A32" i="108"/>
  <c r="N31" i="108"/>
  <c r="K31" i="108"/>
  <c r="F31" i="108"/>
  <c r="D31" i="108"/>
  <c r="B31" i="108"/>
  <c r="A31" i="108"/>
  <c r="N30" i="108"/>
  <c r="K30" i="108"/>
  <c r="F30" i="108"/>
  <c r="D30" i="108"/>
  <c r="B30" i="108"/>
  <c r="A30" i="108"/>
  <c r="N29" i="108"/>
  <c r="K29" i="108"/>
  <c r="F29" i="108"/>
  <c r="D29" i="108"/>
  <c r="B29" i="108"/>
  <c r="A29" i="108"/>
  <c r="N28" i="108"/>
  <c r="K28" i="108"/>
  <c r="F28" i="108"/>
  <c r="D28" i="108"/>
  <c r="B28" i="108"/>
  <c r="A28" i="108"/>
  <c r="N27" i="108"/>
  <c r="K27" i="108"/>
  <c r="F27" i="108"/>
  <c r="D27" i="108"/>
  <c r="B27" i="108"/>
  <c r="A27" i="108"/>
  <c r="N26" i="108"/>
  <c r="K26" i="108"/>
  <c r="F26" i="108"/>
  <c r="D26" i="108"/>
  <c r="B26" i="108"/>
  <c r="A26" i="108"/>
  <c r="N25" i="108"/>
  <c r="K25" i="108"/>
  <c r="F25" i="108"/>
  <c r="D25" i="108"/>
  <c r="B25" i="108"/>
  <c r="A25" i="108"/>
  <c r="N24" i="108"/>
  <c r="K24" i="108"/>
  <c r="F24" i="108"/>
  <c r="D24" i="108"/>
  <c r="B24" i="108"/>
  <c r="A24" i="108"/>
  <c r="N23" i="108"/>
  <c r="K23" i="108"/>
  <c r="F23" i="108"/>
  <c r="D23" i="108"/>
  <c r="B23" i="108"/>
  <c r="A23" i="108"/>
  <c r="N22" i="108"/>
  <c r="K22" i="108"/>
  <c r="F22" i="108"/>
  <c r="D22" i="108"/>
  <c r="B22" i="108"/>
  <c r="A22" i="108"/>
  <c r="N21" i="108"/>
  <c r="K21" i="108"/>
  <c r="F21" i="108"/>
  <c r="D21" i="108"/>
  <c r="B21" i="108"/>
  <c r="A21" i="108"/>
  <c r="N20" i="108"/>
  <c r="K20" i="108"/>
  <c r="F20" i="108"/>
  <c r="D20" i="108"/>
  <c r="B20" i="108"/>
  <c r="A20" i="108"/>
  <c r="N19" i="108"/>
  <c r="K19" i="108"/>
  <c r="F19" i="108"/>
  <c r="D19" i="108"/>
  <c r="B19" i="108"/>
  <c r="A19" i="108"/>
  <c r="N18" i="108"/>
  <c r="K18" i="108"/>
  <c r="F18" i="108"/>
  <c r="D18" i="108"/>
  <c r="B18" i="108"/>
  <c r="A18" i="108"/>
  <c r="K17" i="108"/>
  <c r="K40" i="108" s="1"/>
  <c r="F17" i="108"/>
  <c r="D17" i="108"/>
  <c r="B17" i="108"/>
  <c r="A17" i="108"/>
  <c r="O16" i="108"/>
  <c r="N16" i="108"/>
  <c r="K16" i="108"/>
  <c r="F16" i="108"/>
  <c r="D16" i="108"/>
  <c r="A16" i="108"/>
  <c r="O15" i="108"/>
  <c r="N15" i="108"/>
  <c r="K15" i="108"/>
  <c r="F15" i="108"/>
  <c r="D15" i="108"/>
  <c r="B15" i="108"/>
  <c r="A15" i="108"/>
  <c r="O14" i="108"/>
  <c r="N14" i="108"/>
  <c r="K14" i="108"/>
  <c r="F14" i="108"/>
  <c r="D14" i="108"/>
  <c r="B14" i="108"/>
  <c r="A14" i="108"/>
  <c r="O13" i="108"/>
  <c r="N13" i="108"/>
  <c r="K13" i="108"/>
  <c r="F13" i="108"/>
  <c r="D13" i="108"/>
  <c r="B13" i="108"/>
  <c r="A13" i="108"/>
  <c r="O12" i="108"/>
  <c r="N12" i="108"/>
  <c r="K12" i="108"/>
  <c r="F12" i="108"/>
  <c r="D12" i="108"/>
  <c r="B12" i="108"/>
  <c r="A12" i="108"/>
  <c r="O11" i="108"/>
  <c r="N11" i="108"/>
  <c r="K11" i="108"/>
  <c r="F11" i="108"/>
  <c r="D11" i="108"/>
  <c r="B11" i="108"/>
  <c r="A11" i="108"/>
  <c r="O10" i="108"/>
  <c r="N10" i="108"/>
  <c r="K10" i="108"/>
  <c r="F10" i="108"/>
  <c r="D10" i="108"/>
  <c r="B10" i="108"/>
  <c r="A10" i="108"/>
  <c r="O9" i="108"/>
  <c r="N9" i="108"/>
  <c r="K9" i="108"/>
  <c r="F9" i="108"/>
  <c r="D9" i="108"/>
  <c r="B9" i="108"/>
  <c r="A9" i="108"/>
  <c r="O8" i="108"/>
  <c r="F4" i="108"/>
  <c r="B4" i="108"/>
  <c r="H51" i="84"/>
  <c r="D48" i="84"/>
  <c r="D47" i="84"/>
  <c r="D45" i="84"/>
  <c r="C45" i="84"/>
  <c r="B45" i="84"/>
  <c r="D44" i="84"/>
  <c r="B44" i="84"/>
  <c r="D43" i="84"/>
  <c r="B43" i="84"/>
  <c r="D42" i="84"/>
  <c r="B42" i="84"/>
  <c r="M39" i="84"/>
  <c r="L39" i="84"/>
  <c r="K39" i="84"/>
  <c r="J39" i="84"/>
  <c r="I39" i="84"/>
  <c r="H39" i="84"/>
  <c r="G39" i="84"/>
  <c r="F39" i="84"/>
  <c r="E39" i="84"/>
  <c r="D39" i="84"/>
  <c r="C39" i="84"/>
  <c r="B39" i="84"/>
  <c r="N38" i="84"/>
  <c r="M38" i="84"/>
  <c r="K38" i="84"/>
  <c r="D38" i="84"/>
  <c r="B38" i="84"/>
  <c r="A38" i="84"/>
  <c r="N37" i="84"/>
  <c r="M37" i="84"/>
  <c r="K37" i="84"/>
  <c r="D37" i="84"/>
  <c r="B37" i="84"/>
  <c r="A37" i="84"/>
  <c r="N36" i="84"/>
  <c r="M36" i="84"/>
  <c r="K36" i="84"/>
  <c r="D36" i="84"/>
  <c r="B36" i="84"/>
  <c r="A36" i="84"/>
  <c r="N35" i="84"/>
  <c r="M35" i="84"/>
  <c r="K35" i="84"/>
  <c r="D35" i="84"/>
  <c r="B35" i="84"/>
  <c r="A35" i="84"/>
  <c r="N34" i="84"/>
  <c r="M34" i="84"/>
  <c r="K34" i="84"/>
  <c r="D34" i="84"/>
  <c r="B34" i="84"/>
  <c r="A34" i="84"/>
  <c r="N33" i="84"/>
  <c r="M33" i="84"/>
  <c r="K33" i="84"/>
  <c r="D33" i="84"/>
  <c r="B33" i="84"/>
  <c r="A33" i="84"/>
  <c r="N32" i="84"/>
  <c r="M32" i="84"/>
  <c r="K32" i="84"/>
  <c r="D32" i="84"/>
  <c r="B32" i="84"/>
  <c r="A32" i="84"/>
  <c r="N31" i="84"/>
  <c r="M31" i="84"/>
  <c r="K31" i="84"/>
  <c r="D31" i="84"/>
  <c r="B31" i="84"/>
  <c r="A31" i="84"/>
  <c r="N30" i="84"/>
  <c r="M30" i="84"/>
  <c r="K30" i="84"/>
  <c r="D30" i="84"/>
  <c r="B30" i="84"/>
  <c r="A30" i="84"/>
  <c r="N29" i="84"/>
  <c r="M29" i="84"/>
  <c r="K29" i="84"/>
  <c r="D29" i="84"/>
  <c r="B29" i="84"/>
  <c r="A29" i="84"/>
  <c r="N28" i="84"/>
  <c r="M28" i="84"/>
  <c r="K28" i="84"/>
  <c r="D28" i="84"/>
  <c r="B28" i="84"/>
  <c r="A28" i="84"/>
  <c r="N27" i="84"/>
  <c r="M27" i="84"/>
  <c r="K27" i="84"/>
  <c r="D27" i="84"/>
  <c r="B27" i="84"/>
  <c r="A27" i="84"/>
  <c r="N26" i="84"/>
  <c r="M26" i="84"/>
  <c r="K26" i="84"/>
  <c r="D26" i="84"/>
  <c r="B26" i="84"/>
  <c r="A26" i="84"/>
  <c r="N25" i="84"/>
  <c r="M25" i="84"/>
  <c r="K25" i="84"/>
  <c r="D25" i="84"/>
  <c r="B25" i="84"/>
  <c r="A25" i="84"/>
  <c r="N24" i="84"/>
  <c r="M24" i="84"/>
  <c r="K24" i="84"/>
  <c r="D24" i="84"/>
  <c r="B24" i="84"/>
  <c r="A24" i="84"/>
  <c r="N23" i="84"/>
  <c r="M23" i="84"/>
  <c r="K23" i="84"/>
  <c r="D23" i="84"/>
  <c r="B23" i="84"/>
  <c r="A23" i="84"/>
  <c r="N22" i="84"/>
  <c r="M22" i="84"/>
  <c r="K22" i="84"/>
  <c r="D22" i="84"/>
  <c r="B22" i="84"/>
  <c r="A22" i="84"/>
  <c r="N21" i="84"/>
  <c r="M21" i="84"/>
  <c r="K21" i="84"/>
  <c r="D21" i="84"/>
  <c r="B21" i="84"/>
  <c r="A21" i="84"/>
  <c r="N20" i="84"/>
  <c r="M20" i="84"/>
  <c r="K20" i="84"/>
  <c r="D20" i="84"/>
  <c r="B20" i="84"/>
  <c r="A20" i="84"/>
  <c r="N19" i="84"/>
  <c r="M19" i="84"/>
  <c r="K19" i="84"/>
  <c r="D19" i="84"/>
  <c r="B19" i="84"/>
  <c r="A19" i="84"/>
  <c r="N18" i="84"/>
  <c r="M18" i="84"/>
  <c r="K18" i="84"/>
  <c r="D18" i="84"/>
  <c r="B18" i="84"/>
  <c r="A18" i="84"/>
  <c r="N17" i="84"/>
  <c r="M17" i="84"/>
  <c r="K17" i="84"/>
  <c r="D17" i="84"/>
  <c r="B17" i="84"/>
  <c r="A17" i="84"/>
  <c r="N16" i="84"/>
  <c r="K16" i="84"/>
  <c r="D16" i="84"/>
  <c r="B16" i="84"/>
  <c r="A16" i="84"/>
  <c r="N15" i="84"/>
  <c r="M15" i="84"/>
  <c r="K15" i="84"/>
  <c r="D15" i="84"/>
  <c r="B15" i="84"/>
  <c r="A15" i="84"/>
  <c r="N14" i="84"/>
  <c r="M14" i="84"/>
  <c r="K14" i="84"/>
  <c r="D14" i="84"/>
  <c r="B14" i="84"/>
  <c r="A14" i="84"/>
  <c r="N13" i="84"/>
  <c r="M13" i="84"/>
  <c r="K13" i="84"/>
  <c r="D13" i="84"/>
  <c r="B13" i="84"/>
  <c r="A13" i="84"/>
  <c r="N12" i="84"/>
  <c r="M12" i="84"/>
  <c r="K12" i="84"/>
  <c r="D12" i="84"/>
  <c r="B12" i="84"/>
  <c r="A12" i="84"/>
  <c r="N11" i="84"/>
  <c r="M11" i="84"/>
  <c r="K11" i="84"/>
  <c r="D11" i="84"/>
  <c r="B11" i="84"/>
  <c r="A11" i="84"/>
  <c r="N10" i="84"/>
  <c r="M10" i="84"/>
  <c r="K10" i="84"/>
  <c r="D10" i="84"/>
  <c r="B10" i="84"/>
  <c r="A10" i="84"/>
  <c r="N9" i="84"/>
  <c r="M9" i="84"/>
  <c r="K9" i="84"/>
  <c r="D9" i="84"/>
  <c r="B9" i="84"/>
  <c r="A9" i="84"/>
  <c r="N8" i="84"/>
  <c r="M8" i="84"/>
  <c r="K8" i="84"/>
  <c r="D8" i="84"/>
  <c r="B8" i="84"/>
  <c r="A8" i="84"/>
  <c r="N7" i="84"/>
  <c r="B3" i="84"/>
  <c r="H1" i="84"/>
  <c r="D47" i="272"/>
  <c r="D46" i="272"/>
  <c r="B46" i="272"/>
  <c r="D45" i="272"/>
  <c r="B45" i="272"/>
  <c r="D44" i="272"/>
  <c r="B44" i="272"/>
  <c r="N41" i="272"/>
  <c r="M41" i="272"/>
  <c r="K41" i="272"/>
  <c r="J41" i="272"/>
  <c r="I41" i="272"/>
  <c r="H41" i="272"/>
  <c r="G41" i="272"/>
  <c r="F41" i="272"/>
  <c r="E41" i="272"/>
  <c r="D41" i="272"/>
  <c r="C41" i="272"/>
  <c r="B41" i="272"/>
  <c r="P40" i="272"/>
  <c r="O40" i="272"/>
  <c r="N40" i="272"/>
  <c r="K40" i="272"/>
  <c r="F40" i="272"/>
  <c r="D40" i="272"/>
  <c r="B40" i="272"/>
  <c r="A40" i="272"/>
  <c r="P39" i="272"/>
  <c r="O39" i="272"/>
  <c r="N39" i="272"/>
  <c r="K39" i="272"/>
  <c r="F39" i="272"/>
  <c r="D39" i="272"/>
  <c r="B39" i="272"/>
  <c r="A39" i="272"/>
  <c r="P38" i="272"/>
  <c r="O38" i="272"/>
  <c r="N38" i="272"/>
  <c r="K38" i="272"/>
  <c r="F38" i="272"/>
  <c r="D38" i="272"/>
  <c r="B38" i="272"/>
  <c r="A38" i="272"/>
  <c r="P37" i="272"/>
  <c r="O37" i="272"/>
  <c r="N37" i="272"/>
  <c r="K37" i="272"/>
  <c r="F37" i="272"/>
  <c r="D37" i="272"/>
  <c r="B37" i="272"/>
  <c r="A37" i="272"/>
  <c r="P36" i="272"/>
  <c r="O36" i="272"/>
  <c r="N36" i="272"/>
  <c r="K36" i="272"/>
  <c r="F36" i="272"/>
  <c r="D36" i="272"/>
  <c r="B36" i="272"/>
  <c r="A36" i="272"/>
  <c r="P35" i="272"/>
  <c r="O35" i="272"/>
  <c r="N35" i="272"/>
  <c r="K35" i="272"/>
  <c r="F35" i="272"/>
  <c r="D35" i="272"/>
  <c r="B35" i="272"/>
  <c r="A35" i="272"/>
  <c r="P34" i="272"/>
  <c r="O34" i="272"/>
  <c r="N34" i="272"/>
  <c r="K34" i="272"/>
  <c r="F34" i="272"/>
  <c r="D34" i="272"/>
  <c r="B34" i="272"/>
  <c r="A34" i="272"/>
  <c r="P33" i="272"/>
  <c r="O33" i="272"/>
  <c r="N33" i="272"/>
  <c r="K33" i="272"/>
  <c r="F33" i="272"/>
  <c r="D33" i="272"/>
  <c r="B33" i="272"/>
  <c r="A33" i="272"/>
  <c r="P32" i="272"/>
  <c r="O32" i="272"/>
  <c r="N32" i="272"/>
  <c r="K32" i="272"/>
  <c r="F32" i="272"/>
  <c r="D32" i="272"/>
  <c r="B32" i="272"/>
  <c r="A32" i="272"/>
  <c r="P31" i="272"/>
  <c r="O31" i="272"/>
  <c r="N31" i="272"/>
  <c r="K31" i="272"/>
  <c r="F31" i="272"/>
  <c r="D31" i="272"/>
  <c r="B31" i="272"/>
  <c r="A31" i="272"/>
  <c r="P30" i="272"/>
  <c r="O30" i="272"/>
  <c r="N30" i="272"/>
  <c r="K30" i="272"/>
  <c r="F30" i="272"/>
  <c r="D30" i="272"/>
  <c r="B30" i="272"/>
  <c r="A30" i="272"/>
  <c r="P29" i="272"/>
  <c r="O29" i="272"/>
  <c r="N29" i="272"/>
  <c r="K29" i="272"/>
  <c r="F29" i="272"/>
  <c r="D29" i="272"/>
  <c r="B29" i="272"/>
  <c r="A29" i="272"/>
  <c r="P28" i="272"/>
  <c r="O28" i="272"/>
  <c r="N28" i="272"/>
  <c r="K28" i="272"/>
  <c r="F28" i="272"/>
  <c r="D28" i="272"/>
  <c r="B28" i="272"/>
  <c r="A28" i="272"/>
  <c r="O27" i="272"/>
  <c r="N27" i="272"/>
  <c r="K27" i="272"/>
  <c r="F27" i="272"/>
  <c r="D27" i="272"/>
  <c r="B27" i="272"/>
  <c r="A27" i="272"/>
  <c r="O26" i="272"/>
  <c r="N26" i="272"/>
  <c r="K26" i="272"/>
  <c r="F26" i="272"/>
  <c r="D26" i="272"/>
  <c r="B26" i="272"/>
  <c r="A26" i="272"/>
  <c r="O25" i="272"/>
  <c r="N25" i="272"/>
  <c r="K25" i="272"/>
  <c r="F25" i="272"/>
  <c r="D25" i="272"/>
  <c r="B25" i="272"/>
  <c r="A25" i="272"/>
  <c r="O24" i="272"/>
  <c r="N24" i="272"/>
  <c r="K24" i="272"/>
  <c r="F24" i="272"/>
  <c r="D24" i="272"/>
  <c r="B24" i="272"/>
  <c r="A24" i="272"/>
  <c r="O23" i="272"/>
  <c r="N23" i="272"/>
  <c r="K23" i="272"/>
  <c r="F23" i="272"/>
  <c r="D23" i="272"/>
  <c r="B23" i="272"/>
  <c r="A23" i="272"/>
  <c r="O22" i="272"/>
  <c r="N22" i="272"/>
  <c r="K22" i="272"/>
  <c r="F22" i="272"/>
  <c r="D22" i="272"/>
  <c r="B22" i="272"/>
  <c r="A22" i="272"/>
  <c r="O21" i="272"/>
  <c r="N21" i="272"/>
  <c r="K21" i="272"/>
  <c r="F21" i="272"/>
  <c r="D21" i="272"/>
  <c r="B21" i="272"/>
  <c r="A21" i="272"/>
  <c r="O20" i="272"/>
  <c r="N20" i="272"/>
  <c r="K20" i="272"/>
  <c r="F20" i="272"/>
  <c r="D20" i="272"/>
  <c r="B20" i="272"/>
  <c r="A20" i="272"/>
  <c r="O19" i="272"/>
  <c r="N19" i="272"/>
  <c r="K19" i="272"/>
  <c r="F19" i="272"/>
  <c r="D19" i="272"/>
  <c r="B19" i="272"/>
  <c r="A19" i="272"/>
  <c r="O18" i="272"/>
  <c r="N18" i="272"/>
  <c r="K18" i="272"/>
  <c r="F18" i="272"/>
  <c r="D18" i="272"/>
  <c r="B18" i="272"/>
  <c r="A18" i="272"/>
  <c r="O17" i="272"/>
  <c r="N17" i="272"/>
  <c r="K17" i="272"/>
  <c r="F17" i="272"/>
  <c r="D17" i="272"/>
  <c r="B17" i="272"/>
  <c r="A17" i="272"/>
  <c r="O16" i="272"/>
  <c r="N16" i="272"/>
  <c r="K16" i="272"/>
  <c r="F16" i="272"/>
  <c r="D16" i="272"/>
  <c r="B16" i="272"/>
  <c r="A16" i="272"/>
  <c r="O15" i="272"/>
  <c r="N15" i="272"/>
  <c r="K15" i="272"/>
  <c r="F15" i="272"/>
  <c r="D15" i="272"/>
  <c r="B15" i="272"/>
  <c r="A15" i="272"/>
  <c r="O14" i="272"/>
  <c r="N14" i="272"/>
  <c r="K14" i="272"/>
  <c r="F14" i="272"/>
  <c r="D14" i="272"/>
  <c r="B14" i="272"/>
  <c r="A14" i="272"/>
  <c r="O13" i="272"/>
  <c r="N13" i="272"/>
  <c r="K13" i="272"/>
  <c r="F13" i="272"/>
  <c r="D13" i="272"/>
  <c r="B13" i="272"/>
  <c r="A13" i="272"/>
  <c r="O12" i="272"/>
  <c r="N12" i="272"/>
  <c r="K12" i="272"/>
  <c r="F12" i="272"/>
  <c r="D12" i="272"/>
  <c r="B12" i="272"/>
  <c r="A12" i="272"/>
  <c r="O11" i="272"/>
  <c r="N11" i="272"/>
  <c r="K11" i="272"/>
  <c r="F11" i="272"/>
  <c r="D11" i="272"/>
  <c r="B11" i="272"/>
  <c r="A11" i="272"/>
  <c r="O10" i="272"/>
  <c r="N10" i="272"/>
  <c r="K10" i="272"/>
  <c r="F10" i="272"/>
  <c r="D10" i="272"/>
  <c r="B10" i="272"/>
  <c r="A10" i="272"/>
  <c r="O9" i="272"/>
  <c r="B3" i="272"/>
  <c r="N40" i="300"/>
  <c r="M40" i="300"/>
  <c r="K40" i="300"/>
  <c r="J40" i="300"/>
  <c r="I40" i="300"/>
  <c r="H40" i="300"/>
  <c r="G40" i="300"/>
  <c r="F40" i="300"/>
  <c r="E40" i="300"/>
  <c r="D40" i="300"/>
  <c r="C40" i="300"/>
  <c r="B40" i="300"/>
  <c r="O39" i="300"/>
  <c r="N39" i="300"/>
  <c r="K39" i="300"/>
  <c r="F39" i="300"/>
  <c r="D39" i="300"/>
  <c r="B39" i="300"/>
  <c r="A39" i="300"/>
  <c r="O38" i="300"/>
  <c r="N38" i="300"/>
  <c r="K38" i="300"/>
  <c r="F38" i="300"/>
  <c r="D38" i="300"/>
  <c r="B38" i="300"/>
  <c r="A38" i="300"/>
  <c r="O37" i="300"/>
  <c r="N37" i="300"/>
  <c r="K37" i="300"/>
  <c r="F37" i="300"/>
  <c r="D37" i="300"/>
  <c r="B37" i="300"/>
  <c r="A37" i="300"/>
  <c r="O36" i="300"/>
  <c r="N36" i="300"/>
  <c r="K36" i="300"/>
  <c r="F36" i="300"/>
  <c r="D36" i="300"/>
  <c r="B36" i="300"/>
  <c r="A36" i="300"/>
  <c r="Q35" i="300"/>
  <c r="O35" i="300"/>
  <c r="N35" i="300"/>
  <c r="K35" i="300"/>
  <c r="F35" i="300"/>
  <c r="D35" i="300"/>
  <c r="B35" i="300"/>
  <c r="A35" i="300"/>
  <c r="O34" i="300"/>
  <c r="N34" i="300"/>
  <c r="K34" i="300"/>
  <c r="F34" i="300"/>
  <c r="D34" i="300"/>
  <c r="B34" i="300"/>
  <c r="A34" i="300"/>
  <c r="O33" i="300"/>
  <c r="N33" i="300"/>
  <c r="K33" i="300"/>
  <c r="F33" i="300"/>
  <c r="D33" i="300"/>
  <c r="B33" i="300"/>
  <c r="A33" i="300"/>
  <c r="O32" i="300"/>
  <c r="N32" i="300"/>
  <c r="K32" i="300"/>
  <c r="F32" i="300"/>
  <c r="D32" i="300"/>
  <c r="B32" i="300"/>
  <c r="A32" i="300"/>
  <c r="O31" i="300"/>
  <c r="N31" i="300"/>
  <c r="K31" i="300"/>
  <c r="F31" i="300"/>
  <c r="D31" i="300"/>
  <c r="B31" i="300"/>
  <c r="A31" i="300"/>
  <c r="O30" i="300"/>
  <c r="N30" i="300"/>
  <c r="K30" i="300"/>
  <c r="F30" i="300"/>
  <c r="D30" i="300"/>
  <c r="B30" i="300"/>
  <c r="A30" i="300"/>
  <c r="O29" i="300"/>
  <c r="N29" i="300"/>
  <c r="K29" i="300"/>
  <c r="F29" i="300"/>
  <c r="D29" i="300"/>
  <c r="B29" i="300"/>
  <c r="A29" i="300"/>
  <c r="O28" i="300"/>
  <c r="N28" i="300"/>
  <c r="K28" i="300"/>
  <c r="F28" i="300"/>
  <c r="D28" i="300"/>
  <c r="B28" i="300"/>
  <c r="A28" i="300"/>
  <c r="O27" i="300"/>
  <c r="N27" i="300"/>
  <c r="K27" i="300"/>
  <c r="F27" i="300"/>
  <c r="D27" i="300"/>
  <c r="B27" i="300"/>
  <c r="A27" i="300"/>
  <c r="O26" i="300"/>
  <c r="N26" i="300"/>
  <c r="K26" i="300"/>
  <c r="F26" i="300"/>
  <c r="D26" i="300"/>
  <c r="B26" i="300"/>
  <c r="A26" i="300"/>
  <c r="O25" i="300"/>
  <c r="N25" i="300"/>
  <c r="K25" i="300"/>
  <c r="F25" i="300"/>
  <c r="D25" i="300"/>
  <c r="B25" i="300"/>
  <c r="A25" i="300"/>
  <c r="S24" i="300"/>
  <c r="O24" i="300"/>
  <c r="N24" i="300"/>
  <c r="K24" i="300"/>
  <c r="F24" i="300"/>
  <c r="D24" i="300"/>
  <c r="B24" i="300"/>
  <c r="A24" i="300"/>
  <c r="O23" i="300"/>
  <c r="N23" i="300"/>
  <c r="K23" i="300"/>
  <c r="F23" i="300"/>
  <c r="D23" i="300"/>
  <c r="B23" i="300"/>
  <c r="A23" i="300"/>
  <c r="O22" i="300"/>
  <c r="N22" i="300"/>
  <c r="K22" i="300"/>
  <c r="F22" i="300"/>
  <c r="D22" i="300"/>
  <c r="B22" i="300"/>
  <c r="A22" i="300"/>
  <c r="O21" i="300"/>
  <c r="N21" i="300"/>
  <c r="K21" i="300"/>
  <c r="F21" i="300"/>
  <c r="D21" i="300"/>
  <c r="B21" i="300"/>
  <c r="A21" i="300"/>
  <c r="O20" i="300"/>
  <c r="N20" i="300"/>
  <c r="K20" i="300"/>
  <c r="F20" i="300"/>
  <c r="D20" i="300"/>
  <c r="B20" i="300"/>
  <c r="A20" i="300"/>
  <c r="O19" i="300"/>
  <c r="N19" i="300"/>
  <c r="K19" i="300"/>
  <c r="F19" i="300"/>
  <c r="D19" i="300"/>
  <c r="B19" i="300"/>
  <c r="A19" i="300"/>
  <c r="O18" i="300"/>
  <c r="N18" i="300"/>
  <c r="K18" i="300"/>
  <c r="F18" i="300"/>
  <c r="D18" i="300"/>
  <c r="B18" i="300"/>
  <c r="A18" i="300"/>
  <c r="O17" i="300"/>
  <c r="N17" i="300"/>
  <c r="K17" i="300"/>
  <c r="F17" i="300"/>
  <c r="D17" i="300"/>
  <c r="B17" i="300"/>
  <c r="A17" i="300"/>
  <c r="O16" i="300"/>
  <c r="N16" i="300"/>
  <c r="K16" i="300"/>
  <c r="F16" i="300"/>
  <c r="D16" i="300"/>
  <c r="B16" i="300"/>
  <c r="A16" i="300"/>
  <c r="O15" i="300"/>
  <c r="N15" i="300"/>
  <c r="K15" i="300"/>
  <c r="F15" i="300"/>
  <c r="D15" i="300"/>
  <c r="B15" i="300"/>
  <c r="A15" i="300"/>
  <c r="O14" i="300"/>
  <c r="N14" i="300"/>
  <c r="K14" i="300"/>
  <c r="F14" i="300"/>
  <c r="D14" i="300"/>
  <c r="B14" i="300"/>
  <c r="A14" i="300"/>
  <c r="O13" i="300"/>
  <c r="N13" i="300"/>
  <c r="K13" i="300"/>
  <c r="F13" i="300"/>
  <c r="D13" i="300"/>
  <c r="B13" i="300"/>
  <c r="A13" i="300"/>
  <c r="O12" i="300"/>
  <c r="N12" i="300"/>
  <c r="K12" i="300"/>
  <c r="F12" i="300"/>
  <c r="D12" i="300"/>
  <c r="B12" i="300"/>
  <c r="A12" i="300"/>
  <c r="O11" i="300"/>
  <c r="N11" i="300"/>
  <c r="K11" i="300"/>
  <c r="F11" i="300"/>
  <c r="D11" i="300"/>
  <c r="B11" i="300"/>
  <c r="A11" i="300"/>
  <c r="O10" i="300"/>
  <c r="N10" i="300"/>
  <c r="K10" i="300"/>
  <c r="F10" i="300"/>
  <c r="D10" i="300"/>
  <c r="B10" i="300"/>
  <c r="A10" i="300"/>
  <c r="O9" i="300"/>
  <c r="N9" i="300"/>
  <c r="K9" i="300"/>
  <c r="F9" i="300"/>
  <c r="D9" i="300"/>
  <c r="B9" i="300"/>
  <c r="A9" i="300"/>
  <c r="O8" i="300"/>
  <c r="H4" i="300"/>
  <c r="B4" i="300"/>
  <c r="G51" i="287"/>
  <c r="F48" i="287"/>
  <c r="D48" i="287"/>
  <c r="H47" i="287"/>
  <c r="D47" i="287"/>
  <c r="B47" i="287"/>
  <c r="D46" i="287"/>
  <c r="B46" i="287"/>
  <c r="D45" i="287"/>
  <c r="B45" i="287"/>
  <c r="N42" i="287"/>
  <c r="M42" i="287"/>
  <c r="K42" i="287"/>
  <c r="J42" i="287"/>
  <c r="I42" i="287"/>
  <c r="H42" i="287"/>
  <c r="G42" i="287"/>
  <c r="F42" i="287"/>
  <c r="E42" i="287"/>
  <c r="D42" i="287"/>
  <c r="C42" i="287"/>
  <c r="B42" i="287"/>
  <c r="N41" i="287"/>
  <c r="K41" i="287"/>
  <c r="D41" i="287"/>
  <c r="O40" i="287"/>
  <c r="N40" i="287"/>
  <c r="K40" i="287"/>
  <c r="F40" i="287"/>
  <c r="D40" i="287"/>
  <c r="B40" i="287"/>
  <c r="A40" i="287"/>
  <c r="O39" i="287"/>
  <c r="N39" i="287"/>
  <c r="K39" i="287"/>
  <c r="F39" i="287"/>
  <c r="D39" i="287"/>
  <c r="B39" i="287"/>
  <c r="A39" i="287"/>
  <c r="O38" i="287"/>
  <c r="N38" i="287"/>
  <c r="K38" i="287"/>
  <c r="F38" i="287"/>
  <c r="D38" i="287"/>
  <c r="B38" i="287"/>
  <c r="A38" i="287"/>
  <c r="O37" i="287"/>
  <c r="N37" i="287"/>
  <c r="K37" i="287"/>
  <c r="F37" i="287"/>
  <c r="D37" i="287"/>
  <c r="B37" i="287"/>
  <c r="A37" i="287"/>
  <c r="O36" i="287"/>
  <c r="N36" i="287"/>
  <c r="K36" i="287"/>
  <c r="F36" i="287"/>
  <c r="D36" i="287"/>
  <c r="B36" i="287"/>
  <c r="A36" i="287"/>
  <c r="O35" i="287"/>
  <c r="N35" i="287"/>
  <c r="K35" i="287"/>
  <c r="F35" i="287"/>
  <c r="D35" i="287"/>
  <c r="B35" i="287"/>
  <c r="A35" i="287"/>
  <c r="O34" i="287"/>
  <c r="N34" i="287"/>
  <c r="K34" i="287"/>
  <c r="F34" i="287"/>
  <c r="D34" i="287"/>
  <c r="B34" i="287"/>
  <c r="A34" i="287"/>
  <c r="O33" i="287"/>
  <c r="N33" i="287"/>
  <c r="K33" i="287"/>
  <c r="F33" i="287"/>
  <c r="D33" i="287"/>
  <c r="B33" i="287"/>
  <c r="A33" i="287"/>
  <c r="O32" i="287"/>
  <c r="N32" i="287"/>
  <c r="K32" i="287"/>
  <c r="F32" i="287"/>
  <c r="D32" i="287"/>
  <c r="B32" i="287"/>
  <c r="A32" i="287"/>
  <c r="O31" i="287"/>
  <c r="N31" i="287"/>
  <c r="K31" i="287"/>
  <c r="F31" i="287"/>
  <c r="D31" i="287"/>
  <c r="B31" i="287"/>
  <c r="A31" i="287"/>
  <c r="O30" i="287"/>
  <c r="N30" i="287"/>
  <c r="K30" i="287"/>
  <c r="F30" i="287"/>
  <c r="D30" i="287"/>
  <c r="B30" i="287"/>
  <c r="A30" i="287"/>
  <c r="O29" i="287"/>
  <c r="N29" i="287"/>
  <c r="K29" i="287"/>
  <c r="F29" i="287"/>
  <c r="D29" i="287"/>
  <c r="B29" i="287"/>
  <c r="A29" i="287"/>
  <c r="O28" i="287"/>
  <c r="N28" i="287"/>
  <c r="K28" i="287"/>
  <c r="F28" i="287"/>
  <c r="D28" i="287"/>
  <c r="B28" i="287"/>
  <c r="A28" i="287"/>
  <c r="P27" i="287"/>
  <c r="O27" i="287"/>
  <c r="N27" i="287"/>
  <c r="K27" i="287"/>
  <c r="F27" i="287"/>
  <c r="D27" i="287"/>
  <c r="B27" i="287"/>
  <c r="A27" i="287"/>
  <c r="O26" i="287"/>
  <c r="N26" i="287"/>
  <c r="K26" i="287"/>
  <c r="F26" i="287"/>
  <c r="D26" i="287"/>
  <c r="B26" i="287"/>
  <c r="A26" i="287"/>
  <c r="O25" i="287"/>
  <c r="N25" i="287"/>
  <c r="K25" i="287"/>
  <c r="F25" i="287"/>
  <c r="D25" i="287"/>
  <c r="B25" i="287"/>
  <c r="A25" i="287"/>
  <c r="O24" i="287"/>
  <c r="N24" i="287"/>
  <c r="K24" i="287"/>
  <c r="F24" i="287"/>
  <c r="D24" i="287"/>
  <c r="B24" i="287"/>
  <c r="A24" i="287"/>
  <c r="O23" i="287"/>
  <c r="N23" i="287"/>
  <c r="K23" i="287"/>
  <c r="F23" i="287"/>
  <c r="D23" i="287"/>
  <c r="B23" i="287"/>
  <c r="A23" i="287"/>
  <c r="O22" i="287"/>
  <c r="N22" i="287"/>
  <c r="K22" i="287"/>
  <c r="F22" i="287"/>
  <c r="D22" i="287"/>
  <c r="B22" i="287"/>
  <c r="A22" i="287"/>
  <c r="O21" i="287"/>
  <c r="N21" i="287"/>
  <c r="K21" i="287"/>
  <c r="F21" i="287"/>
  <c r="D21" i="287"/>
  <c r="B21" i="287"/>
  <c r="A21" i="287"/>
  <c r="O20" i="287"/>
  <c r="N20" i="287"/>
  <c r="K20" i="287"/>
  <c r="F20" i="287"/>
  <c r="D20" i="287"/>
  <c r="B20" i="287"/>
  <c r="A20" i="287"/>
  <c r="O19" i="287"/>
  <c r="N19" i="287"/>
  <c r="K19" i="287"/>
  <c r="F19" i="287"/>
  <c r="D19" i="287"/>
  <c r="B19" i="287"/>
  <c r="A19" i="287"/>
  <c r="O18" i="287"/>
  <c r="N18" i="287"/>
  <c r="K18" i="287"/>
  <c r="F18" i="287"/>
  <c r="D18" i="287"/>
  <c r="B18" i="287"/>
  <c r="A18" i="287"/>
  <c r="O17" i="287"/>
  <c r="N17" i="287"/>
  <c r="K17" i="287"/>
  <c r="F17" i="287"/>
  <c r="D17" i="287"/>
  <c r="B17" i="287"/>
  <c r="A17" i="287"/>
  <c r="O16" i="287"/>
  <c r="N16" i="287"/>
  <c r="K16" i="287"/>
  <c r="F16" i="287"/>
  <c r="D16" i="287"/>
  <c r="B16" i="287"/>
  <c r="A16" i="287"/>
  <c r="O15" i="287"/>
  <c r="N15" i="287"/>
  <c r="K15" i="287"/>
  <c r="F15" i="287"/>
  <c r="D15" i="287"/>
  <c r="B15" i="287"/>
  <c r="A15" i="287"/>
  <c r="O14" i="287"/>
  <c r="N14" i="287"/>
  <c r="K14" i="287"/>
  <c r="F14" i="287"/>
  <c r="D14" i="287"/>
  <c r="B14" i="287"/>
  <c r="A14" i="287"/>
  <c r="O13" i="287"/>
  <c r="N13" i="287"/>
  <c r="K13" i="287"/>
  <c r="F13" i="287"/>
  <c r="D13" i="287"/>
  <c r="B13" i="287"/>
  <c r="A13" i="287"/>
  <c r="O12" i="287"/>
  <c r="N12" i="287"/>
  <c r="K12" i="287"/>
  <c r="F12" i="287"/>
  <c r="D12" i="287"/>
  <c r="B12" i="287"/>
  <c r="A12" i="287"/>
  <c r="O11" i="287"/>
  <c r="N11" i="287"/>
  <c r="K11" i="287"/>
  <c r="F11" i="287"/>
  <c r="D11" i="287"/>
  <c r="B11" i="287"/>
  <c r="A11" i="287"/>
  <c r="O10" i="287"/>
  <c r="N10" i="287"/>
  <c r="K10" i="287"/>
  <c r="F10" i="287"/>
  <c r="D10" i="287"/>
  <c r="B10" i="287"/>
  <c r="A10" i="287"/>
  <c r="O9" i="287"/>
  <c r="B3" i="287"/>
  <c r="I48" i="279"/>
  <c r="D47" i="279"/>
  <c r="D46" i="279"/>
  <c r="B46" i="279"/>
  <c r="D45" i="279"/>
  <c r="B45" i="279"/>
  <c r="D44" i="279"/>
  <c r="B44" i="279"/>
  <c r="N41" i="279"/>
  <c r="M41" i="279"/>
  <c r="K41" i="279"/>
  <c r="J41" i="279"/>
  <c r="I41" i="279"/>
  <c r="H41" i="279"/>
  <c r="G41" i="279"/>
  <c r="F41" i="279"/>
  <c r="E41" i="279"/>
  <c r="D41" i="279"/>
  <c r="C41" i="279"/>
  <c r="B41" i="279"/>
  <c r="R40" i="279"/>
  <c r="O40" i="279"/>
  <c r="N40" i="279"/>
  <c r="K40" i="279"/>
  <c r="F40" i="279"/>
  <c r="D40" i="279"/>
  <c r="B40" i="279"/>
  <c r="A40" i="279"/>
  <c r="O39" i="279"/>
  <c r="N39" i="279"/>
  <c r="K39" i="279"/>
  <c r="F39" i="279"/>
  <c r="D39" i="279"/>
  <c r="B39" i="279"/>
  <c r="A39" i="279"/>
  <c r="O38" i="279"/>
  <c r="N38" i="279"/>
  <c r="K38" i="279"/>
  <c r="F38" i="279"/>
  <c r="D38" i="279"/>
  <c r="B38" i="279"/>
  <c r="A38" i="279"/>
  <c r="O37" i="279"/>
  <c r="N37" i="279"/>
  <c r="K37" i="279"/>
  <c r="F37" i="279"/>
  <c r="D37" i="279"/>
  <c r="B37" i="279"/>
  <c r="A37" i="279"/>
  <c r="O36" i="279"/>
  <c r="N36" i="279"/>
  <c r="K36" i="279"/>
  <c r="F36" i="279"/>
  <c r="D36" i="279"/>
  <c r="B36" i="279"/>
  <c r="A36" i="279"/>
  <c r="O35" i="279"/>
  <c r="N35" i="279"/>
  <c r="K35" i="279"/>
  <c r="F35" i="279"/>
  <c r="D35" i="279"/>
  <c r="B35" i="279"/>
  <c r="A35" i="279"/>
  <c r="O34" i="279"/>
  <c r="N34" i="279"/>
  <c r="K34" i="279"/>
  <c r="F34" i="279"/>
  <c r="D34" i="279"/>
  <c r="B34" i="279"/>
  <c r="A34" i="279"/>
  <c r="O33" i="279"/>
  <c r="N33" i="279"/>
  <c r="K33" i="279"/>
  <c r="F33" i="279"/>
  <c r="D33" i="279"/>
  <c r="B33" i="279"/>
  <c r="A33" i="279"/>
  <c r="O32" i="279"/>
  <c r="N32" i="279"/>
  <c r="K32" i="279"/>
  <c r="F32" i="279"/>
  <c r="D32" i="279"/>
  <c r="B32" i="279"/>
  <c r="A32" i="279"/>
  <c r="O31" i="279"/>
  <c r="N31" i="279"/>
  <c r="K31" i="279"/>
  <c r="F31" i="279"/>
  <c r="D31" i="279"/>
  <c r="B31" i="279"/>
  <c r="A31" i="279"/>
  <c r="O30" i="279"/>
  <c r="N30" i="279"/>
  <c r="K30" i="279"/>
  <c r="F30" i="279"/>
  <c r="D30" i="279"/>
  <c r="B30" i="279"/>
  <c r="A30" i="279"/>
  <c r="O29" i="279"/>
  <c r="N29" i="279"/>
  <c r="K29" i="279"/>
  <c r="F29" i="279"/>
  <c r="D29" i="279"/>
  <c r="B29" i="279"/>
  <c r="A29" i="279"/>
  <c r="O28" i="279"/>
  <c r="N28" i="279"/>
  <c r="K28" i="279"/>
  <c r="F28" i="279"/>
  <c r="D28" i="279"/>
  <c r="B28" i="279"/>
  <c r="A28" i="279"/>
  <c r="O27" i="279"/>
  <c r="N27" i="279"/>
  <c r="K27" i="279"/>
  <c r="F27" i="279"/>
  <c r="D27" i="279"/>
  <c r="B27" i="279"/>
  <c r="A27" i="279"/>
  <c r="O26" i="279"/>
  <c r="N26" i="279"/>
  <c r="K26" i="279"/>
  <c r="F26" i="279"/>
  <c r="D26" i="279"/>
  <c r="B26" i="279"/>
  <c r="A26" i="279"/>
  <c r="O25" i="279"/>
  <c r="N25" i="279"/>
  <c r="K25" i="279"/>
  <c r="F25" i="279"/>
  <c r="D25" i="279"/>
  <c r="B25" i="279"/>
  <c r="A25" i="279"/>
  <c r="O24" i="279"/>
  <c r="N24" i="279"/>
  <c r="K24" i="279"/>
  <c r="F24" i="279"/>
  <c r="D24" i="279"/>
  <c r="B24" i="279"/>
  <c r="A24" i="279"/>
  <c r="O23" i="279"/>
  <c r="N23" i="279"/>
  <c r="K23" i="279"/>
  <c r="F23" i="279"/>
  <c r="D23" i="279"/>
  <c r="B23" i="279"/>
  <c r="A23" i="279"/>
  <c r="O22" i="279"/>
  <c r="N22" i="279"/>
  <c r="K22" i="279"/>
  <c r="F22" i="279"/>
  <c r="D22" i="279"/>
  <c r="B22" i="279"/>
  <c r="A22" i="279"/>
  <c r="O21" i="279"/>
  <c r="N21" i="279"/>
  <c r="K21" i="279"/>
  <c r="F21" i="279"/>
  <c r="D21" i="279"/>
  <c r="B21" i="279"/>
  <c r="A21" i="279"/>
  <c r="O20" i="279"/>
  <c r="N20" i="279"/>
  <c r="K20" i="279"/>
  <c r="F20" i="279"/>
  <c r="D20" i="279"/>
  <c r="B20" i="279"/>
  <c r="A20" i="279"/>
  <c r="O19" i="279"/>
  <c r="N19" i="279"/>
  <c r="K19" i="279"/>
  <c r="F19" i="279"/>
  <c r="D19" i="279"/>
  <c r="B19" i="279"/>
  <c r="A19" i="279"/>
  <c r="O18" i="279"/>
  <c r="N18" i="279"/>
  <c r="K18" i="279"/>
  <c r="F18" i="279"/>
  <c r="D18" i="279"/>
  <c r="B18" i="279"/>
  <c r="A18" i="279"/>
  <c r="O17" i="279"/>
  <c r="N17" i="279"/>
  <c r="K17" i="279"/>
  <c r="F17" i="279"/>
  <c r="D17" i="279"/>
  <c r="B17" i="279"/>
  <c r="A17" i="279"/>
  <c r="O16" i="279"/>
  <c r="N16" i="279"/>
  <c r="K16" i="279"/>
  <c r="F16" i="279"/>
  <c r="D16" i="279"/>
  <c r="B16" i="279"/>
  <c r="A16" i="279"/>
  <c r="O15" i="279"/>
  <c r="N15" i="279"/>
  <c r="K15" i="279"/>
  <c r="F15" i="279"/>
  <c r="D15" i="279"/>
  <c r="B15" i="279"/>
  <c r="A15" i="279"/>
  <c r="O14" i="279"/>
  <c r="N14" i="279"/>
  <c r="K14" i="279"/>
  <c r="F14" i="279"/>
  <c r="D14" i="279"/>
  <c r="B14" i="279"/>
  <c r="A14" i="279"/>
  <c r="O13" i="279"/>
  <c r="N13" i="279"/>
  <c r="K13" i="279"/>
  <c r="F13" i="279"/>
  <c r="D13" i="279"/>
  <c r="B13" i="279"/>
  <c r="A13" i="279"/>
  <c r="O12" i="279"/>
  <c r="N12" i="279"/>
  <c r="K12" i="279"/>
  <c r="F12" i="279"/>
  <c r="D12" i="279"/>
  <c r="B12" i="279"/>
  <c r="A12" i="279"/>
  <c r="O11" i="279"/>
  <c r="N11" i="279"/>
  <c r="K11" i="279"/>
  <c r="F11" i="279"/>
  <c r="D11" i="279"/>
  <c r="B11" i="279"/>
  <c r="A11" i="279"/>
  <c r="O10" i="279"/>
  <c r="N10" i="279"/>
  <c r="K10" i="279"/>
  <c r="F10" i="279"/>
  <c r="D10" i="279"/>
  <c r="B10" i="279"/>
  <c r="A10" i="279"/>
  <c r="P9" i="279"/>
  <c r="O9" i="279"/>
  <c r="S6" i="279"/>
  <c r="O45" i="141"/>
  <c r="D45" i="141"/>
  <c r="B45" i="141"/>
  <c r="D43" i="141"/>
  <c r="B43" i="141"/>
  <c r="M40" i="141"/>
  <c r="J40" i="141"/>
  <c r="I40" i="141"/>
  <c r="H40" i="141"/>
  <c r="G40" i="141"/>
  <c r="F40" i="141"/>
  <c r="E40" i="141"/>
  <c r="K42" i="141" s="1"/>
  <c r="C40" i="141"/>
  <c r="B40" i="141"/>
  <c r="N39" i="141"/>
  <c r="K39" i="141"/>
  <c r="F39" i="141"/>
  <c r="D39" i="141"/>
  <c r="B39" i="141"/>
  <c r="A39" i="141"/>
  <c r="N38" i="141"/>
  <c r="K38" i="141"/>
  <c r="F38" i="141"/>
  <c r="D38" i="141"/>
  <c r="B38" i="141"/>
  <c r="A38" i="141"/>
  <c r="N37" i="141"/>
  <c r="K37" i="141"/>
  <c r="F37" i="141"/>
  <c r="D37" i="141"/>
  <c r="B37" i="141"/>
  <c r="A37" i="141"/>
  <c r="N36" i="141"/>
  <c r="K36" i="141"/>
  <c r="F36" i="141"/>
  <c r="D36" i="141"/>
  <c r="B36" i="141"/>
  <c r="A36" i="141"/>
  <c r="N35" i="141"/>
  <c r="K35" i="141"/>
  <c r="F35" i="141"/>
  <c r="D35" i="141"/>
  <c r="B35" i="141"/>
  <c r="A35" i="141"/>
  <c r="N34" i="141"/>
  <c r="K34" i="141"/>
  <c r="F34" i="141"/>
  <c r="D34" i="141"/>
  <c r="B34" i="141"/>
  <c r="A34" i="141"/>
  <c r="N33" i="141"/>
  <c r="K33" i="141"/>
  <c r="F33" i="141"/>
  <c r="D33" i="141"/>
  <c r="B33" i="141"/>
  <c r="A33" i="141"/>
  <c r="N32" i="141"/>
  <c r="K32" i="141"/>
  <c r="F32" i="141"/>
  <c r="D32" i="141"/>
  <c r="B32" i="141"/>
  <c r="A32" i="141"/>
  <c r="N31" i="141"/>
  <c r="K31" i="141"/>
  <c r="F31" i="141"/>
  <c r="D31" i="141"/>
  <c r="B31" i="141"/>
  <c r="A31" i="141"/>
  <c r="N30" i="141"/>
  <c r="K30" i="141"/>
  <c r="F30" i="141"/>
  <c r="D30" i="141"/>
  <c r="B30" i="141"/>
  <c r="A30" i="141"/>
  <c r="N29" i="141"/>
  <c r="K29" i="141"/>
  <c r="F29" i="141"/>
  <c r="D29" i="141"/>
  <c r="B29" i="141"/>
  <c r="A29" i="141"/>
  <c r="N28" i="141"/>
  <c r="K28" i="141"/>
  <c r="F28" i="141"/>
  <c r="D28" i="141"/>
  <c r="B28" i="141"/>
  <c r="A28" i="141"/>
  <c r="N27" i="141"/>
  <c r="K27" i="141"/>
  <c r="D27" i="141"/>
  <c r="B27" i="141"/>
  <c r="A27" i="141"/>
  <c r="N26" i="141"/>
  <c r="K26" i="141"/>
  <c r="F26" i="141"/>
  <c r="D26" i="141"/>
  <c r="B26" i="141"/>
  <c r="A26" i="141"/>
  <c r="N25" i="141"/>
  <c r="K25" i="141"/>
  <c r="F25" i="141"/>
  <c r="D25" i="141"/>
  <c r="B25" i="141"/>
  <c r="A25" i="141"/>
  <c r="N24" i="141"/>
  <c r="K24" i="141"/>
  <c r="F24" i="141"/>
  <c r="D24" i="141"/>
  <c r="B24" i="141"/>
  <c r="A24" i="141"/>
  <c r="N23" i="141"/>
  <c r="K23" i="141"/>
  <c r="F23" i="141"/>
  <c r="D23" i="141"/>
  <c r="B23" i="141"/>
  <c r="A23" i="141"/>
  <c r="N22" i="141"/>
  <c r="K22" i="141"/>
  <c r="F22" i="141"/>
  <c r="D22" i="141"/>
  <c r="B22" i="141"/>
  <c r="A22" i="141"/>
  <c r="N21" i="141"/>
  <c r="K21" i="141"/>
  <c r="F21" i="141"/>
  <c r="D21" i="141"/>
  <c r="B21" i="141"/>
  <c r="A21" i="141"/>
  <c r="N20" i="141"/>
  <c r="K20" i="141"/>
  <c r="F20" i="141"/>
  <c r="D20" i="141"/>
  <c r="B20" i="141"/>
  <c r="A20" i="141"/>
  <c r="N19" i="141"/>
  <c r="K19" i="141"/>
  <c r="F19" i="141"/>
  <c r="D19" i="141"/>
  <c r="B19" i="141"/>
  <c r="A19" i="141"/>
  <c r="N18" i="141"/>
  <c r="K18" i="141"/>
  <c r="F18" i="141"/>
  <c r="D18" i="141"/>
  <c r="B18" i="141"/>
  <c r="A18" i="141"/>
  <c r="K17" i="141"/>
  <c r="K40" i="141" s="1"/>
  <c r="F17" i="141"/>
  <c r="D17" i="141"/>
  <c r="D40" i="141" s="1"/>
  <c r="B17" i="141"/>
  <c r="A17" i="141"/>
  <c r="N16" i="141"/>
  <c r="K16" i="141"/>
  <c r="O16" i="141" s="1"/>
  <c r="F16" i="141"/>
  <c r="D16" i="141"/>
  <c r="B16" i="141"/>
  <c r="A16" i="141"/>
  <c r="O15" i="141"/>
  <c r="N15" i="141"/>
  <c r="K15" i="141"/>
  <c r="F15" i="141"/>
  <c r="D15" i="141"/>
  <c r="B15" i="141"/>
  <c r="A15" i="141"/>
  <c r="O14" i="141"/>
  <c r="N14" i="141"/>
  <c r="K14" i="141"/>
  <c r="F14" i="141"/>
  <c r="D14" i="141"/>
  <c r="B14" i="141"/>
  <c r="A14" i="141"/>
  <c r="O13" i="141"/>
  <c r="N13" i="141"/>
  <c r="K13" i="141"/>
  <c r="F13" i="141"/>
  <c r="D13" i="141"/>
  <c r="B13" i="141"/>
  <c r="A13" i="141"/>
  <c r="O12" i="141"/>
  <c r="N12" i="141"/>
  <c r="K12" i="141"/>
  <c r="F12" i="141"/>
  <c r="D12" i="141"/>
  <c r="B12" i="141"/>
  <c r="A12" i="141"/>
  <c r="O11" i="141"/>
  <c r="N11" i="141"/>
  <c r="K11" i="141"/>
  <c r="F11" i="141"/>
  <c r="D11" i="141"/>
  <c r="B11" i="141"/>
  <c r="A11" i="141"/>
  <c r="O10" i="141"/>
  <c r="N10" i="141"/>
  <c r="K10" i="141"/>
  <c r="F10" i="141"/>
  <c r="D10" i="141"/>
  <c r="B10" i="141"/>
  <c r="A10" i="141"/>
  <c r="O9" i="141"/>
  <c r="N9" i="141"/>
  <c r="K9" i="141"/>
  <c r="F9" i="141"/>
  <c r="D9" i="141"/>
  <c r="B9" i="141"/>
  <c r="A9" i="141"/>
  <c r="O8" i="141"/>
  <c r="O7" i="141"/>
  <c r="B4" i="141"/>
  <c r="I15" i="21"/>
  <c r="H15" i="21"/>
  <c r="B15" i="21"/>
  <c r="T14" i="21"/>
  <c r="S14" i="21"/>
  <c r="R14" i="21"/>
  <c r="Q14" i="21"/>
  <c r="P14" i="21"/>
  <c r="O14" i="21"/>
  <c r="N14" i="21"/>
  <c r="M14" i="21"/>
  <c r="L14" i="21"/>
  <c r="K14" i="21"/>
  <c r="J14" i="21"/>
  <c r="I14" i="21"/>
  <c r="H14" i="21"/>
  <c r="G14" i="21"/>
  <c r="F14" i="21"/>
  <c r="E14" i="21"/>
  <c r="D14" i="21"/>
  <c r="C14" i="21"/>
  <c r="B14" i="21"/>
  <c r="B4" i="21"/>
  <c r="D23" i="106"/>
  <c r="C23" i="106"/>
  <c r="B23" i="106"/>
  <c r="D22" i="106"/>
  <c r="F20" i="106"/>
  <c r="D20" i="106"/>
  <c r="C20" i="106"/>
  <c r="B20" i="106"/>
  <c r="F18" i="106"/>
  <c r="D18" i="106"/>
  <c r="C18" i="106"/>
  <c r="F17" i="106"/>
  <c r="D17" i="106"/>
  <c r="C17" i="106"/>
  <c r="F16" i="106"/>
  <c r="E16" i="106"/>
  <c r="D16" i="106"/>
  <c r="C16" i="106"/>
  <c r="B16" i="106"/>
  <c r="F15" i="106"/>
  <c r="E15" i="106"/>
  <c r="D15" i="106"/>
  <c r="C15" i="106"/>
  <c r="B15" i="106"/>
  <c r="F14" i="106"/>
  <c r="E14" i="106"/>
  <c r="D14" i="106"/>
  <c r="C14" i="106"/>
  <c r="F13" i="106"/>
  <c r="E13" i="106"/>
  <c r="D13" i="106"/>
  <c r="C13" i="106"/>
  <c r="B13" i="106"/>
  <c r="F12" i="106"/>
  <c r="E12" i="106"/>
  <c r="D12" i="106"/>
  <c r="C12" i="106"/>
  <c r="B12" i="106"/>
  <c r="A8" i="106"/>
  <c r="N66" i="12"/>
  <c r="L66" i="12"/>
  <c r="J66" i="12"/>
  <c r="I66" i="12"/>
  <c r="H66" i="12"/>
  <c r="G66" i="12"/>
  <c r="F66" i="12"/>
  <c r="C66" i="12"/>
  <c r="B66" i="12"/>
  <c r="N63" i="12"/>
  <c r="L63" i="12"/>
  <c r="J63" i="12"/>
  <c r="I63" i="12"/>
  <c r="H63" i="12"/>
  <c r="G63" i="12"/>
  <c r="F63" i="12"/>
  <c r="C63" i="12"/>
  <c r="B63" i="12"/>
  <c r="O62" i="12"/>
  <c r="M62" i="12"/>
  <c r="K62" i="12"/>
  <c r="N61" i="12"/>
  <c r="J61" i="12"/>
  <c r="I61" i="12"/>
  <c r="H61" i="12"/>
  <c r="G61" i="12"/>
  <c r="F61" i="12"/>
  <c r="O60" i="12"/>
  <c r="N60" i="12"/>
  <c r="M60" i="12"/>
  <c r="L60" i="12"/>
  <c r="K60" i="12"/>
  <c r="J60" i="12"/>
  <c r="I60" i="12"/>
  <c r="H60" i="12"/>
  <c r="G60" i="12"/>
  <c r="F60" i="12"/>
  <c r="E60" i="12"/>
  <c r="D60" i="12"/>
  <c r="C60" i="12"/>
  <c r="B60" i="12"/>
  <c r="R59" i="12"/>
  <c r="Q59" i="12"/>
  <c r="P59" i="12"/>
  <c r="O59" i="12"/>
  <c r="N59" i="12"/>
  <c r="M59" i="12"/>
  <c r="L59" i="12"/>
  <c r="K59" i="12"/>
  <c r="J59" i="12"/>
  <c r="I59" i="12"/>
  <c r="H59" i="12"/>
  <c r="G59" i="12"/>
  <c r="F59" i="12"/>
  <c r="E59" i="12"/>
  <c r="R58" i="12"/>
  <c r="Q58" i="12"/>
  <c r="P58" i="12"/>
  <c r="O58" i="12"/>
  <c r="N58" i="12"/>
  <c r="M58" i="12"/>
  <c r="L58" i="12"/>
  <c r="K58" i="12"/>
  <c r="R57" i="12"/>
  <c r="Q57" i="12"/>
  <c r="P57" i="12"/>
  <c r="O57" i="12"/>
  <c r="N57" i="12"/>
  <c r="M57" i="12"/>
  <c r="L57" i="12"/>
  <c r="K57" i="12"/>
  <c r="J57" i="12"/>
  <c r="I57" i="12"/>
  <c r="H57" i="12"/>
  <c r="G57" i="12"/>
  <c r="F57" i="12"/>
  <c r="E57" i="12"/>
  <c r="D57" i="12"/>
  <c r="C57" i="12"/>
  <c r="B57" i="12"/>
  <c r="R56" i="12"/>
  <c r="Q56" i="12"/>
  <c r="P56" i="12"/>
  <c r="O56" i="12"/>
  <c r="N56" i="12"/>
  <c r="M56" i="12"/>
  <c r="L56" i="12"/>
  <c r="K56" i="12"/>
  <c r="J56" i="12"/>
  <c r="I56" i="12"/>
  <c r="H56" i="12"/>
  <c r="G56" i="12"/>
  <c r="F56" i="12"/>
  <c r="E56" i="12"/>
  <c r="D56" i="12"/>
  <c r="C56" i="12"/>
  <c r="B56" i="12"/>
  <c r="R55" i="12"/>
  <c r="Q55" i="12"/>
  <c r="P55" i="12"/>
  <c r="O55" i="12"/>
  <c r="N55" i="12"/>
  <c r="M55" i="12"/>
  <c r="L55" i="12"/>
  <c r="K55" i="12"/>
  <c r="J55" i="12"/>
  <c r="I55" i="12"/>
  <c r="H55" i="12"/>
  <c r="G55" i="12"/>
  <c r="F55" i="12"/>
  <c r="E55" i="12"/>
  <c r="D55" i="12"/>
  <c r="C55" i="12"/>
  <c r="B55" i="12"/>
  <c r="R54" i="12"/>
  <c r="Q54" i="12"/>
  <c r="P54" i="12"/>
  <c r="O54" i="12"/>
  <c r="N54" i="12"/>
  <c r="M54" i="12"/>
  <c r="L54" i="12"/>
  <c r="K54" i="12"/>
  <c r="J54" i="12"/>
  <c r="I54" i="12"/>
  <c r="H54" i="12"/>
  <c r="G54" i="12"/>
  <c r="F54" i="12"/>
  <c r="E54" i="12"/>
  <c r="D54" i="12"/>
  <c r="C54" i="12"/>
  <c r="B54" i="12"/>
  <c r="R53" i="12"/>
  <c r="Q53" i="12"/>
  <c r="P53" i="12"/>
  <c r="O53" i="12"/>
  <c r="N53" i="12"/>
  <c r="M53" i="12"/>
  <c r="L53" i="12"/>
  <c r="K53" i="12"/>
  <c r="J53" i="12"/>
  <c r="I53" i="12"/>
  <c r="H53" i="12"/>
  <c r="G53" i="12"/>
  <c r="F53" i="12"/>
  <c r="E53" i="12"/>
  <c r="D53" i="12"/>
  <c r="C53" i="12"/>
  <c r="B53" i="12"/>
  <c r="R52" i="12"/>
  <c r="Q52" i="12"/>
  <c r="P52" i="12"/>
  <c r="O52" i="12"/>
  <c r="N52" i="12"/>
  <c r="M52" i="12"/>
  <c r="L52" i="12"/>
  <c r="K52" i="12"/>
  <c r="J52" i="12"/>
  <c r="I52" i="12"/>
  <c r="H52" i="12"/>
  <c r="G52" i="12"/>
  <c r="F52" i="12"/>
  <c r="E52" i="12"/>
  <c r="D52" i="12"/>
  <c r="C52" i="12"/>
  <c r="B52" i="12"/>
  <c r="R51" i="12"/>
  <c r="Q51" i="12"/>
  <c r="P51" i="12"/>
  <c r="O51" i="12"/>
  <c r="N51" i="12"/>
  <c r="M51" i="12"/>
  <c r="L51" i="12"/>
  <c r="K51" i="12"/>
  <c r="J51" i="12"/>
  <c r="I51" i="12"/>
  <c r="H51" i="12"/>
  <c r="G51" i="12"/>
  <c r="F51" i="12"/>
  <c r="E51" i="12"/>
  <c r="D51" i="12"/>
  <c r="C51" i="12"/>
  <c r="B51" i="12"/>
  <c r="R50" i="12"/>
  <c r="Q50" i="12"/>
  <c r="P50" i="12"/>
  <c r="O50" i="12"/>
  <c r="N50" i="12"/>
  <c r="M50" i="12"/>
  <c r="L50" i="12"/>
  <c r="K50" i="12"/>
  <c r="J50" i="12"/>
  <c r="I50" i="12"/>
  <c r="H50" i="12"/>
  <c r="G50" i="12"/>
  <c r="F50" i="12"/>
  <c r="E50" i="12"/>
  <c r="D50" i="12"/>
  <c r="C50" i="12"/>
  <c r="B50" i="12"/>
  <c r="O49" i="12"/>
  <c r="N49" i="12"/>
  <c r="M49" i="12"/>
  <c r="L49" i="12"/>
  <c r="K49" i="12"/>
  <c r="J49" i="12"/>
  <c r="I49" i="12"/>
  <c r="H49" i="12"/>
  <c r="G49" i="12"/>
  <c r="F49" i="12"/>
  <c r="E49" i="12"/>
  <c r="D49" i="12"/>
  <c r="C49" i="12"/>
  <c r="B49" i="12"/>
  <c r="R48" i="12"/>
  <c r="Q48" i="12"/>
  <c r="P48" i="12"/>
  <c r="O48" i="12"/>
  <c r="N48" i="12"/>
  <c r="M48" i="12"/>
  <c r="L48" i="12"/>
  <c r="K48" i="12"/>
  <c r="J48" i="12"/>
  <c r="I48" i="12"/>
  <c r="H48" i="12"/>
  <c r="G48" i="12"/>
  <c r="F48" i="12"/>
  <c r="E48" i="12"/>
  <c r="D48" i="12"/>
  <c r="C48" i="12"/>
  <c r="B48" i="12"/>
  <c r="R47" i="12"/>
  <c r="Q47" i="12"/>
  <c r="P47" i="12"/>
  <c r="O47" i="12"/>
  <c r="N47" i="12"/>
  <c r="M47" i="12"/>
  <c r="L47" i="12"/>
  <c r="K47" i="12"/>
  <c r="J47" i="12"/>
  <c r="I47" i="12"/>
  <c r="H47" i="12"/>
  <c r="G47" i="12"/>
  <c r="F47" i="12"/>
  <c r="E47" i="12"/>
  <c r="D47" i="12"/>
  <c r="C47" i="12"/>
  <c r="B47" i="12"/>
  <c r="N46" i="12"/>
  <c r="L46" i="12"/>
  <c r="J46" i="12"/>
  <c r="I46" i="12"/>
  <c r="H46" i="12"/>
  <c r="G46" i="12"/>
  <c r="F46" i="12"/>
  <c r="E46" i="12"/>
  <c r="K46" i="12" s="1"/>
  <c r="M46" i="12" s="1"/>
  <c r="O46" i="12" s="1"/>
  <c r="C46" i="12"/>
  <c r="B46" i="12"/>
  <c r="R45" i="12"/>
  <c r="Q45" i="12"/>
  <c r="P45" i="12"/>
  <c r="O45" i="12"/>
  <c r="N45" i="12"/>
  <c r="M45" i="12"/>
  <c r="L45" i="12"/>
  <c r="K45" i="12"/>
  <c r="J45" i="12"/>
  <c r="I45" i="12"/>
  <c r="H45" i="12"/>
  <c r="G45" i="12"/>
  <c r="F45" i="12"/>
  <c r="E45" i="12"/>
  <c r="D45" i="12"/>
  <c r="C45" i="12"/>
  <c r="B45" i="12"/>
  <c r="W44" i="12"/>
  <c r="R44" i="12"/>
  <c r="Q44" i="12"/>
  <c r="P44" i="12"/>
  <c r="O44" i="12"/>
  <c r="N44" i="12"/>
  <c r="M44" i="12"/>
  <c r="L44" i="12"/>
  <c r="K44" i="12"/>
  <c r="E44" i="12"/>
  <c r="D44" i="12"/>
  <c r="R43" i="12"/>
  <c r="Q43" i="12"/>
  <c r="P43" i="12"/>
  <c r="O43" i="12"/>
  <c r="N43" i="12"/>
  <c r="M43" i="12"/>
  <c r="L43" i="12"/>
  <c r="K43" i="12"/>
  <c r="F43" i="12"/>
  <c r="E43" i="12"/>
  <c r="D43" i="12"/>
  <c r="C43" i="12"/>
  <c r="B43" i="12"/>
  <c r="R42" i="12"/>
  <c r="Q42" i="12"/>
  <c r="P42" i="12"/>
  <c r="O42" i="12"/>
  <c r="N42" i="12"/>
  <c r="M42" i="12"/>
  <c r="L42" i="12"/>
  <c r="K42" i="12"/>
  <c r="J42" i="12"/>
  <c r="I42" i="12"/>
  <c r="H42" i="12"/>
  <c r="G42" i="12"/>
  <c r="F42" i="12"/>
  <c r="E42" i="12"/>
  <c r="D42" i="12"/>
  <c r="C42" i="12"/>
  <c r="B42" i="12"/>
  <c r="R41" i="12"/>
  <c r="Q41" i="12"/>
  <c r="P41" i="12"/>
  <c r="O41" i="12"/>
  <c r="N41" i="12"/>
  <c r="M41" i="12"/>
  <c r="L41" i="12"/>
  <c r="K41" i="12"/>
  <c r="J41" i="12"/>
  <c r="I41" i="12"/>
  <c r="H41" i="12"/>
  <c r="G41" i="12"/>
  <c r="F41" i="12"/>
  <c r="E41" i="12"/>
  <c r="D41" i="12"/>
  <c r="C41" i="12"/>
  <c r="B41" i="12"/>
  <c r="X40" i="12"/>
  <c r="W40" i="12"/>
  <c r="N40" i="12"/>
  <c r="L40" i="12"/>
  <c r="J40" i="12"/>
  <c r="I40" i="12"/>
  <c r="H40" i="12"/>
  <c r="G40" i="12"/>
  <c r="F40" i="12"/>
  <c r="E40" i="12"/>
  <c r="K40" i="12" s="1"/>
  <c r="C40" i="12"/>
  <c r="B40" i="12"/>
  <c r="X39" i="12"/>
  <c r="W39" i="12"/>
  <c r="R39" i="12"/>
  <c r="Q39" i="12"/>
  <c r="P39" i="12"/>
  <c r="O39" i="12"/>
  <c r="N39" i="12"/>
  <c r="M39" i="12"/>
  <c r="L39" i="12"/>
  <c r="K39" i="12"/>
  <c r="J39" i="12"/>
  <c r="I39" i="12"/>
  <c r="H39" i="12"/>
  <c r="G39" i="12"/>
  <c r="F39" i="12"/>
  <c r="E39" i="12"/>
  <c r="D39" i="12"/>
  <c r="C39" i="12"/>
  <c r="B39" i="12"/>
  <c r="R38" i="12"/>
  <c r="Q38" i="12"/>
  <c r="P38" i="12"/>
  <c r="O38" i="12"/>
  <c r="N38" i="12"/>
  <c r="M38" i="12"/>
  <c r="L38" i="12"/>
  <c r="K38" i="12"/>
  <c r="J38" i="12"/>
  <c r="I38" i="12"/>
  <c r="H38" i="12"/>
  <c r="G38" i="12"/>
  <c r="F38" i="12"/>
  <c r="E38" i="12"/>
  <c r="D38" i="12"/>
  <c r="C38" i="12"/>
  <c r="B38" i="12"/>
  <c r="R37" i="12"/>
  <c r="Q37" i="12"/>
  <c r="P37" i="12"/>
  <c r="O37" i="12"/>
  <c r="N37" i="12"/>
  <c r="M37" i="12"/>
  <c r="L37" i="12"/>
  <c r="K37" i="12"/>
  <c r="J37" i="12"/>
  <c r="I37" i="12"/>
  <c r="H37" i="12"/>
  <c r="G37" i="12"/>
  <c r="F37" i="12"/>
  <c r="E37" i="12"/>
  <c r="D37" i="12"/>
  <c r="C37" i="12"/>
  <c r="B37" i="12"/>
  <c r="R36" i="12"/>
  <c r="Q36" i="12"/>
  <c r="P36" i="12"/>
  <c r="O36" i="12"/>
  <c r="M36" i="12"/>
  <c r="L36" i="12"/>
  <c r="K36" i="12"/>
  <c r="J36" i="12"/>
  <c r="I36" i="12"/>
  <c r="H36" i="12"/>
  <c r="G36" i="12"/>
  <c r="F36" i="12"/>
  <c r="E36" i="12"/>
  <c r="D36" i="12"/>
  <c r="C36" i="12"/>
  <c r="B36" i="12"/>
  <c r="R35" i="12"/>
  <c r="Q35" i="12"/>
  <c r="P35" i="12"/>
  <c r="O35" i="12"/>
  <c r="N35" i="12"/>
  <c r="M35" i="12"/>
  <c r="L35" i="12"/>
  <c r="K35" i="12"/>
  <c r="J35" i="12"/>
  <c r="I35" i="12"/>
  <c r="H35" i="12"/>
  <c r="G35" i="12"/>
  <c r="F35" i="12"/>
  <c r="E35" i="12"/>
  <c r="D35" i="12"/>
  <c r="C35" i="12"/>
  <c r="B35" i="12"/>
  <c r="O34" i="12"/>
  <c r="N34" i="12"/>
  <c r="M34" i="12"/>
  <c r="L34" i="12"/>
  <c r="K34" i="12"/>
  <c r="J34" i="12"/>
  <c r="I34" i="12"/>
  <c r="H34" i="12"/>
  <c r="G34" i="12"/>
  <c r="F34" i="12"/>
  <c r="E34" i="12"/>
  <c r="D34" i="12"/>
  <c r="C34" i="12"/>
  <c r="B34" i="12"/>
  <c r="R33" i="12"/>
  <c r="Q33" i="12"/>
  <c r="P33" i="12"/>
  <c r="O33" i="12"/>
  <c r="N33" i="12"/>
  <c r="M33" i="12"/>
  <c r="L33" i="12"/>
  <c r="K33" i="12"/>
  <c r="J33" i="12"/>
  <c r="I33" i="12"/>
  <c r="H33" i="12"/>
  <c r="G33" i="12"/>
  <c r="F33" i="12"/>
  <c r="E33" i="12"/>
  <c r="D33" i="12"/>
  <c r="C33" i="12"/>
  <c r="B33" i="12"/>
  <c r="R32" i="12"/>
  <c r="Q32" i="12"/>
  <c r="P32" i="12"/>
  <c r="O32" i="12"/>
  <c r="N32" i="12"/>
  <c r="M32" i="12"/>
  <c r="L32" i="12"/>
  <c r="K32" i="12"/>
  <c r="J32" i="12"/>
  <c r="I32" i="12"/>
  <c r="H32" i="12"/>
  <c r="G32" i="12"/>
  <c r="F32" i="12"/>
  <c r="E32" i="12"/>
  <c r="D32" i="12"/>
  <c r="C32" i="12"/>
  <c r="B32" i="12"/>
  <c r="O31" i="12"/>
  <c r="M31" i="12"/>
  <c r="L31" i="12"/>
  <c r="K31" i="12"/>
  <c r="J31" i="12"/>
  <c r="I31" i="12"/>
  <c r="H31" i="12"/>
  <c r="G31" i="12"/>
  <c r="F31" i="12"/>
  <c r="E31" i="12"/>
  <c r="D31" i="12"/>
  <c r="C31" i="12"/>
  <c r="B31" i="12"/>
  <c r="O30" i="12"/>
  <c r="N30" i="12"/>
  <c r="M30" i="12"/>
  <c r="L30" i="12"/>
  <c r="K30" i="12"/>
  <c r="J30" i="12"/>
  <c r="I30" i="12"/>
  <c r="H30" i="12"/>
  <c r="G30" i="12"/>
  <c r="F30" i="12"/>
  <c r="E30" i="12"/>
  <c r="D30" i="12"/>
  <c r="C30" i="12"/>
  <c r="B30" i="12"/>
  <c r="R29" i="12"/>
  <c r="Q29" i="12"/>
  <c r="P29" i="12"/>
  <c r="O29" i="12"/>
  <c r="N29" i="12"/>
  <c r="M29" i="12"/>
  <c r="L29" i="12"/>
  <c r="K29" i="12"/>
  <c r="H29" i="12"/>
  <c r="G29" i="12"/>
  <c r="F29" i="12"/>
  <c r="E29" i="12"/>
  <c r="D29" i="12"/>
  <c r="C29" i="12"/>
  <c r="B29" i="12"/>
  <c r="O28" i="12"/>
  <c r="N28" i="12"/>
  <c r="M28" i="12"/>
  <c r="L28" i="12"/>
  <c r="K28" i="12"/>
  <c r="J28" i="12"/>
  <c r="I28" i="12"/>
  <c r="H28" i="12"/>
  <c r="G28" i="12"/>
  <c r="F28" i="12"/>
  <c r="E28" i="12"/>
  <c r="D28" i="12"/>
  <c r="O27" i="12"/>
  <c r="N27" i="12"/>
  <c r="M27" i="12"/>
  <c r="L27" i="12"/>
  <c r="K27" i="12"/>
  <c r="J27" i="12"/>
  <c r="I27" i="12"/>
  <c r="H27" i="12"/>
  <c r="G27" i="12"/>
  <c r="F27" i="12"/>
  <c r="E27" i="12"/>
  <c r="D27" i="12"/>
  <c r="C27" i="12"/>
  <c r="B27" i="12"/>
  <c r="R26" i="12"/>
  <c r="Q26" i="12"/>
  <c r="P26" i="12"/>
  <c r="O26" i="12"/>
  <c r="N26" i="12"/>
  <c r="M26" i="12"/>
  <c r="L26" i="12"/>
  <c r="K26" i="12"/>
  <c r="J26" i="12"/>
  <c r="I26" i="12"/>
  <c r="H26" i="12"/>
  <c r="G26" i="12"/>
  <c r="F26" i="12"/>
  <c r="E26" i="12"/>
  <c r="D26" i="12"/>
  <c r="C26" i="12"/>
  <c r="B26" i="12"/>
  <c r="R25" i="12"/>
  <c r="Q25" i="12"/>
  <c r="P25" i="12"/>
  <c r="O25" i="12"/>
  <c r="N25" i="12"/>
  <c r="M25" i="12"/>
  <c r="L25" i="12"/>
  <c r="K25" i="12"/>
  <c r="J25" i="12"/>
  <c r="I25" i="12"/>
  <c r="H25" i="12"/>
  <c r="G25" i="12"/>
  <c r="F25" i="12"/>
  <c r="E25" i="12"/>
  <c r="R24" i="12"/>
  <c r="Q24" i="12"/>
  <c r="P24" i="12"/>
  <c r="O24" i="12"/>
  <c r="N24" i="12"/>
  <c r="M24" i="12"/>
  <c r="L24" i="12"/>
  <c r="K24" i="12"/>
  <c r="J24" i="12"/>
  <c r="I24" i="12"/>
  <c r="H24" i="12"/>
  <c r="G24" i="12"/>
  <c r="F24" i="12"/>
  <c r="E24" i="12"/>
  <c r="D24" i="12"/>
  <c r="C24" i="12"/>
  <c r="B24" i="12"/>
  <c r="R23" i="12"/>
  <c r="Q23" i="12"/>
  <c r="P23" i="12"/>
  <c r="O23" i="12"/>
  <c r="N23" i="12"/>
  <c r="M23" i="12"/>
  <c r="L23" i="12"/>
  <c r="K23" i="12"/>
  <c r="J23" i="12"/>
  <c r="I23" i="12"/>
  <c r="H23" i="12"/>
  <c r="G23" i="12"/>
  <c r="F23" i="12"/>
  <c r="E23" i="12"/>
  <c r="D23" i="12"/>
  <c r="C23" i="12"/>
  <c r="B23" i="12"/>
  <c r="R22" i="12"/>
  <c r="Q22" i="12"/>
  <c r="P22" i="12"/>
  <c r="O22" i="12"/>
  <c r="N22" i="12"/>
  <c r="M22" i="12"/>
  <c r="L22" i="12"/>
  <c r="K22" i="12"/>
  <c r="H22" i="12"/>
  <c r="G22" i="12"/>
  <c r="F22" i="12"/>
  <c r="E22" i="12"/>
  <c r="D22" i="12"/>
  <c r="C22" i="12"/>
  <c r="B22" i="12"/>
  <c r="R21" i="12"/>
  <c r="P21" i="12"/>
  <c r="O21" i="12"/>
  <c r="N21" i="12"/>
  <c r="M21" i="12"/>
  <c r="L21" i="12"/>
  <c r="K21" i="12"/>
  <c r="J21" i="12"/>
  <c r="I21" i="12"/>
  <c r="H21" i="12"/>
  <c r="G21" i="12"/>
  <c r="F21" i="12"/>
  <c r="E21" i="12"/>
  <c r="D21" i="12"/>
  <c r="C21" i="12"/>
  <c r="B21" i="12"/>
  <c r="R20" i="12"/>
  <c r="Q20" i="12"/>
  <c r="P20" i="12"/>
  <c r="O20" i="12"/>
  <c r="N20" i="12"/>
  <c r="M20" i="12"/>
  <c r="L20" i="12"/>
  <c r="K20" i="12"/>
  <c r="J20" i="12"/>
  <c r="I20" i="12"/>
  <c r="H20" i="12"/>
  <c r="G20" i="12"/>
  <c r="F20" i="12"/>
  <c r="E20" i="12"/>
  <c r="D20" i="12"/>
  <c r="C20" i="12"/>
  <c r="B20" i="12"/>
  <c r="R19" i="12"/>
  <c r="Q19" i="12"/>
  <c r="P19" i="12"/>
  <c r="O19" i="12"/>
  <c r="N19" i="12"/>
  <c r="M19" i="12"/>
  <c r="L19" i="12"/>
  <c r="K19" i="12"/>
  <c r="J19" i="12"/>
  <c r="I19" i="12"/>
  <c r="H19" i="12"/>
  <c r="G19" i="12"/>
  <c r="F19" i="12"/>
  <c r="E19" i="12"/>
  <c r="D19" i="12"/>
  <c r="C19" i="12"/>
  <c r="B19" i="12"/>
  <c r="O18" i="12"/>
  <c r="N18" i="12"/>
  <c r="M18" i="12"/>
  <c r="L18" i="12"/>
  <c r="K18" i="12"/>
  <c r="J18" i="12"/>
  <c r="I18" i="12"/>
  <c r="H18" i="12"/>
  <c r="G18" i="12"/>
  <c r="F18" i="12"/>
  <c r="E18" i="12"/>
  <c r="D18" i="12"/>
  <c r="C18" i="12"/>
  <c r="B18" i="12"/>
  <c r="O17" i="12"/>
  <c r="N17" i="12"/>
  <c r="M17" i="12"/>
  <c r="L17" i="12"/>
  <c r="K17" i="12"/>
  <c r="J17" i="12"/>
  <c r="I17" i="12"/>
  <c r="H17" i="12"/>
  <c r="G17" i="12"/>
  <c r="F17" i="12"/>
  <c r="E17" i="12"/>
  <c r="D17" i="12"/>
  <c r="C17" i="12"/>
  <c r="B17" i="12"/>
  <c r="O16" i="12"/>
  <c r="N16" i="12"/>
  <c r="M16" i="12"/>
  <c r="L16" i="12"/>
  <c r="K16" i="12"/>
  <c r="J16" i="12"/>
  <c r="I16" i="12"/>
  <c r="H16" i="12"/>
  <c r="G16" i="12"/>
  <c r="F16" i="12"/>
  <c r="E16" i="12"/>
  <c r="D16" i="12"/>
  <c r="R15" i="12"/>
  <c r="Q15" i="12"/>
  <c r="P15" i="12"/>
  <c r="O15" i="12"/>
  <c r="N15" i="12"/>
  <c r="M15" i="12"/>
  <c r="L15" i="12"/>
  <c r="K15" i="12"/>
  <c r="J15" i="12"/>
  <c r="I15" i="12"/>
  <c r="H15" i="12"/>
  <c r="G15" i="12"/>
  <c r="F15" i="12"/>
  <c r="E15" i="12"/>
  <c r="D15" i="12"/>
  <c r="C15" i="12"/>
  <c r="B15" i="12"/>
  <c r="R14" i="12"/>
  <c r="Q14" i="12"/>
  <c r="P14" i="12"/>
  <c r="O14" i="12"/>
  <c r="N14" i="12"/>
  <c r="M14" i="12"/>
  <c r="L14" i="12"/>
  <c r="K14" i="12"/>
  <c r="J14" i="12"/>
  <c r="I14" i="12"/>
  <c r="H14" i="12"/>
  <c r="G14" i="12"/>
  <c r="F14" i="12"/>
  <c r="E14" i="12"/>
  <c r="D14" i="12"/>
  <c r="C14" i="12"/>
  <c r="B14" i="12"/>
  <c r="O13" i="12"/>
  <c r="N13" i="12"/>
  <c r="M13" i="12"/>
  <c r="L13" i="12"/>
  <c r="K13" i="12"/>
  <c r="J13" i="12"/>
  <c r="I13" i="12"/>
  <c r="H13" i="12"/>
  <c r="G13" i="12"/>
  <c r="F13" i="12"/>
  <c r="E13" i="12"/>
  <c r="D13" i="12"/>
  <c r="C13" i="12"/>
  <c r="B13" i="12"/>
  <c r="O12" i="12"/>
  <c r="N12" i="12"/>
  <c r="M12" i="12"/>
  <c r="L12" i="12"/>
  <c r="K12" i="12"/>
  <c r="J12" i="12"/>
  <c r="I12" i="12"/>
  <c r="H12" i="12"/>
  <c r="G12" i="12"/>
  <c r="F12" i="12"/>
  <c r="E12" i="12"/>
  <c r="D12" i="12"/>
  <c r="C12" i="12"/>
  <c r="B12" i="12"/>
  <c r="R11" i="12"/>
  <c r="Q11" i="12"/>
  <c r="P11" i="12"/>
  <c r="O11" i="12"/>
  <c r="N11" i="12"/>
  <c r="M11" i="12"/>
  <c r="L11" i="12"/>
  <c r="K11" i="12"/>
  <c r="J11" i="12"/>
  <c r="I11" i="12"/>
  <c r="H11" i="12"/>
  <c r="G11" i="12"/>
  <c r="F11" i="12"/>
  <c r="E11" i="12"/>
  <c r="D11" i="12"/>
  <c r="C11" i="12"/>
  <c r="B11" i="12"/>
  <c r="R10" i="12"/>
  <c r="Q10" i="12"/>
  <c r="P10" i="12"/>
  <c r="O10" i="12"/>
  <c r="N10" i="12"/>
  <c r="M10" i="12"/>
  <c r="L10" i="12"/>
  <c r="K10" i="12"/>
  <c r="J10" i="12"/>
  <c r="I10" i="12"/>
  <c r="H10" i="12"/>
  <c r="G10" i="12"/>
  <c r="F10" i="12"/>
  <c r="E10" i="12"/>
  <c r="D10" i="12"/>
  <c r="C10" i="12"/>
  <c r="B10" i="12"/>
  <c r="R9" i="12"/>
  <c r="Q9" i="12"/>
  <c r="P9" i="12"/>
  <c r="O9" i="12"/>
  <c r="N9" i="12"/>
  <c r="M9" i="12"/>
  <c r="L9" i="12"/>
  <c r="K9" i="12"/>
  <c r="J9" i="12"/>
  <c r="I9" i="12"/>
  <c r="H9" i="12"/>
  <c r="G9" i="12"/>
  <c r="F9" i="12"/>
  <c r="E9" i="12"/>
  <c r="D9" i="12"/>
  <c r="C9" i="12"/>
  <c r="B9" i="12"/>
  <c r="K5" i="12"/>
  <c r="C4" i="12"/>
  <c r="D31" i="20"/>
  <c r="J30" i="20"/>
  <c r="H29" i="20"/>
  <c r="H31" i="20" s="1"/>
  <c r="D25" i="20"/>
  <c r="E17" i="20"/>
  <c r="E15" i="20"/>
  <c r="L14" i="20"/>
  <c r="K14" i="20"/>
  <c r="J14" i="20"/>
  <c r="I14" i="20"/>
  <c r="E14" i="20"/>
  <c r="L13" i="20"/>
  <c r="K13" i="20"/>
  <c r="J13" i="20"/>
  <c r="I13" i="20"/>
  <c r="H13" i="20"/>
  <c r="G13" i="20"/>
  <c r="F13" i="20"/>
  <c r="E13" i="20"/>
  <c r="D13" i="20"/>
  <c r="C13" i="20"/>
  <c r="B13" i="20"/>
  <c r="L12" i="20"/>
  <c r="K12" i="20"/>
  <c r="J12" i="20"/>
  <c r="I12" i="20"/>
  <c r="H12" i="20"/>
  <c r="H14" i="20" s="1"/>
  <c r="G12" i="20"/>
  <c r="G14" i="20" s="1"/>
  <c r="F12" i="20"/>
  <c r="F14" i="20" s="1"/>
  <c r="F15" i="20" s="1"/>
  <c r="E12" i="20"/>
  <c r="D12" i="20"/>
  <c r="D14" i="20" s="1"/>
  <c r="C12" i="20"/>
  <c r="C14" i="20" s="1"/>
  <c r="B12" i="20"/>
  <c r="B14" i="20" s="1"/>
  <c r="B15" i="20" s="1"/>
  <c r="D7" i="20"/>
  <c r="G136" i="24"/>
  <c r="E126" i="24"/>
  <c r="H99" i="24"/>
  <c r="I96" i="24"/>
  <c r="H96" i="24"/>
  <c r="I95" i="24"/>
  <c r="G94" i="24"/>
  <c r="G92" i="24"/>
  <c r="I90" i="24"/>
  <c r="I89" i="24"/>
  <c r="I88" i="24"/>
  <c r="K67" i="24"/>
  <c r="K66" i="24"/>
  <c r="L63" i="24"/>
  <c r="L61" i="24"/>
  <c r="D58" i="24"/>
  <c r="E127" i="24" s="1"/>
  <c r="D30" i="20" s="1"/>
  <c r="D32" i="20" s="1"/>
  <c r="E57" i="24"/>
  <c r="E56" i="24"/>
  <c r="E55" i="24"/>
  <c r="E54" i="24"/>
  <c r="E53" i="24"/>
  <c r="E52" i="24"/>
  <c r="E51" i="24"/>
  <c r="E50" i="24"/>
  <c r="E49" i="24"/>
  <c r="K48" i="24"/>
  <c r="E48" i="24"/>
  <c r="L47" i="24"/>
  <c r="K47" i="24"/>
  <c r="E47" i="24"/>
  <c r="L46" i="24"/>
  <c r="K46" i="24"/>
  <c r="E46" i="24"/>
  <c r="E45" i="24"/>
  <c r="E44" i="24"/>
  <c r="L43" i="24"/>
  <c r="E43" i="24"/>
  <c r="K42" i="24"/>
  <c r="I42" i="24"/>
  <c r="G42" i="24"/>
  <c r="E42" i="24"/>
  <c r="K41" i="24"/>
  <c r="E41" i="24"/>
  <c r="K40" i="24"/>
  <c r="E40" i="24"/>
  <c r="K39" i="24"/>
  <c r="E39" i="24"/>
  <c r="K38" i="24"/>
  <c r="E38" i="24"/>
  <c r="K37" i="24"/>
  <c r="E37" i="24"/>
  <c r="K36" i="24"/>
  <c r="E36" i="24"/>
  <c r="K35" i="24"/>
  <c r="E35" i="24"/>
  <c r="K34" i="24"/>
  <c r="E34" i="24"/>
  <c r="K33" i="24"/>
  <c r="E33" i="24"/>
  <c r="K32" i="24"/>
  <c r="E32" i="24"/>
  <c r="K31" i="24"/>
  <c r="E31" i="24"/>
  <c r="K30" i="24"/>
  <c r="E30" i="24"/>
  <c r="K29" i="24"/>
  <c r="E29" i="24"/>
  <c r="K28" i="24"/>
  <c r="E28" i="24"/>
  <c r="O27" i="24"/>
  <c r="K27" i="24"/>
  <c r="E27" i="24"/>
  <c r="K26" i="24"/>
  <c r="E26" i="24"/>
  <c r="K25" i="24"/>
  <c r="E25" i="24"/>
  <c r="T24" i="24"/>
  <c r="S24" i="24"/>
  <c r="R24" i="24"/>
  <c r="P24" i="24"/>
  <c r="K24" i="24"/>
  <c r="F24" i="24"/>
  <c r="E24" i="24"/>
  <c r="T23" i="24"/>
  <c r="K23" i="24"/>
  <c r="E23" i="24"/>
  <c r="T22" i="24"/>
  <c r="K22" i="24"/>
  <c r="E22" i="24"/>
  <c r="T21" i="24"/>
  <c r="K21" i="24"/>
  <c r="E21" i="24"/>
  <c r="T20" i="24"/>
  <c r="K20" i="24"/>
  <c r="E20" i="24"/>
  <c r="E58" i="24" s="1"/>
  <c r="T19" i="24"/>
  <c r="K19" i="24"/>
  <c r="E19" i="24"/>
  <c r="T18" i="24"/>
  <c r="K18" i="24"/>
  <c r="E18" i="24"/>
  <c r="T17" i="24"/>
  <c r="K17" i="24"/>
  <c r="E17" i="24"/>
  <c r="T16" i="24"/>
  <c r="K16" i="24"/>
  <c r="E16" i="24"/>
  <c r="T15" i="24"/>
  <c r="K15" i="24"/>
  <c r="E15" i="24"/>
  <c r="T14" i="24"/>
  <c r="K14" i="24"/>
  <c r="E14" i="24"/>
  <c r="T13" i="24"/>
  <c r="K13" i="24"/>
  <c r="E13" i="24"/>
  <c r="E12" i="24"/>
  <c r="E11" i="24"/>
  <c r="O7" i="24"/>
  <c r="H7" i="24"/>
  <c r="B7" i="24"/>
  <c r="I2" i="24"/>
  <c r="E54" i="19"/>
  <c r="C54" i="19"/>
  <c r="C53" i="19"/>
  <c r="E52" i="19"/>
  <c r="C52" i="19"/>
  <c r="D44" i="19"/>
  <c r="A42" i="19"/>
  <c r="E41" i="19"/>
  <c r="A41" i="19"/>
  <c r="C40" i="19"/>
  <c r="B40" i="19"/>
  <c r="D39" i="19"/>
  <c r="A39" i="19"/>
  <c r="D38" i="19"/>
  <c r="A38" i="19"/>
  <c r="D37" i="19"/>
  <c r="A37" i="19"/>
  <c r="D36" i="19"/>
  <c r="A36" i="19"/>
  <c r="D35" i="19"/>
  <c r="A35" i="19"/>
  <c r="D34" i="19"/>
  <c r="A34" i="19"/>
  <c r="D33" i="19"/>
  <c r="A33" i="19"/>
  <c r="D32" i="19"/>
  <c r="A32" i="19"/>
  <c r="D31" i="19"/>
  <c r="A31" i="19"/>
  <c r="D30" i="19"/>
  <c r="A30" i="19"/>
  <c r="D29" i="19"/>
  <c r="A29" i="19"/>
  <c r="D28" i="19"/>
  <c r="A28" i="19"/>
  <c r="D27" i="19"/>
  <c r="A27" i="19"/>
  <c r="D26" i="19"/>
  <c r="A26" i="19"/>
  <c r="D25" i="19"/>
  <c r="A25" i="19"/>
  <c r="D24" i="19"/>
  <c r="A24" i="19"/>
  <c r="D23" i="19"/>
  <c r="A23" i="19"/>
  <c r="D22" i="19"/>
  <c r="A22" i="19"/>
  <c r="D21" i="19"/>
  <c r="A21" i="19"/>
  <c r="D20" i="19"/>
  <c r="A20" i="19"/>
  <c r="D19" i="19"/>
  <c r="A19" i="19"/>
  <c r="D18" i="19"/>
  <c r="A18" i="19"/>
  <c r="D17" i="19"/>
  <c r="A17" i="19"/>
  <c r="D16" i="19"/>
  <c r="D40" i="19" s="1"/>
  <c r="A16" i="19"/>
  <c r="D15" i="19"/>
  <c r="A15" i="19"/>
  <c r="D14" i="19"/>
  <c r="A14" i="19"/>
  <c r="D13" i="19"/>
  <c r="A13" i="19"/>
  <c r="D12" i="19"/>
  <c r="A12" i="19"/>
  <c r="D11" i="19"/>
  <c r="A11" i="19"/>
  <c r="D10" i="19"/>
  <c r="A10" i="19"/>
  <c r="D9" i="19"/>
  <c r="A9" i="19"/>
  <c r="D8" i="19"/>
  <c r="B5" i="19"/>
  <c r="G1487" i="320"/>
  <c r="D1487" i="320"/>
  <c r="D1488" i="320" s="1"/>
  <c r="G1458" i="320"/>
  <c r="G1459" i="320" s="1"/>
  <c r="G1460" i="320" s="1"/>
  <c r="G1461" i="320" s="1"/>
  <c r="G1462" i="320" s="1"/>
  <c r="G1463" i="320" s="1"/>
  <c r="G1464" i="320" s="1"/>
  <c r="G1465" i="320" s="1"/>
  <c r="G1466" i="320" s="1"/>
  <c r="G1467" i="320" s="1"/>
  <c r="G1468" i="320" s="1"/>
  <c r="G1469" i="320" s="1"/>
  <c r="G1470" i="320" s="1"/>
  <c r="G1471" i="320" s="1"/>
  <c r="G1472" i="320" s="1"/>
  <c r="G1473" i="320" s="1"/>
  <c r="G1474" i="320" s="1"/>
  <c r="G1475" i="320" s="1"/>
  <c r="G1476" i="320" s="1"/>
  <c r="G1477" i="320" s="1"/>
  <c r="G1478" i="320" s="1"/>
  <c r="G1479" i="320" s="1"/>
  <c r="G1480" i="320" s="1"/>
  <c r="G1481" i="320" s="1"/>
  <c r="G1482" i="320" s="1"/>
  <c r="G1483" i="320" s="1"/>
  <c r="G1484" i="320" s="1"/>
  <c r="G1485" i="320" s="1"/>
  <c r="G1486" i="320" s="1"/>
  <c r="E1458" i="320"/>
  <c r="E1459" i="320" s="1"/>
  <c r="E1460" i="320" s="1"/>
  <c r="E1461" i="320" s="1"/>
  <c r="E1462" i="320" s="1"/>
  <c r="E1463" i="320" s="1"/>
  <c r="E1464" i="320" s="1"/>
  <c r="E1465" i="320" s="1"/>
  <c r="E1466" i="320" s="1"/>
  <c r="E1467" i="320" s="1"/>
  <c r="E1468" i="320" s="1"/>
  <c r="E1469" i="320" s="1"/>
  <c r="E1470" i="320" s="1"/>
  <c r="E1471" i="320" s="1"/>
  <c r="E1472" i="320" s="1"/>
  <c r="E1473" i="320" s="1"/>
  <c r="E1474" i="320" s="1"/>
  <c r="E1475" i="320" s="1"/>
  <c r="E1476" i="320" s="1"/>
  <c r="E1477" i="320" s="1"/>
  <c r="E1478" i="320" s="1"/>
  <c r="E1479" i="320" s="1"/>
  <c r="E1480" i="320" s="1"/>
  <c r="E1481" i="320" s="1"/>
  <c r="E1482" i="320" s="1"/>
  <c r="E1483" i="320" s="1"/>
  <c r="E1484" i="320" s="1"/>
  <c r="E1485" i="320" s="1"/>
  <c r="E1486" i="320" s="1"/>
  <c r="G1457" i="320"/>
  <c r="E1457" i="320"/>
  <c r="G1456" i="320"/>
  <c r="E1456" i="320"/>
  <c r="G1455" i="320"/>
  <c r="E1455" i="320"/>
  <c r="O1454" i="320"/>
  <c r="G1454" i="320"/>
  <c r="E1454" i="320"/>
  <c r="G1453" i="320"/>
  <c r="E1453" i="320"/>
  <c r="G1452" i="320"/>
  <c r="E1452" i="320"/>
  <c r="G1451" i="320"/>
  <c r="E1451" i="320"/>
  <c r="G1450" i="320"/>
  <c r="E1450" i="320"/>
  <c r="H1449" i="320"/>
  <c r="G1449" i="320"/>
  <c r="E1449" i="320"/>
  <c r="G1448" i="320"/>
  <c r="E1448" i="320"/>
  <c r="M1447" i="320"/>
  <c r="G1447" i="320"/>
  <c r="E1447" i="320"/>
  <c r="H1446" i="320"/>
  <c r="G1446" i="320"/>
  <c r="E1446" i="320"/>
  <c r="G1445" i="320"/>
  <c r="E1445" i="320"/>
  <c r="N1444" i="320"/>
  <c r="G1444" i="320"/>
  <c r="E1444" i="320"/>
  <c r="H1443" i="320"/>
  <c r="G1443" i="320"/>
  <c r="E1443" i="320"/>
  <c r="H1442" i="320"/>
  <c r="G1442" i="320"/>
  <c r="E1442" i="320"/>
  <c r="L1441" i="320"/>
  <c r="H1441" i="320"/>
  <c r="G1441" i="320"/>
  <c r="E1441" i="320"/>
  <c r="H1440" i="320"/>
  <c r="G1440" i="320"/>
  <c r="E1440" i="320"/>
  <c r="H1439" i="320"/>
  <c r="G1439" i="320"/>
  <c r="E1439" i="320"/>
  <c r="H1438" i="320"/>
  <c r="G1438" i="320"/>
  <c r="E1438" i="320"/>
  <c r="H1437" i="320"/>
  <c r="G1437" i="320"/>
  <c r="E1437" i="320"/>
  <c r="G1436" i="320"/>
  <c r="E1436" i="320"/>
  <c r="H1435" i="320"/>
  <c r="G1435" i="320"/>
  <c r="E1435" i="320"/>
  <c r="H1434" i="320"/>
  <c r="G1434" i="320"/>
  <c r="E1434" i="320"/>
  <c r="H1433" i="320"/>
  <c r="G1433" i="320"/>
  <c r="E1433" i="320"/>
  <c r="G1432" i="320"/>
  <c r="E1432" i="320"/>
  <c r="G1431" i="320"/>
  <c r="E1431" i="320"/>
  <c r="I1430" i="320"/>
  <c r="G1430" i="320"/>
  <c r="E1430" i="320"/>
  <c r="H1429" i="320"/>
  <c r="G1429" i="320"/>
  <c r="E1429" i="320"/>
  <c r="H1428" i="320"/>
  <c r="G1428" i="320"/>
  <c r="E1428" i="320"/>
  <c r="H1427" i="320"/>
  <c r="G1427" i="320"/>
  <c r="E1427" i="320"/>
  <c r="H1426" i="320"/>
  <c r="G1426" i="320"/>
  <c r="E1426" i="320"/>
  <c r="G1425" i="320"/>
  <c r="E1425" i="320"/>
  <c r="G1424" i="320"/>
  <c r="E1424" i="320"/>
  <c r="H1423" i="320"/>
  <c r="G1423" i="320"/>
  <c r="E1423" i="320"/>
  <c r="G1422" i="320"/>
  <c r="E1422" i="320"/>
  <c r="G1421" i="320"/>
  <c r="E1421" i="320"/>
  <c r="G1420" i="320"/>
  <c r="E1420" i="320"/>
  <c r="G1419" i="320"/>
  <c r="E1419" i="320"/>
  <c r="G1418" i="320"/>
  <c r="E1418" i="320"/>
  <c r="G1417" i="320"/>
  <c r="E1417" i="320"/>
  <c r="G1416" i="320"/>
  <c r="E1416" i="320"/>
  <c r="G1415" i="320"/>
  <c r="E1415" i="320"/>
  <c r="G1414" i="320"/>
  <c r="E1414" i="320"/>
  <c r="G1413" i="320"/>
  <c r="E1413" i="320"/>
  <c r="G1412" i="320"/>
  <c r="E1412" i="320"/>
  <c r="G1411" i="320"/>
  <c r="E1411" i="320"/>
  <c r="G1410" i="320"/>
  <c r="E1410" i="320"/>
  <c r="G1409" i="320"/>
  <c r="E1409" i="320"/>
  <c r="G1408" i="320"/>
  <c r="E1408" i="320"/>
  <c r="G1407" i="320"/>
  <c r="E1407" i="320"/>
  <c r="H1406" i="320"/>
  <c r="G1406" i="320"/>
  <c r="E1406" i="320"/>
  <c r="G1405" i="320"/>
  <c r="E1405" i="320"/>
  <c r="G1404" i="320"/>
  <c r="E1404" i="320"/>
  <c r="G1403" i="320"/>
  <c r="E1403" i="320"/>
  <c r="G1402" i="320"/>
  <c r="E1402" i="320"/>
  <c r="G1401" i="320"/>
  <c r="E1401" i="320"/>
  <c r="G1400" i="320"/>
  <c r="E1400" i="320"/>
  <c r="G1399" i="320"/>
  <c r="E1399" i="320"/>
  <c r="G1398" i="320"/>
  <c r="E1398" i="320"/>
  <c r="G1397" i="320"/>
  <c r="E1397" i="320"/>
  <c r="G1396" i="320"/>
  <c r="E1396" i="320"/>
  <c r="G1395" i="320"/>
  <c r="E1395" i="320"/>
  <c r="G1394" i="320"/>
  <c r="E1394" i="320"/>
  <c r="G1393" i="320"/>
  <c r="E1393" i="320"/>
  <c r="G1392" i="320"/>
  <c r="E1392" i="320"/>
  <c r="G1391" i="320"/>
  <c r="E1391" i="320"/>
  <c r="G1390" i="320"/>
  <c r="E1390" i="320"/>
  <c r="G1389" i="320"/>
  <c r="E1389" i="320"/>
  <c r="G1388" i="320"/>
  <c r="E1388" i="320"/>
  <c r="G1387" i="320"/>
  <c r="E1387" i="320"/>
  <c r="G1386" i="320"/>
  <c r="E1386" i="320"/>
  <c r="G1385" i="320"/>
  <c r="E1385" i="320"/>
  <c r="G1384" i="320"/>
  <c r="E1384" i="320"/>
  <c r="G1383" i="320"/>
  <c r="E1383" i="320"/>
  <c r="G1382" i="320"/>
  <c r="E1382" i="320"/>
  <c r="G1381" i="320"/>
  <c r="E1381" i="320"/>
  <c r="G1380" i="320"/>
  <c r="F1380" i="320"/>
  <c r="E1380" i="320"/>
  <c r="G1379" i="320"/>
  <c r="E1379" i="320"/>
  <c r="G1378" i="320"/>
  <c r="E1378" i="320"/>
  <c r="G1377" i="320"/>
  <c r="E1377" i="320"/>
  <c r="G1376" i="320"/>
  <c r="E1376" i="320"/>
  <c r="H1375" i="320"/>
  <c r="G1375" i="320"/>
  <c r="E1375" i="320"/>
  <c r="G1374" i="320"/>
  <c r="E1374" i="320"/>
  <c r="G1373" i="320"/>
  <c r="E1373" i="320"/>
  <c r="G1372" i="320"/>
  <c r="E1372" i="320"/>
  <c r="G1371" i="320"/>
  <c r="E1371" i="320"/>
  <c r="G1370" i="320"/>
  <c r="E1370" i="320"/>
  <c r="G1369" i="320"/>
  <c r="E1369" i="320"/>
  <c r="G1368" i="320"/>
  <c r="E1368" i="320"/>
  <c r="G1367" i="320"/>
  <c r="E1367" i="320"/>
  <c r="G1366" i="320"/>
  <c r="E1366" i="320"/>
  <c r="G1365" i="320"/>
  <c r="E1365" i="320"/>
  <c r="G1364" i="320"/>
  <c r="E1364" i="320"/>
  <c r="G1363" i="320"/>
  <c r="E1363" i="320"/>
  <c r="G1362" i="320"/>
  <c r="E1362" i="320"/>
  <c r="G1361" i="320"/>
  <c r="E1361" i="320"/>
  <c r="G1360" i="320"/>
  <c r="E1360" i="320"/>
  <c r="G1359" i="320"/>
  <c r="E1359" i="320"/>
  <c r="G1358" i="320"/>
  <c r="E1358" i="320"/>
  <c r="G1357" i="320"/>
  <c r="E1357" i="320"/>
  <c r="G1356" i="320"/>
  <c r="E1356" i="320"/>
  <c r="G1355" i="320"/>
  <c r="E1355" i="320"/>
  <c r="G1354" i="320"/>
  <c r="E1354" i="320"/>
  <c r="G1353" i="320"/>
  <c r="E1353" i="320"/>
  <c r="G1352" i="320"/>
  <c r="E1352" i="320"/>
  <c r="G1351" i="320"/>
  <c r="E1351" i="320"/>
  <c r="G1350" i="320"/>
  <c r="E1350" i="320"/>
  <c r="G1349" i="320"/>
  <c r="E1349" i="320"/>
  <c r="G1348" i="320"/>
  <c r="E1348" i="320"/>
  <c r="G1347" i="320"/>
  <c r="E1347" i="320"/>
  <c r="G1346" i="320"/>
  <c r="E1346" i="320"/>
  <c r="G1345" i="320"/>
  <c r="E1345" i="320"/>
  <c r="G1344" i="320"/>
  <c r="E1344" i="320"/>
  <c r="G1343" i="320"/>
  <c r="E1343" i="320"/>
  <c r="G1342" i="320"/>
  <c r="E1342" i="320"/>
  <c r="G1341" i="320"/>
  <c r="E1341" i="320"/>
  <c r="G1340" i="320"/>
  <c r="E1340" i="320"/>
  <c r="G1339" i="320"/>
  <c r="E1339" i="320"/>
  <c r="G1338" i="320"/>
  <c r="E1338" i="320"/>
  <c r="G1337" i="320"/>
  <c r="E1337" i="320"/>
  <c r="G1336" i="320"/>
  <c r="E1336" i="320"/>
  <c r="H1335" i="320"/>
  <c r="G1335" i="320"/>
  <c r="E1335" i="320"/>
  <c r="G1334" i="320"/>
  <c r="E1334" i="320"/>
  <c r="G1333" i="320"/>
  <c r="E1333" i="320"/>
  <c r="G1332" i="320"/>
  <c r="E1332" i="320"/>
  <c r="G1331" i="320"/>
  <c r="E1331" i="320"/>
  <c r="G1330" i="320"/>
  <c r="E1330" i="320"/>
  <c r="G1329" i="320"/>
  <c r="E1329" i="320"/>
  <c r="G1328" i="320"/>
  <c r="E1328" i="320"/>
  <c r="G1327" i="320"/>
  <c r="E1327" i="320"/>
  <c r="G1326" i="320"/>
  <c r="E1326" i="320"/>
  <c r="G1325" i="320"/>
  <c r="E1325" i="320"/>
  <c r="G1324" i="320"/>
  <c r="E1324" i="320"/>
  <c r="G1323" i="320"/>
  <c r="E1323" i="320"/>
  <c r="G1322" i="320"/>
  <c r="E1322" i="320"/>
  <c r="G1321" i="320"/>
  <c r="E1321" i="320"/>
  <c r="G1320" i="320"/>
  <c r="E1320" i="320"/>
  <c r="G1319" i="320"/>
  <c r="E1319" i="320"/>
  <c r="G1318" i="320"/>
  <c r="E1318" i="320"/>
  <c r="G1317" i="320"/>
  <c r="E1317" i="320"/>
  <c r="G1316" i="320"/>
  <c r="E1316" i="320"/>
  <c r="G1315" i="320"/>
  <c r="E1315" i="320"/>
  <c r="G1314" i="320"/>
  <c r="E1314" i="320"/>
  <c r="G1313" i="320"/>
  <c r="E1313" i="320"/>
  <c r="G1312" i="320"/>
  <c r="E1312" i="320"/>
  <c r="G1311" i="320"/>
  <c r="E1311" i="320"/>
  <c r="G1310" i="320"/>
  <c r="E1310" i="320"/>
  <c r="G1309" i="320"/>
  <c r="E1309" i="320"/>
  <c r="G1308" i="320"/>
  <c r="E1308" i="320"/>
  <c r="G1307" i="320"/>
  <c r="E1307" i="320"/>
  <c r="G1306" i="320"/>
  <c r="E1306" i="320"/>
  <c r="G1305" i="320"/>
  <c r="E1305" i="320"/>
  <c r="G1304" i="320"/>
  <c r="E1304" i="320"/>
  <c r="G1303" i="320"/>
  <c r="E1303" i="320"/>
  <c r="G1302" i="320"/>
  <c r="E1302" i="320"/>
  <c r="D1302" i="320"/>
  <c r="G1301" i="320"/>
  <c r="E1301" i="320"/>
  <c r="G1300" i="320"/>
  <c r="E1300" i="320"/>
  <c r="G1299" i="320"/>
  <c r="E1299" i="320"/>
  <c r="G1298" i="320"/>
  <c r="E1298" i="320"/>
  <c r="E1297" i="320"/>
  <c r="G1296" i="320"/>
  <c r="E1296" i="320"/>
  <c r="G1295" i="320"/>
  <c r="E1295" i="320"/>
  <c r="G1294" i="320"/>
  <c r="E1294" i="320"/>
  <c r="G1293" i="320"/>
  <c r="E1293" i="320"/>
  <c r="G1292" i="320"/>
  <c r="E1292" i="320"/>
  <c r="G1291" i="320"/>
  <c r="E1291" i="320"/>
  <c r="G1290" i="320"/>
  <c r="E1290" i="320"/>
  <c r="G1289" i="320"/>
  <c r="E1289" i="320"/>
  <c r="G1288" i="320"/>
  <c r="E1288" i="320"/>
  <c r="G1287" i="320"/>
  <c r="E1287" i="320"/>
  <c r="G1286" i="320"/>
  <c r="E1286" i="320"/>
  <c r="G1285" i="320"/>
  <c r="E1285" i="320"/>
  <c r="G1284" i="320"/>
  <c r="E1284" i="320"/>
  <c r="G1283" i="320"/>
  <c r="E1283" i="320"/>
  <c r="G1282" i="320"/>
  <c r="E1282" i="320"/>
  <c r="G1281" i="320"/>
  <c r="E1281" i="320"/>
  <c r="G1280" i="320"/>
  <c r="E1280" i="320"/>
  <c r="G1279" i="320"/>
  <c r="E1279" i="320"/>
  <c r="G1278" i="320"/>
  <c r="E1278" i="320"/>
  <c r="G1277" i="320"/>
  <c r="E1277" i="320"/>
  <c r="G1276" i="320"/>
  <c r="E1276" i="320"/>
  <c r="G1275" i="320"/>
  <c r="E1275" i="320"/>
  <c r="H1274" i="320"/>
  <c r="G1274" i="320"/>
  <c r="E1274" i="320"/>
  <c r="G1273" i="320"/>
  <c r="E1273" i="320"/>
  <c r="G1272" i="320"/>
  <c r="E1272" i="320"/>
  <c r="G1271" i="320"/>
  <c r="E1271" i="320"/>
  <c r="G1270" i="320"/>
  <c r="E1270" i="320"/>
  <c r="G1269" i="320"/>
  <c r="E1269" i="320"/>
  <c r="G1268" i="320"/>
  <c r="E1268" i="320"/>
  <c r="G1267" i="320"/>
  <c r="E1267" i="320"/>
  <c r="D1267" i="320"/>
  <c r="G1266" i="320"/>
  <c r="E1266" i="320"/>
  <c r="G1265" i="320"/>
  <c r="E1265" i="320"/>
  <c r="G1264" i="320"/>
  <c r="E1264" i="320"/>
  <c r="G1263" i="320"/>
  <c r="E1263" i="320"/>
  <c r="G1262" i="320"/>
  <c r="E1262" i="320"/>
  <c r="G1261" i="320"/>
  <c r="E1261" i="320"/>
  <c r="G1260" i="320"/>
  <c r="E1260" i="320"/>
  <c r="G1259" i="320"/>
  <c r="E1259" i="320"/>
  <c r="G1258" i="320"/>
  <c r="E1258" i="320"/>
  <c r="G1257" i="320"/>
  <c r="E1257" i="320"/>
  <c r="G1256" i="320"/>
  <c r="E1256" i="320"/>
  <c r="G1255" i="320"/>
  <c r="E1255" i="320"/>
  <c r="G1254" i="320"/>
  <c r="E1254" i="320"/>
  <c r="G1253" i="320"/>
  <c r="E1253" i="320"/>
  <c r="G1252" i="320"/>
  <c r="E1252" i="320"/>
  <c r="G1251" i="320"/>
  <c r="E1251" i="320"/>
  <c r="G1250" i="320"/>
  <c r="E1250" i="320"/>
  <c r="G1249" i="320"/>
  <c r="E1249" i="320"/>
  <c r="G1248" i="320"/>
  <c r="E1248" i="320"/>
  <c r="G1247" i="320"/>
  <c r="E1247" i="320"/>
  <c r="G1246" i="320"/>
  <c r="E1246" i="320"/>
  <c r="G1245" i="320"/>
  <c r="E1245" i="320"/>
  <c r="G1244" i="320"/>
  <c r="E1244" i="320"/>
  <c r="G1243" i="320"/>
  <c r="E1243" i="320"/>
  <c r="G1242" i="320"/>
  <c r="E1242" i="320"/>
  <c r="G1241" i="320"/>
  <c r="E1241" i="320"/>
  <c r="G1240" i="320"/>
  <c r="E1240" i="320"/>
  <c r="G1239" i="320"/>
  <c r="E1239" i="320"/>
  <c r="G1238" i="320"/>
  <c r="E1238" i="320"/>
  <c r="G1237" i="320"/>
  <c r="E1237" i="320"/>
  <c r="G1236" i="320"/>
  <c r="E1236" i="320"/>
  <c r="G1235" i="320"/>
  <c r="E1235" i="320"/>
  <c r="G1234" i="320"/>
  <c r="E1234" i="320"/>
  <c r="G1233" i="320"/>
  <c r="E1233" i="320"/>
  <c r="G1232" i="320"/>
  <c r="E1232" i="320"/>
  <c r="G1231" i="320"/>
  <c r="F1231" i="320"/>
  <c r="E1231" i="320"/>
  <c r="G1230" i="320"/>
  <c r="E1230" i="320"/>
  <c r="G1229" i="320"/>
  <c r="E1229" i="320"/>
  <c r="G1228" i="320"/>
  <c r="E1228" i="320"/>
  <c r="I1227" i="320"/>
  <c r="G1227" i="320"/>
  <c r="E1227" i="320"/>
  <c r="G1226" i="320"/>
  <c r="E1226" i="320"/>
  <c r="G1225" i="320"/>
  <c r="E1225" i="320"/>
  <c r="G1224" i="320"/>
  <c r="E1224" i="320"/>
  <c r="G1223" i="320"/>
  <c r="E1223" i="320"/>
  <c r="G1222" i="320"/>
  <c r="E1222" i="320"/>
  <c r="I1221" i="320"/>
  <c r="G1221" i="320"/>
  <c r="E1221" i="320"/>
  <c r="G1220" i="320"/>
  <c r="E1220" i="320"/>
  <c r="G1219" i="320"/>
  <c r="E1219" i="320"/>
  <c r="G1218" i="320"/>
  <c r="E1218" i="320"/>
  <c r="G1217" i="320"/>
  <c r="E1217" i="320"/>
  <c r="G1216" i="320"/>
  <c r="E1216" i="320"/>
  <c r="G1215" i="320"/>
  <c r="E1215" i="320"/>
  <c r="G1214" i="320"/>
  <c r="E1214" i="320"/>
  <c r="G1213" i="320"/>
  <c r="E1213" i="320"/>
  <c r="G1212" i="320"/>
  <c r="E1212" i="320"/>
  <c r="G1211" i="320"/>
  <c r="E1211" i="320"/>
  <c r="G1210" i="320"/>
  <c r="E1210" i="320"/>
  <c r="G1209" i="320"/>
  <c r="E1209" i="320"/>
  <c r="G1208" i="320"/>
  <c r="E1208" i="320"/>
  <c r="G1207" i="320"/>
  <c r="E1207" i="320"/>
  <c r="G1206" i="320"/>
  <c r="E1206" i="320"/>
  <c r="G1205" i="320"/>
  <c r="E1205" i="320"/>
  <c r="G1204" i="320"/>
  <c r="E1204" i="320"/>
  <c r="G1203" i="320"/>
  <c r="E1203" i="320"/>
  <c r="G1202" i="320"/>
  <c r="E1202" i="320"/>
  <c r="G1201" i="320"/>
  <c r="E1201" i="320"/>
  <c r="G1200" i="320"/>
  <c r="E1200" i="320"/>
  <c r="G1199" i="320"/>
  <c r="E1199" i="320"/>
  <c r="G1198" i="320"/>
  <c r="E1198" i="320"/>
  <c r="G1197" i="320"/>
  <c r="E1197" i="320"/>
  <c r="G1196" i="320"/>
  <c r="E1196" i="320"/>
  <c r="G1195" i="320"/>
  <c r="E1195" i="320"/>
  <c r="G1194" i="320"/>
  <c r="E1194" i="320"/>
  <c r="G1193" i="320"/>
  <c r="E1193" i="320"/>
  <c r="G1192" i="320"/>
  <c r="E1192" i="320"/>
  <c r="G1191" i="320"/>
  <c r="E1191" i="320"/>
  <c r="G1190" i="320"/>
  <c r="E1190" i="320"/>
  <c r="G1189" i="320"/>
  <c r="E1189" i="320"/>
  <c r="G1188" i="320"/>
  <c r="E1188" i="320"/>
  <c r="G1187" i="320"/>
  <c r="E1187" i="320"/>
  <c r="G1186" i="320"/>
  <c r="E1186" i="320"/>
  <c r="G1185" i="320"/>
  <c r="E1185" i="320"/>
  <c r="G1184" i="320"/>
  <c r="E1184" i="320"/>
  <c r="G1183" i="320"/>
  <c r="E1183" i="320"/>
  <c r="G1182" i="320"/>
  <c r="E1182" i="320"/>
  <c r="G1181" i="320"/>
  <c r="E1181" i="320"/>
  <c r="G1180" i="320"/>
  <c r="E1180" i="320"/>
  <c r="G1179" i="320"/>
  <c r="E1179" i="320"/>
  <c r="G1178" i="320"/>
  <c r="E1178" i="320"/>
  <c r="G1177" i="320"/>
  <c r="E1177" i="320"/>
  <c r="G1176" i="320"/>
  <c r="E1176" i="320"/>
  <c r="G1175" i="320"/>
  <c r="E1175" i="320"/>
  <c r="G1174" i="320"/>
  <c r="E1174" i="320"/>
  <c r="G1173" i="320"/>
  <c r="E1173" i="320"/>
  <c r="G1172" i="320"/>
  <c r="E1172" i="320"/>
  <c r="G1171" i="320"/>
  <c r="E1171" i="320"/>
  <c r="G1170" i="320"/>
  <c r="E1170" i="320"/>
  <c r="G1169" i="320"/>
  <c r="E1169" i="320"/>
  <c r="G1168" i="320"/>
  <c r="E1168" i="320"/>
  <c r="G1167" i="320"/>
  <c r="E1167" i="320"/>
  <c r="G1166" i="320"/>
  <c r="E1166" i="320"/>
  <c r="G1165" i="320"/>
  <c r="E1165" i="320"/>
  <c r="G1164" i="320"/>
  <c r="E1164" i="320"/>
  <c r="G1163" i="320"/>
  <c r="E1163" i="320"/>
  <c r="G1162" i="320"/>
  <c r="E1162" i="320"/>
  <c r="G1161" i="320"/>
  <c r="E1161" i="320"/>
  <c r="G1160" i="320"/>
  <c r="E1160" i="320"/>
  <c r="G1159" i="320"/>
  <c r="E1159" i="320"/>
  <c r="G1158" i="320"/>
  <c r="E1158" i="320"/>
  <c r="G1157" i="320"/>
  <c r="E1157" i="320"/>
  <c r="G1156" i="320"/>
  <c r="E1156" i="320"/>
  <c r="G1155" i="320"/>
  <c r="E1155" i="320"/>
  <c r="G1154" i="320"/>
  <c r="E1154" i="320"/>
  <c r="G1153" i="320"/>
  <c r="E1153" i="320"/>
  <c r="G1152" i="320"/>
  <c r="E1152" i="320"/>
  <c r="G1151" i="320"/>
  <c r="E1151" i="320"/>
  <c r="G1150" i="320"/>
  <c r="E1150" i="320"/>
  <c r="G1149" i="320"/>
  <c r="E1149" i="320"/>
  <c r="G1148" i="320"/>
  <c r="E1148" i="320"/>
  <c r="G1147" i="320"/>
  <c r="E1147" i="320"/>
  <c r="G1146" i="320"/>
  <c r="E1146" i="320"/>
  <c r="G1145" i="320"/>
  <c r="E1145" i="320"/>
  <c r="G1144" i="320"/>
  <c r="E1144" i="320"/>
  <c r="G1143" i="320"/>
  <c r="E1143" i="320"/>
  <c r="G1142" i="320"/>
  <c r="E1142" i="320"/>
  <c r="G1141" i="320"/>
  <c r="E1141" i="320"/>
  <c r="D1141" i="320"/>
  <c r="G1140" i="320"/>
  <c r="E1140" i="320"/>
  <c r="G1139" i="320"/>
  <c r="E1139" i="320"/>
  <c r="G1138" i="320"/>
  <c r="E1138" i="320"/>
  <c r="G1137" i="320"/>
  <c r="E1137" i="320"/>
  <c r="G1136" i="320"/>
  <c r="E1136" i="320"/>
  <c r="G1135" i="320"/>
  <c r="E1135" i="320"/>
  <c r="G1134" i="320"/>
  <c r="E1134" i="320"/>
  <c r="G1133" i="320"/>
  <c r="E1133" i="320"/>
  <c r="G1132" i="320"/>
  <c r="E1132" i="320"/>
  <c r="G1131" i="320"/>
  <c r="E1131" i="320"/>
  <c r="G1130" i="320"/>
  <c r="E1130" i="320"/>
  <c r="G1129" i="320"/>
  <c r="E1129" i="320"/>
  <c r="G1128" i="320"/>
  <c r="E1128" i="320"/>
  <c r="G1127" i="320"/>
  <c r="E1127" i="320"/>
  <c r="G1126" i="320"/>
  <c r="E1126" i="320"/>
  <c r="G1125" i="320"/>
  <c r="E1125" i="320"/>
  <c r="G1124" i="320"/>
  <c r="E1124" i="320"/>
  <c r="G1123" i="320"/>
  <c r="E1123" i="320"/>
  <c r="G1122" i="320"/>
  <c r="E1122" i="320"/>
  <c r="G1121" i="320"/>
  <c r="E1121" i="320"/>
  <c r="G1120" i="320"/>
  <c r="E1120" i="320"/>
  <c r="G1119" i="320"/>
  <c r="E1119" i="320"/>
  <c r="G1118" i="320"/>
  <c r="E1118" i="320"/>
  <c r="G1117" i="320"/>
  <c r="E1117" i="320"/>
  <c r="G1116" i="320"/>
  <c r="E1116" i="320"/>
  <c r="G1115" i="320"/>
  <c r="E1115" i="320"/>
  <c r="G1114" i="320"/>
  <c r="E1114" i="320"/>
  <c r="G1113" i="320"/>
  <c r="E1113" i="320"/>
  <c r="G1112" i="320"/>
  <c r="E1112" i="320"/>
  <c r="G1111" i="320"/>
  <c r="E1111" i="320"/>
  <c r="G1110" i="320"/>
  <c r="E1110" i="320"/>
  <c r="G1109" i="320"/>
  <c r="E1109" i="320"/>
  <c r="G1108" i="320"/>
  <c r="E1108" i="320"/>
  <c r="G1107" i="320"/>
  <c r="E1107" i="320"/>
  <c r="G1106" i="320"/>
  <c r="E1106" i="320"/>
  <c r="G1105" i="320"/>
  <c r="E1105" i="320"/>
  <c r="H1104" i="320"/>
  <c r="G1104" i="320"/>
  <c r="E1104" i="320"/>
  <c r="G1103" i="320"/>
  <c r="E1103" i="320"/>
  <c r="G1102" i="320"/>
  <c r="E1102" i="320"/>
  <c r="G1101" i="320"/>
  <c r="E1101" i="320"/>
  <c r="G1100" i="320"/>
  <c r="E1100" i="320"/>
  <c r="G1099" i="320"/>
  <c r="E1099" i="320"/>
  <c r="G1098" i="320"/>
  <c r="E1098" i="320"/>
  <c r="G1097" i="320"/>
  <c r="E1097" i="320"/>
  <c r="G1096" i="320"/>
  <c r="E1096" i="320"/>
  <c r="G1095" i="320"/>
  <c r="E1095" i="320"/>
  <c r="G1094" i="320"/>
  <c r="E1094" i="320"/>
  <c r="G1093" i="320"/>
  <c r="E1093" i="320"/>
  <c r="G1092" i="320"/>
  <c r="E1092" i="320"/>
  <c r="G1091" i="320"/>
  <c r="E1091" i="320"/>
  <c r="G1090" i="320"/>
  <c r="E1090" i="320"/>
  <c r="G1089" i="320"/>
  <c r="E1089" i="320"/>
  <c r="G1088" i="320"/>
  <c r="E1088" i="320"/>
  <c r="G1087" i="320"/>
  <c r="E1087" i="320"/>
  <c r="G1086" i="320"/>
  <c r="E1086" i="320"/>
  <c r="G1085" i="320"/>
  <c r="E1085" i="320"/>
  <c r="G1084" i="320"/>
  <c r="E1084" i="320"/>
  <c r="G1083" i="320"/>
  <c r="E1083" i="320"/>
  <c r="G1082" i="320"/>
  <c r="E1082" i="320"/>
  <c r="G1081" i="320"/>
  <c r="E1081" i="320"/>
  <c r="G1080" i="320"/>
  <c r="E1080" i="320"/>
  <c r="G1079" i="320"/>
  <c r="E1079" i="320"/>
  <c r="G1078" i="320"/>
  <c r="E1078" i="320"/>
  <c r="G1077" i="320"/>
  <c r="E1077" i="320"/>
  <c r="G1076" i="320"/>
  <c r="E1076" i="320"/>
  <c r="G1075" i="320"/>
  <c r="E1075" i="320"/>
  <c r="G1074" i="320"/>
  <c r="E1074" i="320"/>
  <c r="G1073" i="320"/>
  <c r="E1073" i="320"/>
  <c r="G1072" i="320"/>
  <c r="E1072" i="320"/>
  <c r="G1071" i="320"/>
  <c r="E1071" i="320"/>
  <c r="G1070" i="320"/>
  <c r="E1070" i="320"/>
  <c r="G1069" i="320"/>
  <c r="E1069" i="320"/>
  <c r="G1068" i="320"/>
  <c r="E1068" i="320"/>
  <c r="G1067" i="320"/>
  <c r="E1067" i="320"/>
  <c r="G1066" i="320"/>
  <c r="E1066" i="320"/>
  <c r="G1065" i="320"/>
  <c r="E1065" i="320"/>
  <c r="G1064" i="320"/>
  <c r="E1064" i="320"/>
  <c r="G1063" i="320"/>
  <c r="E1063" i="320"/>
  <c r="G1062" i="320"/>
  <c r="E1062" i="320"/>
  <c r="G1061" i="320"/>
  <c r="E1061" i="320"/>
  <c r="G1060" i="320"/>
  <c r="E1060" i="320"/>
  <c r="G1059" i="320"/>
  <c r="E1059" i="320"/>
  <c r="G1058" i="320"/>
  <c r="E1058" i="320"/>
  <c r="G1057" i="320"/>
  <c r="E1057" i="320"/>
  <c r="G1056" i="320"/>
  <c r="E1056" i="320"/>
  <c r="G1055" i="320"/>
  <c r="E1055" i="320"/>
  <c r="G1054" i="320"/>
  <c r="E1054" i="320"/>
  <c r="G1053" i="320"/>
  <c r="E1053" i="320"/>
  <c r="G1052" i="320"/>
  <c r="E1052" i="320"/>
  <c r="G1051" i="320"/>
  <c r="E1051" i="320"/>
  <c r="G1050" i="320"/>
  <c r="E1050" i="320"/>
  <c r="G1049" i="320"/>
  <c r="E1049" i="320"/>
  <c r="G1048" i="320"/>
  <c r="E1048" i="320"/>
  <c r="G1047" i="320"/>
  <c r="E1047" i="320"/>
  <c r="G1046" i="320"/>
  <c r="E1046" i="320"/>
  <c r="G1045" i="320"/>
  <c r="E1045" i="320"/>
  <c r="G1044" i="320"/>
  <c r="E1044" i="320"/>
  <c r="G1043" i="320"/>
  <c r="E1043" i="320"/>
  <c r="G1042" i="320"/>
  <c r="E1042" i="320"/>
  <c r="G1041" i="320"/>
  <c r="E1041" i="320"/>
  <c r="G1040" i="320"/>
  <c r="E1040" i="320"/>
  <c r="G1039" i="320"/>
  <c r="E1039" i="320"/>
  <c r="H1038" i="320"/>
  <c r="G1038" i="320"/>
  <c r="E1038" i="320"/>
  <c r="G1037" i="320"/>
  <c r="E1037" i="320"/>
  <c r="G1036" i="320"/>
  <c r="E1036" i="320"/>
  <c r="G1035" i="320"/>
  <c r="E1035" i="320"/>
  <c r="G1034" i="320"/>
  <c r="E1034" i="320"/>
  <c r="G1033" i="320"/>
  <c r="E1033" i="320"/>
  <c r="G1032" i="320"/>
  <c r="E1032" i="320"/>
  <c r="G1031" i="320"/>
  <c r="E1031" i="320"/>
  <c r="G1030" i="320"/>
  <c r="E1030" i="320"/>
  <c r="G1029" i="320"/>
  <c r="E1029" i="320"/>
  <c r="G1028" i="320"/>
  <c r="E1028" i="320"/>
  <c r="D1028" i="320"/>
  <c r="G1027" i="320"/>
  <c r="E1027" i="320"/>
  <c r="G1026" i="320"/>
  <c r="E1026" i="320"/>
  <c r="G1025" i="320"/>
  <c r="E1025" i="320"/>
  <c r="G1024" i="320"/>
  <c r="E1024" i="320"/>
  <c r="G1023" i="320"/>
  <c r="E1023" i="320"/>
  <c r="G1022" i="320"/>
  <c r="E1022" i="320"/>
  <c r="G1021" i="320"/>
  <c r="E1021" i="320"/>
  <c r="G1020" i="320"/>
  <c r="E1020" i="320"/>
  <c r="G1019" i="320"/>
  <c r="E1019" i="320"/>
  <c r="G1018" i="320"/>
  <c r="E1018" i="320"/>
  <c r="G1017" i="320"/>
  <c r="E1017" i="320"/>
  <c r="G1016" i="320"/>
  <c r="E1016" i="320"/>
  <c r="G1015" i="320"/>
  <c r="E1015" i="320"/>
  <c r="G1014" i="320"/>
  <c r="E1014" i="320"/>
  <c r="G1013" i="320"/>
  <c r="E1013" i="320"/>
  <c r="G1012" i="320"/>
  <c r="E1012" i="320"/>
  <c r="G1011" i="320"/>
  <c r="E1011" i="320"/>
  <c r="G1010" i="320"/>
  <c r="E1010" i="320"/>
  <c r="G1009" i="320"/>
  <c r="E1009" i="320"/>
  <c r="G1008" i="320"/>
  <c r="E1008" i="320"/>
  <c r="G1007" i="320"/>
  <c r="E1007" i="320"/>
  <c r="G1006" i="320"/>
  <c r="E1006" i="320"/>
  <c r="G1005" i="320"/>
  <c r="E1005" i="320"/>
  <c r="G1004" i="320"/>
  <c r="E1004" i="320"/>
  <c r="G1003" i="320"/>
  <c r="E1003" i="320"/>
  <c r="G1002" i="320"/>
  <c r="E1002" i="320"/>
  <c r="G1001" i="320"/>
  <c r="E1001" i="320"/>
  <c r="G1000" i="320"/>
  <c r="E1000" i="320"/>
  <c r="G999" i="320"/>
  <c r="E999" i="320"/>
  <c r="G998" i="320"/>
  <c r="E998" i="320"/>
  <c r="G997" i="320"/>
  <c r="E997" i="320"/>
  <c r="G996" i="320"/>
  <c r="E996" i="320"/>
  <c r="G995" i="320"/>
  <c r="E995" i="320"/>
  <c r="G994" i="320"/>
  <c r="E994" i="320"/>
  <c r="G993" i="320"/>
  <c r="E993" i="320"/>
  <c r="G992" i="320"/>
  <c r="E992" i="320"/>
  <c r="G991" i="320"/>
  <c r="E991" i="320"/>
  <c r="G990" i="320"/>
  <c r="E990" i="320"/>
  <c r="G989" i="320"/>
  <c r="E989" i="320"/>
  <c r="G988" i="320"/>
  <c r="E988" i="320"/>
  <c r="G987" i="320"/>
  <c r="E987" i="320"/>
  <c r="G986" i="320"/>
  <c r="E986" i="320"/>
  <c r="G985" i="320"/>
  <c r="E985" i="320"/>
  <c r="G984" i="320"/>
  <c r="E984" i="320"/>
  <c r="G983" i="320"/>
  <c r="E983" i="320"/>
  <c r="G982" i="320"/>
  <c r="E982" i="320"/>
  <c r="G981" i="320"/>
  <c r="E981" i="320"/>
  <c r="G980" i="320"/>
  <c r="E980" i="320"/>
  <c r="G979" i="320"/>
  <c r="E979" i="320"/>
  <c r="G978" i="320"/>
  <c r="E978" i="320"/>
  <c r="I977" i="320"/>
  <c r="G977" i="320"/>
  <c r="E977" i="320"/>
  <c r="G976" i="320"/>
  <c r="E976" i="320"/>
  <c r="G975" i="320"/>
  <c r="E975" i="320"/>
  <c r="G974" i="320"/>
  <c r="E974" i="320"/>
  <c r="G973" i="320"/>
  <c r="E973" i="320"/>
  <c r="G972" i="320"/>
  <c r="E972" i="320"/>
  <c r="G971" i="320"/>
  <c r="E971" i="320"/>
  <c r="G970" i="320"/>
  <c r="E970" i="320"/>
  <c r="G969" i="320"/>
  <c r="E969" i="320"/>
  <c r="G968" i="320"/>
  <c r="E968" i="320"/>
  <c r="G967" i="320"/>
  <c r="E967" i="320"/>
  <c r="G966" i="320"/>
  <c r="E966" i="320"/>
  <c r="G965" i="320"/>
  <c r="E965" i="320"/>
  <c r="G964" i="320"/>
  <c r="E964" i="320"/>
  <c r="G963" i="320"/>
  <c r="E963" i="320"/>
  <c r="G962" i="320"/>
  <c r="E962" i="320"/>
  <c r="G961" i="320"/>
  <c r="E961" i="320"/>
  <c r="G960" i="320"/>
  <c r="E960" i="320"/>
  <c r="G959" i="320"/>
  <c r="E959" i="320"/>
  <c r="G958" i="320"/>
  <c r="E958" i="320"/>
  <c r="G957" i="320"/>
  <c r="E957" i="320"/>
  <c r="G956" i="320"/>
  <c r="E956" i="320"/>
  <c r="G955" i="320"/>
  <c r="E955" i="320"/>
  <c r="G954" i="320"/>
  <c r="E954" i="320"/>
  <c r="G953" i="320"/>
  <c r="E953" i="320"/>
  <c r="G952" i="320"/>
  <c r="E952" i="320"/>
  <c r="G951" i="320"/>
  <c r="E951" i="320"/>
  <c r="G950" i="320"/>
  <c r="E950" i="320"/>
  <c r="G949" i="320"/>
  <c r="E949" i="320"/>
  <c r="G948" i="320"/>
  <c r="E948" i="320"/>
  <c r="G947" i="320"/>
  <c r="E947" i="320"/>
  <c r="G946" i="320"/>
  <c r="E946" i="320"/>
  <c r="G945" i="320"/>
  <c r="E945" i="320"/>
  <c r="G944" i="320"/>
  <c r="E944" i="320"/>
  <c r="G943" i="320"/>
  <c r="E943" i="320"/>
  <c r="G942" i="320"/>
  <c r="E942" i="320"/>
  <c r="G941" i="320"/>
  <c r="E941" i="320"/>
  <c r="G940" i="320"/>
  <c r="E940" i="320"/>
  <c r="G939" i="320"/>
  <c r="E939" i="320"/>
  <c r="G938" i="320"/>
  <c r="E938" i="320"/>
  <c r="G937" i="320"/>
  <c r="E937" i="320"/>
  <c r="G936" i="320"/>
  <c r="E936" i="320"/>
  <c r="G935" i="320"/>
  <c r="E935" i="320"/>
  <c r="G934" i="320"/>
  <c r="E934" i="320"/>
  <c r="D934" i="320"/>
  <c r="G933" i="320"/>
  <c r="E933" i="320"/>
  <c r="G932" i="320"/>
  <c r="E932" i="320"/>
  <c r="G931" i="320"/>
  <c r="E931" i="320"/>
  <c r="G930" i="320"/>
  <c r="E930" i="320"/>
  <c r="G929" i="320"/>
  <c r="E929" i="320"/>
  <c r="G928" i="320"/>
  <c r="E928" i="320"/>
  <c r="G927" i="320"/>
  <c r="E927" i="320"/>
  <c r="G926" i="320"/>
  <c r="E926" i="320"/>
  <c r="G925" i="320"/>
  <c r="E925" i="320"/>
  <c r="G924" i="320"/>
  <c r="E924" i="320"/>
  <c r="G923" i="320"/>
  <c r="E923" i="320"/>
  <c r="G922" i="320"/>
  <c r="E922" i="320"/>
  <c r="G921" i="320"/>
  <c r="E921" i="320"/>
  <c r="G920" i="320"/>
  <c r="E920" i="320"/>
  <c r="G919" i="320"/>
  <c r="E919" i="320"/>
  <c r="G918" i="320"/>
  <c r="E918" i="320"/>
  <c r="G917" i="320"/>
  <c r="E917" i="320"/>
  <c r="G916" i="320"/>
  <c r="E916" i="320"/>
  <c r="G915" i="320"/>
  <c r="E915" i="320"/>
  <c r="G914" i="320"/>
  <c r="E914" i="320"/>
  <c r="G913" i="320"/>
  <c r="E913" i="320"/>
  <c r="G912" i="320"/>
  <c r="E912" i="320"/>
  <c r="G911" i="320"/>
  <c r="E911" i="320"/>
  <c r="G910" i="320"/>
  <c r="E910" i="320"/>
  <c r="G909" i="320"/>
  <c r="E909" i="320"/>
  <c r="G908" i="320"/>
  <c r="E908" i="320"/>
  <c r="G907" i="320"/>
  <c r="E907" i="320"/>
  <c r="G906" i="320"/>
  <c r="E906" i="320"/>
  <c r="G905" i="320"/>
  <c r="E905" i="320"/>
  <c r="G904" i="320"/>
  <c r="E904" i="320"/>
  <c r="G903" i="320"/>
  <c r="E903" i="320"/>
  <c r="G902" i="320"/>
  <c r="E902" i="320"/>
  <c r="G901" i="320"/>
  <c r="E901" i="320"/>
  <c r="G900" i="320"/>
  <c r="E900" i="320"/>
  <c r="G899" i="320"/>
  <c r="E899" i="320"/>
  <c r="G898" i="320"/>
  <c r="E898" i="320"/>
  <c r="G897" i="320"/>
  <c r="E897" i="320"/>
  <c r="G896" i="320"/>
  <c r="E896" i="320"/>
  <c r="G895" i="320"/>
  <c r="E895" i="320"/>
  <c r="G894" i="320"/>
  <c r="E894" i="320"/>
  <c r="G893" i="320"/>
  <c r="E893" i="320"/>
  <c r="G892" i="320"/>
  <c r="E892" i="320"/>
  <c r="G891" i="320"/>
  <c r="E891" i="320"/>
  <c r="G890" i="320"/>
  <c r="E890" i="320"/>
  <c r="G889" i="320"/>
  <c r="E889" i="320"/>
  <c r="G888" i="320"/>
  <c r="E888" i="320"/>
  <c r="G887" i="320"/>
  <c r="E887" i="320"/>
  <c r="G886" i="320"/>
  <c r="E886" i="320"/>
  <c r="G885" i="320"/>
  <c r="E885" i="320"/>
  <c r="G884" i="320"/>
  <c r="E884" i="320"/>
  <c r="G883" i="320"/>
  <c r="E883" i="320"/>
  <c r="G882" i="320"/>
  <c r="E882" i="320"/>
  <c r="G881" i="320"/>
  <c r="E881" i="320"/>
  <c r="G880" i="320"/>
  <c r="E880" i="320"/>
  <c r="G879" i="320"/>
  <c r="E879" i="320"/>
  <c r="G878" i="320"/>
  <c r="E878" i="320"/>
  <c r="G877" i="320"/>
  <c r="E877" i="320"/>
  <c r="G876" i="320"/>
  <c r="E876" i="320"/>
  <c r="G875" i="320"/>
  <c r="E875" i="320"/>
  <c r="G874" i="320"/>
  <c r="E874" i="320"/>
  <c r="G873" i="320"/>
  <c r="E873" i="320"/>
  <c r="G872" i="320"/>
  <c r="E872" i="320"/>
  <c r="G871" i="320"/>
  <c r="E871" i="320"/>
  <c r="G870" i="320"/>
  <c r="E870" i="320"/>
  <c r="G869" i="320"/>
  <c r="E869" i="320"/>
  <c r="G868" i="320"/>
  <c r="E868" i="320"/>
  <c r="G867" i="320"/>
  <c r="E867" i="320"/>
  <c r="G866" i="320"/>
  <c r="E866" i="320"/>
  <c r="G865" i="320"/>
  <c r="E865" i="320"/>
  <c r="G864" i="320"/>
  <c r="E864" i="320"/>
  <c r="G863" i="320"/>
  <c r="E863" i="320"/>
  <c r="G862" i="320"/>
  <c r="E862" i="320"/>
  <c r="G861" i="320"/>
  <c r="E861" i="320"/>
  <c r="G860" i="320"/>
  <c r="E860" i="320"/>
  <c r="G859" i="320"/>
  <c r="G858" i="320"/>
  <c r="E858" i="320"/>
  <c r="G857" i="320"/>
  <c r="E857" i="320"/>
  <c r="G856" i="320"/>
  <c r="E856" i="320"/>
  <c r="G855" i="320"/>
  <c r="E855" i="320"/>
  <c r="G854" i="320"/>
  <c r="E854" i="320"/>
  <c r="G853" i="320"/>
  <c r="E853" i="320"/>
  <c r="G852" i="320"/>
  <c r="E852" i="320"/>
  <c r="G851" i="320"/>
  <c r="E851" i="320"/>
  <c r="G850" i="320"/>
  <c r="E850" i="320"/>
  <c r="G849" i="320"/>
  <c r="E849" i="320"/>
  <c r="G848" i="320"/>
  <c r="E848" i="320"/>
  <c r="G847" i="320"/>
  <c r="E847" i="320"/>
  <c r="G846" i="320"/>
  <c r="E846" i="320"/>
  <c r="G845" i="320"/>
  <c r="E845" i="320"/>
  <c r="G844" i="320"/>
  <c r="E844" i="320"/>
  <c r="G843" i="320"/>
  <c r="E843" i="320"/>
  <c r="G842" i="320"/>
  <c r="E842" i="320"/>
  <c r="G841" i="320"/>
  <c r="E841" i="320"/>
  <c r="G840" i="320"/>
  <c r="E840" i="320"/>
  <c r="G839" i="320"/>
  <c r="E839" i="320"/>
  <c r="G838" i="320"/>
  <c r="E838" i="320"/>
  <c r="G837" i="320"/>
  <c r="E837" i="320"/>
  <c r="G836" i="320"/>
  <c r="E836" i="320"/>
  <c r="G835" i="320"/>
  <c r="E835" i="320"/>
  <c r="G834" i="320"/>
  <c r="E834" i="320"/>
  <c r="G833" i="320"/>
  <c r="E833" i="320"/>
  <c r="G832" i="320"/>
  <c r="E832" i="320"/>
  <c r="G831" i="320"/>
  <c r="E831" i="320"/>
  <c r="G830" i="320"/>
  <c r="E830" i="320"/>
  <c r="G829" i="320"/>
  <c r="E829" i="320"/>
  <c r="G828" i="320"/>
  <c r="E828" i="320"/>
  <c r="G827" i="320"/>
  <c r="E827" i="320"/>
  <c r="G826" i="320"/>
  <c r="E826" i="320"/>
  <c r="G825" i="320"/>
  <c r="E825" i="320"/>
  <c r="G824" i="320"/>
  <c r="E824" i="320"/>
  <c r="G823" i="320"/>
  <c r="E823" i="320"/>
  <c r="G822" i="320"/>
  <c r="E822" i="320"/>
  <c r="G821" i="320"/>
  <c r="E821" i="320"/>
  <c r="G820" i="320"/>
  <c r="E820" i="320"/>
  <c r="G819" i="320"/>
  <c r="E819" i="320"/>
  <c r="G818" i="320"/>
  <c r="E818" i="320"/>
  <c r="G817" i="320"/>
  <c r="E817" i="320"/>
  <c r="G816" i="320"/>
  <c r="E816" i="320"/>
  <c r="G815" i="320"/>
  <c r="E815" i="320"/>
  <c r="G814" i="320"/>
  <c r="E814" i="320"/>
  <c r="G813" i="320"/>
  <c r="E813" i="320"/>
  <c r="G812" i="320"/>
  <c r="E812" i="320"/>
  <c r="G811" i="320"/>
  <c r="E811" i="320"/>
  <c r="G810" i="320"/>
  <c r="E810" i="320"/>
  <c r="G809" i="320"/>
  <c r="E809" i="320"/>
  <c r="G808" i="320"/>
  <c r="E808" i="320"/>
  <c r="G807" i="320"/>
  <c r="E807" i="320"/>
  <c r="G806" i="320"/>
  <c r="E806" i="320"/>
  <c r="G805" i="320"/>
  <c r="E805" i="320"/>
  <c r="G804" i="320"/>
  <c r="E804" i="320"/>
  <c r="G803" i="320"/>
  <c r="E803" i="320"/>
  <c r="G802" i="320"/>
  <c r="E802" i="320"/>
  <c r="G801" i="320"/>
  <c r="E801" i="320"/>
  <c r="G800" i="320"/>
  <c r="E800" i="320"/>
  <c r="G799" i="320"/>
  <c r="E799" i="320"/>
  <c r="G798" i="320"/>
  <c r="E798" i="320"/>
  <c r="H797" i="320"/>
  <c r="G797" i="320"/>
  <c r="E797" i="320"/>
  <c r="G796" i="320"/>
  <c r="E796" i="320"/>
  <c r="G795" i="320"/>
  <c r="E795" i="320"/>
  <c r="G794" i="320"/>
  <c r="E794" i="320"/>
  <c r="G793" i="320"/>
  <c r="E793" i="320"/>
  <c r="G792" i="320"/>
  <c r="E792" i="320"/>
  <c r="G791" i="320"/>
  <c r="E791" i="320"/>
  <c r="G790" i="320"/>
  <c r="E790" i="320"/>
  <c r="G789" i="320"/>
  <c r="E789" i="320"/>
  <c r="G788" i="320"/>
  <c r="E788" i="320"/>
  <c r="G787" i="320"/>
  <c r="E787" i="320"/>
  <c r="G786" i="320"/>
  <c r="E786" i="320"/>
  <c r="G785" i="320"/>
  <c r="E785" i="320"/>
  <c r="G784" i="320"/>
  <c r="E784" i="320"/>
  <c r="G783" i="320"/>
  <c r="E783" i="320"/>
  <c r="G782" i="320"/>
  <c r="E782" i="320"/>
  <c r="G781" i="320"/>
  <c r="E781" i="320"/>
  <c r="G780" i="320"/>
  <c r="E780" i="320"/>
  <c r="G779" i="320"/>
  <c r="E779" i="320"/>
  <c r="G778" i="320"/>
  <c r="E778" i="320"/>
  <c r="G777" i="320"/>
  <c r="E777" i="320"/>
  <c r="G776" i="320"/>
  <c r="E776" i="320"/>
  <c r="G775" i="320"/>
  <c r="E775" i="320"/>
  <c r="G774" i="320"/>
  <c r="E774" i="320"/>
  <c r="G773" i="320"/>
  <c r="E773" i="320"/>
  <c r="G772" i="320"/>
  <c r="E772" i="320"/>
  <c r="G771" i="320"/>
  <c r="E771" i="320"/>
  <c r="G770" i="320"/>
  <c r="E770" i="320"/>
  <c r="G769" i="320"/>
  <c r="F769" i="320"/>
  <c r="E769" i="320"/>
  <c r="G768" i="320"/>
  <c r="E768" i="320"/>
  <c r="G767" i="320"/>
  <c r="E767" i="320"/>
  <c r="G766" i="320"/>
  <c r="E766" i="320"/>
  <c r="G765" i="320"/>
  <c r="E765" i="320"/>
  <c r="G764" i="320"/>
  <c r="E764" i="320"/>
  <c r="G763" i="320"/>
  <c r="E763" i="320"/>
  <c r="G762" i="320"/>
  <c r="E762" i="320"/>
  <c r="G761" i="320"/>
  <c r="E761" i="320"/>
  <c r="G760" i="320"/>
  <c r="E760" i="320"/>
  <c r="G759" i="320"/>
  <c r="E759" i="320"/>
  <c r="G758" i="320"/>
  <c r="E758" i="320"/>
  <c r="G757" i="320"/>
  <c r="E757" i="320"/>
  <c r="G756" i="320"/>
  <c r="E756" i="320"/>
  <c r="G755" i="320"/>
  <c r="E755" i="320"/>
  <c r="G754" i="320"/>
  <c r="E754" i="320"/>
  <c r="G753" i="320"/>
  <c r="E753" i="320"/>
  <c r="G752" i="320"/>
  <c r="E752" i="320"/>
  <c r="G751" i="320"/>
  <c r="E751" i="320"/>
  <c r="G750" i="320"/>
  <c r="E750" i="320"/>
  <c r="G749" i="320"/>
  <c r="F749" i="320"/>
  <c r="E749" i="320"/>
  <c r="G748" i="320"/>
  <c r="E748" i="320"/>
  <c r="G747" i="320"/>
  <c r="E747" i="320"/>
  <c r="G746" i="320"/>
  <c r="E746" i="320"/>
  <c r="G745" i="320"/>
  <c r="E745" i="320"/>
  <c r="G744" i="320"/>
  <c r="E744" i="320"/>
  <c r="G743" i="320"/>
  <c r="E743" i="320"/>
  <c r="D743" i="320"/>
  <c r="G742" i="320"/>
  <c r="E742" i="320"/>
  <c r="G741" i="320"/>
  <c r="E741" i="320"/>
  <c r="G740" i="320"/>
  <c r="E740" i="320"/>
  <c r="G739" i="320"/>
  <c r="E739" i="320"/>
  <c r="G738" i="320"/>
  <c r="E738" i="320"/>
  <c r="G737" i="320"/>
  <c r="E737" i="320"/>
  <c r="G736" i="320"/>
  <c r="E736" i="320"/>
  <c r="G735" i="320"/>
  <c r="E735" i="320"/>
  <c r="G734" i="320"/>
  <c r="E734" i="320"/>
  <c r="G733" i="320"/>
  <c r="E733" i="320"/>
  <c r="G732" i="320"/>
  <c r="E732" i="320"/>
  <c r="G731" i="320"/>
  <c r="E731" i="320"/>
  <c r="G730" i="320"/>
  <c r="E730" i="320"/>
  <c r="G729" i="320"/>
  <c r="E729" i="320"/>
  <c r="G728" i="320"/>
  <c r="F728" i="320"/>
  <c r="E728" i="320"/>
  <c r="G727" i="320"/>
  <c r="E727" i="320"/>
  <c r="G726" i="320"/>
  <c r="E726" i="320"/>
  <c r="G725" i="320"/>
  <c r="E725" i="320"/>
  <c r="G724" i="320"/>
  <c r="E724" i="320"/>
  <c r="G723" i="320"/>
  <c r="E723" i="320"/>
  <c r="G722" i="320"/>
  <c r="E722" i="320"/>
  <c r="G721" i="320"/>
  <c r="E721" i="320"/>
  <c r="G720" i="320"/>
  <c r="E720" i="320"/>
  <c r="G719" i="320"/>
  <c r="F719" i="320"/>
  <c r="E719" i="320"/>
  <c r="G718" i="320"/>
  <c r="E718" i="320"/>
  <c r="G717" i="320"/>
  <c r="E717" i="320"/>
  <c r="G716" i="320"/>
  <c r="E716" i="320"/>
  <c r="G715" i="320"/>
  <c r="E715" i="320"/>
  <c r="G714" i="320"/>
  <c r="E714" i="320"/>
  <c r="G713" i="320"/>
  <c r="E713" i="320"/>
  <c r="G712" i="320"/>
  <c r="E712" i="320"/>
  <c r="G711" i="320"/>
  <c r="E711" i="320"/>
  <c r="G710" i="320"/>
  <c r="E710" i="320"/>
  <c r="G709" i="320"/>
  <c r="E709" i="320"/>
  <c r="G708" i="320"/>
  <c r="E708" i="320"/>
  <c r="G707" i="320"/>
  <c r="E707" i="320"/>
  <c r="G706" i="320"/>
  <c r="E706" i="320"/>
  <c r="G705" i="320"/>
  <c r="E705" i="320"/>
  <c r="G704" i="320"/>
  <c r="E704" i="320"/>
  <c r="G703" i="320"/>
  <c r="E703" i="320"/>
  <c r="G702" i="320"/>
  <c r="E702" i="320"/>
  <c r="G701" i="320"/>
  <c r="E701" i="320"/>
  <c r="G700" i="320"/>
  <c r="E700" i="320"/>
  <c r="G699" i="320"/>
  <c r="E699" i="320"/>
  <c r="G698" i="320"/>
  <c r="E698" i="320"/>
  <c r="G697" i="320"/>
  <c r="E697" i="320"/>
  <c r="G696" i="320"/>
  <c r="E696" i="320"/>
  <c r="G695" i="320"/>
  <c r="E695" i="320"/>
  <c r="G694" i="320"/>
  <c r="E694" i="320"/>
  <c r="G693" i="320"/>
  <c r="E693" i="320"/>
  <c r="G692" i="320"/>
  <c r="E692" i="320"/>
  <c r="G691" i="320"/>
  <c r="E691" i="320"/>
  <c r="G690" i="320"/>
  <c r="E690" i="320"/>
  <c r="G689" i="320"/>
  <c r="E689" i="320"/>
  <c r="G688" i="320"/>
  <c r="E688" i="320"/>
  <c r="G687" i="320"/>
  <c r="E687" i="320"/>
  <c r="G686" i="320"/>
  <c r="E686" i="320"/>
  <c r="G685" i="320"/>
  <c r="E685" i="320"/>
  <c r="G684" i="320"/>
  <c r="E684" i="320"/>
  <c r="G683" i="320"/>
  <c r="E683" i="320"/>
  <c r="G682" i="320"/>
  <c r="E682" i="320"/>
  <c r="G681" i="320"/>
  <c r="E681" i="320"/>
  <c r="G680" i="320"/>
  <c r="E680" i="320"/>
  <c r="G679" i="320"/>
  <c r="E679" i="320"/>
  <c r="G678" i="320"/>
  <c r="E678" i="320"/>
  <c r="G677" i="320"/>
  <c r="F677" i="320"/>
  <c r="E677" i="320"/>
  <c r="G676" i="320"/>
  <c r="E676" i="320"/>
  <c r="G675" i="320"/>
  <c r="E675" i="320"/>
  <c r="G674" i="320"/>
  <c r="E674" i="320"/>
  <c r="G673" i="320"/>
  <c r="E673" i="320"/>
  <c r="G672" i="320"/>
  <c r="E672" i="320"/>
  <c r="G671" i="320"/>
  <c r="E671" i="320"/>
  <c r="G670" i="320"/>
  <c r="E670" i="320"/>
  <c r="G669" i="320"/>
  <c r="E669" i="320"/>
  <c r="G668" i="320"/>
  <c r="E668" i="320"/>
  <c r="G667" i="320"/>
  <c r="E667" i="320"/>
  <c r="G666" i="320"/>
  <c r="E666" i="320"/>
  <c r="G665" i="320"/>
  <c r="E665" i="320"/>
  <c r="G664" i="320"/>
  <c r="E664" i="320"/>
  <c r="G663" i="320"/>
  <c r="E663" i="320"/>
  <c r="G662" i="320"/>
  <c r="E662" i="320"/>
  <c r="G661" i="320"/>
  <c r="F661" i="320"/>
  <c r="E661" i="320"/>
  <c r="G660" i="320"/>
  <c r="E660" i="320"/>
  <c r="G659" i="320"/>
  <c r="E659" i="320"/>
  <c r="G658" i="320"/>
  <c r="E658" i="320"/>
  <c r="G657" i="320"/>
  <c r="E657" i="320"/>
  <c r="G656" i="320"/>
  <c r="E656" i="320"/>
  <c r="G655" i="320"/>
  <c r="E655" i="320"/>
  <c r="G654" i="320"/>
  <c r="E654" i="320"/>
  <c r="G653" i="320"/>
  <c r="E653" i="320"/>
  <c r="G652" i="320"/>
  <c r="E652" i="320"/>
  <c r="G651" i="320"/>
  <c r="E651" i="320"/>
  <c r="G650" i="320"/>
  <c r="E650" i="320"/>
  <c r="G649" i="320"/>
  <c r="E649" i="320"/>
  <c r="G648" i="320"/>
  <c r="E648" i="320"/>
  <c r="G647" i="320"/>
  <c r="E647" i="320"/>
  <c r="G646" i="320"/>
  <c r="E646" i="320"/>
  <c r="G645" i="320"/>
  <c r="E645" i="320"/>
  <c r="G644" i="320"/>
  <c r="E644" i="320"/>
  <c r="G643" i="320"/>
  <c r="E643" i="320"/>
  <c r="G642" i="320"/>
  <c r="E642" i="320"/>
  <c r="G641" i="320"/>
  <c r="E641" i="320"/>
  <c r="G640" i="320"/>
  <c r="E640" i="320"/>
  <c r="G639" i="320"/>
  <c r="E639" i="320"/>
  <c r="G638" i="320"/>
  <c r="E638" i="320"/>
  <c r="G637" i="320"/>
  <c r="E637" i="320"/>
  <c r="G636" i="320"/>
  <c r="E636" i="320"/>
  <c r="G635" i="320"/>
  <c r="E635" i="320"/>
  <c r="G634" i="320"/>
  <c r="E634" i="320"/>
  <c r="G633" i="320"/>
  <c r="E633" i="320"/>
  <c r="G632" i="320"/>
  <c r="E632" i="320"/>
  <c r="G631" i="320"/>
  <c r="E631" i="320"/>
  <c r="G630" i="320"/>
  <c r="E630" i="320"/>
  <c r="G629" i="320"/>
  <c r="E629" i="320"/>
  <c r="G628" i="320"/>
  <c r="E628" i="320"/>
  <c r="G627" i="320"/>
  <c r="E627" i="320"/>
  <c r="G626" i="320"/>
  <c r="E626" i="320"/>
  <c r="G625" i="320"/>
  <c r="F625" i="320"/>
  <c r="E625" i="320"/>
  <c r="G624" i="320"/>
  <c r="E624" i="320"/>
  <c r="G623" i="320"/>
  <c r="E623" i="320"/>
  <c r="G622" i="320"/>
  <c r="E622" i="320"/>
  <c r="G621" i="320"/>
  <c r="E621" i="320"/>
  <c r="G620" i="320"/>
  <c r="E620" i="320"/>
  <c r="G619" i="320"/>
  <c r="E619" i="320"/>
  <c r="G618" i="320"/>
  <c r="E618" i="320"/>
  <c r="G617" i="320"/>
  <c r="E617" i="320"/>
  <c r="G616" i="320"/>
  <c r="E616" i="320"/>
  <c r="G615" i="320"/>
  <c r="E615" i="320"/>
  <c r="G614" i="320"/>
  <c r="E614" i="320"/>
  <c r="G613" i="320"/>
  <c r="E613" i="320"/>
  <c r="G612" i="320"/>
  <c r="E612" i="320"/>
  <c r="G611" i="320"/>
  <c r="E611" i="320"/>
  <c r="G610" i="320"/>
  <c r="E610" i="320"/>
  <c r="G609" i="320"/>
  <c r="E609" i="320"/>
  <c r="G608" i="320"/>
  <c r="E608" i="320"/>
  <c r="G607" i="320"/>
  <c r="E607" i="320"/>
  <c r="G606" i="320"/>
  <c r="E606" i="320"/>
  <c r="G605" i="320"/>
  <c r="E605" i="320"/>
  <c r="G604" i="320"/>
  <c r="E604" i="320"/>
  <c r="G603" i="320"/>
  <c r="E603" i="320"/>
  <c r="G602" i="320"/>
  <c r="E602" i="320"/>
  <c r="G601" i="320"/>
  <c r="E601" i="320"/>
  <c r="G600" i="320"/>
  <c r="E600" i="320"/>
  <c r="G599" i="320"/>
  <c r="E599" i="320"/>
  <c r="G598" i="320"/>
  <c r="E598" i="320"/>
  <c r="G597" i="320"/>
  <c r="E597" i="320"/>
  <c r="G596" i="320"/>
  <c r="E596" i="320"/>
  <c r="G595" i="320"/>
  <c r="E595" i="320"/>
  <c r="G594" i="320"/>
  <c r="E594" i="320"/>
  <c r="G593" i="320"/>
  <c r="E593" i="320"/>
  <c r="G592" i="320"/>
  <c r="E592" i="320"/>
  <c r="G591" i="320"/>
  <c r="E591" i="320"/>
  <c r="G590" i="320"/>
  <c r="E590" i="320"/>
  <c r="G589" i="320"/>
  <c r="E589" i="320"/>
  <c r="G588" i="320"/>
  <c r="E588" i="320"/>
  <c r="G587" i="320"/>
  <c r="E587" i="320"/>
  <c r="G586" i="320"/>
  <c r="E586" i="320"/>
  <c r="G585" i="320"/>
  <c r="E585" i="320"/>
  <c r="G584" i="320"/>
  <c r="E584" i="320"/>
  <c r="G583" i="320"/>
  <c r="E583" i="320"/>
  <c r="G582" i="320"/>
  <c r="E582" i="320"/>
  <c r="G581" i="320"/>
  <c r="E581" i="320"/>
  <c r="G580" i="320"/>
  <c r="E580" i="320"/>
  <c r="G579" i="320"/>
  <c r="E579" i="320"/>
  <c r="G578" i="320"/>
  <c r="E578" i="320"/>
  <c r="G577" i="320"/>
  <c r="E577" i="320"/>
  <c r="G576" i="320"/>
  <c r="E576" i="320"/>
  <c r="G575" i="320"/>
  <c r="E575" i="320"/>
  <c r="G574" i="320"/>
  <c r="E574" i="320"/>
  <c r="G573" i="320"/>
  <c r="E573" i="320"/>
  <c r="G572" i="320"/>
  <c r="E572" i="320"/>
  <c r="G571" i="320"/>
  <c r="E571" i="320"/>
  <c r="G570" i="320"/>
  <c r="E570" i="320"/>
  <c r="G569" i="320"/>
  <c r="E569" i="320"/>
  <c r="G568" i="320"/>
  <c r="E568" i="320"/>
  <c r="G567" i="320"/>
  <c r="E567" i="320"/>
  <c r="G566" i="320"/>
  <c r="E566" i="320"/>
  <c r="G565" i="320"/>
  <c r="E565" i="320"/>
  <c r="G564" i="320"/>
  <c r="E564" i="320"/>
  <c r="G563" i="320"/>
  <c r="E563" i="320"/>
  <c r="G562" i="320"/>
  <c r="E562" i="320"/>
  <c r="G561" i="320"/>
  <c r="E561" i="320"/>
  <c r="G560" i="320"/>
  <c r="E560" i="320"/>
  <c r="G559" i="320"/>
  <c r="E559" i="320"/>
  <c r="G558" i="320"/>
  <c r="E558" i="320"/>
  <c r="G557" i="320"/>
  <c r="E557" i="320"/>
  <c r="G556" i="320"/>
  <c r="E556" i="320"/>
  <c r="G555" i="320"/>
  <c r="E555" i="320"/>
  <c r="G554" i="320"/>
  <c r="E554" i="320"/>
  <c r="G553" i="320"/>
  <c r="E553" i="320"/>
  <c r="G552" i="320"/>
  <c r="E552" i="320"/>
  <c r="G551" i="320"/>
  <c r="E551" i="320"/>
  <c r="G550" i="320"/>
  <c r="E550" i="320"/>
  <c r="G549" i="320"/>
  <c r="E549" i="320"/>
  <c r="G548" i="320"/>
  <c r="E548" i="320"/>
  <c r="G547" i="320"/>
  <c r="E547" i="320"/>
  <c r="G546" i="320"/>
  <c r="E546" i="320"/>
  <c r="G545" i="320"/>
  <c r="E545" i="320"/>
  <c r="G544" i="320"/>
  <c r="E544" i="320"/>
  <c r="G543" i="320"/>
  <c r="E543" i="320"/>
  <c r="G542" i="320"/>
  <c r="E542" i="320"/>
  <c r="G541" i="320"/>
  <c r="E541" i="320"/>
  <c r="G540" i="320"/>
  <c r="E540" i="320"/>
  <c r="G539" i="320"/>
  <c r="E539" i="320"/>
  <c r="G538" i="320"/>
  <c r="E538" i="320"/>
  <c r="G537" i="320"/>
  <c r="E537" i="320"/>
  <c r="G536" i="320"/>
  <c r="E536" i="320"/>
  <c r="G535" i="320"/>
  <c r="E535" i="320"/>
  <c r="G534" i="320"/>
  <c r="E534" i="320"/>
  <c r="G533" i="320"/>
  <c r="E533" i="320"/>
  <c r="G532" i="320"/>
  <c r="E532" i="320"/>
  <c r="G531" i="320"/>
  <c r="E531" i="320"/>
  <c r="G530" i="320"/>
  <c r="E530" i="320"/>
  <c r="G529" i="320"/>
  <c r="E529" i="320"/>
  <c r="G528" i="320"/>
  <c r="E528" i="320"/>
  <c r="G527" i="320"/>
  <c r="E527" i="320"/>
  <c r="G526" i="320"/>
  <c r="E526" i="320"/>
  <c r="G525" i="320"/>
  <c r="E525" i="320"/>
  <c r="G524" i="320"/>
  <c r="E524" i="320"/>
  <c r="G523" i="320"/>
  <c r="E523" i="320"/>
  <c r="G522" i="320"/>
  <c r="E522" i="320"/>
  <c r="G521" i="320"/>
  <c r="E521" i="320"/>
  <c r="G520" i="320"/>
  <c r="E520" i="320"/>
  <c r="G519" i="320"/>
  <c r="E519" i="320"/>
  <c r="G518" i="320"/>
  <c r="E518" i="320"/>
  <c r="G517" i="320"/>
  <c r="E517" i="320"/>
  <c r="G516" i="320"/>
  <c r="E516" i="320"/>
  <c r="G515" i="320"/>
  <c r="E515" i="320"/>
  <c r="G514" i="320"/>
  <c r="E514" i="320"/>
  <c r="G513" i="320"/>
  <c r="E513" i="320"/>
  <c r="G512" i="320"/>
  <c r="E512" i="320"/>
  <c r="G511" i="320"/>
  <c r="E511" i="320"/>
  <c r="G510" i="320"/>
  <c r="E510" i="320"/>
  <c r="G509" i="320"/>
  <c r="E509" i="320"/>
  <c r="G508" i="320"/>
  <c r="E508" i="320"/>
  <c r="G507" i="320"/>
  <c r="E507" i="320"/>
  <c r="G506" i="320"/>
  <c r="E506" i="320"/>
  <c r="G505" i="320"/>
  <c r="E505" i="320"/>
  <c r="G504" i="320"/>
  <c r="E504" i="320"/>
  <c r="G503" i="320"/>
  <c r="E503" i="320"/>
  <c r="G502" i="320"/>
  <c r="E502" i="320"/>
  <c r="G501" i="320"/>
  <c r="E501" i="320"/>
  <c r="G500" i="320"/>
  <c r="E500" i="320"/>
  <c r="G499" i="320"/>
  <c r="E499" i="320"/>
  <c r="G498" i="320"/>
  <c r="E498" i="320"/>
  <c r="G497" i="320"/>
  <c r="E497" i="320"/>
  <c r="G496" i="320"/>
  <c r="E496" i="320"/>
  <c r="G495" i="320"/>
  <c r="E495" i="320"/>
  <c r="G494" i="320"/>
  <c r="E494" i="320"/>
  <c r="G493" i="320"/>
  <c r="E493" i="320"/>
  <c r="G492" i="320"/>
  <c r="E492" i="320"/>
  <c r="G491" i="320"/>
  <c r="E491" i="320"/>
  <c r="G490" i="320"/>
  <c r="E490" i="320"/>
  <c r="G489" i="320"/>
  <c r="E489" i="320"/>
  <c r="G488" i="320"/>
  <c r="E488" i="320"/>
  <c r="G487" i="320"/>
  <c r="E487" i="320"/>
  <c r="G486" i="320"/>
  <c r="E486" i="320"/>
  <c r="G485" i="320"/>
  <c r="E485" i="320"/>
  <c r="G484" i="320"/>
  <c r="E484" i="320"/>
  <c r="G483" i="320"/>
  <c r="E483" i="320"/>
  <c r="G482" i="320"/>
  <c r="E482" i="320"/>
  <c r="G481" i="320"/>
  <c r="E481" i="320"/>
  <c r="G480" i="320"/>
  <c r="E480" i="320"/>
  <c r="G479" i="320"/>
  <c r="E479" i="320"/>
  <c r="G478" i="320"/>
  <c r="E478" i="320"/>
  <c r="G477" i="320"/>
  <c r="E477" i="320"/>
  <c r="G476" i="320"/>
  <c r="E476" i="320"/>
  <c r="G475" i="320"/>
  <c r="E475" i="320"/>
  <c r="G474" i="320"/>
  <c r="E474" i="320"/>
  <c r="G473" i="320"/>
  <c r="E473" i="320"/>
  <c r="G472" i="320"/>
  <c r="E472" i="320"/>
  <c r="G471" i="320"/>
  <c r="E471" i="320"/>
  <c r="G470" i="320"/>
  <c r="E470" i="320"/>
  <c r="G469" i="320"/>
  <c r="E469" i="320"/>
  <c r="G468" i="320"/>
  <c r="E468" i="320"/>
  <c r="G467" i="320"/>
  <c r="E467" i="320"/>
  <c r="G466" i="320"/>
  <c r="E466" i="320"/>
  <c r="G465" i="320"/>
  <c r="E465" i="320"/>
  <c r="G464" i="320"/>
  <c r="E464" i="320"/>
  <c r="G463" i="320"/>
  <c r="E463" i="320"/>
  <c r="G462" i="320"/>
  <c r="E462" i="320"/>
  <c r="G461" i="320"/>
  <c r="E461" i="320"/>
  <c r="G460" i="320"/>
  <c r="E460" i="320"/>
  <c r="G459" i="320"/>
  <c r="E459" i="320"/>
  <c r="G458" i="320"/>
  <c r="E458" i="320"/>
  <c r="G457" i="320"/>
  <c r="E457" i="320"/>
  <c r="G456" i="320"/>
  <c r="E456" i="320"/>
  <c r="G455" i="320"/>
  <c r="E455" i="320"/>
  <c r="G454" i="320"/>
  <c r="E454" i="320"/>
  <c r="G453" i="320"/>
  <c r="E453" i="320"/>
  <c r="G452" i="320"/>
  <c r="E452" i="320"/>
  <c r="G451" i="320"/>
  <c r="E451" i="320"/>
  <c r="G450" i="320"/>
  <c r="E450" i="320"/>
  <c r="G449" i="320"/>
  <c r="E449" i="320"/>
  <c r="G448" i="320"/>
  <c r="E448" i="320"/>
  <c r="G447" i="320"/>
  <c r="E447" i="320"/>
  <c r="G446" i="320"/>
  <c r="E446" i="320"/>
  <c r="G445" i="320"/>
  <c r="E445" i="320"/>
  <c r="G444" i="320"/>
  <c r="E444" i="320"/>
  <c r="G443" i="320"/>
  <c r="E443" i="320"/>
  <c r="G442" i="320"/>
  <c r="E442" i="320"/>
  <c r="G441" i="320"/>
  <c r="E441" i="320"/>
  <c r="G440" i="320"/>
  <c r="E440" i="320"/>
  <c r="G439" i="320"/>
  <c r="E439" i="320"/>
  <c r="G438" i="320"/>
  <c r="E438" i="320"/>
  <c r="G437" i="320"/>
  <c r="E437" i="320"/>
  <c r="G436" i="320"/>
  <c r="E436" i="320"/>
  <c r="G435" i="320"/>
  <c r="E435" i="320"/>
  <c r="G434" i="320"/>
  <c r="E434" i="320"/>
  <c r="G433" i="320"/>
  <c r="E433" i="320"/>
  <c r="G432" i="320"/>
  <c r="E432" i="320"/>
  <c r="G431" i="320"/>
  <c r="E431" i="320"/>
  <c r="G430" i="320"/>
  <c r="E430" i="320"/>
  <c r="G429" i="320"/>
  <c r="E429" i="320"/>
  <c r="G428" i="320"/>
  <c r="E428" i="320"/>
  <c r="G427" i="320"/>
  <c r="E427" i="320"/>
  <c r="G426" i="320"/>
  <c r="E426" i="320"/>
  <c r="G425" i="320"/>
  <c r="E425" i="320"/>
  <c r="G424" i="320"/>
  <c r="E424" i="320"/>
  <c r="G423" i="320"/>
  <c r="E423" i="320"/>
  <c r="G422" i="320"/>
  <c r="E422" i="320"/>
  <c r="G421" i="320"/>
  <c r="E421" i="320"/>
  <c r="G420" i="320"/>
  <c r="E420" i="320"/>
  <c r="G419" i="320"/>
  <c r="E419" i="320"/>
  <c r="G418" i="320"/>
  <c r="E418" i="320"/>
  <c r="G417" i="320"/>
  <c r="E417" i="320"/>
  <c r="G416" i="320"/>
  <c r="E416" i="320"/>
  <c r="G415" i="320"/>
  <c r="E415" i="320"/>
  <c r="G414" i="320"/>
  <c r="E414" i="320"/>
  <c r="G413" i="320"/>
  <c r="E413" i="320"/>
  <c r="G412" i="320"/>
  <c r="E412" i="320"/>
  <c r="G411" i="320"/>
  <c r="E411" i="320"/>
  <c r="G410" i="320"/>
  <c r="E410" i="320"/>
  <c r="G409" i="320"/>
  <c r="E409" i="320"/>
  <c r="G408" i="320"/>
  <c r="E408" i="320"/>
  <c r="G407" i="320"/>
  <c r="E407" i="320"/>
  <c r="G406" i="320"/>
  <c r="E406" i="320"/>
  <c r="G405" i="320"/>
  <c r="E405" i="320"/>
  <c r="G404" i="320"/>
  <c r="E404" i="320"/>
  <c r="G403" i="320"/>
  <c r="E403" i="320"/>
  <c r="G402" i="320"/>
  <c r="E402" i="320"/>
  <c r="G401" i="320"/>
  <c r="E401" i="320"/>
  <c r="G400" i="320"/>
  <c r="E400" i="320"/>
  <c r="G399" i="320"/>
  <c r="E399" i="320"/>
  <c r="G398" i="320"/>
  <c r="E398" i="320"/>
  <c r="G397" i="320"/>
  <c r="E397" i="320"/>
  <c r="G396" i="320"/>
  <c r="E396" i="320"/>
  <c r="G395" i="320"/>
  <c r="E395" i="320"/>
  <c r="G394" i="320"/>
  <c r="E394" i="320"/>
  <c r="G393" i="320"/>
  <c r="E393" i="320"/>
  <c r="G392" i="320"/>
  <c r="E392" i="320"/>
  <c r="G391" i="320"/>
  <c r="E391" i="320"/>
  <c r="G390" i="320"/>
  <c r="E390" i="320"/>
  <c r="G389" i="320"/>
  <c r="E389" i="320"/>
  <c r="G388" i="320"/>
  <c r="E388" i="320"/>
  <c r="G387" i="320"/>
  <c r="E387" i="320"/>
  <c r="G386" i="320"/>
  <c r="E386" i="320"/>
  <c r="G385" i="320"/>
  <c r="E385" i="320"/>
  <c r="G384" i="320"/>
  <c r="E384" i="320"/>
  <c r="G383" i="320"/>
  <c r="E383" i="320"/>
  <c r="G382" i="320"/>
  <c r="E382" i="320"/>
  <c r="G381" i="320"/>
  <c r="E381" i="320"/>
  <c r="G380" i="320"/>
  <c r="E380" i="320"/>
  <c r="G379" i="320"/>
  <c r="E379" i="320"/>
  <c r="G378" i="320"/>
  <c r="E378" i="320"/>
  <c r="G377" i="320"/>
  <c r="E377" i="320"/>
  <c r="G376" i="320"/>
  <c r="E376" i="320"/>
  <c r="G375" i="320"/>
  <c r="E375" i="320"/>
  <c r="G374" i="320"/>
  <c r="E374" i="320"/>
  <c r="G373" i="320"/>
  <c r="E373" i="320"/>
  <c r="G372" i="320"/>
  <c r="E372" i="320"/>
  <c r="G371" i="320"/>
  <c r="E371" i="320"/>
  <c r="G370" i="320"/>
  <c r="E370" i="320"/>
  <c r="G369" i="320"/>
  <c r="E369" i="320"/>
  <c r="G368" i="320"/>
  <c r="E368" i="320"/>
  <c r="G367" i="320"/>
  <c r="E367" i="320"/>
  <c r="G366" i="320"/>
  <c r="E366" i="320"/>
  <c r="G365" i="320"/>
  <c r="E365" i="320"/>
  <c r="G364" i="320"/>
  <c r="E364" i="320"/>
  <c r="G363" i="320"/>
  <c r="E363" i="320"/>
  <c r="G362" i="320"/>
  <c r="E362" i="320"/>
  <c r="G361" i="320"/>
  <c r="E361" i="320"/>
  <c r="G360" i="320"/>
  <c r="E360" i="320"/>
  <c r="G359" i="320"/>
  <c r="E359" i="320"/>
  <c r="G358" i="320"/>
  <c r="E358" i="320"/>
  <c r="G357" i="320"/>
  <c r="E357" i="320"/>
  <c r="G356" i="320"/>
  <c r="E356" i="320"/>
  <c r="G355" i="320"/>
  <c r="E355" i="320"/>
  <c r="G354" i="320"/>
  <c r="E354" i="320"/>
  <c r="G353" i="320"/>
  <c r="E353" i="320"/>
  <c r="G352" i="320"/>
  <c r="E352" i="320"/>
  <c r="G351" i="320"/>
  <c r="E351" i="320"/>
  <c r="G350" i="320"/>
  <c r="E350" i="320"/>
  <c r="G349" i="320"/>
  <c r="E349" i="320"/>
  <c r="G348" i="320"/>
  <c r="E348" i="320"/>
  <c r="G347" i="320"/>
  <c r="E347" i="320"/>
  <c r="G346" i="320"/>
  <c r="E346" i="320"/>
  <c r="G345" i="320"/>
  <c r="E345" i="320"/>
  <c r="G344" i="320"/>
  <c r="E344" i="320"/>
  <c r="G343" i="320"/>
  <c r="E343" i="320"/>
  <c r="G342" i="320"/>
  <c r="E342" i="320"/>
  <c r="G341" i="320"/>
  <c r="E341" i="320"/>
  <c r="G340" i="320"/>
  <c r="E340" i="320"/>
  <c r="G339" i="320"/>
  <c r="E339" i="320"/>
  <c r="G338" i="320"/>
  <c r="E338" i="320"/>
  <c r="G337" i="320"/>
  <c r="E337" i="320"/>
  <c r="G336" i="320"/>
  <c r="E336" i="320"/>
  <c r="G335" i="320"/>
  <c r="E335" i="320"/>
  <c r="G334" i="320"/>
  <c r="E334" i="320"/>
  <c r="G333" i="320"/>
  <c r="E333" i="320"/>
  <c r="G332" i="320"/>
  <c r="E332" i="320"/>
  <c r="G331" i="320"/>
  <c r="E331" i="320"/>
  <c r="G330" i="320"/>
  <c r="E330" i="320"/>
  <c r="G329" i="320"/>
  <c r="E329" i="320"/>
  <c r="G328" i="320"/>
  <c r="E328" i="320"/>
  <c r="G327" i="320"/>
  <c r="E327" i="320"/>
  <c r="G326" i="320"/>
  <c r="E326" i="320"/>
  <c r="G325" i="320"/>
  <c r="E325" i="320"/>
  <c r="G324" i="320"/>
  <c r="E324" i="320"/>
  <c r="G323" i="320"/>
  <c r="E323" i="320"/>
  <c r="G322" i="320"/>
  <c r="E322" i="320"/>
  <c r="G321" i="320"/>
  <c r="E321" i="320"/>
  <c r="G320" i="320"/>
  <c r="E320" i="320"/>
  <c r="G319" i="320"/>
  <c r="E319" i="320"/>
  <c r="G318" i="320"/>
  <c r="E318" i="320"/>
  <c r="G317" i="320"/>
  <c r="E317" i="320"/>
  <c r="G316" i="320"/>
  <c r="E316" i="320"/>
  <c r="G315" i="320"/>
  <c r="E315" i="320"/>
  <c r="G314" i="320"/>
  <c r="E314" i="320"/>
  <c r="G313" i="320"/>
  <c r="E313" i="320"/>
  <c r="G312" i="320"/>
  <c r="E312" i="320"/>
  <c r="G311" i="320"/>
  <c r="E311" i="320"/>
  <c r="G310" i="320"/>
  <c r="E310" i="320"/>
  <c r="G309" i="320"/>
  <c r="E309" i="320"/>
  <c r="G308" i="320"/>
  <c r="E308" i="320"/>
  <c r="G307" i="320"/>
  <c r="E307" i="320"/>
  <c r="G306" i="320"/>
  <c r="E306" i="320"/>
  <c r="G305" i="320"/>
  <c r="E305" i="320"/>
  <c r="G304" i="320"/>
  <c r="E304" i="320"/>
  <c r="G303" i="320"/>
  <c r="E303" i="320"/>
  <c r="G302" i="320"/>
  <c r="E302" i="320"/>
  <c r="G301" i="320"/>
  <c r="E301" i="320"/>
  <c r="G300" i="320"/>
  <c r="E300" i="320"/>
  <c r="G299" i="320"/>
  <c r="E299" i="320"/>
  <c r="G298" i="320"/>
  <c r="E298" i="320"/>
  <c r="G297" i="320"/>
  <c r="E297" i="320"/>
  <c r="G296" i="320"/>
  <c r="E296" i="320"/>
  <c r="G295" i="320"/>
  <c r="E295" i="320"/>
  <c r="G294" i="320"/>
  <c r="E294" i="320"/>
  <c r="G293" i="320"/>
  <c r="E293" i="320"/>
  <c r="G292" i="320"/>
  <c r="E292" i="320"/>
  <c r="G291" i="320"/>
  <c r="E291" i="320"/>
  <c r="G290" i="320"/>
  <c r="E290" i="320"/>
  <c r="G289" i="320"/>
  <c r="E289" i="320"/>
  <c r="G288" i="320"/>
  <c r="E288" i="320"/>
  <c r="G287" i="320"/>
  <c r="E287" i="320"/>
  <c r="G286" i="320"/>
  <c r="E286" i="320"/>
  <c r="G285" i="320"/>
  <c r="E285" i="320"/>
  <c r="G284" i="320"/>
  <c r="E284" i="320"/>
  <c r="G283" i="320"/>
  <c r="E283" i="320"/>
  <c r="G282" i="320"/>
  <c r="E282" i="320"/>
  <c r="G281" i="320"/>
  <c r="E281" i="320"/>
  <c r="G280" i="320"/>
  <c r="E280" i="320"/>
  <c r="G279" i="320"/>
  <c r="E279" i="320"/>
  <c r="G278" i="320"/>
  <c r="E278" i="320"/>
  <c r="G277" i="320"/>
  <c r="E277" i="320"/>
  <c r="G276" i="320"/>
  <c r="E276" i="320"/>
  <c r="G275" i="320"/>
  <c r="E275" i="320"/>
  <c r="G274" i="320"/>
  <c r="E274" i="320"/>
  <c r="G273" i="320"/>
  <c r="E273" i="320"/>
  <c r="G272" i="320"/>
  <c r="E272" i="320"/>
  <c r="G271" i="320"/>
  <c r="E271" i="320"/>
  <c r="G270" i="320"/>
  <c r="E270" i="320"/>
  <c r="G269" i="320"/>
  <c r="E269" i="320"/>
  <c r="G268" i="320"/>
  <c r="E268" i="320"/>
  <c r="G267" i="320"/>
  <c r="E267" i="320"/>
  <c r="G266" i="320"/>
  <c r="E266" i="320"/>
  <c r="G265" i="320"/>
  <c r="E265" i="320"/>
  <c r="G264" i="320"/>
  <c r="E264" i="320"/>
  <c r="G263" i="320"/>
  <c r="E263" i="320"/>
  <c r="G262" i="320"/>
  <c r="E262" i="320"/>
  <c r="G261" i="320"/>
  <c r="E261" i="320"/>
  <c r="G260" i="320"/>
  <c r="E260" i="320"/>
  <c r="G259" i="320"/>
  <c r="E259" i="320"/>
  <c r="G258" i="320"/>
  <c r="E258" i="320"/>
  <c r="G257" i="320"/>
  <c r="E257" i="320"/>
  <c r="G256" i="320"/>
  <c r="E256" i="320"/>
  <c r="G255" i="320"/>
  <c r="E255" i="320"/>
  <c r="G254" i="320"/>
  <c r="E254" i="320"/>
  <c r="G253" i="320"/>
  <c r="E253" i="320"/>
  <c r="G252" i="320"/>
  <c r="E252" i="320"/>
  <c r="G251" i="320"/>
  <c r="E251" i="320"/>
  <c r="G250" i="320"/>
  <c r="E250" i="320"/>
  <c r="G249" i="320"/>
  <c r="E249" i="320"/>
  <c r="G248" i="320"/>
  <c r="E248" i="320"/>
  <c r="G247" i="320"/>
  <c r="E247" i="320"/>
  <c r="G246" i="320"/>
  <c r="E246" i="320"/>
  <c r="G245" i="320"/>
  <c r="G244" i="320"/>
  <c r="E244" i="320"/>
  <c r="G243" i="320"/>
  <c r="E243" i="320"/>
  <c r="G242" i="320"/>
  <c r="E242" i="320"/>
  <c r="G241" i="320"/>
  <c r="E241" i="320"/>
  <c r="G240" i="320"/>
  <c r="E240" i="320"/>
  <c r="G239" i="320"/>
  <c r="E239" i="320"/>
  <c r="G238" i="320"/>
  <c r="E238" i="320"/>
  <c r="G237" i="320"/>
  <c r="E237" i="320"/>
  <c r="G236" i="320"/>
  <c r="E236" i="320"/>
  <c r="G235" i="320"/>
  <c r="E235" i="320"/>
  <c r="G234" i="320"/>
  <c r="E234" i="320"/>
  <c r="G233" i="320"/>
  <c r="E233" i="320"/>
  <c r="G232" i="320"/>
  <c r="E232" i="320"/>
  <c r="G231" i="320"/>
  <c r="E231" i="320"/>
  <c r="G230" i="320"/>
  <c r="E230" i="320"/>
  <c r="G229" i="320"/>
  <c r="E229" i="320"/>
  <c r="G228" i="320"/>
  <c r="E228" i="320"/>
  <c r="G227" i="320"/>
  <c r="E227" i="320"/>
  <c r="G226" i="320"/>
  <c r="E226" i="320"/>
  <c r="G225" i="320"/>
  <c r="E225" i="320"/>
  <c r="G224" i="320"/>
  <c r="E224" i="320"/>
  <c r="G223" i="320"/>
  <c r="E223" i="320"/>
  <c r="G222" i="320"/>
  <c r="E222" i="320"/>
  <c r="G221" i="320"/>
  <c r="E221" i="320"/>
  <c r="G220" i="320"/>
  <c r="E220" i="320"/>
  <c r="G219" i="320"/>
  <c r="E219" i="320"/>
  <c r="G218" i="320"/>
  <c r="E218" i="320"/>
  <c r="G217" i="320"/>
  <c r="E217" i="320"/>
  <c r="G216" i="320"/>
  <c r="E216" i="320"/>
  <c r="G215" i="320"/>
  <c r="E215" i="320"/>
  <c r="G214" i="320"/>
  <c r="E214" i="320"/>
  <c r="G213" i="320"/>
  <c r="E213" i="320"/>
  <c r="G212" i="320"/>
  <c r="E212" i="320"/>
  <c r="G211" i="320"/>
  <c r="E211" i="320"/>
  <c r="G210" i="320"/>
  <c r="E210" i="320"/>
  <c r="G209" i="320"/>
  <c r="E209" i="320"/>
  <c r="G208" i="320"/>
  <c r="E208" i="320"/>
  <c r="G207" i="320"/>
  <c r="E207" i="320"/>
  <c r="G206" i="320"/>
  <c r="E206" i="320"/>
  <c r="G205" i="320"/>
  <c r="E205" i="320"/>
  <c r="G204" i="320"/>
  <c r="E204" i="320"/>
  <c r="G203" i="320"/>
  <c r="E203" i="320"/>
  <c r="H202" i="320"/>
  <c r="G202" i="320"/>
  <c r="E202" i="320"/>
  <c r="G201" i="320"/>
  <c r="E201" i="320"/>
  <c r="G200" i="320"/>
  <c r="E200" i="320"/>
  <c r="G199" i="320"/>
  <c r="E199" i="320"/>
  <c r="G198" i="320"/>
  <c r="E198" i="320"/>
  <c r="G197" i="320"/>
  <c r="E197" i="320"/>
  <c r="G196" i="320"/>
  <c r="E196" i="320"/>
  <c r="G195" i="320"/>
  <c r="E195" i="320"/>
  <c r="G194" i="320"/>
  <c r="E194" i="320"/>
  <c r="G193" i="320"/>
  <c r="E193" i="320"/>
  <c r="G192" i="320"/>
  <c r="E192" i="320"/>
  <c r="G191" i="320"/>
  <c r="E191" i="320"/>
  <c r="G190" i="320"/>
  <c r="E190" i="320"/>
  <c r="G189" i="320"/>
  <c r="E189" i="320"/>
  <c r="G188" i="320"/>
  <c r="E188" i="320"/>
  <c r="G187" i="320"/>
  <c r="E187" i="320"/>
  <c r="G186" i="320"/>
  <c r="E186" i="320"/>
  <c r="G185" i="320"/>
  <c r="E185" i="320"/>
  <c r="G183" i="320"/>
  <c r="E183" i="320"/>
  <c r="G182" i="320"/>
  <c r="E182" i="320"/>
  <c r="G181" i="320"/>
  <c r="E181" i="320"/>
  <c r="G180" i="320"/>
  <c r="E180" i="320"/>
  <c r="G179" i="320"/>
  <c r="E179" i="320"/>
  <c r="G178" i="320"/>
  <c r="E178" i="320"/>
  <c r="G177" i="320"/>
  <c r="E177" i="320"/>
  <c r="G176" i="320"/>
  <c r="E176" i="320"/>
  <c r="G175" i="320"/>
  <c r="E175" i="320"/>
  <c r="G174" i="320"/>
  <c r="E174" i="320"/>
  <c r="G173" i="320"/>
  <c r="E173" i="320"/>
  <c r="G172" i="320"/>
  <c r="E172" i="320"/>
  <c r="G171" i="320"/>
  <c r="E171" i="320"/>
  <c r="G170" i="320"/>
  <c r="E170" i="320"/>
  <c r="G169" i="320"/>
  <c r="E169" i="320"/>
  <c r="G168" i="320"/>
  <c r="E168" i="320"/>
  <c r="G167" i="320"/>
  <c r="E167" i="320"/>
  <c r="G166" i="320"/>
  <c r="E166" i="320"/>
  <c r="G165" i="320"/>
  <c r="E165" i="320"/>
  <c r="G164" i="320"/>
  <c r="E164" i="320"/>
  <c r="G163" i="320"/>
  <c r="E163" i="320"/>
  <c r="G162" i="320"/>
  <c r="E162" i="320"/>
  <c r="G161" i="320"/>
  <c r="E161" i="320"/>
  <c r="G160" i="320"/>
  <c r="E160" i="320"/>
  <c r="G159" i="320"/>
  <c r="E159" i="320"/>
  <c r="G158" i="320"/>
  <c r="E158" i="320"/>
  <c r="G157" i="320"/>
  <c r="E157" i="320"/>
  <c r="G156" i="320"/>
  <c r="E156" i="320"/>
  <c r="G155" i="320"/>
  <c r="E155" i="320"/>
  <c r="G154" i="320"/>
  <c r="E154" i="320"/>
  <c r="G153" i="320"/>
  <c r="E153" i="320"/>
  <c r="G152" i="320"/>
  <c r="E152" i="320"/>
  <c r="G151" i="320"/>
  <c r="E151" i="320"/>
  <c r="G150" i="320"/>
  <c r="E150" i="320"/>
  <c r="G149" i="320"/>
  <c r="E149" i="320"/>
  <c r="G148" i="320"/>
  <c r="E148" i="320"/>
  <c r="G147" i="320"/>
  <c r="E147" i="320"/>
  <c r="G146" i="320"/>
  <c r="E146" i="320"/>
  <c r="G145" i="320"/>
  <c r="E145" i="320"/>
  <c r="G144" i="320"/>
  <c r="E144" i="320"/>
  <c r="G143" i="320"/>
  <c r="E143" i="320"/>
  <c r="G142" i="320"/>
  <c r="E142" i="320"/>
  <c r="G141" i="320"/>
  <c r="E141" i="320"/>
  <c r="G140" i="320"/>
  <c r="E140" i="320"/>
  <c r="G139" i="320"/>
  <c r="E139" i="320"/>
  <c r="G138" i="320"/>
  <c r="E138" i="320"/>
  <c r="G137" i="320"/>
  <c r="E137" i="320"/>
  <c r="G136" i="320"/>
  <c r="E136" i="320"/>
  <c r="G135" i="320"/>
  <c r="E135" i="320"/>
  <c r="G134" i="320"/>
  <c r="E134" i="320"/>
  <c r="G133" i="320"/>
  <c r="E133" i="320"/>
  <c r="G132" i="320"/>
  <c r="E132" i="320"/>
  <c r="G131" i="320"/>
  <c r="E131" i="320"/>
  <c r="G130" i="320"/>
  <c r="E130" i="320"/>
  <c r="G129" i="320"/>
  <c r="E129" i="320"/>
  <c r="G128" i="320"/>
  <c r="E128" i="320"/>
  <c r="G127" i="320"/>
  <c r="E127" i="320"/>
  <c r="G126" i="320"/>
  <c r="E126" i="320"/>
  <c r="G125" i="320"/>
  <c r="E125" i="320"/>
  <c r="G124" i="320"/>
  <c r="E124" i="320"/>
  <c r="G123" i="320"/>
  <c r="E123" i="320"/>
  <c r="G122" i="320"/>
  <c r="E122" i="320"/>
  <c r="G120" i="320"/>
  <c r="E120" i="320"/>
  <c r="G119" i="320"/>
  <c r="E119" i="320"/>
  <c r="G118" i="320"/>
  <c r="E118" i="320"/>
  <c r="G117" i="320"/>
  <c r="E117" i="320"/>
  <c r="G116" i="320"/>
  <c r="E116" i="320"/>
  <c r="G115" i="320"/>
  <c r="E115" i="320"/>
  <c r="G114" i="320"/>
  <c r="E114" i="320"/>
  <c r="G113" i="320"/>
  <c r="E113" i="320"/>
  <c r="G112" i="320"/>
  <c r="E112" i="320"/>
  <c r="G111" i="320"/>
  <c r="E111" i="320"/>
  <c r="G110" i="320"/>
  <c r="E110" i="320"/>
  <c r="G109" i="320"/>
  <c r="E109" i="320"/>
  <c r="G108" i="320"/>
  <c r="E108" i="320"/>
  <c r="G107" i="320"/>
  <c r="E107" i="320"/>
  <c r="G106" i="320"/>
  <c r="E106" i="320"/>
  <c r="G105" i="320"/>
  <c r="E105" i="320"/>
  <c r="G104" i="320"/>
  <c r="E104" i="320"/>
  <c r="G103" i="320"/>
  <c r="E103" i="320"/>
  <c r="G102" i="320"/>
  <c r="E102" i="320"/>
  <c r="G101" i="320"/>
  <c r="E101" i="320"/>
  <c r="G100" i="320"/>
  <c r="E100" i="320"/>
  <c r="G99" i="320"/>
  <c r="E99" i="320"/>
  <c r="G98" i="320"/>
  <c r="E98" i="320"/>
  <c r="G97" i="320"/>
  <c r="E97" i="320"/>
  <c r="G96" i="320"/>
  <c r="E96" i="320"/>
  <c r="G95" i="320"/>
  <c r="E95" i="320"/>
  <c r="G94" i="320"/>
  <c r="E94" i="320"/>
  <c r="G93" i="320"/>
  <c r="E93" i="320"/>
  <c r="G92" i="320"/>
  <c r="E92" i="320"/>
  <c r="G91" i="320"/>
  <c r="E91" i="320"/>
  <c r="G90" i="320"/>
  <c r="E90" i="320"/>
  <c r="G89" i="320"/>
  <c r="E89" i="320"/>
  <c r="G88" i="320"/>
  <c r="E88" i="320"/>
  <c r="G87" i="320"/>
  <c r="E87" i="320"/>
  <c r="G86" i="320"/>
  <c r="E86" i="320"/>
  <c r="G85" i="320"/>
  <c r="E85" i="320"/>
  <c r="G84" i="320"/>
  <c r="E84" i="320"/>
  <c r="G83" i="320"/>
  <c r="E83" i="320"/>
  <c r="G82" i="320"/>
  <c r="E82" i="320"/>
  <c r="G81" i="320"/>
  <c r="E81" i="320"/>
  <c r="G80" i="320"/>
  <c r="E80" i="320"/>
  <c r="G79" i="320"/>
  <c r="E79" i="320"/>
  <c r="G78" i="320"/>
  <c r="E78" i="320"/>
  <c r="G77" i="320"/>
  <c r="E77" i="320"/>
  <c r="G76" i="320"/>
  <c r="E76" i="320"/>
  <c r="G75" i="320"/>
  <c r="E75" i="320"/>
  <c r="G74" i="320"/>
  <c r="E74" i="320"/>
  <c r="G73" i="320"/>
  <c r="E73" i="320"/>
  <c r="G72" i="320"/>
  <c r="E72" i="320"/>
  <c r="G71" i="320"/>
  <c r="E71" i="320"/>
  <c r="G70" i="320"/>
  <c r="E70" i="320"/>
  <c r="G69" i="320"/>
  <c r="E69" i="320"/>
  <c r="G68" i="320"/>
  <c r="E68" i="320"/>
  <c r="G67" i="320"/>
  <c r="E67" i="320"/>
  <c r="G66" i="320"/>
  <c r="E66" i="320"/>
  <c r="G65" i="320"/>
  <c r="E65" i="320"/>
  <c r="G64" i="320"/>
  <c r="E64" i="320"/>
  <c r="G63" i="320"/>
  <c r="E63" i="320"/>
  <c r="G62" i="320"/>
  <c r="E62" i="320"/>
  <c r="G61" i="320"/>
  <c r="E61" i="320"/>
  <c r="G60" i="320"/>
  <c r="E60" i="320"/>
  <c r="G59" i="320"/>
  <c r="E59" i="320"/>
  <c r="G58" i="320"/>
  <c r="E58" i="320"/>
  <c r="G57" i="320"/>
  <c r="E57" i="320"/>
  <c r="G56" i="320"/>
  <c r="E56" i="320"/>
  <c r="G55" i="320"/>
  <c r="E55" i="320"/>
  <c r="G54" i="320"/>
  <c r="E54" i="320"/>
  <c r="G53" i="320"/>
  <c r="E53" i="320"/>
  <c r="G52" i="320"/>
  <c r="E52" i="320"/>
  <c r="G51" i="320"/>
  <c r="E51" i="320"/>
  <c r="G50" i="320"/>
  <c r="E50" i="320"/>
  <c r="G49" i="320"/>
  <c r="E49" i="320"/>
  <c r="G48" i="320"/>
  <c r="E48" i="320"/>
  <c r="G46" i="320"/>
  <c r="E46" i="320"/>
  <c r="G45" i="320"/>
  <c r="E45" i="320"/>
  <c r="G44" i="320"/>
  <c r="E44" i="320"/>
  <c r="G43" i="320"/>
  <c r="E43" i="320"/>
  <c r="G42" i="320"/>
  <c r="E42" i="320"/>
  <c r="G41" i="320"/>
  <c r="E41" i="320"/>
  <c r="G40" i="320"/>
  <c r="E40" i="320"/>
  <c r="G39" i="320"/>
  <c r="E39" i="320"/>
  <c r="G38" i="320"/>
  <c r="E38" i="320"/>
  <c r="G37" i="320"/>
  <c r="E37" i="320"/>
  <c r="G36" i="320"/>
  <c r="E36" i="320"/>
  <c r="G35" i="320"/>
  <c r="E35" i="320"/>
  <c r="G34" i="320"/>
  <c r="E34" i="320"/>
  <c r="G33" i="320"/>
  <c r="E33" i="320"/>
  <c r="G32" i="320"/>
  <c r="E32" i="320"/>
  <c r="G31" i="320"/>
  <c r="E31" i="320"/>
  <c r="G30" i="320"/>
  <c r="E30" i="320"/>
  <c r="G29" i="320"/>
  <c r="E29" i="320"/>
  <c r="G28" i="320"/>
  <c r="E28" i="320"/>
  <c r="G27" i="320"/>
  <c r="E27" i="320"/>
  <c r="G26" i="320"/>
  <c r="E26" i="320"/>
  <c r="G25" i="320"/>
  <c r="E25" i="320"/>
  <c r="G24" i="320"/>
  <c r="E24" i="320"/>
  <c r="G23" i="320"/>
  <c r="E23" i="320"/>
  <c r="G22" i="320"/>
  <c r="E22" i="320"/>
  <c r="G21" i="320"/>
  <c r="E21" i="320"/>
  <c r="G20" i="320"/>
  <c r="E20" i="320"/>
  <c r="G19" i="320"/>
  <c r="E19" i="320"/>
  <c r="G18" i="320"/>
  <c r="E18" i="320"/>
  <c r="D18" i="320"/>
  <c r="G17" i="320"/>
  <c r="E17" i="320"/>
  <c r="G16" i="320"/>
  <c r="E16" i="320"/>
  <c r="G15" i="320"/>
  <c r="E15" i="320"/>
  <c r="G14" i="320"/>
  <c r="E14" i="320"/>
  <c r="G13" i="320"/>
  <c r="E13" i="320"/>
  <c r="D62" i="2"/>
  <c r="D60" i="2"/>
  <c r="K55" i="2"/>
  <c r="D47" i="2"/>
  <c r="F42" i="2"/>
  <c r="D42" i="2"/>
  <c r="C42" i="2"/>
  <c r="M14" i="232" s="1"/>
  <c r="B42" i="2"/>
  <c r="F41" i="2"/>
  <c r="E41" i="2"/>
  <c r="A41" i="2"/>
  <c r="G40" i="2"/>
  <c r="F40" i="2"/>
  <c r="E40" i="2"/>
  <c r="A40" i="2"/>
  <c r="G39" i="2"/>
  <c r="F39" i="2"/>
  <c r="E39" i="2"/>
  <c r="A39" i="2"/>
  <c r="G38" i="2"/>
  <c r="F38" i="2"/>
  <c r="E38" i="2"/>
  <c r="A38" i="2"/>
  <c r="G37" i="2"/>
  <c r="F37" i="2"/>
  <c r="E37" i="2"/>
  <c r="A37" i="2"/>
  <c r="G36" i="2"/>
  <c r="F36" i="2"/>
  <c r="E36" i="2"/>
  <c r="A36" i="2"/>
  <c r="G35" i="2"/>
  <c r="F35" i="2"/>
  <c r="E35" i="2"/>
  <c r="A35" i="2"/>
  <c r="G34" i="2"/>
  <c r="F34" i="2"/>
  <c r="E34" i="2"/>
  <c r="A34" i="2"/>
  <c r="G33" i="2"/>
  <c r="F33" i="2"/>
  <c r="E33" i="2"/>
  <c r="A33" i="2"/>
  <c r="G32" i="2"/>
  <c r="F32" i="2"/>
  <c r="E32" i="2"/>
  <c r="A32" i="2"/>
  <c r="G31" i="2"/>
  <c r="F31" i="2"/>
  <c r="E31" i="2"/>
  <c r="A31" i="2"/>
  <c r="G30" i="2"/>
  <c r="F30" i="2"/>
  <c r="E30" i="2"/>
  <c r="A30" i="2"/>
  <c r="G29" i="2"/>
  <c r="F29" i="2"/>
  <c r="E29" i="2"/>
  <c r="A29" i="2"/>
  <c r="G28" i="2"/>
  <c r="F28" i="2"/>
  <c r="E28" i="2"/>
  <c r="A28" i="2"/>
  <c r="G27" i="2"/>
  <c r="F27" i="2"/>
  <c r="E27" i="2"/>
  <c r="A27" i="2"/>
  <c r="G26" i="2"/>
  <c r="F26" i="2"/>
  <c r="E26" i="2"/>
  <c r="A26" i="2"/>
  <c r="G25" i="2"/>
  <c r="F25" i="2"/>
  <c r="E25" i="2"/>
  <c r="A25" i="2"/>
  <c r="G24" i="2"/>
  <c r="F24" i="2"/>
  <c r="E24" i="2"/>
  <c r="A24" i="2"/>
  <c r="G23" i="2"/>
  <c r="F23" i="2"/>
  <c r="E23" i="2"/>
  <c r="A23" i="2"/>
  <c r="G22" i="2"/>
  <c r="F22" i="2"/>
  <c r="E22" i="2"/>
  <c r="A22" i="2"/>
  <c r="G21" i="2"/>
  <c r="F21" i="2"/>
  <c r="E21" i="2"/>
  <c r="A21" i="2"/>
  <c r="G20" i="2"/>
  <c r="F20" i="2"/>
  <c r="E20" i="2"/>
  <c r="A20" i="2"/>
  <c r="G19" i="2"/>
  <c r="F19" i="2"/>
  <c r="E19" i="2"/>
  <c r="A19" i="2"/>
  <c r="G18" i="2"/>
  <c r="F18" i="2"/>
  <c r="E18" i="2"/>
  <c r="E42" i="2" s="1"/>
  <c r="E44" i="2" s="1"/>
  <c r="E45" i="2" s="1"/>
  <c r="A18" i="2"/>
  <c r="G17" i="2"/>
  <c r="F17" i="2"/>
  <c r="E17" i="2"/>
  <c r="A17" i="2"/>
  <c r="G16" i="2"/>
  <c r="F16" i="2"/>
  <c r="E16" i="2"/>
  <c r="A16" i="2"/>
  <c r="G15" i="2"/>
  <c r="F15" i="2"/>
  <c r="E15" i="2"/>
  <c r="A15" i="2"/>
  <c r="G14" i="2"/>
  <c r="F14" i="2"/>
  <c r="E14" i="2"/>
  <c r="A14" i="2"/>
  <c r="G13" i="2"/>
  <c r="F13" i="2"/>
  <c r="E13" i="2"/>
  <c r="A13" i="2"/>
  <c r="G12" i="2"/>
  <c r="F12" i="2"/>
  <c r="E12" i="2"/>
  <c r="A12" i="2"/>
  <c r="G11" i="2"/>
  <c r="F11" i="2"/>
  <c r="E11" i="2"/>
  <c r="A11" i="2"/>
  <c r="G10" i="2"/>
  <c r="F10" i="2"/>
  <c r="E10" i="2"/>
  <c r="K8" i="2"/>
  <c r="O7" i="2"/>
  <c r="K7" i="2"/>
  <c r="J5" i="2"/>
  <c r="B5" i="2"/>
  <c r="B47" i="26"/>
  <c r="B46" i="26"/>
  <c r="B45" i="26"/>
  <c r="K40" i="26"/>
  <c r="D19" i="20" s="1"/>
  <c r="J40" i="26"/>
  <c r="C37" i="26"/>
  <c r="G35" i="26"/>
  <c r="P34" i="26"/>
  <c r="O34" i="26"/>
  <c r="G34" i="26"/>
  <c r="G33" i="26"/>
  <c r="G32" i="26"/>
  <c r="G31" i="26"/>
  <c r="U30" i="26"/>
  <c r="T30" i="26"/>
  <c r="S30" i="26"/>
  <c r="G30" i="26"/>
  <c r="E30" i="26"/>
  <c r="U29" i="26"/>
  <c r="S29" i="26"/>
  <c r="G29" i="26"/>
  <c r="E29" i="26"/>
  <c r="U28" i="26"/>
  <c r="T28" i="26"/>
  <c r="S28" i="26"/>
  <c r="O28" i="26"/>
  <c r="M28" i="26"/>
  <c r="G28" i="26"/>
  <c r="E28" i="26"/>
  <c r="U27" i="26"/>
  <c r="T27" i="26"/>
  <c r="S27" i="26"/>
  <c r="O27" i="26"/>
  <c r="M27" i="26"/>
  <c r="G27" i="26"/>
  <c r="E27" i="26"/>
  <c r="U26" i="26"/>
  <c r="T26" i="26"/>
  <c r="S26" i="26"/>
  <c r="O26" i="26"/>
  <c r="G26" i="26"/>
  <c r="E26" i="26"/>
  <c r="U25" i="26"/>
  <c r="T25" i="26"/>
  <c r="S25" i="26"/>
  <c r="O25" i="26"/>
  <c r="G25" i="26"/>
  <c r="E25" i="26"/>
  <c r="U24" i="26"/>
  <c r="T24" i="26"/>
  <c r="S24" i="26"/>
  <c r="P24" i="26"/>
  <c r="O24" i="26"/>
  <c r="G24" i="26"/>
  <c r="F24" i="26"/>
  <c r="E24" i="26"/>
  <c r="U23" i="26"/>
  <c r="T23" i="26"/>
  <c r="S23" i="26"/>
  <c r="P23" i="26"/>
  <c r="O23" i="26"/>
  <c r="G23" i="26"/>
  <c r="E23" i="26"/>
  <c r="U22" i="26"/>
  <c r="T22" i="26"/>
  <c r="S22" i="26"/>
  <c r="O22" i="26"/>
  <c r="G22" i="26"/>
  <c r="E22" i="26"/>
  <c r="U21" i="26"/>
  <c r="T21" i="26"/>
  <c r="S21" i="26"/>
  <c r="O21" i="26"/>
  <c r="G21" i="26"/>
  <c r="E21" i="26"/>
  <c r="U20" i="26"/>
  <c r="T20" i="26"/>
  <c r="S20" i="26"/>
  <c r="O20" i="26"/>
  <c r="G20" i="26"/>
  <c r="E20" i="26"/>
  <c r="U19" i="26"/>
  <c r="T19" i="26"/>
  <c r="S19" i="26"/>
  <c r="O19" i="26"/>
  <c r="G19" i="26"/>
  <c r="E19" i="26"/>
  <c r="D19" i="26"/>
  <c r="U18" i="26"/>
  <c r="T18" i="26"/>
  <c r="S18" i="26"/>
  <c r="O18" i="26"/>
  <c r="G18" i="26"/>
  <c r="E18" i="26"/>
  <c r="U17" i="26"/>
  <c r="T17" i="26"/>
  <c r="S17" i="26"/>
  <c r="O17" i="26"/>
  <c r="G17" i="26"/>
  <c r="E17" i="26"/>
  <c r="U16" i="26"/>
  <c r="T16" i="26"/>
  <c r="S16" i="26"/>
  <c r="O16" i="26"/>
  <c r="G16" i="26"/>
  <c r="E16" i="26"/>
  <c r="U15" i="26"/>
  <c r="T15" i="26"/>
  <c r="S15" i="26"/>
  <c r="O15" i="26"/>
  <c r="G15" i="26"/>
  <c r="E15" i="26"/>
  <c r="U14" i="26"/>
  <c r="T14" i="26"/>
  <c r="S14" i="26"/>
  <c r="O14" i="26"/>
  <c r="G14" i="26"/>
  <c r="E14" i="26"/>
  <c r="U13" i="26"/>
  <c r="T13" i="26"/>
  <c r="S13" i="26"/>
  <c r="O13" i="26"/>
  <c r="G13" i="26"/>
  <c r="E13" i="26"/>
  <c r="U12" i="26"/>
  <c r="T12" i="26"/>
  <c r="S12" i="26"/>
  <c r="O12" i="26"/>
  <c r="G12" i="26"/>
  <c r="E12" i="26"/>
  <c r="U11" i="26"/>
  <c r="T11" i="26"/>
  <c r="S11" i="26"/>
  <c r="O11" i="26"/>
  <c r="G11" i="26"/>
  <c r="E11" i="26"/>
  <c r="U10" i="26"/>
  <c r="T10" i="26"/>
  <c r="S10" i="26"/>
  <c r="O10" i="26"/>
  <c r="G10" i="26"/>
  <c r="E10" i="26"/>
  <c r="U9" i="26"/>
  <c r="T9" i="26"/>
  <c r="S9" i="26"/>
  <c r="O9" i="26"/>
  <c r="G9" i="26"/>
  <c r="E9" i="26"/>
  <c r="B5" i="26"/>
  <c r="K48" i="6"/>
  <c r="I45" i="6"/>
  <c r="H45" i="6"/>
  <c r="G45" i="6"/>
  <c r="J44" i="6"/>
  <c r="F44" i="6"/>
  <c r="J43" i="6"/>
  <c r="F43" i="6"/>
  <c r="J42" i="6"/>
  <c r="F42" i="6"/>
  <c r="D42" i="6"/>
  <c r="C42" i="6"/>
  <c r="B42" i="6"/>
  <c r="J41" i="6"/>
  <c r="F41" i="6"/>
  <c r="J40" i="6"/>
  <c r="F40" i="6"/>
  <c r="J39" i="6"/>
  <c r="F39" i="6"/>
  <c r="J38" i="6"/>
  <c r="F38" i="6"/>
  <c r="F37" i="6"/>
  <c r="J36" i="6"/>
  <c r="F36" i="6"/>
  <c r="J35" i="6"/>
  <c r="F35" i="6"/>
  <c r="J34" i="6"/>
  <c r="F34" i="6"/>
  <c r="J33" i="6"/>
  <c r="F33" i="6"/>
  <c r="F32" i="6"/>
  <c r="J31" i="6"/>
  <c r="F31" i="6"/>
  <c r="J30" i="6"/>
  <c r="F30" i="6"/>
  <c r="J29" i="6"/>
  <c r="F29" i="6"/>
  <c r="J28" i="6"/>
  <c r="F28" i="6"/>
  <c r="J27" i="6"/>
  <c r="F27" i="6"/>
  <c r="J26" i="6"/>
  <c r="F26" i="6"/>
  <c r="J25" i="6"/>
  <c r="F25" i="6"/>
  <c r="D25" i="6"/>
  <c r="C25" i="6"/>
  <c r="B25" i="6"/>
  <c r="J24" i="6"/>
  <c r="F24" i="6"/>
  <c r="J23" i="6"/>
  <c r="F23" i="6"/>
  <c r="J22" i="6"/>
  <c r="F22" i="6"/>
  <c r="J21" i="6"/>
  <c r="F21" i="6"/>
  <c r="J20" i="6"/>
  <c r="J45" i="6" s="1"/>
  <c r="F20" i="6"/>
  <c r="J19" i="6"/>
  <c r="F19" i="6"/>
  <c r="J18" i="6"/>
  <c r="F18" i="6"/>
  <c r="C18" i="6"/>
  <c r="C32" i="6" s="1"/>
  <c r="J17" i="6"/>
  <c r="F17" i="6"/>
  <c r="J16" i="6"/>
  <c r="F16" i="6"/>
  <c r="D16" i="6"/>
  <c r="B16" i="6"/>
  <c r="J15" i="6"/>
  <c r="F15" i="6"/>
  <c r="J14" i="6"/>
  <c r="F14" i="6"/>
  <c r="D14" i="6"/>
  <c r="J13" i="6"/>
  <c r="C111" i="329"/>
  <c r="A111" i="329"/>
  <c r="B73" i="329"/>
  <c r="B74" i="329" s="1"/>
  <c r="B75" i="329" s="1"/>
  <c r="C65" i="329"/>
  <c r="D64" i="329"/>
  <c r="C64" i="329"/>
  <c r="B64" i="329"/>
  <c r="E64" i="329" s="1"/>
  <c r="D63" i="329"/>
  <c r="D67" i="329" s="1"/>
  <c r="C63" i="329"/>
  <c r="C67" i="329" s="1"/>
  <c r="B63" i="329"/>
  <c r="B67" i="329" s="1"/>
  <c r="E67" i="329" s="1"/>
  <c r="C57" i="329"/>
  <c r="E56" i="329"/>
  <c r="D55" i="329"/>
  <c r="D57" i="329" s="1"/>
  <c r="C55" i="329"/>
  <c r="B55" i="329"/>
  <c r="D46" i="329"/>
  <c r="D27" i="329"/>
  <c r="C25" i="329"/>
  <c r="C24" i="329"/>
  <c r="C23" i="329"/>
  <c r="C22" i="329"/>
  <c r="C21" i="329"/>
  <c r="C20" i="329"/>
  <c r="C19" i="329"/>
  <c r="C18" i="329"/>
  <c r="C17" i="329"/>
  <c r="C16" i="329"/>
  <c r="C15" i="329"/>
  <c r="C14" i="329"/>
  <c r="B8" i="329"/>
  <c r="D7" i="329"/>
  <c r="D6" i="329"/>
  <c r="D5" i="329"/>
  <c r="D8" i="329" s="1"/>
  <c r="B10" i="329" s="1"/>
  <c r="B65" i="5"/>
  <c r="K60" i="5"/>
  <c r="J59" i="5"/>
  <c r="H59" i="5"/>
  <c r="D59" i="5"/>
  <c r="B59" i="5"/>
  <c r="K58" i="5"/>
  <c r="J57" i="5"/>
  <c r="H57" i="5"/>
  <c r="D57" i="5"/>
  <c r="B57" i="5"/>
  <c r="O51" i="5"/>
  <c r="N51" i="5"/>
  <c r="M51" i="5"/>
  <c r="L51" i="5"/>
  <c r="I51" i="5"/>
  <c r="H51" i="5"/>
  <c r="B58" i="5" s="1"/>
  <c r="E51" i="5"/>
  <c r="D51" i="5"/>
  <c r="C51" i="5"/>
  <c r="P50" i="5"/>
  <c r="O50" i="5"/>
  <c r="J50" i="5"/>
  <c r="G50" i="5"/>
  <c r="E50" i="5"/>
  <c r="O47" i="5"/>
  <c r="J47" i="5"/>
  <c r="E47" i="5"/>
  <c r="P46" i="5"/>
  <c r="O46" i="5"/>
  <c r="J46" i="5"/>
  <c r="E46" i="5"/>
  <c r="P45" i="5"/>
  <c r="O45" i="5"/>
  <c r="J45" i="5"/>
  <c r="E45" i="5"/>
  <c r="P44" i="5"/>
  <c r="O44" i="5"/>
  <c r="J44" i="5"/>
  <c r="E44" i="5"/>
  <c r="P43" i="5"/>
  <c r="O43" i="5"/>
  <c r="J43" i="5"/>
  <c r="E43" i="5"/>
  <c r="P42" i="5"/>
  <c r="O42" i="5"/>
  <c r="J42" i="5"/>
  <c r="E42" i="5"/>
  <c r="P41" i="5"/>
  <c r="O41" i="5"/>
  <c r="J41" i="5"/>
  <c r="E41" i="5"/>
  <c r="P40" i="5"/>
  <c r="O40" i="5"/>
  <c r="J40" i="5"/>
  <c r="E40" i="5"/>
  <c r="P39" i="5"/>
  <c r="O39" i="5"/>
  <c r="J39" i="5"/>
  <c r="E39" i="5"/>
  <c r="P38" i="5"/>
  <c r="O38" i="5"/>
  <c r="J38" i="5"/>
  <c r="E38" i="5"/>
  <c r="P37" i="5"/>
  <c r="O37" i="5"/>
  <c r="J37" i="5"/>
  <c r="E37" i="5"/>
  <c r="P36" i="5"/>
  <c r="O36" i="5"/>
  <c r="J36" i="5"/>
  <c r="E36" i="5"/>
  <c r="P35" i="5"/>
  <c r="O35" i="5"/>
  <c r="J35" i="5"/>
  <c r="E35" i="5"/>
  <c r="P34" i="5"/>
  <c r="O34" i="5"/>
  <c r="J34" i="5"/>
  <c r="E34" i="5"/>
  <c r="P33" i="5"/>
  <c r="O33" i="5"/>
  <c r="J33" i="5"/>
  <c r="E33" i="5"/>
  <c r="P32" i="5"/>
  <c r="O32" i="5"/>
  <c r="J32" i="5"/>
  <c r="E32" i="5"/>
  <c r="P31" i="5"/>
  <c r="O31" i="5"/>
  <c r="J31" i="5"/>
  <c r="E31" i="5"/>
  <c r="P30" i="5"/>
  <c r="O30" i="5"/>
  <c r="J30" i="5"/>
  <c r="E30" i="5"/>
  <c r="P29" i="5"/>
  <c r="O29" i="5"/>
  <c r="J29" i="5"/>
  <c r="E29" i="5"/>
  <c r="P28" i="5"/>
  <c r="O28" i="5"/>
  <c r="J28" i="5"/>
  <c r="E28" i="5"/>
  <c r="P27" i="5"/>
  <c r="O27" i="5"/>
  <c r="J27" i="5"/>
  <c r="E27" i="5"/>
  <c r="P26" i="5"/>
  <c r="O26" i="5"/>
  <c r="J26" i="5"/>
  <c r="E26" i="5"/>
  <c r="P25" i="5"/>
  <c r="O25" i="5"/>
  <c r="J25" i="5"/>
  <c r="E25" i="5"/>
  <c r="P24" i="5"/>
  <c r="P51" i="5" s="1"/>
  <c r="O24" i="5"/>
  <c r="J24" i="5"/>
  <c r="J51" i="5" s="1"/>
  <c r="E24" i="5"/>
  <c r="P23" i="5"/>
  <c r="O23" i="5"/>
  <c r="J23" i="5"/>
  <c r="E23" i="5"/>
  <c r="Q22" i="5"/>
  <c r="P22" i="5"/>
  <c r="O22" i="5"/>
  <c r="J22" i="5"/>
  <c r="E22" i="5"/>
  <c r="Q21" i="5"/>
  <c r="P21" i="5"/>
  <c r="O21" i="5"/>
  <c r="J21" i="5"/>
  <c r="E21" i="5"/>
  <c r="P20" i="5"/>
  <c r="O20" i="5"/>
  <c r="J20" i="5"/>
  <c r="E20" i="5"/>
  <c r="P19" i="5"/>
  <c r="O19" i="5"/>
  <c r="J19" i="5"/>
  <c r="E19" i="5"/>
  <c r="P18" i="5"/>
  <c r="O18" i="5"/>
  <c r="J18" i="5"/>
  <c r="E18" i="5"/>
  <c r="P17" i="5"/>
  <c r="O17" i="5"/>
  <c r="J17" i="5"/>
  <c r="E17" i="5"/>
  <c r="P16" i="5"/>
  <c r="O16" i="5"/>
  <c r="J16" i="5"/>
  <c r="E16" i="5"/>
  <c r="P15" i="5"/>
  <c r="J15" i="5"/>
  <c r="E15" i="5"/>
  <c r="P14" i="5"/>
  <c r="O14" i="5"/>
  <c r="J14" i="5"/>
  <c r="E14" i="5"/>
  <c r="P13" i="5"/>
  <c r="O13" i="5"/>
  <c r="J13" i="5"/>
  <c r="E13" i="5"/>
  <c r="P12" i="5"/>
  <c r="O12" i="5"/>
  <c r="J12" i="5"/>
  <c r="E12" i="5"/>
  <c r="C5" i="5"/>
  <c r="B5" i="5"/>
  <c r="C95" i="244"/>
  <c r="C72" i="244"/>
  <c r="C63" i="244"/>
  <c r="C50" i="244"/>
  <c r="E39" i="244"/>
  <c r="C39" i="244"/>
  <c r="B39" i="244"/>
  <c r="E38" i="244"/>
  <c r="C16" i="244"/>
  <c r="B16" i="244"/>
  <c r="C12" i="244"/>
  <c r="B12" i="244"/>
  <c r="H30" i="7"/>
  <c r="H29" i="7"/>
  <c r="H28" i="7"/>
  <c r="H27" i="7"/>
  <c r="H26" i="7"/>
  <c r="H25" i="7"/>
  <c r="H24" i="7"/>
  <c r="H23" i="7"/>
  <c r="H20" i="7"/>
  <c r="H19" i="7"/>
  <c r="H18" i="7"/>
  <c r="H17" i="7"/>
  <c r="H16" i="7"/>
  <c r="H15" i="7"/>
  <c r="H14" i="7"/>
  <c r="H13" i="7"/>
  <c r="H12" i="7"/>
  <c r="H11" i="7"/>
  <c r="F11" i="7"/>
  <c r="E55" i="292"/>
  <c r="M52" i="292"/>
  <c r="O51" i="292"/>
  <c r="M50" i="292"/>
  <c r="G48" i="292"/>
  <c r="G47" i="292"/>
  <c r="J46" i="292"/>
  <c r="G46" i="292"/>
  <c r="G45" i="292"/>
  <c r="N44" i="292"/>
  <c r="M44" i="292"/>
  <c r="N43" i="292"/>
  <c r="M43" i="292"/>
  <c r="M41" i="292"/>
  <c r="P40" i="292"/>
  <c r="O40" i="292"/>
  <c r="N40" i="292"/>
  <c r="M40" i="292"/>
  <c r="L40" i="292"/>
  <c r="J40" i="292"/>
  <c r="I40" i="292"/>
  <c r="H40" i="292"/>
  <c r="G40" i="292"/>
  <c r="E40" i="292"/>
  <c r="D40" i="292"/>
  <c r="C40" i="292"/>
  <c r="B40" i="292"/>
  <c r="Q39" i="292"/>
  <c r="P39" i="292"/>
  <c r="O39" i="292"/>
  <c r="N39" i="292"/>
  <c r="M39" i="292"/>
  <c r="I39" i="292"/>
  <c r="H39" i="292"/>
  <c r="D39" i="292"/>
  <c r="B39" i="292"/>
  <c r="A39" i="292"/>
  <c r="Q38" i="292"/>
  <c r="P38" i="292"/>
  <c r="O38" i="292"/>
  <c r="N38" i="292"/>
  <c r="M38" i="292"/>
  <c r="I38" i="292"/>
  <c r="H38" i="292"/>
  <c r="D38" i="292"/>
  <c r="B38" i="292"/>
  <c r="A38" i="292"/>
  <c r="Q37" i="292"/>
  <c r="P37" i="292"/>
  <c r="O37" i="292"/>
  <c r="N37" i="292"/>
  <c r="M37" i="292"/>
  <c r="I37" i="292"/>
  <c r="H37" i="292"/>
  <c r="D37" i="292"/>
  <c r="B37" i="292"/>
  <c r="A37" i="292"/>
  <c r="Q36" i="292"/>
  <c r="P36" i="292"/>
  <c r="O36" i="292"/>
  <c r="N36" i="292"/>
  <c r="M36" i="292"/>
  <c r="I36" i="292"/>
  <c r="H36" i="292"/>
  <c r="D36" i="292"/>
  <c r="B36" i="292"/>
  <c r="A36" i="292"/>
  <c r="Q35" i="292"/>
  <c r="P35" i="292"/>
  <c r="O35" i="292"/>
  <c r="N35" i="292"/>
  <c r="M35" i="292"/>
  <c r="I35" i="292"/>
  <c r="H35" i="292"/>
  <c r="D35" i="292"/>
  <c r="B35" i="292"/>
  <c r="A35" i="292"/>
  <c r="Q34" i="292"/>
  <c r="P34" i="292"/>
  <c r="O34" i="292"/>
  <c r="N34" i="292"/>
  <c r="M34" i="292"/>
  <c r="I34" i="292"/>
  <c r="H34" i="292"/>
  <c r="D34" i="292"/>
  <c r="B34" i="292"/>
  <c r="A34" i="292"/>
  <c r="Q33" i="292"/>
  <c r="P33" i="292"/>
  <c r="O33" i="292"/>
  <c r="N33" i="292"/>
  <c r="M33" i="292"/>
  <c r="I33" i="292"/>
  <c r="H33" i="292"/>
  <c r="D33" i="292"/>
  <c r="B33" i="292"/>
  <c r="A33" i="292"/>
  <c r="Q32" i="292"/>
  <c r="P32" i="292"/>
  <c r="O32" i="292"/>
  <c r="N32" i="292"/>
  <c r="M32" i="292"/>
  <c r="I32" i="292"/>
  <c r="H32" i="292"/>
  <c r="D32" i="292"/>
  <c r="B32" i="292"/>
  <c r="A32" i="292"/>
  <c r="Q31" i="292"/>
  <c r="P31" i="292"/>
  <c r="O31" i="292"/>
  <c r="N31" i="292"/>
  <c r="M31" i="292"/>
  <c r="I31" i="292"/>
  <c r="H31" i="292"/>
  <c r="D31" i="292"/>
  <c r="B31" i="292"/>
  <c r="A31" i="292"/>
  <c r="Q30" i="292"/>
  <c r="P30" i="292"/>
  <c r="O30" i="292"/>
  <c r="N30" i="292"/>
  <c r="M30" i="292"/>
  <c r="I30" i="292"/>
  <c r="H30" i="292"/>
  <c r="D30" i="292"/>
  <c r="B30" i="292"/>
  <c r="A30" i="292"/>
  <c r="Q29" i="292"/>
  <c r="P29" i="292"/>
  <c r="O29" i="292"/>
  <c r="N29" i="292"/>
  <c r="M29" i="292"/>
  <c r="I29" i="292"/>
  <c r="H29" i="292"/>
  <c r="D29" i="292"/>
  <c r="B29" i="292"/>
  <c r="A29" i="292"/>
  <c r="Q28" i="292"/>
  <c r="P28" i="292"/>
  <c r="O28" i="292"/>
  <c r="N28" i="292"/>
  <c r="M28" i="292"/>
  <c r="I28" i="292"/>
  <c r="H28" i="292"/>
  <c r="D28" i="292"/>
  <c r="B28" i="292"/>
  <c r="A28" i="292"/>
  <c r="Q27" i="292"/>
  <c r="P27" i="292"/>
  <c r="O27" i="292"/>
  <c r="N27" i="292"/>
  <c r="M27" i="292"/>
  <c r="I27" i="292"/>
  <c r="H27" i="292"/>
  <c r="D27" i="292"/>
  <c r="B27" i="292"/>
  <c r="A27" i="292"/>
  <c r="Q26" i="292"/>
  <c r="P26" i="292"/>
  <c r="O26" i="292"/>
  <c r="N26" i="292"/>
  <c r="M26" i="292"/>
  <c r="I26" i="292"/>
  <c r="H26" i="292"/>
  <c r="D26" i="292"/>
  <c r="B26" i="292"/>
  <c r="A26" i="292"/>
  <c r="Q25" i="292"/>
  <c r="P25" i="292"/>
  <c r="O25" i="292"/>
  <c r="N25" i="292"/>
  <c r="M25" i="292"/>
  <c r="I25" i="292"/>
  <c r="H25" i="292"/>
  <c r="D25" i="292"/>
  <c r="B25" i="292"/>
  <c r="A25" i="292"/>
  <c r="Q24" i="292"/>
  <c r="P24" i="292"/>
  <c r="O24" i="292"/>
  <c r="N24" i="292"/>
  <c r="M24" i="292"/>
  <c r="I24" i="292"/>
  <c r="H24" i="292"/>
  <c r="D24" i="292"/>
  <c r="B24" i="292"/>
  <c r="A24" i="292"/>
  <c r="Q23" i="292"/>
  <c r="P23" i="292"/>
  <c r="O23" i="292"/>
  <c r="N23" i="292"/>
  <c r="M23" i="292"/>
  <c r="I23" i="292"/>
  <c r="H23" i="292"/>
  <c r="D23" i="292"/>
  <c r="B23" i="292"/>
  <c r="A23" i="292"/>
  <c r="Q22" i="292"/>
  <c r="P22" i="292"/>
  <c r="O22" i="292"/>
  <c r="N22" i="292"/>
  <c r="M22" i="292"/>
  <c r="I22" i="292"/>
  <c r="H22" i="292"/>
  <c r="D22" i="292"/>
  <c r="B22" i="292"/>
  <c r="A22" i="292"/>
  <c r="Q21" i="292"/>
  <c r="P21" i="292"/>
  <c r="O21" i="292"/>
  <c r="N21" i="292"/>
  <c r="M21" i="292"/>
  <c r="I21" i="292"/>
  <c r="H21" i="292"/>
  <c r="D21" i="292"/>
  <c r="B21" i="292"/>
  <c r="A21" i="292"/>
  <c r="Q20" i="292"/>
  <c r="P20" i="292"/>
  <c r="O20" i="292"/>
  <c r="N20" i="292"/>
  <c r="M20" i="292"/>
  <c r="I20" i="292"/>
  <c r="H20" i="292"/>
  <c r="D20" i="292"/>
  <c r="B20" i="292"/>
  <c r="A20" i="292"/>
  <c r="Q19" i="292"/>
  <c r="P19" i="292"/>
  <c r="O19" i="292"/>
  <c r="N19" i="292"/>
  <c r="M19" i="292"/>
  <c r="I19" i="292"/>
  <c r="H19" i="292"/>
  <c r="D19" i="292"/>
  <c r="B19" i="292"/>
  <c r="A19" i="292"/>
  <c r="Q18" i="292"/>
  <c r="P18" i="292"/>
  <c r="O18" i="292"/>
  <c r="N18" i="292"/>
  <c r="M18" i="292"/>
  <c r="I18" i="292"/>
  <c r="H18" i="292"/>
  <c r="D18" i="292"/>
  <c r="B18" i="292"/>
  <c r="A18" i="292"/>
  <c r="Q17" i="292"/>
  <c r="P17" i="292"/>
  <c r="O17" i="292"/>
  <c r="N17" i="292"/>
  <c r="M17" i="292"/>
  <c r="I17" i="292"/>
  <c r="H17" i="292"/>
  <c r="D17" i="292"/>
  <c r="B17" i="292"/>
  <c r="A17" i="292"/>
  <c r="Q16" i="292"/>
  <c r="P16" i="292"/>
  <c r="O16" i="292"/>
  <c r="N16" i="292"/>
  <c r="M16" i="292"/>
  <c r="I16" i="292"/>
  <c r="H16" i="292"/>
  <c r="D16" i="292"/>
  <c r="B16" i="292"/>
  <c r="A16" i="292"/>
  <c r="Q15" i="292"/>
  <c r="P15" i="292"/>
  <c r="O15" i="292"/>
  <c r="N15" i="292"/>
  <c r="M15" i="292"/>
  <c r="I15" i="292"/>
  <c r="H15" i="292"/>
  <c r="D15" i="292"/>
  <c r="B15" i="292"/>
  <c r="A15" i="292"/>
  <c r="Q14" i="292"/>
  <c r="P14" i="292"/>
  <c r="O14" i="292"/>
  <c r="N14" i="292"/>
  <c r="M14" i="292"/>
  <c r="I14" i="292"/>
  <c r="H14" i="292"/>
  <c r="D14" i="292"/>
  <c r="B14" i="292"/>
  <c r="A14" i="292"/>
  <c r="Q13" i="292"/>
  <c r="P13" i="292"/>
  <c r="O13" i="292"/>
  <c r="N13" i="292"/>
  <c r="M13" i="292"/>
  <c r="I13" i="292"/>
  <c r="H13" i="292"/>
  <c r="D13" i="292"/>
  <c r="B13" i="292"/>
  <c r="A13" i="292"/>
  <c r="Q12" i="292"/>
  <c r="P12" i="292"/>
  <c r="O12" i="292"/>
  <c r="N12" i="292"/>
  <c r="M12" i="292"/>
  <c r="I12" i="292"/>
  <c r="H12" i="292"/>
  <c r="D12" i="292"/>
  <c r="B12" i="292"/>
  <c r="A12" i="292"/>
  <c r="Q11" i="292"/>
  <c r="P11" i="292"/>
  <c r="O11" i="292"/>
  <c r="N11" i="292"/>
  <c r="M11" i="292"/>
  <c r="I11" i="292"/>
  <c r="H11" i="292"/>
  <c r="D11" i="292"/>
  <c r="B11" i="292"/>
  <c r="A11" i="292"/>
  <c r="Q10" i="292"/>
  <c r="P10" i="292"/>
  <c r="O10" i="292"/>
  <c r="N10" i="292"/>
  <c r="M10" i="292"/>
  <c r="I10" i="292"/>
  <c r="H10" i="292"/>
  <c r="D10" i="292"/>
  <c r="B10" i="292"/>
  <c r="A10" i="292"/>
  <c r="Q9" i="292"/>
  <c r="P9" i="292"/>
  <c r="O9" i="292"/>
  <c r="N9" i="292"/>
  <c r="M9" i="292"/>
  <c r="I9" i="292"/>
  <c r="H9" i="292"/>
  <c r="D9" i="292"/>
  <c r="B9" i="292"/>
  <c r="A9" i="292"/>
  <c r="Q8" i="292"/>
  <c r="P8" i="292"/>
  <c r="Q5" i="292"/>
  <c r="I2" i="292"/>
  <c r="O1461" i="320" l="1"/>
  <c r="H58" i="5"/>
  <c r="K59" i="5"/>
  <c r="K61" i="5" s="1"/>
  <c r="B60" i="5"/>
  <c r="C16" i="6"/>
  <c r="C22" i="6" s="1"/>
  <c r="C28" i="6" s="1"/>
  <c r="D58" i="5"/>
  <c r="D60" i="5" s="1"/>
  <c r="C48" i="329"/>
  <c r="D40" i="329"/>
  <c r="C38" i="26"/>
  <c r="M40" i="12"/>
  <c r="O40" i="12" s="1"/>
  <c r="J5" i="12"/>
  <c r="N17" i="108"/>
  <c r="N40" i="108" s="1"/>
  <c r="O17" i="108"/>
  <c r="O18" i="108" s="1"/>
  <c r="O19" i="108" s="1"/>
  <c r="O20" i="108" s="1"/>
  <c r="O21" i="108" s="1"/>
  <c r="O22" i="108" s="1"/>
  <c r="O23" i="108" s="1"/>
  <c r="O24" i="108" s="1"/>
  <c r="O25" i="108" s="1"/>
  <c r="O26" i="108" s="1"/>
  <c r="O27" i="108" s="1"/>
  <c r="O28" i="108" s="1"/>
  <c r="O29" i="108" s="1"/>
  <c r="O30" i="108" s="1"/>
  <c r="O31" i="108" s="1"/>
  <c r="O32" i="108" s="1"/>
  <c r="O33" i="108" s="1"/>
  <c r="O34" i="108" s="1"/>
  <c r="O35" i="108" s="1"/>
  <c r="O36" i="108" s="1"/>
  <c r="O37" i="108" s="1"/>
  <c r="O38" i="108" s="1"/>
  <c r="O39" i="108" s="1"/>
  <c r="R46" i="12"/>
  <c r="P46" i="12"/>
  <c r="Q46" i="12"/>
  <c r="D46" i="12"/>
  <c r="D63" i="12" s="1"/>
  <c r="D66" i="12" s="1"/>
  <c r="B44" i="141"/>
  <c r="D44" i="141" s="1"/>
  <c r="D46" i="141" s="1"/>
  <c r="O17" i="141"/>
  <c r="O18" i="141" s="1"/>
  <c r="O19" i="141" s="1"/>
  <c r="O20" i="141" s="1"/>
  <c r="O21" i="141" s="1"/>
  <c r="O22" i="141" s="1"/>
  <c r="O23" i="141" s="1"/>
  <c r="O24" i="141" s="1"/>
  <c r="O25" i="141" s="1"/>
  <c r="O26" i="141" s="1"/>
  <c r="O27" i="141" s="1"/>
  <c r="O28" i="141" s="1"/>
  <c r="O29" i="141" s="1"/>
  <c r="O30" i="141" s="1"/>
  <c r="O31" i="141" s="1"/>
  <c r="O32" i="141" s="1"/>
  <c r="O33" i="141" s="1"/>
  <c r="O34" i="141" s="1"/>
  <c r="O35" i="141" s="1"/>
  <c r="O36" i="141" s="1"/>
  <c r="O37" i="141" s="1"/>
  <c r="O38" i="141" s="1"/>
  <c r="O39" i="141" s="1"/>
  <c r="N17" i="141"/>
  <c r="C47" i="2"/>
  <c r="C48" i="2" s="1"/>
  <c r="F17" i="20"/>
  <c r="B17" i="20"/>
  <c r="D18" i="20" s="1"/>
  <c r="B47" i="2"/>
  <c r="D22" i="20"/>
  <c r="D42" i="19"/>
  <c r="E42" i="19" s="1"/>
  <c r="E61" i="12"/>
  <c r="L11" i="232"/>
  <c r="L21" i="93"/>
  <c r="G29" i="20"/>
  <c r="C43" i="2"/>
  <c r="C49" i="2" s="1"/>
  <c r="B18" i="6"/>
  <c r="B48" i="2"/>
  <c r="B46" i="2"/>
  <c r="B44" i="2"/>
  <c r="L14" i="232"/>
  <c r="O27" i="225"/>
  <c r="E15" i="105"/>
  <c r="N11" i="232"/>
  <c r="N21" i="93"/>
  <c r="I29" i="20"/>
  <c r="D18" i="6"/>
  <c r="D48" i="2"/>
  <c r="D46" i="2"/>
  <c r="D44" i="2"/>
  <c r="D20" i="6" s="1"/>
  <c r="N14" i="232"/>
  <c r="Q27" i="225"/>
  <c r="E17" i="105"/>
  <c r="B57" i="329"/>
  <c r="E57" i="329" s="1"/>
  <c r="E55" i="329"/>
  <c r="E16" i="105"/>
  <c r="M21" i="93"/>
  <c r="M11" i="232"/>
  <c r="H32" i="20"/>
  <c r="C44" i="2"/>
  <c r="C20" i="6" s="1"/>
  <c r="C46" i="2"/>
  <c r="P27" i="225"/>
  <c r="E63" i="329"/>
  <c r="C34" i="6" l="1"/>
  <c r="C29" i="6"/>
  <c r="H46" i="6"/>
  <c r="H60" i="5"/>
  <c r="J58" i="5"/>
  <c r="J60" i="5" s="1"/>
  <c r="D21" i="20" s="1"/>
  <c r="D23" i="20" s="1"/>
  <c r="C46" i="26"/>
  <c r="C47" i="26" s="1"/>
  <c r="C40" i="26"/>
  <c r="Q40" i="12"/>
  <c r="Q63" i="12" s="1"/>
  <c r="Q66" i="12" s="1"/>
  <c r="R40" i="12"/>
  <c r="R63" i="12" s="1"/>
  <c r="R66" i="12" s="1"/>
  <c r="P40" i="12"/>
  <c r="P63" i="12" s="1"/>
  <c r="P66" i="12" s="1"/>
  <c r="O43" i="141"/>
  <c r="N40" i="141"/>
  <c r="E63" i="12"/>
  <c r="E66" i="12" s="1"/>
  <c r="K61" i="12"/>
  <c r="M25" i="232"/>
  <c r="M22" i="232"/>
  <c r="M7" i="232"/>
  <c r="J16" i="105"/>
  <c r="H16" i="105"/>
  <c r="F16" i="105"/>
  <c r="E22" i="105"/>
  <c r="I16" i="105"/>
  <c r="G16" i="105"/>
  <c r="C43" i="6"/>
  <c r="C46" i="6" s="1"/>
  <c r="C39" i="6"/>
  <c r="C47" i="6" s="1"/>
  <c r="M22" i="93"/>
  <c r="M24" i="93" s="1"/>
  <c r="M23" i="93"/>
  <c r="J17" i="105"/>
  <c r="H17" i="105"/>
  <c r="F17" i="105"/>
  <c r="I17" i="105"/>
  <c r="G17" i="105"/>
  <c r="D22" i="6"/>
  <c r="D28" i="6" s="1"/>
  <c r="D32" i="6"/>
  <c r="D65" i="329" s="1"/>
  <c r="N23" i="93"/>
  <c r="N22" i="93"/>
  <c r="N24" i="93" s="1"/>
  <c r="J15" i="105"/>
  <c r="H15" i="105"/>
  <c r="F15" i="105"/>
  <c r="F18" i="105" s="1"/>
  <c r="F19" i="105" s="1"/>
  <c r="E18" i="105"/>
  <c r="I15" i="105"/>
  <c r="G15" i="105"/>
  <c r="O14" i="232"/>
  <c r="P14" i="232" s="1"/>
  <c r="B22" i="6"/>
  <c r="B28" i="6" s="1"/>
  <c r="B32" i="6"/>
  <c r="B65" i="329" s="1"/>
  <c r="E65" i="329" s="1"/>
  <c r="G32" i="20"/>
  <c r="G31" i="20"/>
  <c r="J29" i="20"/>
  <c r="J32" i="20" s="1"/>
  <c r="L22" i="232"/>
  <c r="L25" i="232"/>
  <c r="O11" i="232"/>
  <c r="D43" i="6"/>
  <c r="D46" i="6" s="1"/>
  <c r="D39" i="6"/>
  <c r="D47" i="6" s="1"/>
  <c r="I32" i="20"/>
  <c r="I31" i="20"/>
  <c r="N22" i="232"/>
  <c r="N25" i="232"/>
  <c r="R27" i="225"/>
  <c r="S27" i="225" s="1"/>
  <c r="C45" i="2"/>
  <c r="B20" i="6"/>
  <c r="L23" i="93"/>
  <c r="O23" i="93" s="1"/>
  <c r="L22" i="93"/>
  <c r="L24" i="93" s="1"/>
  <c r="O21" i="93"/>
  <c r="C66" i="329" l="1"/>
  <c r="C35" i="6"/>
  <c r="M61" i="12"/>
  <c r="K63" i="12"/>
  <c r="K66" i="12" s="1"/>
  <c r="O22" i="93"/>
  <c r="O24" i="93" s="1"/>
  <c r="P21" i="93"/>
  <c r="P22" i="93" s="1"/>
  <c r="P24" i="93" s="1"/>
  <c r="P11" i="232"/>
  <c r="P22" i="232" s="1"/>
  <c r="P26" i="232" s="1"/>
  <c r="O22" i="232"/>
  <c r="O26" i="232" s="1"/>
  <c r="L26" i="232"/>
  <c r="L24" i="232"/>
  <c r="J31" i="20"/>
  <c r="B43" i="6"/>
  <c r="B46" i="6" s="1"/>
  <c r="B39" i="6"/>
  <c r="B47" i="6" s="1"/>
  <c r="N26" i="232"/>
  <c r="N24" i="232"/>
  <c r="O25" i="232"/>
  <c r="B34" i="6"/>
  <c r="G46" i="6"/>
  <c r="B29" i="6"/>
  <c r="J18" i="105"/>
  <c r="J19" i="105" s="1"/>
  <c r="H18" i="105"/>
  <c r="E19" i="105"/>
  <c r="G18" i="105"/>
  <c r="G19" i="105" s="1"/>
  <c r="M26" i="232"/>
  <c r="M24" i="232"/>
  <c r="D34" i="6"/>
  <c r="D29" i="6"/>
  <c r="I46" i="6"/>
  <c r="O61" i="12" l="1"/>
  <c r="O63" i="12" s="1"/>
  <c r="M63" i="12"/>
  <c r="M66" i="12" s="1"/>
  <c r="D35" i="6"/>
  <c r="D66" i="329"/>
  <c r="O24" i="232"/>
  <c r="H19" i="105"/>
  <c r="I18" i="105"/>
  <c r="I19" i="105" s="1"/>
  <c r="D30" i="6"/>
  <c r="B66" i="329"/>
  <c r="E66" i="329" s="1"/>
  <c r="B35" i="6"/>
  <c r="O66" i="12" l="1"/>
  <c r="D24" i="20"/>
  <c r="D26" i="20" s="1"/>
  <c r="D28" i="20" s="1"/>
  <c r="D33" i="20" s="1"/>
  <c r="D35" i="20" s="1"/>
  <c r="F19" i="20" s="1"/>
  <c r="D36" i="6"/>
  <c r="D37" i="6" s="1"/>
  <c r="D38" i="6" s="1"/>
  <c r="N584" i="303" l="1"/>
  <c r="Q39" i="303"/>
  <c r="N40" i="303"/>
  <c r="N39" i="303"/>
  <c r="P39" i="303"/>
  <c r="P40" i="303"/>
  <c r="E40" i="303"/>
  <c r="H40" i="303"/>
  <c r="Q40" i="303"/>
  <c r="E39" i="303"/>
  <c r="D39" i="303"/>
  <c r="D40" i="303"/>
</calcChain>
</file>

<file path=xl/comments1.xml><?xml version="1.0" encoding="utf-8"?>
<comments xmlns="http://schemas.openxmlformats.org/spreadsheetml/2006/main">
  <authors>
    <author>blessingyassa</author>
  </authors>
  <commentList>
    <comment ref="F19" authorId="0">
      <text>
        <r>
          <rPr>
            <b/>
            <sz val="9"/>
            <color indexed="81"/>
            <rFont val="Tahoma"/>
            <family val="2"/>
          </rPr>
          <t>OW170607.1113.A10640</t>
        </r>
      </text>
    </comment>
    <comment ref="F33" authorId="0">
      <text>
        <r>
          <rPr>
            <b/>
            <sz val="9"/>
            <color indexed="81"/>
            <rFont val="Tahoma"/>
            <family val="2"/>
          </rPr>
          <t>ID ow170620.1518.A00427</t>
        </r>
      </text>
    </comment>
    <comment ref="F42" authorId="0">
      <text>
        <r>
          <rPr>
            <b/>
            <sz val="9"/>
            <color indexed="81"/>
            <rFont val="Tahoma"/>
            <family val="2"/>
          </rPr>
          <t>OW170629.1642A01918</t>
        </r>
      </text>
    </comment>
    <comment ref="F53" authorId="0">
      <text>
        <r>
          <rPr>
            <b/>
            <sz val="9"/>
            <color indexed="81"/>
            <rFont val="Tahoma"/>
            <family val="2"/>
          </rPr>
          <t>blessingyassa:</t>
        </r>
        <r>
          <rPr>
            <sz val="9"/>
            <color indexed="81"/>
            <rFont val="Tahoma"/>
            <family val="2"/>
          </rPr>
          <t xml:space="preserve">
OW170703,1718,A02369</t>
        </r>
      </text>
    </comment>
    <comment ref="F70" authorId="0">
      <text>
        <r>
          <rPr>
            <b/>
            <sz val="9"/>
            <color indexed="81"/>
            <rFont val="Tahoma"/>
            <family val="2"/>
          </rPr>
          <t>blessingyassa:</t>
        </r>
        <r>
          <rPr>
            <sz val="9"/>
            <color indexed="81"/>
            <rFont val="Tahoma"/>
            <family val="2"/>
          </rPr>
          <t xml:space="preserve">
OW170710,1921,A03874</t>
        </r>
      </text>
    </comment>
    <comment ref="F95" authorId="0">
      <text>
        <r>
          <rPr>
            <b/>
            <sz val="9"/>
            <color indexed="81"/>
            <rFont val="Tahoma"/>
            <family val="2"/>
          </rPr>
          <t>blessingyassa:</t>
        </r>
        <r>
          <rPr>
            <sz val="9"/>
            <color indexed="81"/>
            <rFont val="Tahoma"/>
            <family val="2"/>
          </rPr>
          <t xml:space="preserve">
OW170718,1336,A04996</t>
        </r>
      </text>
    </comment>
    <comment ref="F108" authorId="0">
      <text>
        <r>
          <rPr>
            <b/>
            <sz val="9"/>
            <color indexed="81"/>
            <rFont val="Tahoma"/>
            <family val="2"/>
          </rPr>
          <t>blessingyassa:</t>
        </r>
        <r>
          <rPr>
            <sz val="9"/>
            <color indexed="81"/>
            <rFont val="Tahoma"/>
            <family val="2"/>
          </rPr>
          <t xml:space="preserve">
OW170724,1748A05289</t>
        </r>
      </text>
    </comment>
    <comment ref="F122" authorId="0">
      <text>
        <r>
          <rPr>
            <b/>
            <sz val="9"/>
            <color indexed="81"/>
            <rFont val="Tahoma"/>
            <family val="2"/>
          </rPr>
          <t>blessingyassa:</t>
        </r>
        <r>
          <rPr>
            <sz val="9"/>
            <color indexed="81"/>
            <rFont val="Tahoma"/>
            <family val="2"/>
          </rPr>
          <t xml:space="preserve">
OW170801,0942A06144</t>
        </r>
      </text>
    </comment>
    <comment ref="F153" authorId="0">
      <text>
        <r>
          <rPr>
            <b/>
            <sz val="9"/>
            <color indexed="81"/>
            <rFont val="Tahoma"/>
            <family val="2"/>
          </rPr>
          <t>ow170816.2036.B00639</t>
        </r>
      </text>
    </comment>
    <comment ref="F161" authorId="0">
      <text>
        <r>
          <rPr>
            <b/>
            <sz val="9"/>
            <color indexed="81"/>
            <rFont val="Tahoma"/>
            <family val="2"/>
          </rPr>
          <t>ow170821.1745.A00219</t>
        </r>
        <r>
          <rPr>
            <sz val="9"/>
            <color indexed="81"/>
            <rFont val="Tahoma"/>
            <family val="2"/>
          </rPr>
          <t xml:space="preserve">
douala le 18 - 0 8 - 2017</t>
        </r>
      </text>
    </comment>
    <comment ref="F181" authorId="0">
      <text>
        <r>
          <rPr>
            <b/>
            <sz val="9"/>
            <color indexed="81"/>
            <rFont val="Tahoma"/>
            <family val="2"/>
          </rPr>
          <t xml:space="preserve">OW170829.0906.A00868
</t>
        </r>
      </text>
    </comment>
    <comment ref="F188" authorId="0">
      <text>
        <r>
          <rPr>
            <b/>
            <sz val="9"/>
            <color indexed="81"/>
            <rFont val="Tahoma"/>
            <family val="2"/>
          </rPr>
          <t xml:space="preserve">OW170904.1703.AO2006
</t>
        </r>
      </text>
    </comment>
    <comment ref="F207" authorId="0">
      <text>
        <r>
          <rPr>
            <b/>
            <sz val="9"/>
            <color indexed="81"/>
            <rFont val="Tahoma"/>
            <family val="2"/>
          </rPr>
          <t xml:space="preserve">OW170911.1500.A03441
</t>
        </r>
      </text>
    </comment>
    <comment ref="F224" authorId="0">
      <text>
        <r>
          <rPr>
            <b/>
            <sz val="9"/>
            <color indexed="81"/>
            <rFont val="Tahoma"/>
            <family val="2"/>
          </rPr>
          <t>blessingyassa:</t>
        </r>
        <r>
          <rPr>
            <sz val="9"/>
            <color indexed="81"/>
            <rFont val="Tahoma"/>
            <family val="2"/>
          </rPr>
          <t xml:space="preserve">
OW170918,1230,A01090</t>
        </r>
      </text>
    </comment>
    <comment ref="F238" authorId="0">
      <text>
        <r>
          <rPr>
            <b/>
            <sz val="9"/>
            <color indexed="81"/>
            <rFont val="Tahoma"/>
            <family val="2"/>
          </rPr>
          <t>blessingyassa:</t>
        </r>
        <r>
          <rPr>
            <sz val="9"/>
            <color indexed="81"/>
            <rFont val="Tahoma"/>
            <family val="2"/>
          </rPr>
          <t xml:space="preserve">
OW170926,1721,A2765</t>
        </r>
      </text>
    </comment>
    <comment ref="F248" authorId="0">
      <text>
        <r>
          <rPr>
            <b/>
            <sz val="9"/>
            <color indexed="81"/>
            <rFont val="Tahoma"/>
            <family val="2"/>
          </rPr>
          <t>blessingyassa:</t>
        </r>
        <r>
          <rPr>
            <sz val="9"/>
            <color indexed="81"/>
            <rFont val="Tahoma"/>
            <family val="2"/>
          </rPr>
          <t xml:space="preserve">
OW171002,1206,A04242</t>
        </r>
      </text>
    </comment>
    <comment ref="F256" authorId="0">
      <text>
        <r>
          <rPr>
            <b/>
            <sz val="9"/>
            <color indexed="81"/>
            <rFont val="Tahoma"/>
            <family val="2"/>
          </rPr>
          <t>blessingyassa:</t>
        </r>
        <r>
          <rPr>
            <sz val="9"/>
            <color indexed="81"/>
            <rFont val="Tahoma"/>
            <family val="2"/>
          </rPr>
          <t xml:space="preserve">
OW171009,1648,A06889</t>
        </r>
      </text>
    </comment>
    <comment ref="F272" authorId="0">
      <text>
        <r>
          <rPr>
            <b/>
            <sz val="9"/>
            <color indexed="81"/>
            <rFont val="Tahoma"/>
            <family val="2"/>
          </rPr>
          <t>blessingyassa:</t>
        </r>
        <r>
          <rPr>
            <sz val="9"/>
            <color indexed="81"/>
            <rFont val="Tahoma"/>
            <family val="2"/>
          </rPr>
          <t xml:space="preserve">
OW171016,1454,A08470</t>
        </r>
      </text>
    </comment>
    <comment ref="F285" authorId="0">
      <text>
        <r>
          <rPr>
            <b/>
            <sz val="9"/>
            <color indexed="81"/>
            <rFont val="Tahoma"/>
            <family val="2"/>
          </rPr>
          <t>blessin0W171024,1621,A01876</t>
        </r>
        <r>
          <rPr>
            <sz val="9"/>
            <color indexed="81"/>
            <rFont val="Tahoma"/>
            <family val="2"/>
          </rPr>
          <t xml:space="preserve">
</t>
        </r>
      </text>
    </comment>
    <comment ref="F301" authorId="0">
      <text>
        <r>
          <rPr>
            <b/>
            <sz val="9"/>
            <color indexed="81"/>
            <rFont val="Tahoma"/>
            <family val="2"/>
          </rPr>
          <t>blessingyassa:</t>
        </r>
        <r>
          <rPr>
            <sz val="9"/>
            <color indexed="81"/>
            <rFont val="Tahoma"/>
            <family val="2"/>
          </rPr>
          <t xml:space="preserve">
OW171107,1845,A00704</t>
        </r>
      </text>
    </comment>
    <comment ref="F302" authorId="0">
      <text>
        <r>
          <rPr>
            <b/>
            <sz val="9"/>
            <color indexed="81"/>
            <rFont val="Tahoma"/>
            <family val="2"/>
          </rPr>
          <t>blessingyassa:</t>
        </r>
        <r>
          <rPr>
            <sz val="9"/>
            <color indexed="81"/>
            <rFont val="Tahoma"/>
            <family val="2"/>
          </rPr>
          <t xml:space="preserve">
OW171108,0854,00736</t>
        </r>
      </text>
    </comment>
    <comment ref="F319" authorId="0">
      <text>
        <r>
          <rPr>
            <b/>
            <sz val="9"/>
            <color indexed="81"/>
            <rFont val="Tahoma"/>
            <family val="2"/>
          </rPr>
          <t>blessingyassa:</t>
        </r>
        <r>
          <rPr>
            <sz val="9"/>
            <color indexed="81"/>
            <rFont val="Tahoma"/>
            <family val="2"/>
          </rPr>
          <t xml:space="preserve">
OW171123,1903,A04851</t>
        </r>
      </text>
    </comment>
    <comment ref="F325" authorId="0">
      <text>
        <r>
          <rPr>
            <b/>
            <sz val="9"/>
            <color indexed="81"/>
            <rFont val="Tahoma"/>
            <family val="2"/>
          </rPr>
          <t xml:space="preserve">OW171129,1245A06357
</t>
        </r>
      </text>
    </comment>
    <comment ref="F342" authorId="0">
      <text>
        <r>
          <rPr>
            <b/>
            <sz val="9"/>
            <color indexed="81"/>
            <rFont val="Tahoma"/>
            <family val="2"/>
          </rPr>
          <t>OW171211.0812.A00349</t>
        </r>
      </text>
    </comment>
    <comment ref="F348" authorId="0">
      <text>
        <r>
          <rPr>
            <b/>
            <sz val="9"/>
            <color indexed="81"/>
            <rFont val="Tahoma"/>
            <family val="2"/>
          </rPr>
          <t xml:space="preserve">OW171214
</t>
        </r>
      </text>
    </comment>
    <comment ref="F368" authorId="0">
      <text>
        <r>
          <rPr>
            <b/>
            <sz val="9"/>
            <color indexed="81"/>
            <rFont val="Tahoma"/>
            <family val="2"/>
          </rPr>
          <t>blessingyassa:</t>
        </r>
        <r>
          <rPr>
            <sz val="9"/>
            <color indexed="81"/>
            <rFont val="Tahoma"/>
            <family val="2"/>
          </rPr>
          <t xml:space="preserve">
OW171228,1542,A05548</t>
        </r>
      </text>
    </comment>
    <comment ref="F382" authorId="0">
      <text>
        <r>
          <rPr>
            <b/>
            <sz val="9"/>
            <color indexed="81"/>
            <rFont val="Tahoma"/>
            <family val="2"/>
          </rPr>
          <t>blessingyassa:</t>
        </r>
        <r>
          <rPr>
            <sz val="9"/>
            <color indexed="81"/>
            <rFont val="Tahoma"/>
            <family val="2"/>
          </rPr>
          <t xml:space="preserve">
OW180111,1303,A08745</t>
        </r>
      </text>
    </comment>
    <comment ref="F386" authorId="0">
      <text>
        <r>
          <rPr>
            <b/>
            <sz val="9"/>
            <color indexed="81"/>
            <rFont val="Tahoma"/>
            <family val="2"/>
          </rPr>
          <t>blessingyassa:</t>
        </r>
        <r>
          <rPr>
            <sz val="9"/>
            <color indexed="81"/>
            <rFont val="Tahoma"/>
            <family val="2"/>
          </rPr>
          <t xml:space="preserve">
ow180118,0909,a10273</t>
        </r>
      </text>
    </comment>
    <comment ref="F394" authorId="0">
      <text>
        <r>
          <rPr>
            <b/>
            <sz val="9"/>
            <color indexed="81"/>
            <rFont val="Tahoma"/>
            <family val="2"/>
          </rPr>
          <t>blessingyassa:</t>
        </r>
        <r>
          <rPr>
            <sz val="9"/>
            <color indexed="81"/>
            <rFont val="Tahoma"/>
            <family val="2"/>
          </rPr>
          <t xml:space="preserve">
ow180125,1039,a12336</t>
        </r>
      </text>
    </comment>
    <comment ref="F420" authorId="0">
      <text>
        <r>
          <rPr>
            <b/>
            <sz val="9"/>
            <color indexed="81"/>
            <rFont val="Tahoma"/>
            <family val="2"/>
          </rPr>
          <t>blessingyassa:</t>
        </r>
        <r>
          <rPr>
            <sz val="9"/>
            <color indexed="81"/>
            <rFont val="Tahoma"/>
            <family val="2"/>
          </rPr>
          <t xml:space="preserve">
OW180221,1621,A03268</t>
        </r>
      </text>
    </comment>
    <comment ref="F425" authorId="0">
      <text>
        <r>
          <rPr>
            <b/>
            <sz val="9"/>
            <color indexed="81"/>
            <rFont val="Tahoma"/>
            <family val="2"/>
          </rPr>
          <t>blessingyassa:</t>
        </r>
        <r>
          <rPr>
            <sz val="9"/>
            <color indexed="81"/>
            <rFont val="Tahoma"/>
            <family val="2"/>
          </rPr>
          <t xml:space="preserve">
OW180215,1142,A01692</t>
        </r>
      </text>
    </comment>
    <comment ref="F438" authorId="0">
      <text>
        <r>
          <rPr>
            <b/>
            <sz val="9"/>
            <color indexed="81"/>
            <rFont val="Tahoma"/>
            <family val="2"/>
          </rPr>
          <t>blessingyassa:</t>
        </r>
        <r>
          <rPr>
            <sz val="9"/>
            <color indexed="81"/>
            <rFont val="Tahoma"/>
            <family val="2"/>
          </rPr>
          <t xml:space="preserve">
ow180301,0809a05080</t>
        </r>
      </text>
    </comment>
    <comment ref="F451" authorId="0">
      <text>
        <r>
          <rPr>
            <b/>
            <sz val="9"/>
            <color indexed="81"/>
            <rFont val="Tahoma"/>
            <family val="2"/>
          </rPr>
          <t>blessingyassa:</t>
        </r>
        <r>
          <rPr>
            <sz val="9"/>
            <color indexed="81"/>
            <rFont val="Tahoma"/>
            <family val="2"/>
          </rPr>
          <t xml:space="preserve">
OW180308,0915A07025</t>
        </r>
      </text>
    </comment>
    <comment ref="F465" authorId="0">
      <text>
        <r>
          <rPr>
            <b/>
            <sz val="9"/>
            <color indexed="81"/>
            <rFont val="Tahoma"/>
            <family val="2"/>
          </rPr>
          <t>OW180315-1048,A09091</t>
        </r>
      </text>
    </comment>
    <comment ref="F471" authorId="0">
      <text>
        <r>
          <rPr>
            <b/>
            <sz val="9"/>
            <color indexed="81"/>
            <rFont val="Tahoma"/>
            <family val="2"/>
          </rPr>
          <t>OW180321-1054,A10447</t>
        </r>
      </text>
    </comment>
    <comment ref="F482" authorId="0">
      <text>
        <r>
          <rPr>
            <b/>
            <sz val="9"/>
            <color indexed="81"/>
            <rFont val="Tahoma"/>
            <family val="2"/>
          </rPr>
          <t>blessingyassa:</t>
        </r>
        <r>
          <rPr>
            <sz val="9"/>
            <color indexed="81"/>
            <rFont val="Tahoma"/>
            <family val="2"/>
          </rPr>
          <t xml:space="preserve">
OW180327,1121,A12277</t>
        </r>
      </text>
    </comment>
    <comment ref="F505" authorId="0">
      <text>
        <r>
          <rPr>
            <b/>
            <sz val="9"/>
            <color indexed="81"/>
            <rFont val="Tahoma"/>
            <family val="2"/>
          </rPr>
          <t xml:space="preserve">ow180406,1151A15913
</t>
        </r>
      </text>
    </comment>
    <comment ref="F519" authorId="0">
      <text>
        <r>
          <rPr>
            <b/>
            <sz val="9"/>
            <color indexed="81"/>
            <rFont val="Tahoma"/>
            <family val="2"/>
          </rPr>
          <t>blessingyassa:</t>
        </r>
        <r>
          <rPr>
            <sz val="9"/>
            <color indexed="81"/>
            <rFont val="Tahoma"/>
            <family val="2"/>
          </rPr>
          <t xml:space="preserve">
OW180411,1218,A16972</t>
        </r>
      </text>
    </comment>
    <comment ref="F549" authorId="0">
      <text/>
    </comment>
  </commentList>
</comments>
</file>

<file path=xl/comments2.xml><?xml version="1.0" encoding="utf-8"?>
<comments xmlns="http://schemas.openxmlformats.org/spreadsheetml/2006/main">
  <authors>
    <author>SWEET</author>
    <author>blessingyassa</author>
  </authors>
  <commentList>
    <comment ref="S13" authorId="0">
      <text>
        <r>
          <rPr>
            <b/>
            <sz val="8"/>
            <color indexed="81"/>
            <rFont val="Tahoma"/>
            <family val="2"/>
          </rPr>
          <t>SALAIRE POMPISTE DU MOIS DE JANVIER RETOURNER EN COFFRE</t>
        </r>
        <r>
          <rPr>
            <sz val="8"/>
            <color indexed="81"/>
            <rFont val="Tahoma"/>
            <family val="2"/>
          </rPr>
          <t xml:space="preserve">
</t>
        </r>
      </text>
    </comment>
    <comment ref="L34" authorId="1">
      <text>
        <r>
          <rPr>
            <b/>
            <sz val="9"/>
            <color indexed="81"/>
            <rFont val="Tahoma"/>
            <family val="2"/>
          </rPr>
          <t>blessingyassa:</t>
        </r>
        <r>
          <rPr>
            <sz val="9"/>
            <color indexed="81"/>
            <rFont val="Tahoma"/>
            <family val="2"/>
          </rPr>
          <t xml:space="preserve">
MTN MARCHAND</t>
        </r>
      </text>
    </comment>
  </commentList>
</comments>
</file>

<file path=xl/comments3.xml><?xml version="1.0" encoding="utf-8"?>
<comments xmlns="http://schemas.openxmlformats.org/spreadsheetml/2006/main">
  <authors>
    <author>SWEET</author>
  </authors>
  <commentList>
    <comment ref="J12" authorId="0">
      <text>
        <r>
          <rPr>
            <b/>
            <sz val="8"/>
            <color indexed="81"/>
            <rFont val="Tahoma"/>
            <family val="2"/>
          </rPr>
          <t>SWEET:</t>
        </r>
        <r>
          <rPr>
            <sz val="8"/>
            <color indexed="81"/>
            <rFont val="Tahoma"/>
            <family val="2"/>
          </rPr>
          <t xml:space="preserve">
</t>
        </r>
      </text>
    </comment>
  </commentList>
</comments>
</file>

<file path=xl/comments4.xml><?xml version="1.0" encoding="utf-8"?>
<comments xmlns="http://schemas.openxmlformats.org/spreadsheetml/2006/main">
  <authors>
    <author>SWEET</author>
  </authors>
  <commentList>
    <comment ref="M28" authorId="0">
      <text>
        <r>
          <rPr>
            <b/>
            <sz val="8"/>
            <color indexed="81"/>
            <rFont val="Tahoma"/>
            <family val="2"/>
          </rPr>
          <t xml:space="preserve">AVF 22 - 5 - 15
</t>
        </r>
      </text>
    </comment>
  </commentList>
</comments>
</file>

<file path=xl/comments5.xml><?xml version="1.0" encoding="utf-8"?>
<comments xmlns="http://schemas.openxmlformats.org/spreadsheetml/2006/main">
  <authors>
    <author>SWEET</author>
  </authors>
  <commentList>
    <comment ref="E42" authorId="0">
      <text>
        <r>
          <rPr>
            <b/>
            <sz val="8"/>
            <color indexed="81"/>
            <rFont val="Tahoma"/>
            <family val="2"/>
          </rPr>
          <t>propalm</t>
        </r>
        <r>
          <rPr>
            <sz val="8"/>
            <color indexed="81"/>
            <rFont val="Tahoma"/>
            <family val="2"/>
          </rPr>
          <t xml:space="preserve">
</t>
        </r>
      </text>
    </comment>
  </commentList>
</comments>
</file>

<file path=xl/comments6.xml><?xml version="1.0" encoding="utf-8"?>
<comments xmlns="http://schemas.openxmlformats.org/spreadsheetml/2006/main">
  <authors>
    <author>SWEET</author>
  </authors>
  <commentList>
    <comment ref="N9" authorId="0">
      <text>
        <r>
          <rPr>
            <b/>
            <sz val="8"/>
            <color indexed="81"/>
            <rFont val="Tahoma"/>
            <family val="2"/>
          </rPr>
          <t>REPRESENTE UNE REMISE DE 2F POUR LA CONOMMATION DE 5200 L GASOIL</t>
        </r>
        <r>
          <rPr>
            <sz val="8"/>
            <color indexed="81"/>
            <rFont val="Tahoma"/>
            <family val="2"/>
          </rPr>
          <t xml:space="preserve">
</t>
        </r>
      </text>
    </comment>
  </commentList>
</comments>
</file>

<file path=xl/comments7.xml><?xml version="1.0" encoding="utf-8"?>
<comments xmlns="http://schemas.openxmlformats.org/spreadsheetml/2006/main">
  <authors>
    <author>SWEET</author>
  </authors>
  <commentList>
    <comment ref="E15" authorId="0">
      <text>
        <r>
          <rPr>
            <b/>
            <sz val="8"/>
            <color indexed="81"/>
            <rFont val="Tahoma"/>
            <family val="2"/>
          </rPr>
          <t>HERLIN</t>
        </r>
        <r>
          <rPr>
            <sz val="8"/>
            <color indexed="81"/>
            <rFont val="Tahoma"/>
            <family val="2"/>
          </rPr>
          <t xml:space="preserve">
</t>
        </r>
      </text>
    </comment>
  </commentList>
</comments>
</file>

<file path=xl/sharedStrings.xml><?xml version="1.0" encoding="utf-8"?>
<sst xmlns="http://schemas.openxmlformats.org/spreadsheetml/2006/main" count="5239" uniqueCount="2271">
  <si>
    <t>Super</t>
  </si>
  <si>
    <t>Pétrole</t>
  </si>
  <si>
    <t>Gasoil</t>
  </si>
  <si>
    <t>DATE</t>
  </si>
  <si>
    <t>Cde-S</t>
  </si>
  <si>
    <t>Cde-P</t>
  </si>
  <si>
    <t>Coulage-P</t>
  </si>
  <si>
    <t>Cde-G</t>
  </si>
  <si>
    <t>Coulage-G</t>
  </si>
  <si>
    <t>Montant CDE</t>
  </si>
  <si>
    <t>T0TAL</t>
  </si>
  <si>
    <t>RECAPITULATIF APPROV ET COULAGES</t>
  </si>
  <si>
    <t>COULAGE</t>
  </si>
  <si>
    <t>QTEES</t>
  </si>
  <si>
    <t>VALEUR</t>
  </si>
  <si>
    <t>SUPER</t>
  </si>
  <si>
    <t>GASOIL</t>
  </si>
  <si>
    <t>PETROLE</t>
  </si>
  <si>
    <t>TOTAL</t>
  </si>
  <si>
    <t>MOIS:</t>
  </si>
  <si>
    <t>CONTROLE DES STOCKS</t>
  </si>
  <si>
    <t xml:space="preserve">Secteur/District : </t>
  </si>
  <si>
    <t>Nom de la station :</t>
  </si>
  <si>
    <t xml:space="preserve">Nom du gérant : </t>
  </si>
  <si>
    <t xml:space="preserve">Type de gestion : </t>
  </si>
  <si>
    <t>Gérance directe</t>
  </si>
  <si>
    <t>STOCKS</t>
  </si>
  <si>
    <t>S.INITIAL/JAUGE (a)</t>
  </si>
  <si>
    <t>ACHATS (b)</t>
  </si>
  <si>
    <t xml:space="preserve">VENTES (C) </t>
  </si>
  <si>
    <t>STOCK FINAL THEO (d) =(a+b-c)</t>
  </si>
  <si>
    <t>ECARTS (f) = (e) - (d)</t>
  </si>
  <si>
    <t>Valeur</t>
  </si>
  <si>
    <t>Total</t>
  </si>
  <si>
    <t>Coualage admis</t>
  </si>
  <si>
    <t>Coualage non admis</t>
  </si>
  <si>
    <t>Prix unitaire par produit</t>
  </si>
  <si>
    <t>Montant</t>
  </si>
  <si>
    <t>Prix unitaire</t>
  </si>
  <si>
    <t>MONTANT</t>
  </si>
  <si>
    <t>2°) CA LUBRIFIANT</t>
  </si>
  <si>
    <t>1°) CA CARBURANT</t>
  </si>
  <si>
    <t>REF</t>
  </si>
  <si>
    <t>PU</t>
  </si>
  <si>
    <t>APPROV</t>
  </si>
  <si>
    <t>Ventes</t>
  </si>
  <si>
    <t>Designation</t>
  </si>
  <si>
    <t>Date</t>
  </si>
  <si>
    <t>Motif</t>
  </si>
  <si>
    <t>TOTAL(1)</t>
  </si>
  <si>
    <t>TOTAL(2)</t>
  </si>
  <si>
    <t>Versements</t>
  </si>
  <si>
    <t>LUBRIFIANT</t>
  </si>
  <si>
    <t>LAVERIE</t>
  </si>
  <si>
    <t>FR Route</t>
  </si>
  <si>
    <t>SOLDE</t>
  </si>
  <si>
    <t>Quantité</t>
  </si>
  <si>
    <t>LIVRAISON LUBRIFIANT</t>
  </si>
  <si>
    <t xml:space="preserve">CLIENT </t>
  </si>
  <si>
    <t>Crédit période</t>
  </si>
  <si>
    <t>VERSEMENT</t>
  </si>
  <si>
    <t>QUANTITE</t>
  </si>
  <si>
    <t xml:space="preserve"> </t>
  </si>
  <si>
    <t xml:space="preserve">DATE </t>
  </si>
  <si>
    <t>ECART</t>
  </si>
  <si>
    <t>ETAT DE CONTROLE DES RECETTES S/S</t>
  </si>
  <si>
    <t>ELEMENTS</t>
  </si>
  <si>
    <t>GASOIL 1</t>
  </si>
  <si>
    <t>GASOIL 2</t>
  </si>
  <si>
    <t>Index Fermeture</t>
  </si>
  <si>
    <t>Index Ouverture</t>
  </si>
  <si>
    <t>Différence</t>
  </si>
  <si>
    <t>Retour en cuve</t>
  </si>
  <si>
    <t>Ventes Réelles</t>
  </si>
  <si>
    <t>Ventes cumulées par produit</t>
  </si>
  <si>
    <t>Prix Unitaire</t>
  </si>
  <si>
    <t>Chiffre d'affaires par produit</t>
  </si>
  <si>
    <t>C.A. Carburants (a)</t>
  </si>
  <si>
    <t>OBSERVATIONS:</t>
  </si>
  <si>
    <t>C.A. Lubrifiants (b)</t>
  </si>
  <si>
    <t>C.A. laverie ( c)</t>
  </si>
  <si>
    <t>Avoir carburant (Manquant livraison) (d)</t>
  </si>
  <si>
    <t>Manquant pompiste ( e)</t>
  </si>
  <si>
    <t>Chiffre d'affaires cumulé (1) = (a+b+c+d+e)</t>
  </si>
  <si>
    <t>Encaissement des crédits antérieurs  (3)</t>
  </si>
  <si>
    <t>Ventes au comptant (4) = (1)-(2)+(3)</t>
  </si>
  <si>
    <t>Total des encaissements de la période (6) = (4)+(5)</t>
  </si>
  <si>
    <t>Consommation clients spéciaux (g)</t>
  </si>
  <si>
    <t>Versements de la période (h)</t>
  </si>
  <si>
    <t>Dépenses de la période (i)</t>
  </si>
  <si>
    <t>Total des prélèvements (7) = (g+h+i)</t>
  </si>
  <si>
    <t>Solde Caisse Théorique (8) = (6)-(7)</t>
  </si>
  <si>
    <t xml:space="preserve">Situation réelle de la Caisse (9) </t>
  </si>
  <si>
    <t>Différence à justifier (10) = (9)-(8)</t>
  </si>
  <si>
    <t>S1</t>
  </si>
  <si>
    <t>S2</t>
  </si>
  <si>
    <t>S3</t>
  </si>
  <si>
    <t>S4</t>
  </si>
  <si>
    <t>G1</t>
  </si>
  <si>
    <t>G2</t>
  </si>
  <si>
    <t>G3</t>
  </si>
  <si>
    <t>P</t>
  </si>
  <si>
    <t xml:space="preserve">  </t>
  </si>
  <si>
    <t>TTPC</t>
  </si>
  <si>
    <t>MOYENNE</t>
  </si>
  <si>
    <t>MTPC</t>
  </si>
  <si>
    <t>TOTAL RECEPTION</t>
  </si>
  <si>
    <t>Solde débiteur</t>
  </si>
  <si>
    <t>Solde créditeur</t>
  </si>
  <si>
    <t>DESIGNATION</t>
  </si>
  <si>
    <t>UNITE</t>
  </si>
  <si>
    <t>LUBRIFIANTS</t>
  </si>
  <si>
    <t>stock initial</t>
  </si>
  <si>
    <t>stock final</t>
  </si>
  <si>
    <t>VALEUR SI</t>
  </si>
  <si>
    <t>V APPROV</t>
  </si>
  <si>
    <t>VALEUR SF</t>
  </si>
  <si>
    <t>MONTANT TOTAL(1)</t>
  </si>
  <si>
    <t>CLIENTS:</t>
  </si>
  <si>
    <t>FR de route</t>
  </si>
  <si>
    <t>Solde progressif</t>
  </si>
  <si>
    <t>PRODUIT</t>
  </si>
  <si>
    <t>REMISE</t>
  </si>
  <si>
    <t>Recette attendue lub et accéssoires</t>
  </si>
  <si>
    <t>Recette reelle lub et accéssoires</t>
  </si>
  <si>
    <t>TOTAL(1+2)</t>
  </si>
  <si>
    <t>CLIENT</t>
  </si>
  <si>
    <t>‰ = (f)*1000/(c)</t>
  </si>
  <si>
    <t xml:space="preserve">Dépenses </t>
  </si>
  <si>
    <t>ETAT DES REMISES EN CUVES</t>
  </si>
  <si>
    <t>Cumul</t>
  </si>
  <si>
    <t>Ventes du mois</t>
  </si>
  <si>
    <t>Objectif fixé</t>
  </si>
  <si>
    <t>Observation</t>
  </si>
  <si>
    <t>N° BORD</t>
  </si>
  <si>
    <t>RECU</t>
  </si>
  <si>
    <t>VALEUR TOTAL DES COMMNADES</t>
  </si>
  <si>
    <t xml:space="preserve">PU </t>
  </si>
  <si>
    <t>S5</t>
  </si>
  <si>
    <t>NOMS</t>
  </si>
  <si>
    <t xml:space="preserve"> ET PAIEMENT PAR CHEQUE</t>
  </si>
  <si>
    <t>Qté</t>
  </si>
  <si>
    <t>visa</t>
  </si>
  <si>
    <t>MOIS :</t>
  </si>
  <si>
    <t>Taux d'atteinte</t>
  </si>
  <si>
    <t>M-1</t>
  </si>
  <si>
    <t xml:space="preserve">PRODUIT </t>
  </si>
  <si>
    <t>Petrole</t>
  </si>
  <si>
    <t>Produit</t>
  </si>
  <si>
    <t>Client</t>
  </si>
  <si>
    <t>Ecart</t>
  </si>
  <si>
    <t>TOTAL / JOUR</t>
  </si>
  <si>
    <t>TOTAL CONSOMMATIONS</t>
  </si>
  <si>
    <t>PERIODE:</t>
  </si>
  <si>
    <t>GAZOIL</t>
  </si>
  <si>
    <t>CUMUL</t>
  </si>
  <si>
    <t>GRAPHIQUE D'EVOLUTION DES VENTES PAR PRODUITS</t>
  </si>
  <si>
    <t>VI- ETAT DES VENTES CARBURANTS</t>
  </si>
  <si>
    <t xml:space="preserve">  TOTAL(1)</t>
  </si>
  <si>
    <t>III- ETAT DES VERSEMENTS BANCAIRES</t>
  </si>
  <si>
    <t>PRODUITS</t>
  </si>
  <si>
    <t>QUANTITES</t>
  </si>
  <si>
    <t>COMMENTAIRE</t>
  </si>
  <si>
    <t>Solde clients station à la date de contrôle (2)</t>
  </si>
  <si>
    <t>date</t>
  </si>
  <si>
    <t>CLIENTS STATION</t>
  </si>
  <si>
    <t xml:space="preserve">TEL: </t>
  </si>
  <si>
    <t>Veillez confirmer le solde suivant qui est de 3 402 000 (trois million  quatre cent deux mille) FCFA.</t>
  </si>
  <si>
    <t>Veillez confirmer le solde suivant qui est de 200 000( deux cent mille francs cfa)</t>
  </si>
  <si>
    <t xml:space="preserve">                                                                                                                                                                                                                                                                                                                             </t>
  </si>
  <si>
    <t>BLESSING PETROLEUM S.A</t>
  </si>
  <si>
    <t>BLESSING PETROLEUM SA</t>
  </si>
  <si>
    <t>GASOIL 4</t>
  </si>
  <si>
    <t>Veillez confirmer le solde suivant qui est de (</t>
  </si>
  <si>
    <t>Veillez confirmer le solde suivant qui est de ) FCFA.</t>
  </si>
  <si>
    <t>Veillez confirmer le solde suivant qui est de   ) FCFA.</t>
  </si>
  <si>
    <t>E. Xtreme SYN 5W-40 (4x5l)</t>
  </si>
  <si>
    <t>E. Xtreme SYN 15W-40 (4x5l)</t>
  </si>
  <si>
    <t>E. Premium Motor Oil 40 (4x5l)</t>
  </si>
  <si>
    <t>E. Grease GP (tube) 0,4kg</t>
  </si>
  <si>
    <t>E. Gearlube EP 80w-90 vrac</t>
  </si>
  <si>
    <t>E. Gearlube EP 80w-90 (seau 20l)</t>
  </si>
  <si>
    <t>E. Gearlube EP 80w-90  (5l)</t>
  </si>
  <si>
    <t>E. ATF 22D (0,5l)</t>
  </si>
  <si>
    <t>N°</t>
  </si>
  <si>
    <t>MANQUANT POMPISTES</t>
  </si>
  <si>
    <t>S/S BLESSING</t>
  </si>
  <si>
    <t>MAI</t>
  </si>
  <si>
    <t>GASOIL 5</t>
  </si>
  <si>
    <t>GASOIL 6</t>
  </si>
  <si>
    <t>BLESSING</t>
  </si>
  <si>
    <t>PROJECTION</t>
  </si>
  <si>
    <t>REALISATION</t>
  </si>
  <si>
    <t>ECART P/R à la</t>
  </si>
  <si>
    <t>TAUX DE PROGRSSION</t>
  </si>
  <si>
    <t>Moy vtes/j</t>
  </si>
  <si>
    <t>MOIS M (prevision)</t>
  </si>
  <si>
    <t>MOIS M-1(precédent)</t>
  </si>
  <si>
    <t>MOIS( en cours)</t>
  </si>
  <si>
    <t>projection</t>
  </si>
  <si>
    <t xml:space="preserve"> M-1</t>
  </si>
  <si>
    <t>MOY/JR</t>
  </si>
  <si>
    <t>E. Premium Motor Oil 40 (20l)</t>
  </si>
  <si>
    <t>S6</t>
  </si>
  <si>
    <t>G4</t>
  </si>
  <si>
    <t>G5</t>
  </si>
  <si>
    <t>G6</t>
  </si>
  <si>
    <t>G7</t>
  </si>
  <si>
    <t>G8</t>
  </si>
  <si>
    <t>G9</t>
  </si>
  <si>
    <t>G10</t>
  </si>
  <si>
    <t>G11</t>
  </si>
  <si>
    <t>STATION SERVICE DE YASSA</t>
  </si>
  <si>
    <t>SODITRAT</t>
  </si>
  <si>
    <t>S/S BLESSING YASSA</t>
  </si>
  <si>
    <t>Coulage-S</t>
  </si>
  <si>
    <t>S/S YASSA</t>
  </si>
  <si>
    <t>E. Grease GP 50kg</t>
  </si>
  <si>
    <t>E. Super brake fluid Dot (0,5l)</t>
  </si>
  <si>
    <t>E. Dieselube 700 (15w40) (4x5l)</t>
  </si>
  <si>
    <t>E. Premium Motor Oil (10w20) (20l)</t>
  </si>
  <si>
    <t>BONIMEX</t>
  </si>
  <si>
    <t>MMS</t>
  </si>
  <si>
    <t>REGLEMENT</t>
  </si>
  <si>
    <t>KERKLAS</t>
  </si>
  <si>
    <t>KONFU</t>
  </si>
  <si>
    <t>JAUGE</t>
  </si>
  <si>
    <t>creux</t>
  </si>
  <si>
    <t>STATION SERVICE YASSA</t>
  </si>
  <si>
    <t xml:space="preserve">STATION SERVICE DE YASSA </t>
  </si>
  <si>
    <t>Sortie d'espece</t>
  </si>
  <si>
    <t>MODE RGLMT</t>
  </si>
  <si>
    <t>N° BORD COTRAVA</t>
  </si>
  <si>
    <t xml:space="preserve">        BLESSING</t>
  </si>
  <si>
    <t>MOIS</t>
  </si>
  <si>
    <t>TPC</t>
  </si>
  <si>
    <t>AVRIL</t>
  </si>
  <si>
    <t>JUIN</t>
  </si>
  <si>
    <t>JUILLET</t>
  </si>
  <si>
    <t>SEPTEMBRE</t>
  </si>
  <si>
    <t>Valeur stock</t>
  </si>
  <si>
    <t xml:space="preserve">       BLESSING</t>
  </si>
  <si>
    <t>N° D'ORD BICEC</t>
  </si>
  <si>
    <t>OCTOBRE</t>
  </si>
  <si>
    <t>E. Premium Motor Oil 40 Vrac</t>
  </si>
  <si>
    <t>pu</t>
  </si>
  <si>
    <t>carton</t>
  </si>
  <si>
    <t>Commentaire</t>
  </si>
  <si>
    <t>on observe sur la courbe une nette progression en ce qui concerne les ventes en gasoil .</t>
  </si>
  <si>
    <t xml:space="preserve">les ventes pétrole n'ont pas subbit de très grand changement l'on peut observer une augmentation </t>
  </si>
  <si>
    <t>KONGFU</t>
  </si>
  <si>
    <t>GRAISSEURS</t>
  </si>
  <si>
    <t>ACHOU GLENCORE</t>
  </si>
  <si>
    <t>SOFOCAM</t>
  </si>
  <si>
    <t>STATION SERVICE</t>
  </si>
  <si>
    <t>qté</t>
  </si>
  <si>
    <t>Index ouverture</t>
  </si>
  <si>
    <t>Index fermeture</t>
  </si>
  <si>
    <t>Pompes</t>
  </si>
  <si>
    <t>Ventes nettes</t>
  </si>
  <si>
    <t>MQT</t>
  </si>
  <si>
    <t>EXCD</t>
  </si>
  <si>
    <t>AMINA</t>
  </si>
  <si>
    <t>TAMO</t>
  </si>
  <si>
    <t>GRAISSEUR</t>
  </si>
  <si>
    <t>TOTOAL RECETTE</t>
  </si>
  <si>
    <t>RECETTE  CARB</t>
  </si>
  <si>
    <t>QTE</t>
  </si>
  <si>
    <t>Lubs</t>
  </si>
  <si>
    <t>HAMED (BNB)</t>
  </si>
  <si>
    <t>KESTRAL</t>
  </si>
  <si>
    <t>Solde</t>
  </si>
  <si>
    <t>NOVEMBRE</t>
  </si>
  <si>
    <t>DÉCEMBRE</t>
  </si>
  <si>
    <t>MOYENNE MENSUEL</t>
  </si>
  <si>
    <t>MOYENNE/JOUR</t>
  </si>
  <si>
    <t>Densité Ambiant</t>
  </si>
  <si>
    <t>Dates</t>
  </si>
  <si>
    <t xml:space="preserve">Ecart </t>
  </si>
  <si>
    <t>T°</t>
  </si>
  <si>
    <t>SCDP</t>
  </si>
  <si>
    <t>FICHE SUIVI RECEPTIONS CARBURANTS</t>
  </si>
  <si>
    <t>Véhicule</t>
  </si>
  <si>
    <t>N° BL</t>
  </si>
  <si>
    <t>COMP</t>
  </si>
  <si>
    <t>Densité 15°</t>
  </si>
  <si>
    <t xml:space="preserve">                 BLESSING</t>
  </si>
  <si>
    <t>Observat°</t>
  </si>
  <si>
    <t xml:space="preserve">Période allant du                    </t>
  </si>
  <si>
    <t xml:space="preserve">XII - ANALYSE DES VENTES </t>
  </si>
  <si>
    <t>PERIODE ALLANT DU 01 AU 31 - 10 - 2013</t>
  </si>
  <si>
    <t>TABLEAU D'ANALYSE DE VENTES CARBURANT</t>
  </si>
  <si>
    <t>MOIS M-1(précédent)</t>
  </si>
  <si>
    <t xml:space="preserve">                       la station service Blessing Yassa a réalisé ce mois la plus grosse vente en tous produits dépuis son ouverture,</t>
  </si>
  <si>
    <t>PROJECTION:</t>
  </si>
  <si>
    <t xml:space="preserve">           la vente de gasoil devient de plus en plus importante car, elle represente 80% des sorties TPC ce qui nous permet </t>
  </si>
  <si>
    <t>MOIS M-1(précédent):</t>
  </si>
  <si>
    <r>
      <t>Par rapport au mois précédent on remarque que le dépassement est énorme,  plus de +</t>
    </r>
    <r>
      <rPr>
        <b/>
        <sz val="14"/>
        <rFont val="Arial"/>
        <family val="2"/>
      </rPr>
      <t>94 M3</t>
    </r>
    <r>
      <rPr>
        <sz val="14"/>
        <rFont val="Arial"/>
        <family val="2"/>
      </rPr>
      <t xml:space="preserve"> </t>
    </r>
    <r>
      <rPr>
        <b/>
        <sz val="14"/>
        <rFont val="Arial"/>
        <family val="2"/>
      </rPr>
      <t>TPC.</t>
    </r>
  </si>
  <si>
    <t xml:space="preserve">          soit plus de 100M3 en gasoil,  0,521M3 en pétrole, mais en super nous avons encore des efforts a fournir il en ressort</t>
  </si>
  <si>
    <t>un éacrt de - 5993 par rapport au mois passé.</t>
  </si>
  <si>
    <t>ECART P/R au</t>
  </si>
  <si>
    <t>DIF</t>
  </si>
  <si>
    <t>ventes a terme</t>
  </si>
  <si>
    <t>M en cours</t>
  </si>
  <si>
    <t>versement</t>
  </si>
  <si>
    <t>Qté  différence</t>
  </si>
  <si>
    <r>
      <t>On observe sur le tableau d'analyse  que l'objetif fixé par la direction général a été  dépassé de</t>
    </r>
    <r>
      <rPr>
        <b/>
        <sz val="14"/>
        <rFont val="Arial"/>
        <family val="2"/>
      </rPr>
      <t xml:space="preserve"> + 18 921 M3 TPC</t>
    </r>
  </si>
  <si>
    <t xml:space="preserve">             néamoins, nous avons encore des efforts a fournir en ce qui concerne la sortie en super,qui sont inférieurs aux objectifs, </t>
  </si>
  <si>
    <t xml:space="preserve">           d'obtenir ces réalisations.</t>
  </si>
  <si>
    <t>EVOLUTION DES VENTES A TERME</t>
  </si>
  <si>
    <t>YASSA</t>
  </si>
  <si>
    <t>HERAKLESS</t>
  </si>
  <si>
    <t xml:space="preserve"> Enlevements Octobre 2013</t>
  </si>
  <si>
    <t xml:space="preserve"> Enlevements Novembre 2013</t>
  </si>
  <si>
    <t>A. GLENCORE</t>
  </si>
  <si>
    <t>Ventes TPC</t>
  </si>
  <si>
    <t>Etat des ventes a terme en qté</t>
  </si>
  <si>
    <t>Valeur écart</t>
  </si>
  <si>
    <r>
      <t xml:space="preserve">Pourcentage credit </t>
    </r>
    <r>
      <rPr>
        <b/>
        <sz val="14"/>
        <rFont val="Arial"/>
        <family val="2"/>
      </rPr>
      <t>/</t>
    </r>
    <r>
      <rPr>
        <b/>
        <sz val="11"/>
        <rFont val="Arial"/>
        <family val="2"/>
      </rPr>
      <t>vente TPC</t>
    </r>
  </si>
  <si>
    <t>GRAISSE</t>
  </si>
  <si>
    <t>Novembre</t>
  </si>
  <si>
    <t>valeur</t>
  </si>
  <si>
    <t>Mois</t>
  </si>
  <si>
    <t>Comparaison des ventes</t>
  </si>
  <si>
    <t>LOTTIN D.K</t>
  </si>
  <si>
    <t xml:space="preserve">   BLESSING</t>
  </si>
  <si>
    <t>Dépenses</t>
  </si>
  <si>
    <t xml:space="preserve">commentaire </t>
  </si>
  <si>
    <t>YANOU NGATCHOU Claudia</t>
  </si>
  <si>
    <t>NGO NGUEMHE Marie Carmen</t>
  </si>
  <si>
    <t>MALIEDJI Marie Gisele</t>
  </si>
  <si>
    <t>MEBANDA AYOLO Catherine</t>
  </si>
  <si>
    <t>MEBIEDEM TESSE Joachim</t>
  </si>
  <si>
    <t>EDIAGUE TSIMI Stephane</t>
  </si>
  <si>
    <t>EDOUMA Josue Emmanuel Desire</t>
  </si>
  <si>
    <t>FOUDA EBAH Moïse Frank</t>
  </si>
  <si>
    <t>CHOKOMENI FOUAMI Laure Blaise</t>
  </si>
  <si>
    <t>EYANGO Manfred Charles</t>
  </si>
  <si>
    <t>SANGO M Patrick Aristide</t>
  </si>
  <si>
    <t>BAKAN Michel</t>
  </si>
  <si>
    <t>total especes</t>
  </si>
  <si>
    <t>pourcentage ecart</t>
  </si>
  <si>
    <t>Légere regression par rapport aux mois antérieur la situation de la station ne nous permet pas d'enlever assez en super</t>
  </si>
  <si>
    <t>Solde caisse début période (5)</t>
  </si>
  <si>
    <t xml:space="preserve">      BLESSING</t>
  </si>
  <si>
    <t>XII - EVOLUTION DES VENTES A TERME</t>
  </si>
  <si>
    <t xml:space="preserve">  notre courbe sont celles de ces jours. Le 16 reste pour ce mois le meilleur jour de </t>
  </si>
  <si>
    <t xml:space="preserve">  vente(18,830 m3 TPC) sans oublier les dates du 22 et 29, des vendredis qui nous </t>
  </si>
  <si>
    <t xml:space="preserve"> ont propulsé vers le haut et nous ont permis d'obtenir  une moyenne Journalière de </t>
  </si>
  <si>
    <t xml:space="preserve">   légère stabilité au dessus de 10M3  les autres jours. Les descentes vers le bas de</t>
  </si>
  <si>
    <t>12,297 M3 ,supérieur au mois passé (12,067 M3) qui restait juqsqu'ici la plus élevée.</t>
  </si>
  <si>
    <t xml:space="preserve">              On observe sur le tableau ci-dessus qu'en dehors de la Sté KONGFU les autres principaux clients  en compte n'ont pas consommé assez. Soditrat a effectué moins de la moitié de ces enlèvements du mois précédent, et MMS -83 %.                                                                                                                                                                                                  Nous pouvons dire qu'il y'a eu amélioration au niveau des ventes TPC par ce que le dépassement  des objectifs  a été effectué malgré la régression  presque de moitié des ventes à termes (-33,510M3) qui nous aurait propulsé a plus de 50M3 pour ce mois de novembre 2013. </t>
  </si>
  <si>
    <t>YOSSI</t>
  </si>
  <si>
    <t>TOTAL Novembre</t>
  </si>
  <si>
    <t>ETAT DES MANQUANTS POMPISTES</t>
  </si>
  <si>
    <t>Noms et Prénoms</t>
  </si>
  <si>
    <t>V -  ETAT DE VENTES LUBS ET ACCESSOIRES</t>
  </si>
  <si>
    <t>II -  ETAT APPROVISIONNEMENTS CARBURANTS</t>
  </si>
  <si>
    <t>DEMANDE DE REGULARISATION</t>
  </si>
  <si>
    <t>BLESSING PETROLEUM S.A.</t>
  </si>
  <si>
    <t xml:space="preserve">    ''  LE BABONE "</t>
  </si>
  <si>
    <t>Index Ouv</t>
  </si>
  <si>
    <t>Index Ferm</t>
  </si>
  <si>
    <t>Thé</t>
  </si>
  <si>
    <t>Lait chaud</t>
  </si>
  <si>
    <t>Café court</t>
  </si>
  <si>
    <t>Café cream</t>
  </si>
  <si>
    <t>Café long</t>
  </si>
  <si>
    <t>FICHE NESCAFE</t>
  </si>
  <si>
    <t xml:space="preserve">Montant </t>
  </si>
  <si>
    <t>Versement(1)</t>
  </si>
  <si>
    <t xml:space="preserve">Période allant du </t>
  </si>
  <si>
    <t>TOTAL Ecart (1+2+3)</t>
  </si>
  <si>
    <t>TOTAL Vrsmt (1+2+3)</t>
  </si>
  <si>
    <t>NOM:</t>
  </si>
  <si>
    <r>
      <t>TOTAL MTT</t>
    </r>
    <r>
      <rPr>
        <b/>
        <sz val="10"/>
        <rFont val="Arial"/>
        <family val="2"/>
      </rPr>
      <t>(1)</t>
    </r>
  </si>
  <si>
    <r>
      <t>TOTAL MTT</t>
    </r>
    <r>
      <rPr>
        <b/>
        <sz val="9"/>
        <rFont val="Arial"/>
        <family val="2"/>
      </rPr>
      <t>(2)</t>
    </r>
  </si>
  <si>
    <r>
      <t>TOTAL MTT</t>
    </r>
    <r>
      <rPr>
        <b/>
        <sz val="9"/>
        <rFont val="Arial"/>
        <family val="2"/>
      </rPr>
      <t>(3)</t>
    </r>
  </si>
  <si>
    <t>Le</t>
  </si>
  <si>
    <t>Cappuccino vanille</t>
  </si>
  <si>
    <t>Cappuccino intenso</t>
  </si>
  <si>
    <t>Versement(2)</t>
  </si>
  <si>
    <t>Versement(3)</t>
  </si>
  <si>
    <t>TOTAL MTT (1+2+3)</t>
  </si>
  <si>
    <t>IHM</t>
  </si>
  <si>
    <t>Motifs</t>
  </si>
  <si>
    <t>Décembre</t>
  </si>
  <si>
    <t>Reglmt</t>
  </si>
  <si>
    <t>Consommations    Mr DENGOUE</t>
  </si>
  <si>
    <t>TOTAL(1+2+3)</t>
  </si>
  <si>
    <t>TOTAL(3)</t>
  </si>
  <si>
    <t>Carton</t>
  </si>
  <si>
    <t>Fût</t>
  </si>
  <si>
    <t>Engen. ATF 22D (20x0,5l)</t>
  </si>
  <si>
    <t>Engen. Super brake fluid Dot (20x0,5l)</t>
  </si>
  <si>
    <t>Engen. Premium Motor SAE 50 (210L)</t>
  </si>
  <si>
    <t>MEZATRANS</t>
  </si>
  <si>
    <t xml:space="preserve">          En dehors des jours fériés et des débuts de semaine un peu timides,on note une </t>
  </si>
  <si>
    <t xml:space="preserve"> REGLEMENT  PAR VIREMENT  &amp; CHEQUE</t>
  </si>
  <si>
    <t>N°CHEQUE  OU        PIECE DE CAISSE</t>
  </si>
  <si>
    <t>H-SERVICE</t>
  </si>
  <si>
    <t xml:space="preserve">           BLESSING</t>
  </si>
  <si>
    <t>Objectif  dépassement de  litres TPC</t>
  </si>
  <si>
    <t>MODE DE REGLEMENT</t>
  </si>
  <si>
    <t>CHEQUE</t>
  </si>
  <si>
    <t>E-TRANSCOM</t>
  </si>
  <si>
    <t>SAPTRANS</t>
  </si>
  <si>
    <t>SAP-TRANS</t>
  </si>
  <si>
    <t>Recette</t>
  </si>
  <si>
    <t>Qtés</t>
  </si>
  <si>
    <t>écarts</t>
  </si>
  <si>
    <t>Mqt pp</t>
  </si>
  <si>
    <t>Bertoua</t>
  </si>
  <si>
    <t>NKOLBIKON</t>
  </si>
  <si>
    <t>Désignation</t>
  </si>
  <si>
    <t>Règlements</t>
  </si>
  <si>
    <t>Mode de reglement</t>
  </si>
  <si>
    <t>TERMINAL</t>
  </si>
  <si>
    <t>Clients</t>
  </si>
  <si>
    <t>ESPECE</t>
  </si>
  <si>
    <t>,</t>
  </si>
  <si>
    <t>Montants</t>
  </si>
  <si>
    <t>Mode de  reglement</t>
  </si>
  <si>
    <t xml:space="preserve">Mode de règlement </t>
  </si>
  <si>
    <t>Boutique yassa</t>
  </si>
  <si>
    <t>Outils</t>
  </si>
  <si>
    <t>Difficultés d'ordre Technique</t>
  </si>
  <si>
    <t>Difficultés d'ordre Marketing &amp; commercial</t>
  </si>
  <si>
    <t>Difficultés d'ordre Administrative</t>
  </si>
  <si>
    <t>TOILETTES</t>
  </si>
  <si>
    <t>signalé au DT RT RR</t>
  </si>
  <si>
    <t>Bâtiment</t>
  </si>
  <si>
    <t>TABLEAU DE BORD  STATION YASSA</t>
  </si>
  <si>
    <t>GSCI</t>
  </si>
  <si>
    <t>HAMED(BNB)</t>
  </si>
  <si>
    <t>mode de reglement</t>
  </si>
  <si>
    <t>E. Multigrade 20w-50 (0,5l)</t>
  </si>
  <si>
    <t>E. Dieselube 600 (15w40) (0,5l)</t>
  </si>
  <si>
    <t>E. Dieselube 700 (15w40) (0,5l)</t>
  </si>
  <si>
    <t>E. Premium Motor (0,5L)</t>
  </si>
  <si>
    <t>BL</t>
  </si>
  <si>
    <t>Engen. Premium Motor 40 (4X5L)</t>
  </si>
  <si>
    <t>Engen diesel lube  600 (4x5L)</t>
  </si>
  <si>
    <t>Engen diesel lube  600 (20L)</t>
  </si>
  <si>
    <t>Seau</t>
  </si>
  <si>
    <t>Engen. Premium Motor 40 (20L)</t>
  </si>
  <si>
    <t>COMCO</t>
  </si>
  <si>
    <t>Mode règlemeznt</t>
  </si>
  <si>
    <t>Frais de transport et ration stagiaires</t>
  </si>
  <si>
    <t>yassa du</t>
  </si>
  <si>
    <t>NOMS ET PRENOMS</t>
  </si>
  <si>
    <t>/20</t>
  </si>
  <si>
    <t>ABS</t>
  </si>
  <si>
    <t>BOUTIQUE</t>
  </si>
  <si>
    <t>Mode de règlement</t>
  </si>
  <si>
    <t>SOCAMBA</t>
  </si>
  <si>
    <t>STC</t>
  </si>
  <si>
    <t xml:space="preserve">     </t>
  </si>
  <si>
    <t>SOLDE  DEPART</t>
  </si>
  <si>
    <t>STBL</t>
  </si>
  <si>
    <t>BEBENE Désiré</t>
  </si>
  <si>
    <t>NGALLE Marquise</t>
  </si>
  <si>
    <t>NGO MAYOT Nadège</t>
  </si>
  <si>
    <t>Période</t>
  </si>
  <si>
    <t>FICHE MANQUANTS HOTESSES BOUTIQUE</t>
  </si>
  <si>
    <t>Manquant</t>
  </si>
  <si>
    <t>PAWANG Phalone</t>
  </si>
  <si>
    <t>STATION  :</t>
  </si>
  <si>
    <t>ETAT DE PAIE DU MOIS DE :</t>
  </si>
  <si>
    <t>FONCTION</t>
  </si>
  <si>
    <t xml:space="preserve"> BASE</t>
  </si>
  <si>
    <t>PRIMES</t>
  </si>
  <si>
    <t>EXCEDENT</t>
  </si>
  <si>
    <t>DEDUCTIONS</t>
  </si>
  <si>
    <t>SAL NET</t>
  </si>
  <si>
    <t xml:space="preserve">MANQTS </t>
  </si>
  <si>
    <t>COT.MUT.</t>
  </si>
  <si>
    <t>AV. DETTES</t>
  </si>
  <si>
    <t>ABS./SANT.</t>
  </si>
  <si>
    <t>STAGIAIRE</t>
  </si>
  <si>
    <t>NKOUE MBANG Yannick</t>
  </si>
  <si>
    <t>FOSSO TEMKOU Bruno</t>
  </si>
  <si>
    <t>DECHARGE</t>
  </si>
  <si>
    <t>CTC</t>
  </si>
  <si>
    <t>CENTRALE VOYAGE</t>
  </si>
  <si>
    <t>JANVIER</t>
  </si>
  <si>
    <t>FÉVRIER</t>
  </si>
  <si>
    <t>MARS</t>
  </si>
  <si>
    <t>AOÛT</t>
  </si>
  <si>
    <t>Emballage/litre</t>
  </si>
  <si>
    <t>MODE DE RGLMT</t>
  </si>
  <si>
    <t>X TRADE</t>
  </si>
  <si>
    <t>bouckaro</t>
  </si>
  <si>
    <t>E. Dieselube 600 (15w40) (4x5l)</t>
  </si>
  <si>
    <t>E. Dieselube 600 (15w40) (20l)</t>
  </si>
  <si>
    <t>PISTE</t>
  </si>
  <si>
    <t>AUVENT</t>
  </si>
  <si>
    <t>très lent</t>
  </si>
  <si>
    <t>PistoleT S1 S2 S3 S4 S5 S6</t>
  </si>
  <si>
    <t>PistoletG3 G4 G5 G6 G7 G8 G9 G10 G11</t>
  </si>
  <si>
    <t>Pistolet  Petrole</t>
  </si>
  <si>
    <t>lent</t>
  </si>
  <si>
    <t>non  alimenté</t>
  </si>
  <si>
    <t>baie de graissage</t>
  </si>
  <si>
    <t>AIR DE LAVAGE</t>
  </si>
  <si>
    <t>Interrupteur en panne</t>
  </si>
  <si>
    <t>Observations</t>
  </si>
  <si>
    <t>problème de rame de papier</t>
  </si>
  <si>
    <t>problème de parking les camions bloquent l'entrée de la station et nous empeche de  vendre normalement</t>
  </si>
  <si>
    <t>Innodation  quand il pleut , décanteur du carniveau technique bouché , balise de securité des pompes cassées, piste affaissée,et engorgement de l'eau par les trous d'hommes: cet eau menace souvent d'entrée dans la cuve par la bouche de jaugeage. Barrière arrière coté baie de graissage fendue, borne fontaine coté gauche  non fonctionnelle.</t>
  </si>
  <si>
    <t>deux présentoirs de lubrifiants cassés,  salle de groupe innondée quand il pleut, le boitier electrique de la baie1 en panne, le boitier des grilles défectueux</t>
  </si>
  <si>
    <t>Les  bafles de l'auvent non fonctionnels,  l'éclairage de l'auvent  est faible ce qui facilite la circulation des faux billets.  absence des detecteurs de faux billets en station ,le totem non eclairer ,absence de panneau de( stationnement interdit) pour empecher les camionneurs de garrer n'importe comment.</t>
  </si>
  <si>
    <t>mur du batiment salle,  fenetre de la salle de compte trop proche du bouckarot  serrure de la porte de la salle de compte  gater</t>
  </si>
  <si>
    <t>bider toillette1 porte 1 cassé, porte mouchoir cassé ,le robinet du lave main non adapter. Toillette 2  porte1  pas de porte mouchoir , un carreau à changer au niveau du couloir de la douche.</t>
  </si>
  <si>
    <t>chasse d'eau au niveau de la douche non fonctionnel,les frigots ne se ferment pas,certaines ampoules de la boutique sont grillées, la serrure du coffre de la caisse en panne,porte centrale de la boutique non fonctionnelle</t>
  </si>
  <si>
    <t>CAMTAIL</t>
  </si>
  <si>
    <t>CAMTAI</t>
  </si>
  <si>
    <t xml:space="preserve">    </t>
  </si>
  <si>
    <t xml:space="preserve">TABLEAU DE BORD </t>
  </si>
  <si>
    <t>Installations</t>
  </si>
  <si>
    <t>Eléments</t>
  </si>
  <si>
    <t>Pannes</t>
  </si>
  <si>
    <t>Conséquences</t>
  </si>
  <si>
    <t>piste</t>
  </si>
  <si>
    <t>TOTEM</t>
  </si>
  <si>
    <t xml:space="preserve">Non éclairé </t>
  </si>
  <si>
    <t>La station est très obscure la nuit</t>
  </si>
  <si>
    <t>Candélabres</t>
  </si>
  <si>
    <t>01 coté station éteint</t>
  </si>
  <si>
    <t>01 coté sortie éteint (ampoule)</t>
  </si>
  <si>
    <t>Balise</t>
  </si>
  <si>
    <t>04 détruites</t>
  </si>
  <si>
    <t>mauvaise présentation</t>
  </si>
  <si>
    <r>
      <t> </t>
    </r>
    <r>
      <rPr>
        <sz val="10"/>
        <color rgb="FF1F497D"/>
        <rFont val="Arial"/>
        <family val="2"/>
      </rPr>
      <t>En cours de réhabilitation</t>
    </r>
  </si>
  <si>
    <t xml:space="preserve">Bordures </t>
  </si>
  <si>
    <t>détruites</t>
  </si>
  <si>
    <r>
      <t>  </t>
    </r>
    <r>
      <rPr>
        <sz val="10"/>
        <color rgb="FF1F497D"/>
        <rFont val="Arial"/>
        <family val="2"/>
      </rPr>
      <t>En cours de réhabilitation</t>
    </r>
  </si>
  <si>
    <t>Extincteurs</t>
  </si>
  <si>
    <t>01 à recharger</t>
  </si>
  <si>
    <t>pompes Gasoil G9-G10</t>
  </si>
  <si>
    <t xml:space="preserve">Fuite importante </t>
  </si>
  <si>
    <t>Suspension de service au niveau du pistolet G9</t>
  </si>
  <si>
    <t>Important de résoudre urgemment</t>
  </si>
  <si>
    <t>Sol</t>
  </si>
  <si>
    <t>inondé pendant les pluies</t>
  </si>
  <si>
    <t>Désagrément des clients</t>
  </si>
  <si>
    <t xml:space="preserve">Affaissement incessant </t>
  </si>
  <si>
    <t> mauvaise présentation</t>
  </si>
  <si>
    <t>Décanteur caniveau technique</t>
  </si>
  <si>
    <t>Boucher</t>
  </si>
  <si>
    <t>inondation de la piste et pollution de l'environnement</t>
  </si>
  <si>
    <t>trou d'homme</t>
  </si>
  <si>
    <t>Engorgement d'eau</t>
  </si>
  <si>
    <t xml:space="preserve">risque de pénétration d'eau dans la cuve  </t>
  </si>
  <si>
    <t>Auvent</t>
  </si>
  <si>
    <t>baffles non fonctionnels</t>
  </si>
  <si>
    <t>Eclairage faible</t>
  </si>
  <si>
    <t xml:space="preserve">Circulation facile de faux billets </t>
  </si>
  <si>
    <t>Parking</t>
  </si>
  <si>
    <t>inexistant</t>
  </si>
  <si>
    <t>Obstruction de la piste</t>
  </si>
  <si>
    <t>Boukaro</t>
  </si>
  <si>
    <t>besoin de l'alimentation électrique</t>
  </si>
  <si>
    <t>Besoin de l'installation d'une sonnerie</t>
  </si>
  <si>
    <t>Mur</t>
  </si>
  <si>
    <t>dégradation et usure de la peinture</t>
  </si>
  <si>
    <t>perte d'éclat</t>
  </si>
  <si>
    <t>Balises</t>
  </si>
  <si>
    <t>Toilettes 1</t>
  </si>
  <si>
    <t xml:space="preserve">bidet détruit  </t>
  </si>
  <si>
    <t>Hors service</t>
  </si>
  <si>
    <t>Baie de graissage</t>
  </si>
  <si>
    <t>Boitier grilles</t>
  </si>
  <si>
    <t>défectueux</t>
  </si>
  <si>
    <t>Manipulation très dangereuse</t>
  </si>
  <si>
    <t>Salle de groupe électrogène</t>
  </si>
  <si>
    <t xml:space="preserve">Compteur </t>
  </si>
  <si>
    <r>
      <t xml:space="preserve">disjonctions </t>
    </r>
    <r>
      <rPr>
        <b/>
        <sz val="10"/>
        <color rgb="FF1F497D"/>
        <rFont val="Arial"/>
        <family val="2"/>
      </rPr>
      <t> de temps à autre</t>
    </r>
  </si>
  <si>
    <t xml:space="preserve">utilisation régulière du groupe </t>
  </si>
  <si>
    <t>Air de lavage</t>
  </si>
  <si>
    <t>non fonctionnelle</t>
  </si>
  <si>
    <t>Manquement important</t>
  </si>
  <si>
    <t>Porte centrale</t>
  </si>
  <si>
    <t xml:space="preserve">Diminution capacité  Mécanisme de fermeture </t>
  </si>
  <si>
    <t>Reste béante après certaines ouvertures</t>
  </si>
  <si>
    <t xml:space="preserve">Climatiseur </t>
  </si>
  <si>
    <t>Fuite  d'eau</t>
  </si>
  <si>
    <r>
      <t xml:space="preserve">indisposition </t>
    </r>
    <r>
      <rPr>
        <b/>
        <sz val="10"/>
        <color rgb="FF1F497D"/>
        <rFont val="Arial"/>
        <family val="2"/>
      </rPr>
      <t>des clients</t>
    </r>
    <r>
      <rPr>
        <b/>
        <sz val="10"/>
        <rFont val="Arial"/>
        <family val="2"/>
      </rPr>
      <t xml:space="preserve"> </t>
    </r>
  </si>
  <si>
    <t>Comptoirs</t>
  </si>
  <si>
    <t>Clé tiroirs inutilisable</t>
  </si>
  <si>
    <t>risque de contracter des manquants</t>
  </si>
  <si>
    <r>
      <t> </t>
    </r>
    <r>
      <rPr>
        <b/>
        <sz val="10"/>
        <color rgb="FF1F497D"/>
        <rFont val="Arial"/>
        <family val="2"/>
      </rPr>
      <t>Recherche d’un bidet en cours</t>
    </r>
  </si>
  <si>
    <r>
      <t>Boutiqu</t>
    </r>
    <r>
      <rPr>
        <b/>
        <sz val="8"/>
        <color rgb="FF1F497D"/>
        <rFont val="Calibri"/>
        <family val="2"/>
      </rPr>
      <t>e</t>
    </r>
  </si>
  <si>
    <t>PROPALM</t>
  </si>
  <si>
    <t>E. Multigrade 20w-50 (4X5l)</t>
  </si>
  <si>
    <t>E. Dieselube 600 (15w40) (4X5l)</t>
  </si>
  <si>
    <t>E. Super brake fluid Dot (20X0,5l)</t>
  </si>
  <si>
    <t>E. ATF 22D (20X0,5l)</t>
  </si>
  <si>
    <t>BEBENE Anne Seraphine  Desire</t>
  </si>
  <si>
    <t>NDJEHEMLE Pauline Nadege France</t>
  </si>
  <si>
    <t>NGALLE Marquise Mireille</t>
  </si>
  <si>
    <t>TCHOUANKAM Christelle</t>
  </si>
  <si>
    <t>NGO MAYOT Nadege</t>
  </si>
  <si>
    <t>MADOUM NENDA  Amelie Rivele</t>
  </si>
  <si>
    <t>NKOUE MBAN Yannick</t>
  </si>
  <si>
    <t xml:space="preserve">PAWANG KOUANDO </t>
  </si>
  <si>
    <t>DJOMALIEU Chretien</t>
  </si>
  <si>
    <t>dif</t>
  </si>
  <si>
    <t>BNB</t>
  </si>
  <si>
    <t>GREEN OIL</t>
  </si>
  <si>
    <t>PROGRES AUTO</t>
  </si>
  <si>
    <t>MBABO MBOU Daniele Diore</t>
  </si>
  <si>
    <t>HEHA Nicolas Didier</t>
  </si>
  <si>
    <t>NGOUFACK ANANKIA Rodrigue</t>
  </si>
  <si>
    <t>Quatre mille fcfa</t>
  </si>
  <si>
    <t>GRAND BETON</t>
  </si>
  <si>
    <t>ASSONNA T SATHURIN M</t>
  </si>
  <si>
    <t>PEH NDOKO EMMANUEL ROSIN</t>
  </si>
  <si>
    <t>PONGO PIA PIERRE</t>
  </si>
  <si>
    <t>TSAPZEU R LIONIE</t>
  </si>
  <si>
    <t>E. Dieselube 700 (15w40) (4X5l)</t>
  </si>
  <si>
    <t>E. Premium Motor Oil 40 (4X5l)</t>
  </si>
  <si>
    <t>E. Premium Motor Oil 40 (20L)</t>
  </si>
  <si>
    <t>Vehicules</t>
  </si>
  <si>
    <t>Pu</t>
  </si>
  <si>
    <t>LTTR277AD</t>
  </si>
  <si>
    <t>LTTR898AC</t>
  </si>
  <si>
    <t>LTTR899AC</t>
  </si>
  <si>
    <t>KUNG FUU AUTO</t>
  </si>
  <si>
    <t>NGO MAYOT</t>
  </si>
  <si>
    <t>HOTESSE</t>
  </si>
  <si>
    <t>PAWANG K Sylvanie</t>
  </si>
  <si>
    <t>dec 2014</t>
  </si>
  <si>
    <t>MEBANDA AYOLO C,</t>
  </si>
  <si>
    <t>BEBENE Anne Desiré</t>
  </si>
  <si>
    <t>VISA</t>
  </si>
  <si>
    <t>NGOUANE LONTSI Larissa</t>
  </si>
  <si>
    <t>Trois mille fcfa</t>
  </si>
  <si>
    <t>CLIENTS</t>
  </si>
  <si>
    <t>BGC</t>
  </si>
  <si>
    <t xml:space="preserve"> GORDON                       </t>
  </si>
  <si>
    <t xml:space="preserve">GRANT’S                        </t>
  </si>
  <si>
    <t xml:space="preserve">GRANT’S                             </t>
  </si>
  <si>
    <t xml:space="preserve">TOURTERELLE                     </t>
  </si>
  <si>
    <t xml:space="preserve">PICHET                                 </t>
  </si>
  <si>
    <t xml:space="preserve">PICHET                                </t>
  </si>
  <si>
    <t xml:space="preserve">JOHNSON                           </t>
  </si>
  <si>
    <t>AUTRES (ALHADJI)</t>
  </si>
  <si>
    <r>
      <rPr>
        <b/>
        <sz val="10"/>
        <rFont val="Arial"/>
        <family val="2"/>
      </rPr>
      <t>Gadgets BLESSING</t>
    </r>
    <r>
      <rPr>
        <sz val="10"/>
        <rFont val="Arial"/>
        <family val="2"/>
      </rPr>
      <t xml:space="preserve"> (T-shirt, casquettes)</t>
    </r>
  </si>
  <si>
    <r>
      <t xml:space="preserve">JUS 1L  BRASSERIES </t>
    </r>
    <r>
      <rPr>
        <b/>
        <sz val="8"/>
        <rFont val="Calibri"/>
        <family val="2"/>
      </rPr>
      <t>(PRIX DE GROS)</t>
    </r>
  </si>
  <si>
    <t>SAVON (CARTON)</t>
  </si>
  <si>
    <t>Décodeur</t>
  </si>
  <si>
    <t>1er mensualité</t>
  </si>
  <si>
    <t>frais d'installation</t>
  </si>
  <si>
    <t>prix bas et parabole offerte en vue de la promotion</t>
  </si>
  <si>
    <t>Intitules</t>
  </si>
  <si>
    <t>Frais de ration stagiaires</t>
  </si>
  <si>
    <t>Cent onze mille fcfa</t>
  </si>
  <si>
    <r>
      <t xml:space="preserve">Recapitulatifs des dépenses stagiaires du mois de </t>
    </r>
    <r>
      <rPr>
        <b/>
        <sz val="11"/>
        <rFont val="Arial"/>
        <family val="2"/>
      </rPr>
      <t>DECEMBRE</t>
    </r>
    <r>
      <rPr>
        <b/>
        <sz val="12"/>
        <rFont val="Arial"/>
        <family val="2"/>
      </rPr>
      <t xml:space="preserve"> 2014</t>
    </r>
  </si>
  <si>
    <t>EVOLUTION ANNUELLE DES VENTES YASSA</t>
  </si>
  <si>
    <t xml:space="preserve">ANNEE </t>
  </si>
  <si>
    <t>mr dengoue</t>
  </si>
  <si>
    <t>Assez bien</t>
  </si>
  <si>
    <t>EVALUATION DES STAGIAIRES</t>
  </si>
  <si>
    <t>Evaluateurs</t>
  </si>
  <si>
    <t>Rang</t>
  </si>
  <si>
    <t>Maliedji Gisele</t>
  </si>
  <si>
    <t>Madoum Amelie</t>
  </si>
  <si>
    <t>1er</t>
  </si>
  <si>
    <t>2e</t>
  </si>
  <si>
    <t>3e</t>
  </si>
  <si>
    <t>MBABO MBOU Daniele D.</t>
  </si>
  <si>
    <t>NGOUFACK ANANKIA R</t>
  </si>
  <si>
    <t>FOUDA EBAH M.</t>
  </si>
  <si>
    <t>MEBIEDEM</t>
  </si>
  <si>
    <t>fonctionne de facon inttermittante:Mediocre</t>
  </si>
  <si>
    <t>Engen. Premium Motor 40 Carton</t>
  </si>
  <si>
    <t>ENGEN MULTIGRADE 20W/50</t>
  </si>
  <si>
    <t>CONSOMMATION CLIENTS</t>
  </si>
  <si>
    <t>JEUDI</t>
  </si>
  <si>
    <t>VENDREDI</t>
  </si>
  <si>
    <t>SAMEDI</t>
  </si>
  <si>
    <t>DIMANCHE</t>
  </si>
  <si>
    <t xml:space="preserve">           la différence du gérant est de</t>
  </si>
  <si>
    <t>SOFERCO</t>
  </si>
  <si>
    <t>01 au 03</t>
  </si>
  <si>
    <t>13 au 15</t>
  </si>
  <si>
    <t>25  au 27</t>
  </si>
  <si>
    <t>10 au 12</t>
  </si>
  <si>
    <t>22 au 24</t>
  </si>
  <si>
    <t>4 au 06</t>
  </si>
  <si>
    <t>16 au 18</t>
  </si>
  <si>
    <t>28 au 30</t>
  </si>
  <si>
    <t>7 au 09</t>
  </si>
  <si>
    <t>19 au 21</t>
  </si>
  <si>
    <t>TOTAL Janvier</t>
  </si>
  <si>
    <t xml:space="preserve">                                                                                                                                                                                                                                                                                                                                                                                                                                                                                                                                                                                                                                                                                                                                                                                                                                                                                                                                                                                                                                                                                                                                                                                                                                                                                                                                                                                                                                                                                                                                                                                                                                                                                                                                                                                                                                                                                                                                                                                                                                                                                                                                                                                                                                                                                                                                                                                                                                                                                                                                                                                                                                                                                                                                                                                                                                                                                                                                                                                                                                                                                                                                                                                                                                                                                                                                                                                                                                                                                                                                                                                                                                                                                                                                                                                                                                                                                                                                                                                                                                                                                                                                                                                                                                                                                                                                                                                                                                                                                                                                                                                                                                                                                                                                                                                                                                                                                                                                                                                                                                                                                                                                                                                                                                                                                                                                                                                                                                                                                                                                                                                                                                                                                                                                                                                                                                                                                                                                                                                                                                                                                                                                                                                                                                                                                                                                                                                                                                                                                                                                                                                                                                                                                                                                                                                                                                                                                                                                                                                                                                                                                                                                                                                                                                                                                                                                                                                                                                                                                                                                                                                                                                                                                                                                                                                                                                                                                                                                                                                                                                                                                                                                                                                                                                                                                                                                                                                                                                                                                                                                                                                                                                                                                                                                                                                                                                                                                                                                                                                                                                                                                                                                                                                                                                                                                                                                                                                                                                                                                                                                                                                                                                                                                                                                                                                                                                                                                                                                                                                                                                                                                                                                                                                                                                                                                                                                                                                                                                                                                                                                                                                                                                                                                                                                                           </t>
  </si>
  <si>
    <t xml:space="preserve">        </t>
  </si>
  <si>
    <t>TONG Philippe Edouard</t>
  </si>
  <si>
    <t>Marge unitaire</t>
  </si>
  <si>
    <t>Marge brute</t>
  </si>
  <si>
    <t xml:space="preserve">SUIVI COMPTE </t>
  </si>
  <si>
    <t xml:space="preserve">                          </t>
  </si>
  <si>
    <t xml:space="preserve">MEZATRANS </t>
  </si>
  <si>
    <t xml:space="preserve">Mode reglement </t>
  </si>
  <si>
    <t>02 bidets cassés</t>
  </si>
  <si>
    <t>decouragent certains clients et engendrent les problemes aux pompistes</t>
  </si>
  <si>
    <t xml:space="preserve">parking </t>
  </si>
  <si>
    <t>les chauffeurs fuient l'obscurité et viennent toujours garer en piste</t>
  </si>
  <si>
    <t>important de résoudre</t>
  </si>
  <si>
    <t xml:space="preserve">regulateur de tension </t>
  </si>
  <si>
    <t>non fonctionnel</t>
  </si>
  <si>
    <t>frequence de court circuit</t>
  </si>
  <si>
    <t>hors services</t>
  </si>
  <si>
    <t>Engorgement de beaucoup d'eau quand il pleut</t>
  </si>
  <si>
    <t>lentes</t>
  </si>
  <si>
    <t>fuite au niveau du joint tige de jaugeage+cuve</t>
  </si>
  <si>
    <t>trou d'homme G1-G2</t>
  </si>
  <si>
    <t>trou d'homme  petrole- G3</t>
  </si>
  <si>
    <t>chaine à filtre</t>
  </si>
  <si>
    <t>colier à filtre</t>
  </si>
  <si>
    <t>pompe à huile</t>
  </si>
  <si>
    <t>defectueuse</t>
  </si>
  <si>
    <t>important de resoudre</t>
  </si>
  <si>
    <t>canne à graisse manuelle</t>
  </si>
  <si>
    <t>non eclairé</t>
  </si>
  <si>
    <t xml:space="preserve">Vol récurrents /Manquement important </t>
  </si>
  <si>
    <t>pompe à graisse</t>
  </si>
  <si>
    <t>difficulté très handicapante</t>
  </si>
  <si>
    <t>Toilettes 1 et 2</t>
  </si>
  <si>
    <t>Indisposition des clients</t>
  </si>
  <si>
    <t>batiment</t>
  </si>
  <si>
    <t>Boutique</t>
  </si>
  <si>
    <t>Batant porte centrale rigide</t>
  </si>
  <si>
    <t>la porte reste béante a son ouverture</t>
  </si>
  <si>
    <t xml:space="preserve">presence des insectes et poussière dans la boutique tous les soirs  et destruction des produits  </t>
  </si>
  <si>
    <t xml:space="preserve">02 verres mur fascade cassées </t>
  </si>
  <si>
    <t>Absence de clé pour porte centrale métalique</t>
  </si>
  <si>
    <t>PROGRAMME DE CONGE ANNUEL</t>
  </si>
  <si>
    <t>MOIS : Mars 2015</t>
  </si>
  <si>
    <t>PISTE &amp; BOUTIQUE</t>
  </si>
  <si>
    <t>DEPART</t>
  </si>
  <si>
    <t>RETOUR</t>
  </si>
  <si>
    <t>NBRE JOUR</t>
  </si>
  <si>
    <t>FOSO T, Bruno</t>
  </si>
  <si>
    <t>DJOMALIEU Chrétien</t>
  </si>
  <si>
    <t>MEBANDA A, Catherine</t>
  </si>
  <si>
    <t>600litres</t>
  </si>
  <si>
    <t>LT085</t>
  </si>
  <si>
    <t xml:space="preserve">qté </t>
  </si>
  <si>
    <t>Dlub 600 (5L)</t>
  </si>
  <si>
    <t>Dlub 600 (0,5L)</t>
  </si>
  <si>
    <t>Filtre gasoil</t>
  </si>
  <si>
    <t>Filtre huile</t>
  </si>
  <si>
    <t>Filtre décanteur</t>
  </si>
  <si>
    <t>EDIAGUE TSIMI Stéphane</t>
  </si>
  <si>
    <t>Deuxieme vague</t>
  </si>
  <si>
    <t>MOIS : AVRIL 2015</t>
  </si>
  <si>
    <t>EDOUMA Josué</t>
  </si>
  <si>
    <t>EYANGO C.Manfred</t>
  </si>
  <si>
    <t>CHOKOMENI L.Blaise</t>
  </si>
  <si>
    <t>YANOU Claudia</t>
  </si>
  <si>
    <t>BEBENE A.Désiré</t>
  </si>
  <si>
    <t>FOUDA  E.Moise</t>
  </si>
  <si>
    <t>Première vague</t>
  </si>
  <si>
    <t>NDJEHEMLE N. France</t>
  </si>
  <si>
    <t>FOSSO TEMKOU, Bruno</t>
  </si>
  <si>
    <t>NOMS ET PRENOMS CHAUFFEURS</t>
  </si>
  <si>
    <t>MATRICULE</t>
  </si>
  <si>
    <t>BILAT TEBIT Blaise</t>
  </si>
  <si>
    <t>LEKANDEM Salomon</t>
  </si>
  <si>
    <t>YATIE Felix</t>
  </si>
  <si>
    <t>ASSOKE ASSOKE Simeon Eugene</t>
  </si>
  <si>
    <t>DAKLEU DAGLE Bristol</t>
  </si>
  <si>
    <t>KONO MEYONG Ambroise</t>
  </si>
  <si>
    <t xml:space="preserve">STATION SERVICE </t>
  </si>
  <si>
    <t>LTTR 234 AG</t>
  </si>
  <si>
    <t>LTTR 700 AG</t>
  </si>
  <si>
    <t>CETR 354 AC</t>
  </si>
  <si>
    <t>CH 44 70 32</t>
  </si>
  <si>
    <t>LTTR 166 AJ</t>
  </si>
  <si>
    <t>LTTR 232 AI</t>
  </si>
  <si>
    <t>SMATCOM</t>
  </si>
  <si>
    <t>MADOUM N. Amelie</t>
  </si>
  <si>
    <t>31/04/2015</t>
  </si>
  <si>
    <t>GASOIL1</t>
  </si>
  <si>
    <t>GASOIL2</t>
  </si>
  <si>
    <t>GASOIL3</t>
  </si>
  <si>
    <t>GASOIL4</t>
  </si>
  <si>
    <t>GASOIL5</t>
  </si>
  <si>
    <t>GASOIL6</t>
  </si>
  <si>
    <t>GASOIL7</t>
  </si>
  <si>
    <t>GASOIL8</t>
  </si>
  <si>
    <t>GASOIL9</t>
  </si>
  <si>
    <t>GASOIL10</t>
  </si>
  <si>
    <t>GASOIL11</t>
  </si>
  <si>
    <t>SUPER1</t>
  </si>
  <si>
    <t>SUPER2</t>
  </si>
  <si>
    <t>SUPER3</t>
  </si>
  <si>
    <t>SUPER4</t>
  </si>
  <si>
    <t>SUPER5</t>
  </si>
  <si>
    <t>SUPER6</t>
  </si>
  <si>
    <t>+1</t>
  </si>
  <si>
    <t>-3</t>
  </si>
  <si>
    <t>-1</t>
  </si>
  <si>
    <t>-4</t>
  </si>
  <si>
    <t>-5</t>
  </si>
  <si>
    <t>+3</t>
  </si>
  <si>
    <t>+13 et -7</t>
  </si>
  <si>
    <t>-2</t>
  </si>
  <si>
    <t>Mauvais débit (irrégulier)</t>
  </si>
  <si>
    <t>montant</t>
  </si>
  <si>
    <t>S/S NKOLBIKON</t>
  </si>
  <si>
    <t xml:space="preserve">demande de décaissement </t>
  </si>
  <si>
    <t>Ordonnateur</t>
  </si>
  <si>
    <t>Mr dengoue</t>
  </si>
  <si>
    <t>quarante mille francs cfa</t>
  </si>
  <si>
    <t>expédition sangles, ceintures de cuves, détecteurs de fuites a ngaoundéré</t>
  </si>
  <si>
    <t>COTRAM</t>
  </si>
  <si>
    <t>Unité</t>
  </si>
  <si>
    <t>Express service</t>
  </si>
  <si>
    <t>LTTR618AJ</t>
  </si>
  <si>
    <t>Vehicule</t>
  </si>
  <si>
    <t>Qte</t>
  </si>
  <si>
    <t>Montan</t>
  </si>
  <si>
    <t>station</t>
  </si>
  <si>
    <t>kano</t>
  </si>
  <si>
    <t>O8TO324A</t>
  </si>
  <si>
    <t>mode de règlement</t>
  </si>
  <si>
    <t>chèque</t>
  </si>
  <si>
    <t>èspèce</t>
  </si>
  <si>
    <t>siège</t>
  </si>
  <si>
    <t>référence</t>
  </si>
  <si>
    <t>R:0007901</t>
  </si>
  <si>
    <t>R:0007907</t>
  </si>
  <si>
    <t>R:0007908</t>
  </si>
  <si>
    <t>N°3809263</t>
  </si>
  <si>
    <t>N°3809263962717</t>
  </si>
  <si>
    <t>Lieu de rglmt</t>
  </si>
  <si>
    <t>CBC BQ</t>
  </si>
  <si>
    <t>atlantiq BQ</t>
  </si>
  <si>
    <t>N°3809263962666</t>
  </si>
  <si>
    <t>Recap règlement  GSCI en AVRIL</t>
  </si>
  <si>
    <t>Règlements station</t>
  </si>
  <si>
    <t xml:space="preserve">relevé d'échéance </t>
  </si>
  <si>
    <t>Solde debut avril</t>
  </si>
  <si>
    <t>consommations Avril</t>
  </si>
  <si>
    <t>Solde fin Arvil</t>
  </si>
  <si>
    <t>Consommation Mai</t>
  </si>
  <si>
    <t>Règlements Avril</t>
  </si>
  <si>
    <t>Solde debut Mai</t>
  </si>
  <si>
    <t>suivi solde client  Avril -2015</t>
  </si>
  <si>
    <t>suivi solde GSCI  Mai -2015</t>
  </si>
  <si>
    <t xml:space="preserve">consommations </t>
  </si>
  <si>
    <t>solde  a ce  jour 06- 05 -2015</t>
  </si>
  <si>
    <t>SGBC</t>
  </si>
  <si>
    <t>Bon de commande</t>
  </si>
  <si>
    <t xml:space="preserve">Chèque </t>
  </si>
  <si>
    <t xml:space="preserve">Banque </t>
  </si>
  <si>
    <t>station service</t>
  </si>
  <si>
    <t>BGFI</t>
  </si>
  <si>
    <t>Kano</t>
  </si>
  <si>
    <t>Cheque SGBC</t>
  </si>
  <si>
    <t>JEAB</t>
  </si>
  <si>
    <t>Matricules</t>
  </si>
  <si>
    <t>N° VEHICULE</t>
  </si>
  <si>
    <t>CHAUFFEUR</t>
  </si>
  <si>
    <t>N°TELEPHONE</t>
  </si>
  <si>
    <t>FICHE CLIENTS ANNEE 2015</t>
  </si>
  <si>
    <t>µ</t>
  </si>
  <si>
    <t>HAMITEX</t>
  </si>
  <si>
    <t>0333437</t>
  </si>
  <si>
    <t>9262008</t>
  </si>
  <si>
    <t>LTTR752AH</t>
  </si>
  <si>
    <t>STATION</t>
  </si>
  <si>
    <t>KANO</t>
  </si>
  <si>
    <t>LTSR 349AK</t>
  </si>
  <si>
    <t>Montant a consommer</t>
  </si>
  <si>
    <t>défectueuse</t>
  </si>
  <si>
    <t>BAIE DE GRAISSAGE</t>
  </si>
  <si>
    <t>GROUPE ELECTROGENE                                                             COMPTEUR ENEO</t>
  </si>
  <si>
    <t>Fonctionnement sumultané des deux générateurs depuis près d'une semaine déjà</t>
  </si>
  <si>
    <t>POMPES Gasoil et PETROLE</t>
  </si>
  <si>
    <t>Pompes 1 et 02</t>
  </si>
  <si>
    <t xml:space="preserve">rupture de la jointure ralonge flexible G9                                                                  va au dela du montant programmé                </t>
  </si>
  <si>
    <t>écoulement important du carburant pendant le  service                                     decouragent certains clients                      discorde entre clients et pompistes</t>
  </si>
  <si>
    <t>disjonctions momentanées mais recurentent la nuit</t>
  </si>
  <si>
    <t xml:space="preserve">Pompes hors service </t>
  </si>
  <si>
    <t>difficulté dans la satisfaction de la clientèle           et parfois perte du client</t>
  </si>
  <si>
    <t>Risque d'absence totale d'énergie                      consommation elevée de gasoil</t>
  </si>
  <si>
    <t>disjonctions momentanées</t>
  </si>
  <si>
    <t>Bouton d'arret d'urgence</t>
  </si>
  <si>
    <t>non protégé                                                     activation par inadvertance de certains clients</t>
  </si>
  <si>
    <t>arrêt momentanées de la station</t>
  </si>
  <si>
    <t xml:space="preserve">Boitier  électrique  </t>
  </si>
  <si>
    <t>font sauter le disjoncteur force a leur activation</t>
  </si>
  <si>
    <t xml:space="preserve">Mois </t>
  </si>
  <si>
    <t>MODE DE REGLEMENT SGBC</t>
  </si>
  <si>
    <t>Sortie</t>
  </si>
  <si>
    <t>Difference</t>
  </si>
  <si>
    <t>Bénéficiaire</t>
  </si>
  <si>
    <t>Fiche Suivi Monnaie</t>
  </si>
  <si>
    <t xml:space="preserve">PU Facturation </t>
  </si>
  <si>
    <t>Prix total</t>
  </si>
  <si>
    <t>Engen grease GP (180 kg)</t>
  </si>
  <si>
    <r>
      <t xml:space="preserve">E. Dieselube 540 Oil 40  Vrac </t>
    </r>
    <r>
      <rPr>
        <b/>
        <sz val="12"/>
        <rFont val="Bodoni MT"/>
        <family val="1"/>
      </rPr>
      <t>(210L)</t>
    </r>
  </si>
  <si>
    <t>L1001020</t>
  </si>
  <si>
    <t>ENGEN DIESELUBE 540 (210l)</t>
  </si>
  <si>
    <t>ENGEN GREASE GP (180k)</t>
  </si>
  <si>
    <t xml:space="preserve">PROCES VERBAL DE DEPOTAGE </t>
  </si>
  <si>
    <t>Autre</t>
  </si>
  <si>
    <t>Conforme</t>
  </si>
  <si>
    <t>Non conforme</t>
  </si>
  <si>
    <t xml:space="preserve">Commande </t>
  </si>
  <si>
    <t>Quantité reçu</t>
  </si>
  <si>
    <t>Chaudffeur</t>
  </si>
  <si>
    <t>(Accusé de reception)</t>
  </si>
  <si>
    <t>CLIENT              : SOCAMBA</t>
  </si>
  <si>
    <t>N° BL / BE :</t>
  </si>
  <si>
    <t>Contrôle qualité</t>
  </si>
  <si>
    <t>Transporteur    : YOSSI SARL</t>
  </si>
  <si>
    <t>C1013379</t>
  </si>
  <si>
    <t>véhicule            : LTSR999AD</t>
  </si>
  <si>
    <t>chauffeur          : NENKO</t>
  </si>
  <si>
    <t xml:space="preserve">CLIENT              : </t>
  </si>
  <si>
    <t xml:space="preserve">Transporteur    : </t>
  </si>
  <si>
    <t xml:space="preserve">véhicule            : </t>
  </si>
  <si>
    <t xml:space="preserve">chauffeur          : </t>
  </si>
  <si>
    <t>Yassa le,</t>
  </si>
  <si>
    <t>NEW GEX</t>
  </si>
  <si>
    <t>NEWGEX</t>
  </si>
  <si>
    <t>*</t>
  </si>
  <si>
    <t>CONSOMMATION BERTOU</t>
  </si>
  <si>
    <t>Engen dieselbube SAE-540</t>
  </si>
  <si>
    <t>consommations bertoua</t>
  </si>
  <si>
    <t>PAIEMENT</t>
  </si>
  <si>
    <t>solde consolidé</t>
  </si>
  <si>
    <t>ATC</t>
  </si>
  <si>
    <t>SUIVI REGLEMENT RELEVE D'ECHEANCE</t>
  </si>
  <si>
    <t>DATES</t>
  </si>
  <si>
    <t>TOTAL (1+2)</t>
  </si>
  <si>
    <t>1-</t>
  </si>
  <si>
    <t>2-</t>
  </si>
  <si>
    <t>NDJEHEMLE</t>
  </si>
  <si>
    <t>YANOU</t>
  </si>
  <si>
    <t>MEBANDA</t>
  </si>
  <si>
    <t>EYANGO</t>
  </si>
  <si>
    <t>A .BOUBA</t>
  </si>
  <si>
    <t>BABOULE</t>
  </si>
  <si>
    <t>PRESENCE</t>
  </si>
  <si>
    <t>AHMADOU BOUBA</t>
  </si>
  <si>
    <t>TEC</t>
  </si>
  <si>
    <t>DJOMALIEU chretien</t>
  </si>
  <si>
    <t>GERANT</t>
  </si>
  <si>
    <t>GROUPE ELECTROGENE</t>
  </si>
  <si>
    <t>TCHOUAGOU</t>
  </si>
  <si>
    <t>SAD</t>
  </si>
  <si>
    <t>CBC</t>
  </si>
  <si>
    <t>PARKING</t>
  </si>
  <si>
    <t>CTS</t>
  </si>
  <si>
    <r>
      <t>LTTR</t>
    </r>
    <r>
      <rPr>
        <sz val="10"/>
        <color rgb="FF1F497D"/>
        <rFont val="Arial"/>
        <family val="2"/>
      </rPr>
      <t>899AC</t>
    </r>
  </si>
  <si>
    <t>LTTR826AD</t>
  </si>
  <si>
    <t>DJOMETCHOUA</t>
  </si>
  <si>
    <t>DJOMECTHOUA</t>
  </si>
  <si>
    <t>BLESSING PETROLEUM S,A</t>
  </si>
  <si>
    <t>/</t>
  </si>
  <si>
    <t>/=+B15*C15</t>
  </si>
  <si>
    <t>PROGRAMME HEBDOMADAIRE DE TRAVAIL</t>
  </si>
  <si>
    <t>CHEF</t>
  </si>
  <si>
    <t>LUNDI</t>
  </si>
  <si>
    <t>MARDI</t>
  </si>
  <si>
    <t>MERCREDI</t>
  </si>
  <si>
    <t>REPOS</t>
  </si>
  <si>
    <t>AU</t>
  </si>
  <si>
    <t>afriland 1985761</t>
  </si>
  <si>
    <t>BATIMENT</t>
  </si>
  <si>
    <t>BAIE G+GRPE</t>
  </si>
  <si>
    <t xml:space="preserve">DU </t>
  </si>
  <si>
    <t>PROGRAMME DU HOURSE SKEEPING DES LUNDIS</t>
  </si>
  <si>
    <t>J/M</t>
  </si>
  <si>
    <t>POUBELES</t>
  </si>
  <si>
    <t xml:space="preserve">   </t>
  </si>
  <si>
    <t>OBSERVATION</t>
  </si>
  <si>
    <t>20L</t>
  </si>
  <si>
    <t>210L</t>
  </si>
  <si>
    <t>5L</t>
  </si>
  <si>
    <t>DETAIL LUBS</t>
  </si>
  <si>
    <t>transcameroun</t>
  </si>
  <si>
    <t>Produits</t>
  </si>
  <si>
    <t>CONDITIONNEMENT</t>
  </si>
  <si>
    <t>Nombre de cahiers à offrir</t>
  </si>
  <si>
    <t>Engen ATF 22 D</t>
  </si>
  <si>
    <t>0,5L</t>
  </si>
  <si>
    <t>Engen dieselube 700</t>
  </si>
  <si>
    <t>Engen dieselube 600</t>
  </si>
  <si>
    <t>Engen multigrade 20W50</t>
  </si>
  <si>
    <t>Engen Premium 40</t>
  </si>
  <si>
    <t>Engen Brake fluid DOT 4</t>
  </si>
  <si>
    <t>Engen grease GP</t>
  </si>
  <si>
    <t>0,4 KG</t>
  </si>
  <si>
    <t>18 KG</t>
  </si>
  <si>
    <t>FUT DE 50 KG</t>
  </si>
  <si>
    <t>FUT DE 180 KG</t>
  </si>
  <si>
    <t>Engen Xtreme 5W40</t>
  </si>
  <si>
    <t>5 L</t>
  </si>
  <si>
    <t>Engen Xtreme 15W40</t>
  </si>
  <si>
    <t>Engen gearlube 80W 90</t>
  </si>
  <si>
    <t>Premium EP2</t>
  </si>
  <si>
    <t>Engen gearlube 85W 140</t>
  </si>
  <si>
    <t>Premium Motor oil 10w</t>
  </si>
  <si>
    <t>20l</t>
  </si>
  <si>
    <t>Engen TQH 20/68</t>
  </si>
  <si>
    <t>Engen premium 50</t>
  </si>
  <si>
    <t>200l</t>
  </si>
  <si>
    <t>210l</t>
  </si>
  <si>
    <t>Engen dieselube 540</t>
  </si>
  <si>
    <t>Engen dieselube 510   10w</t>
  </si>
  <si>
    <t>SONEDIS</t>
  </si>
  <si>
    <t>Solde                 fin 0CTOBRE 2016</t>
  </si>
  <si>
    <t>Solde  NOVEMBRE 2016</t>
  </si>
  <si>
    <t>du 01 au 30 - 11 -16</t>
  </si>
  <si>
    <t>observation</t>
  </si>
  <si>
    <t>inexistante</t>
  </si>
  <si>
    <t xml:space="preserve">détruite </t>
  </si>
  <si>
    <t>déversement  important au niveau de l'arret d'huile</t>
  </si>
  <si>
    <t>Clé a griffe</t>
  </si>
  <si>
    <t>Clé 36-30-28-22-19-14-10</t>
  </si>
  <si>
    <t>Clé a filtre colier</t>
  </si>
  <si>
    <t xml:space="preserve">Clé a filtre chainille </t>
  </si>
  <si>
    <t>Canne a huile manuelle (céringue)</t>
  </si>
  <si>
    <t>criquet a douille</t>
  </si>
  <si>
    <t>VENTES</t>
  </si>
  <si>
    <t xml:space="preserve"> ECARTS SUR STOCK</t>
  </si>
  <si>
    <t>YAKOMBO</t>
  </si>
  <si>
    <t xml:space="preserve"> du 01/01/2017</t>
  </si>
  <si>
    <t>ventes yassa</t>
  </si>
  <si>
    <t>FACTURE LUBRIFIANT</t>
  </si>
  <si>
    <t>Yassa, le 19 janvier 2017</t>
  </si>
  <si>
    <t xml:space="preserve">Prix unitaire </t>
  </si>
  <si>
    <t>01</t>
  </si>
  <si>
    <t>Engen dieselube 540 SAE 40</t>
  </si>
  <si>
    <t>PROFORMAT</t>
  </si>
  <si>
    <t>Arrêter la presente facture  a la somme de  quatre cent deux mille cinq cent cinquante francs cfa.</t>
  </si>
  <si>
    <t xml:space="preserve">; </t>
  </si>
  <si>
    <t>RÈGLEMENT</t>
  </si>
  <si>
    <t>du 01 au 31 - 02 -17</t>
  </si>
  <si>
    <t>DU 01 AU 31/02/2017</t>
  </si>
  <si>
    <t>RGELEMENT</t>
  </si>
  <si>
    <t>ERNO GENERAL CONSTRUCTION</t>
  </si>
  <si>
    <t>ERNO GENERAL C.</t>
  </si>
  <si>
    <t>BALKISSOU YAKOBO</t>
  </si>
  <si>
    <t>EDOUMA JOSUE EMMANUEL DESIREE</t>
  </si>
  <si>
    <t>EYANGO Mandfred Charles</t>
  </si>
  <si>
    <t>SAIDOU MAMOUDA</t>
  </si>
  <si>
    <t>TCHOUAGOU Celestin</t>
  </si>
  <si>
    <t>NGUE  PHILLIPE</t>
  </si>
  <si>
    <t>WADEM FOKOM ERIC</t>
  </si>
  <si>
    <t>KAMEMOU Reine</t>
  </si>
  <si>
    <t>ANGO ESSIANE Sandrine Laurence</t>
  </si>
  <si>
    <t>KEMVO Winnie</t>
  </si>
  <si>
    <t>MAT</t>
  </si>
  <si>
    <t xml:space="preserve">Date d'embauche </t>
  </si>
  <si>
    <t>ITERIM</t>
  </si>
  <si>
    <t>RELIQUAT 2015/2016</t>
  </si>
  <si>
    <t>NBRE DE JRS</t>
  </si>
  <si>
    <t>DATE DE DEBUT</t>
  </si>
  <si>
    <t xml:space="preserve">DATE DE FIN </t>
  </si>
  <si>
    <t>SITE</t>
  </si>
  <si>
    <t>AOUT</t>
  </si>
  <si>
    <t>MALIEDJI Gisèle</t>
  </si>
  <si>
    <t>pompiste</t>
  </si>
  <si>
    <t>Gérant</t>
  </si>
  <si>
    <t>Chef de piste</t>
  </si>
  <si>
    <t>hotesse</t>
  </si>
  <si>
    <t>Avril  - Mai</t>
  </si>
  <si>
    <t>Mars - Avril</t>
  </si>
  <si>
    <t>Mai   -  Juin</t>
  </si>
  <si>
    <t>juin   -   Juillet</t>
  </si>
  <si>
    <t>Juillet - Août</t>
  </si>
  <si>
    <t>Octobre - Novembre</t>
  </si>
  <si>
    <t>Otobre</t>
  </si>
  <si>
    <t>Novembre -  Decembre</t>
  </si>
  <si>
    <t>Août - Septembre</t>
  </si>
  <si>
    <t>Septembre - Octobre</t>
  </si>
  <si>
    <t>stagiaire PE</t>
  </si>
  <si>
    <t>Resp.boutique</t>
  </si>
  <si>
    <t>mars 2017,</t>
  </si>
  <si>
    <t>fevr-16</t>
  </si>
  <si>
    <t>PLANNING DES CONGES 2017</t>
  </si>
  <si>
    <t>S/S YASSA 2</t>
  </si>
  <si>
    <t>DIRECTION /  SERVICE</t>
  </si>
  <si>
    <t>Graisseur</t>
  </si>
  <si>
    <t>ERNO</t>
  </si>
  <si>
    <t>le  15/04/2017</t>
  </si>
  <si>
    <t>GRPE ELEC</t>
  </si>
  <si>
    <t>P,50VRAC=7L</t>
  </si>
  <si>
    <t>P,40(0,5l)=1</t>
  </si>
  <si>
    <t>7,5L</t>
  </si>
  <si>
    <t>P.U</t>
  </si>
  <si>
    <t>RECETTE</t>
  </si>
  <si>
    <t>REGLEMENTS CLIENTS</t>
  </si>
  <si>
    <t>REFERENCE</t>
  </si>
  <si>
    <t>CARBURANT</t>
  </si>
  <si>
    <t>Objectif déjà réalisé :</t>
  </si>
  <si>
    <t>Objectif mensuel       :            </t>
  </si>
  <si>
    <t>Commentaires</t>
  </si>
  <si>
    <t>STOCK</t>
  </si>
  <si>
    <t>COULAGE REALISE</t>
  </si>
  <si>
    <t>COULAGE ADMIS</t>
  </si>
  <si>
    <t>COULAGE NON ADMIS</t>
  </si>
  <si>
    <t>Objectif mensuel :</t>
  </si>
  <si>
    <t xml:space="preserve">Vente réalisée      : </t>
  </si>
  <si>
    <t>PANNES ET PROBLEMES</t>
  </si>
  <si>
    <t>SECURITE</t>
  </si>
  <si>
    <r>
      <t>Commentaires</t>
    </r>
    <r>
      <rPr>
        <b/>
        <u/>
        <sz val="14"/>
        <color rgb="FF000000"/>
        <rFont val="Bodoni MT"/>
        <family val="1"/>
      </rPr>
      <t> </t>
    </r>
  </si>
  <si>
    <t>Gap/jr</t>
  </si>
  <si>
    <t>ESPECES BANQ(CBC)</t>
  </si>
  <si>
    <t>POMPE</t>
  </si>
  <si>
    <t>SIGNATURE</t>
  </si>
  <si>
    <t>POMPISTE</t>
  </si>
  <si>
    <t>N°TEL(2)</t>
  </si>
  <si>
    <t>N°TEL(1)</t>
  </si>
  <si>
    <t>BEBENE DESIREE</t>
  </si>
  <si>
    <t>ANGO ESSIANE SANDRINE</t>
  </si>
  <si>
    <t>NDJEHEMLE France</t>
  </si>
  <si>
    <t>YANOU CLAUDIA</t>
  </si>
  <si>
    <t>MALIEDJI GISELE</t>
  </si>
  <si>
    <t>KAMEMOU REINE</t>
  </si>
  <si>
    <t>NGUE PHILIPPE</t>
  </si>
  <si>
    <t>WADEM FOKO ERIC</t>
  </si>
  <si>
    <t>EDOUMA JOSUE</t>
  </si>
  <si>
    <t>EYANGO MANFRED</t>
  </si>
  <si>
    <t>TCHOUAGOU CELESTIN</t>
  </si>
  <si>
    <t>KEMVO WINNIE</t>
  </si>
  <si>
    <t>DJOMALIEU CHRETIEN</t>
  </si>
  <si>
    <t>NGO MAYOT NADEGE</t>
  </si>
  <si>
    <t>FOTSO GERARD</t>
  </si>
  <si>
    <t>YMNAM DANIELLE</t>
  </si>
  <si>
    <t>DJOUWOU GERALDINE</t>
  </si>
  <si>
    <t>NOUMA JACKY</t>
  </si>
  <si>
    <t>TIAJEU RACHELLE</t>
  </si>
  <si>
    <t>ETOKE GERMAIN</t>
  </si>
  <si>
    <t>BAYAMACK FILS</t>
  </si>
  <si>
    <t>LOTTIN DK</t>
  </si>
  <si>
    <t>RESP BOUTIQUE</t>
  </si>
  <si>
    <t>GERANTE</t>
  </si>
  <si>
    <t>HOTESSE-PRE-E</t>
  </si>
  <si>
    <t>STAGIAIRE-PRE-E</t>
  </si>
  <si>
    <t>CONTACT DU PERSONNEL STATION SERVICE DE YASSA</t>
  </si>
  <si>
    <t>ANALYSES VENTES</t>
  </si>
  <si>
    <t>SUIVI ORANGE MARCHAND</t>
  </si>
  <si>
    <t>EXTRACTION</t>
  </si>
  <si>
    <t>SOLDE PROGRESSIF</t>
  </si>
  <si>
    <t>REF TRANSACTION</t>
  </si>
  <si>
    <t>ORANGE MARCHAND</t>
  </si>
  <si>
    <t xml:space="preserve">STATION SERVICE  </t>
  </si>
  <si>
    <t>BLESSING YASSA</t>
  </si>
  <si>
    <t>presence effective des vigiles jour et nuit.</t>
  </si>
  <si>
    <t>RATION STAGIAIRES</t>
  </si>
  <si>
    <t>le papillon du cash doit etre contre signé par les 02 parties et coffré ensemble</t>
  </si>
  <si>
    <t>il doit aussi veiller à la collecte du cash à chaque instant , la propreté des pompistes,des stagiaires et de la station service pendant caque quart,</t>
  </si>
  <si>
    <t>Le chef de piste ou le chef de quart est tenu de reorganiser la piste en cas de sous effectif apres la petite reunion de 15min rappellant nos objectifs</t>
  </si>
  <si>
    <t>EXTRA KHALIFA</t>
  </si>
  <si>
    <t>KHALIFA</t>
  </si>
  <si>
    <t>espece</t>
  </si>
  <si>
    <t>Gap</t>
  </si>
  <si>
    <t xml:space="preserve">STATION SERVICE YASSA </t>
  </si>
  <si>
    <t>du 01 au 31 - 07 -17</t>
  </si>
  <si>
    <t>MP170523</t>
  </si>
  <si>
    <t>1615,B09548</t>
  </si>
  <si>
    <t>1629,B09586</t>
  </si>
  <si>
    <t>1633,A12494</t>
  </si>
  <si>
    <t>MP170524</t>
  </si>
  <si>
    <t>1656,A16946</t>
  </si>
  <si>
    <t>MP170525</t>
  </si>
  <si>
    <t>MP170526</t>
  </si>
  <si>
    <t>MP170607</t>
  </si>
  <si>
    <t>1544B41366</t>
  </si>
  <si>
    <t>1547A78911</t>
  </si>
  <si>
    <t>MP170609</t>
  </si>
  <si>
    <t>0655,A85095</t>
  </si>
  <si>
    <t>0657A85097</t>
  </si>
  <si>
    <t>0814.B44633</t>
  </si>
  <si>
    <t>0812.B44626</t>
  </si>
  <si>
    <t>0818.B44641</t>
  </si>
  <si>
    <t>MP170610</t>
  </si>
  <si>
    <t>0810,B46967</t>
  </si>
  <si>
    <t>0928.A90171</t>
  </si>
  <si>
    <t>MP170613</t>
  </si>
  <si>
    <t>0914.B53821</t>
  </si>
  <si>
    <t>MP170615</t>
  </si>
  <si>
    <t>1122,B58410</t>
  </si>
  <si>
    <t>MP170616</t>
  </si>
  <si>
    <t>1015A15691</t>
  </si>
  <si>
    <t>MP170618</t>
  </si>
  <si>
    <t>.1634A.10060</t>
  </si>
  <si>
    <t>MP170619</t>
  </si>
  <si>
    <t>1633B06880</t>
  </si>
  <si>
    <t>MP170620</t>
  </si>
  <si>
    <t>0706.B07740</t>
  </si>
  <si>
    <t>MP170622</t>
  </si>
  <si>
    <t>0644,A24608</t>
  </si>
  <si>
    <t>MP170624</t>
  </si>
  <si>
    <t>2232,A38705</t>
  </si>
  <si>
    <t>2220,B18794</t>
  </si>
  <si>
    <t>2119B18709</t>
  </si>
  <si>
    <t>MP170625</t>
  </si>
  <si>
    <t>0820,A39414</t>
  </si>
  <si>
    <t>MP170626</t>
  </si>
  <si>
    <t>1148,A44710</t>
  </si>
  <si>
    <t>MP170628</t>
  </si>
  <si>
    <t>1003,A53822</t>
  </si>
  <si>
    <t>1135,B25874</t>
  </si>
  <si>
    <t>MP170629</t>
  </si>
  <si>
    <t>1800,A61358</t>
  </si>
  <si>
    <t>MP170705</t>
  </si>
  <si>
    <t>0621,A88138</t>
  </si>
  <si>
    <t>MP170704</t>
  </si>
  <si>
    <t>1223,A84609</t>
  </si>
  <si>
    <t>MP170703</t>
  </si>
  <si>
    <t>0609B36176</t>
  </si>
  <si>
    <t>MP170702</t>
  </si>
  <si>
    <t>2227,B36119</t>
  </si>
  <si>
    <t>2209,B36105</t>
  </si>
  <si>
    <t>1710A76948</t>
  </si>
  <si>
    <t>1506,B35263</t>
  </si>
  <si>
    <t>MP170630</t>
  </si>
  <si>
    <t>1827,B31313</t>
  </si>
  <si>
    <t>1815,A67122</t>
  </si>
  <si>
    <t>1801A67017</t>
  </si>
  <si>
    <t>1647A66471</t>
  </si>
  <si>
    <t>MP170701</t>
  </si>
  <si>
    <t>0853,B32082</t>
  </si>
  <si>
    <t>MP170706</t>
  </si>
  <si>
    <t>1155,A94071</t>
  </si>
  <si>
    <t>1846.B44399</t>
  </si>
  <si>
    <t>2106.A97036</t>
  </si>
  <si>
    <t>1109.A89099</t>
  </si>
  <si>
    <t>MP170707</t>
  </si>
  <si>
    <t>1523.A99698</t>
  </si>
  <si>
    <t>1720,B46455</t>
  </si>
  <si>
    <t>2013,B46920</t>
  </si>
  <si>
    <t>MP170708</t>
  </si>
  <si>
    <t>1128,A03193</t>
  </si>
  <si>
    <t>SOCKMACK</t>
  </si>
  <si>
    <t>MP170709</t>
  </si>
  <si>
    <t>1004,A07157</t>
  </si>
  <si>
    <t>1722,B51254</t>
  </si>
  <si>
    <t>1837,B51450</t>
  </si>
  <si>
    <t>2000,A,09752</t>
  </si>
  <si>
    <t>1358,A12248</t>
  </si>
  <si>
    <t>MP170710</t>
  </si>
  <si>
    <t>1403,B52970</t>
  </si>
  <si>
    <t>MP170711</t>
  </si>
  <si>
    <t>1541,A17713</t>
  </si>
  <si>
    <t>1916B56235</t>
  </si>
  <si>
    <t>MP170712</t>
  </si>
  <si>
    <t>0134A19940</t>
  </si>
  <si>
    <t>1659,B582015</t>
  </si>
  <si>
    <t>1936,A23860</t>
  </si>
  <si>
    <t>MP170713</t>
  </si>
  <si>
    <t>1033,B59529</t>
  </si>
  <si>
    <t>1036,B59540</t>
  </si>
  <si>
    <t>MP170713,</t>
  </si>
  <si>
    <t>1140,B59713</t>
  </si>
  <si>
    <t>1658,A27506</t>
  </si>
  <si>
    <t>1923,B60915</t>
  </si>
  <si>
    <t>2234,B61281</t>
  </si>
  <si>
    <t>MP170714</t>
  </si>
  <si>
    <t>0718,A29632</t>
  </si>
  <si>
    <t>1635.A32265</t>
  </si>
  <si>
    <t>1640.A32306</t>
  </si>
  <si>
    <t>1646.A32348</t>
  </si>
  <si>
    <t>2345.A34257</t>
  </si>
  <si>
    <t>0641.A34449</t>
  </si>
  <si>
    <t>1345.B62405</t>
  </si>
  <si>
    <t>MP170715</t>
  </si>
  <si>
    <t>1524,A36733</t>
  </si>
  <si>
    <t>1706,A37303</t>
  </si>
  <si>
    <t>2151,A38648</t>
  </si>
  <si>
    <t>MP170716</t>
  </si>
  <si>
    <t>1650,A41736</t>
  </si>
  <si>
    <t>1812,A42146</t>
  </si>
  <si>
    <t>MP170717</t>
  </si>
  <si>
    <t>1020,B69629</t>
  </si>
  <si>
    <t>1430B70132</t>
  </si>
  <si>
    <t>MP170718</t>
  </si>
  <si>
    <t>1612,A51017</t>
  </si>
  <si>
    <t>MP170719</t>
  </si>
  <si>
    <t>0642,A53160</t>
  </si>
  <si>
    <t>1521,B15164</t>
  </si>
  <si>
    <t>20/0/7/2017</t>
  </si>
  <si>
    <t>MP170720</t>
  </si>
  <si>
    <t>1545,B77697</t>
  </si>
  <si>
    <t>1711,B77945</t>
  </si>
  <si>
    <t>MP170721</t>
  </si>
  <si>
    <t>0028,A62341</t>
  </si>
  <si>
    <t>0004.A66855</t>
  </si>
  <si>
    <t>1644.B80352</t>
  </si>
  <si>
    <t>1603.A64781</t>
  </si>
  <si>
    <t>MP170722</t>
  </si>
  <si>
    <t>1116,B81915</t>
  </si>
  <si>
    <t>1129,A68113</t>
  </si>
  <si>
    <t>1301,A68489</t>
  </si>
  <si>
    <t>MP170724</t>
  </si>
  <si>
    <t>1054,A76409</t>
  </si>
  <si>
    <t>MP170726</t>
  </si>
  <si>
    <t>0752,B91294</t>
  </si>
  <si>
    <t>MP170727</t>
  </si>
  <si>
    <t>1310,A92281</t>
  </si>
  <si>
    <t>1558,A93216</t>
  </si>
  <si>
    <t>MP170728</t>
  </si>
  <si>
    <t>1709A98801</t>
  </si>
  <si>
    <t>MP170729</t>
  </si>
  <si>
    <t>1911,A04714</t>
  </si>
  <si>
    <t>MP170731</t>
  </si>
  <si>
    <t>0715,A10231</t>
  </si>
  <si>
    <t>1644,B04756</t>
  </si>
  <si>
    <t>1647,B04769</t>
  </si>
  <si>
    <t>MP170801</t>
  </si>
  <si>
    <t>0439,B05647</t>
  </si>
  <si>
    <t>0624,B05668</t>
  </si>
  <si>
    <t>1030,A11001</t>
  </si>
  <si>
    <t>1038,B03739</t>
  </si>
  <si>
    <t>1609,B07220</t>
  </si>
  <si>
    <t>MP170802</t>
  </si>
  <si>
    <t>0756,A21441</t>
  </si>
  <si>
    <t>MP170803</t>
  </si>
  <si>
    <t>0632,A26520</t>
  </si>
  <si>
    <t>0641,A26528</t>
  </si>
  <si>
    <t>1042,B11390</t>
  </si>
  <si>
    <t>1321,B11740</t>
  </si>
  <si>
    <t>1854,A30040</t>
  </si>
  <si>
    <t>VAYCO</t>
  </si>
  <si>
    <t>MP170805</t>
  </si>
  <si>
    <t>0932,A06011</t>
  </si>
  <si>
    <t>1644,A08323</t>
  </si>
  <si>
    <t>MP170806</t>
  </si>
  <si>
    <t>0656,B05237</t>
  </si>
  <si>
    <t>1251,B06110</t>
  </si>
  <si>
    <t>1745,B06930</t>
  </si>
  <si>
    <t>2147,B07433</t>
  </si>
  <si>
    <t>MP170807</t>
  </si>
  <si>
    <t>1700,B09233</t>
  </si>
  <si>
    <t>MP170808</t>
  </si>
  <si>
    <t>1409,A22162</t>
  </si>
  <si>
    <t>1431,B11326</t>
  </si>
  <si>
    <t>1847,A23816</t>
  </si>
  <si>
    <t>MP170809</t>
  </si>
  <si>
    <t>1649.B01515</t>
  </si>
  <si>
    <t>MP170804</t>
  </si>
  <si>
    <t>1141.BO0792</t>
  </si>
  <si>
    <t>MP170811</t>
  </si>
  <si>
    <t>1045,B05484</t>
  </si>
  <si>
    <t>2139,A13980</t>
  </si>
  <si>
    <t>CHEF DE PISTE</t>
  </si>
  <si>
    <t>MP170812</t>
  </si>
  <si>
    <t>1014B08111</t>
  </si>
  <si>
    <t>MP170810</t>
  </si>
  <si>
    <t>1120,A05646</t>
  </si>
  <si>
    <t>1338,B03339</t>
  </si>
  <si>
    <t>MP170813</t>
  </si>
  <si>
    <t>0926B00398</t>
  </si>
  <si>
    <t>1323,B01038</t>
  </si>
  <si>
    <t>1421.A02100</t>
  </si>
  <si>
    <t>1652.B01688</t>
  </si>
  <si>
    <r>
      <t>CLIENT</t>
    </r>
    <r>
      <rPr>
        <b/>
        <sz val="14"/>
        <rFont val="Arial"/>
        <family val="2"/>
      </rPr>
      <t xml:space="preserve"> :</t>
    </r>
  </si>
  <si>
    <t>N° Bon</t>
  </si>
  <si>
    <t>super</t>
  </si>
  <si>
    <t>S+G+P+L</t>
  </si>
  <si>
    <t>MP170814</t>
  </si>
  <si>
    <t>1144,B00811</t>
  </si>
  <si>
    <t>1604,B01653</t>
  </si>
  <si>
    <t>MP170815</t>
  </si>
  <si>
    <t>1259,B03555</t>
  </si>
  <si>
    <t>MP170818</t>
  </si>
  <si>
    <t>2153.A04617</t>
  </si>
  <si>
    <t>1419.A02025</t>
  </si>
  <si>
    <t>MP170816</t>
  </si>
  <si>
    <t>MP170817</t>
  </si>
  <si>
    <t>1219.A16009</t>
  </si>
  <si>
    <t>1643.A17452</t>
  </si>
  <si>
    <t>1730.B09156</t>
  </si>
  <si>
    <t>MP170821</t>
  </si>
  <si>
    <t>0702,A14369</t>
  </si>
  <si>
    <t>MP170820</t>
  </si>
  <si>
    <t>1417,B06558</t>
  </si>
  <si>
    <t>GASOIL 7</t>
  </si>
  <si>
    <t>MP170822</t>
  </si>
  <si>
    <t>0752.A00193</t>
  </si>
  <si>
    <t>1501.A16594</t>
  </si>
  <si>
    <t>MP170824</t>
  </si>
  <si>
    <t>0829.A10281</t>
  </si>
  <si>
    <t>0912.B05255</t>
  </si>
  <si>
    <t>1838.B06780</t>
  </si>
  <si>
    <t>1938.A14052</t>
  </si>
  <si>
    <t>2034.B07125</t>
  </si>
  <si>
    <t>2102.A14451</t>
  </si>
  <si>
    <t>0702.B07446</t>
  </si>
  <si>
    <t>MP170823</t>
  </si>
  <si>
    <t>102.A05824</t>
  </si>
  <si>
    <t>1652.B04090</t>
  </si>
  <si>
    <t>MP170825</t>
  </si>
  <si>
    <t>1300.B08324</t>
  </si>
  <si>
    <t>2214.A20197</t>
  </si>
  <si>
    <t>MP170826</t>
  </si>
  <si>
    <t>1149.B10789</t>
  </si>
  <si>
    <t>1636.B11617</t>
  </si>
  <si>
    <t>MP170827</t>
  </si>
  <si>
    <t>1147B13372</t>
  </si>
  <si>
    <t>1222,A27909</t>
  </si>
  <si>
    <t>MP170828</t>
  </si>
  <si>
    <t>1132,A32662</t>
  </si>
  <si>
    <t>1437,B16250</t>
  </si>
  <si>
    <t>MP170903</t>
  </si>
  <si>
    <t>0935.B29959</t>
  </si>
  <si>
    <t>MP170902</t>
  </si>
  <si>
    <t>1646.A58287</t>
  </si>
  <si>
    <t>MP170830</t>
  </si>
  <si>
    <t>MP170831</t>
  </si>
  <si>
    <t>1955.B24553</t>
  </si>
  <si>
    <t>1223.B20775</t>
  </si>
  <si>
    <t>OW170829</t>
  </si>
  <si>
    <t>.0906A00868</t>
  </si>
  <si>
    <t>MP170904</t>
  </si>
  <si>
    <t>2322,A76211</t>
  </si>
  <si>
    <t xml:space="preserve">                   </t>
  </si>
  <si>
    <t>MP170905</t>
  </si>
  <si>
    <t>1322,B35229</t>
  </si>
  <si>
    <t>MP170906</t>
  </si>
  <si>
    <t>1530,B38027</t>
  </si>
  <si>
    <t>1757,A85156</t>
  </si>
  <si>
    <t>MP170907</t>
  </si>
  <si>
    <t>1516,A89423</t>
  </si>
  <si>
    <t>1634,B40449</t>
  </si>
  <si>
    <t>1638,B40460</t>
  </si>
  <si>
    <t>MP170908</t>
  </si>
  <si>
    <t>0644,A92345</t>
  </si>
  <si>
    <t>1159,B42083</t>
  </si>
  <si>
    <t>1357,A94284</t>
  </si>
  <si>
    <t>1400,A94293</t>
  </si>
  <si>
    <t>1801,A95816</t>
  </si>
  <si>
    <t>1809,B43050</t>
  </si>
  <si>
    <t>1833,A96048</t>
  </si>
  <si>
    <t>MP170909</t>
  </si>
  <si>
    <t>1515,B45138</t>
  </si>
  <si>
    <t>1803,B45663</t>
  </si>
  <si>
    <t>MP170910</t>
  </si>
  <si>
    <t>0632,B46394</t>
  </si>
  <si>
    <t>0934,B46771</t>
  </si>
  <si>
    <t>1511,A05570</t>
  </si>
  <si>
    <t>MP170911</t>
  </si>
  <si>
    <t>0639,A07808</t>
  </si>
  <si>
    <t>18T3003A</t>
  </si>
  <si>
    <t>18T3004A</t>
  </si>
  <si>
    <t>18T2968A</t>
  </si>
  <si>
    <t>MP170912</t>
  </si>
  <si>
    <t>1154,A01660</t>
  </si>
  <si>
    <t>1209,B00813</t>
  </si>
  <si>
    <t>1452,B01246</t>
  </si>
  <si>
    <t>1756,B01767</t>
  </si>
  <si>
    <t>1905,A1193</t>
  </si>
  <si>
    <t>MP170914</t>
  </si>
  <si>
    <t>1122,B05365</t>
  </si>
  <si>
    <t>1133,B05382</t>
  </si>
  <si>
    <t>2156,B07025</t>
  </si>
  <si>
    <t>MP170915</t>
  </si>
  <si>
    <t>0704,B07221</t>
  </si>
  <si>
    <t>15/109/2017</t>
  </si>
  <si>
    <t>1050,B07769</t>
  </si>
  <si>
    <t>MP170916</t>
  </si>
  <si>
    <t>0829,A21534</t>
  </si>
  <si>
    <t>1009,B10119</t>
  </si>
  <si>
    <t>1439,B10899</t>
  </si>
  <si>
    <t>MP170917</t>
  </si>
  <si>
    <t>0354,A26467</t>
  </si>
  <si>
    <t>0812,A26755</t>
  </si>
  <si>
    <t>MP170919</t>
  </si>
  <si>
    <t>0620,A36270</t>
  </si>
  <si>
    <t>mp170919</t>
  </si>
  <si>
    <t>0747,A36504</t>
  </si>
  <si>
    <t>0801,B17342</t>
  </si>
  <si>
    <t>0950,B17610</t>
  </si>
  <si>
    <t>1043,B17744</t>
  </si>
  <si>
    <t>1655,B18763</t>
  </si>
  <si>
    <t>MP170920</t>
  </si>
  <si>
    <t>0556,A41367</t>
  </si>
  <si>
    <t>MP170921</t>
  </si>
  <si>
    <t>1036,B22530</t>
  </si>
  <si>
    <t>2212,B24310</t>
  </si>
  <si>
    <t>MP170922</t>
  </si>
  <si>
    <t>0839.B24662</t>
  </si>
  <si>
    <t>MP170924</t>
  </si>
  <si>
    <t>1443,B30421</t>
  </si>
  <si>
    <t>MP170923</t>
  </si>
  <si>
    <t>1815,B28536</t>
  </si>
  <si>
    <t>MP170925</t>
  </si>
  <si>
    <t>2102,A71136</t>
  </si>
  <si>
    <t>MP170926</t>
  </si>
  <si>
    <t>0639,B34078</t>
  </si>
  <si>
    <t>1518,B35323</t>
  </si>
  <si>
    <t>1646,B35529</t>
  </si>
  <si>
    <t>2058,B36220</t>
  </si>
  <si>
    <t>MP170927</t>
  </si>
  <si>
    <t>1111,B0077</t>
  </si>
  <si>
    <t>1107,B37143</t>
  </si>
  <si>
    <t>18T2973A</t>
  </si>
  <si>
    <t>18T2969A</t>
  </si>
  <si>
    <t>MP171001</t>
  </si>
  <si>
    <t>1140,B47208</t>
  </si>
  <si>
    <t>MP171002</t>
  </si>
  <si>
    <t>1012,B49394</t>
  </si>
  <si>
    <t>MP171003</t>
  </si>
  <si>
    <t>1159,B52002</t>
  </si>
  <si>
    <t>1719,B52874</t>
  </si>
  <si>
    <t>MP17005</t>
  </si>
  <si>
    <t>0001,B55915</t>
  </si>
  <si>
    <t>MP171005</t>
  </si>
  <si>
    <t>1347,A30246</t>
  </si>
  <si>
    <t>1653,B57521</t>
  </si>
  <si>
    <t xml:space="preserve">CONTRÔLE DES TOILLETTES </t>
  </si>
  <si>
    <t>MP171009</t>
  </si>
  <si>
    <t>1141,A50048</t>
  </si>
  <si>
    <t>1425,B66010</t>
  </si>
  <si>
    <t>MP171009,1856,B66835</t>
  </si>
  <si>
    <t>MP171009,1945,B66983</t>
  </si>
  <si>
    <t>MP171011</t>
  </si>
  <si>
    <t>0656,B69821</t>
  </si>
  <si>
    <t>MP171016</t>
  </si>
  <si>
    <t>1911,A91847</t>
  </si>
  <si>
    <t>2215,A92286</t>
  </si>
  <si>
    <t>MP171021,0724,B10383</t>
  </si>
  <si>
    <t>MP171021,0727,B10387</t>
  </si>
  <si>
    <t>MP171021,0934,A22068</t>
  </si>
  <si>
    <t>MP171020,1824,A19841</t>
  </si>
  <si>
    <t>MP171019,0835,B05252</t>
  </si>
  <si>
    <t>MP171019,0955,A11553</t>
  </si>
  <si>
    <t>MP171018,1730,A,08716</t>
  </si>
  <si>
    <t>1602,B03742</t>
  </si>
  <si>
    <t>MP171017</t>
  </si>
  <si>
    <t>2207,B02167</t>
  </si>
  <si>
    <t>MP171015</t>
  </si>
  <si>
    <t>1842,B81975</t>
  </si>
  <si>
    <t>MP171014,</t>
  </si>
  <si>
    <t>1203,A78831</t>
  </si>
  <si>
    <t>MP171013</t>
  </si>
  <si>
    <t>2021,A76211</t>
  </si>
  <si>
    <t>1553,A74247</t>
  </si>
  <si>
    <t>1010,B15028</t>
  </si>
  <si>
    <t>0846,B74828</t>
  </si>
  <si>
    <t>MP171012</t>
  </si>
  <si>
    <t>0914,A66491</t>
  </si>
  <si>
    <t>MP171012,1117,A67086</t>
  </si>
  <si>
    <t>2040,B74209</t>
  </si>
  <si>
    <t>2042,A70631</t>
  </si>
  <si>
    <t>2001,B71809</t>
  </si>
  <si>
    <t>1942,B71763</t>
  </si>
  <si>
    <t>1107,B70,80</t>
  </si>
  <si>
    <t>MP171022,1312,A28993</t>
  </si>
  <si>
    <t>pompe g1s1 non fonctionnelle</t>
  </si>
  <si>
    <t>station proprement dite</t>
  </si>
  <si>
    <t>DEPENSES</t>
  </si>
  <si>
    <t>MP171025,1312,A28994</t>
  </si>
  <si>
    <t>1336A45104</t>
  </si>
  <si>
    <t>MP171026,1952A52482</t>
  </si>
  <si>
    <t>MP171028,1952A52483</t>
  </si>
  <si>
    <t>0537B27861</t>
  </si>
  <si>
    <t>MP171028,1952A52484</t>
  </si>
  <si>
    <t>0912A60454</t>
  </si>
  <si>
    <t xml:space="preserve">DATE: </t>
  </si>
  <si>
    <t>MP171029,</t>
  </si>
  <si>
    <t>MP171101</t>
  </si>
  <si>
    <t>1057.AB5060</t>
  </si>
  <si>
    <t>MP171102</t>
  </si>
  <si>
    <t>1454.B41172</t>
  </si>
  <si>
    <t>MP171103</t>
  </si>
  <si>
    <t>0755.A94771</t>
  </si>
  <si>
    <t>1313.A96490</t>
  </si>
  <si>
    <t>0646B44908</t>
  </si>
  <si>
    <t>MP171104</t>
  </si>
  <si>
    <t>1636A09459</t>
  </si>
  <si>
    <t>MP17108</t>
  </si>
  <si>
    <t>0807,A10898</t>
  </si>
  <si>
    <t>MP171108</t>
  </si>
  <si>
    <t>1403,A12593</t>
  </si>
  <si>
    <t>MP171109,2103,A19948</t>
  </si>
  <si>
    <t>MP171110,0942,A21298</t>
  </si>
  <si>
    <t>MP171111</t>
  </si>
  <si>
    <t>0623,B62820</t>
  </si>
  <si>
    <t>MP171115</t>
  </si>
  <si>
    <t>1355,B73770</t>
  </si>
  <si>
    <t>15/11/217</t>
  </si>
  <si>
    <t>MP171116</t>
  </si>
  <si>
    <t>0725,B75368</t>
  </si>
  <si>
    <t>1042,B75918</t>
  </si>
  <si>
    <t>MP17111161327,A63756</t>
  </si>
  <si>
    <t>MP17116</t>
  </si>
  <si>
    <t>1335,A53786</t>
  </si>
  <si>
    <t>1435,B76527</t>
  </si>
  <si>
    <t>1935,A56161</t>
  </si>
  <si>
    <t>MP17117</t>
  </si>
  <si>
    <t>0624.A63283</t>
  </si>
  <si>
    <t>VERSEMENT DU 18 ET 19 - 11 - 2017</t>
  </si>
  <si>
    <t>MP171118</t>
  </si>
  <si>
    <t>1239,A65172</t>
  </si>
  <si>
    <t>1515,A66234</t>
  </si>
  <si>
    <t>MP171119</t>
  </si>
  <si>
    <t>1202,B84225</t>
  </si>
  <si>
    <t>MP171120</t>
  </si>
  <si>
    <t>0941,B86393</t>
  </si>
  <si>
    <t>1212,B86814</t>
  </si>
  <si>
    <t>1702,B87641</t>
  </si>
  <si>
    <t>MP171125</t>
  </si>
  <si>
    <t>1554B00956</t>
  </si>
  <si>
    <t>1839,A07489</t>
  </si>
  <si>
    <t>mp171128</t>
  </si>
  <si>
    <t>0726,a22425</t>
  </si>
  <si>
    <t>AFCA</t>
  </si>
  <si>
    <t>NDONGO PATRICE</t>
  </si>
  <si>
    <t>1549.B01620</t>
  </si>
  <si>
    <t>MP171208</t>
  </si>
  <si>
    <t>0449.B02743</t>
  </si>
  <si>
    <t>0658.A06128</t>
  </si>
  <si>
    <t>0702.B02810</t>
  </si>
  <si>
    <t>MP171213</t>
  </si>
  <si>
    <t>MP171209</t>
  </si>
  <si>
    <t>MP171210</t>
  </si>
  <si>
    <t>1135.A30905</t>
  </si>
  <si>
    <t>1158.A31008</t>
  </si>
  <si>
    <t>1952.B5852</t>
  </si>
  <si>
    <t>MP171214</t>
  </si>
  <si>
    <t>1653.B17906</t>
  </si>
  <si>
    <t>0804.B9173</t>
  </si>
  <si>
    <t>0807.A41282</t>
  </si>
  <si>
    <t>MP171215</t>
  </si>
  <si>
    <t>18T2972A</t>
  </si>
  <si>
    <t>mp171217</t>
  </si>
  <si>
    <t>1827,a57684</t>
  </si>
  <si>
    <t>MP171217</t>
  </si>
  <si>
    <t>0810,B24946</t>
  </si>
  <si>
    <t>MP171216</t>
  </si>
  <si>
    <t>1336,A49500</t>
  </si>
  <si>
    <t>1330,A49439</t>
  </si>
  <si>
    <t>1225,B22912</t>
  </si>
  <si>
    <t>MP171225</t>
  </si>
  <si>
    <t>1634,B48318</t>
  </si>
  <si>
    <t>2020,A07404</t>
  </si>
  <si>
    <t>MP171222</t>
  </si>
  <si>
    <t>0855,B38510</t>
  </si>
  <si>
    <t>MP171221</t>
  </si>
  <si>
    <t>2105,A82054</t>
  </si>
  <si>
    <t>0416,A82808</t>
  </si>
  <si>
    <t>MP171220</t>
  </si>
  <si>
    <t>0758,B33139</t>
  </si>
  <si>
    <t>0752,B33115</t>
  </si>
  <si>
    <t>0746,B33080</t>
  </si>
  <si>
    <t>MP171229</t>
  </si>
  <si>
    <t>1254,B58910</t>
  </si>
  <si>
    <t>MP171228</t>
  </si>
  <si>
    <t>1620,B56577</t>
  </si>
  <si>
    <t>TJK</t>
  </si>
  <si>
    <t>MP180105,0621,B76966</t>
  </si>
  <si>
    <t>0651,A73329</t>
  </si>
  <si>
    <t>MP171231</t>
  </si>
  <si>
    <t>1217,B64732</t>
  </si>
  <si>
    <t>MP1080106</t>
  </si>
  <si>
    <t>0643A79807</t>
  </si>
  <si>
    <t>1720;A77194</t>
  </si>
  <si>
    <t>MP180111</t>
  </si>
  <si>
    <t>0141,A11026</t>
  </si>
  <si>
    <t>MP180108</t>
  </si>
  <si>
    <t>1657,A96136</t>
  </si>
  <si>
    <t>2222,B88014</t>
  </si>
  <si>
    <t>MP180113</t>
  </si>
  <si>
    <t>1448,B00549</t>
  </si>
  <si>
    <t>MP180114</t>
  </si>
  <si>
    <t>MP180115</t>
  </si>
  <si>
    <t>1826A,40679</t>
  </si>
  <si>
    <t>MP180117</t>
  </si>
  <si>
    <t>0754,A49298</t>
  </si>
  <si>
    <t>MP180118</t>
  </si>
  <si>
    <t>1239A56340</t>
  </si>
  <si>
    <t>1104.A55853</t>
  </si>
  <si>
    <t>MP180201</t>
  </si>
  <si>
    <t>1007.B06030</t>
  </si>
  <si>
    <t>0903.B05815</t>
  </si>
  <si>
    <t>1109.B06212</t>
  </si>
  <si>
    <t>1215.A16395</t>
  </si>
  <si>
    <t>1632.B07173</t>
  </si>
  <si>
    <t>MP180202</t>
  </si>
  <si>
    <t>0825.A28850</t>
  </si>
  <si>
    <t>0831.A28877</t>
  </si>
  <si>
    <t>0834.B11346</t>
  </si>
  <si>
    <t>HONG LIANG</t>
  </si>
  <si>
    <t>MP180223,0641,B44870</t>
  </si>
  <si>
    <t>MP180223,0603,B44824</t>
  </si>
  <si>
    <t>MP180233,0422,B44798</t>
  </si>
  <si>
    <t>MP180222,0728,A92710</t>
  </si>
  <si>
    <t>NBRE DE JOURS DE STOCK</t>
  </si>
  <si>
    <t>CAPACITE CUVE</t>
  </si>
  <si>
    <t>CREUX DISPONIBLE</t>
  </si>
  <si>
    <t>STOCK DE SECURITE/STOCK D'ALERTE</t>
  </si>
  <si>
    <t>NOMBRE DE JOURS REQUIS DE STOCK</t>
  </si>
  <si>
    <t>TRANFERT EN NBRE DE JOUR</t>
  </si>
  <si>
    <t>DECISION DE COMMANDE</t>
  </si>
  <si>
    <t>QUANTITE A COMMANDER</t>
  </si>
  <si>
    <t>MOYENNE DES VENTES</t>
  </si>
  <si>
    <t>FOND DE CUVE</t>
  </si>
  <si>
    <t>MP1280302,1046,B66330</t>
  </si>
  <si>
    <t>MP180303</t>
  </si>
  <si>
    <t>1018,A64518</t>
  </si>
  <si>
    <t>1227,B69765</t>
  </si>
  <si>
    <t>1338,B70017</t>
  </si>
  <si>
    <t>MP180305</t>
  </si>
  <si>
    <t>1735,A83036</t>
  </si>
  <si>
    <t>MP180306</t>
  </si>
  <si>
    <t>0701A77546</t>
  </si>
  <si>
    <t>0927,A87197</t>
  </si>
  <si>
    <t>MP180307</t>
  </si>
  <si>
    <t>0605,B80317</t>
  </si>
  <si>
    <t>0923,B80727</t>
  </si>
  <si>
    <t>1423,B81630</t>
  </si>
  <si>
    <t>1704,A97979</t>
  </si>
  <si>
    <t>MP180308</t>
  </si>
  <si>
    <t>0849,B83450</t>
  </si>
  <si>
    <t>0943,B83611</t>
  </si>
  <si>
    <t>1336,A03138</t>
  </si>
  <si>
    <t>SOCOPAT</t>
  </si>
  <si>
    <t>MP180309</t>
  </si>
  <si>
    <t>1051,B86784</t>
  </si>
  <si>
    <t>10/03/2018MP180310</t>
  </si>
  <si>
    <t>1208,B90078</t>
  </si>
  <si>
    <t>MP180310</t>
  </si>
  <si>
    <t>1257,A17439</t>
  </si>
  <si>
    <t>MP180311</t>
  </si>
  <si>
    <t>0535,A22223</t>
  </si>
  <si>
    <t>1500,B93752</t>
  </si>
  <si>
    <t>MP180312</t>
  </si>
  <si>
    <t>0647,B95152</t>
  </si>
  <si>
    <t>1559,A32614</t>
  </si>
  <si>
    <t>1641,B97100</t>
  </si>
  <si>
    <t>1846,A34218</t>
  </si>
  <si>
    <t>MP180313</t>
  </si>
  <si>
    <t>0803,A36949</t>
  </si>
  <si>
    <t>13/0,/2018</t>
  </si>
  <si>
    <t>1152,A38366</t>
  </si>
  <si>
    <t>13/03/2018MP180313</t>
  </si>
  <si>
    <t>1544,B99838</t>
  </si>
  <si>
    <t>PROGRAMME DU HOUSE KEEPING GENERAL</t>
  </si>
  <si>
    <t>NOM</t>
  </si>
  <si>
    <t>MP180324</t>
  </si>
  <si>
    <t>MP180323</t>
  </si>
  <si>
    <t>2139A11304</t>
  </si>
  <si>
    <t>0736A12264</t>
  </si>
  <si>
    <t>1828B30597</t>
  </si>
  <si>
    <t>1619A08700</t>
  </si>
  <si>
    <t>1041B28967</t>
  </si>
  <si>
    <t>0741A05240</t>
  </si>
  <si>
    <t>Lottin DK</t>
  </si>
  <si>
    <t>BOUTIQUE,BOUCARO</t>
  </si>
  <si>
    <t>MP180404,</t>
  </si>
  <si>
    <t>0356,B65177</t>
  </si>
  <si>
    <t>MP180403</t>
  </si>
  <si>
    <t>1613,B63922</t>
  </si>
  <si>
    <t>1421,A93923</t>
  </si>
  <si>
    <t>0855,A91200</t>
  </si>
  <si>
    <t>MP180402</t>
  </si>
  <si>
    <t>1050,B59927</t>
  </si>
  <si>
    <t>0852,A83105</t>
  </si>
  <si>
    <t>2020,B67817</t>
  </si>
  <si>
    <t>1401,B66501</t>
  </si>
  <si>
    <t>1002,B65775</t>
  </si>
  <si>
    <t>MP180405</t>
  </si>
  <si>
    <t>1010,A09878</t>
  </si>
  <si>
    <t>1136,B69115</t>
  </si>
  <si>
    <t>1324,B69460</t>
  </si>
  <si>
    <t>1356,A11651</t>
  </si>
  <si>
    <t>2052,A15647</t>
  </si>
  <si>
    <t>MP180406</t>
  </si>
  <si>
    <t>0627,A16763</t>
  </si>
  <si>
    <t>MP180406,</t>
  </si>
  <si>
    <t>0633,A16777</t>
  </si>
  <si>
    <t>0633,B71213</t>
  </si>
  <si>
    <t>MP180407</t>
  </si>
  <si>
    <t>0742B71363</t>
  </si>
  <si>
    <t>1150,A26969</t>
  </si>
  <si>
    <t>1650,B76742</t>
  </si>
  <si>
    <t>VERSEMENT CUMULE</t>
  </si>
  <si>
    <t>MP180408</t>
  </si>
  <si>
    <t>0939,A34232</t>
  </si>
  <si>
    <t>MP180409</t>
  </si>
  <si>
    <t>1015,A41708</t>
  </si>
  <si>
    <t>1031,A41830</t>
  </si>
  <si>
    <t>1056,A42024</t>
  </si>
  <si>
    <t>1236,A42758</t>
  </si>
  <si>
    <t>1423,B82410</t>
  </si>
  <si>
    <t>MP180410</t>
  </si>
  <si>
    <t>0816,B84309</t>
  </si>
  <si>
    <t>1015,A49673</t>
  </si>
  <si>
    <t>1702,B86080</t>
  </si>
  <si>
    <t>2238,A56582</t>
  </si>
  <si>
    <t>MP180411</t>
  </si>
  <si>
    <t>0602,B87170</t>
  </si>
  <si>
    <t xml:space="preserve">                                                         </t>
  </si>
  <si>
    <t>MP180414</t>
  </si>
  <si>
    <t>1559,B98652</t>
  </si>
  <si>
    <t>1820,A86566</t>
  </si>
  <si>
    <t>1839,A86787</t>
  </si>
  <si>
    <t>MP180415</t>
  </si>
  <si>
    <t>0633,B00135</t>
  </si>
  <si>
    <t>0703,A89149</t>
  </si>
  <si>
    <t>DIFFERENCE AVEC DECOUVERT</t>
  </si>
  <si>
    <t>MP180510</t>
  </si>
  <si>
    <t>1533A98189</t>
  </si>
  <si>
    <t>MP180511</t>
  </si>
  <si>
    <t>0818B78639</t>
  </si>
  <si>
    <t>SEGUE HAROLD</t>
  </si>
  <si>
    <t>NDJEHEMLE NADEGE</t>
  </si>
  <si>
    <t>SCAFS</t>
  </si>
  <si>
    <t>LISTE DES POMPISTES AYANT DROIT AUX TENUES STATION YASSA</t>
  </si>
  <si>
    <t>TAILLES</t>
  </si>
  <si>
    <t>SIGNATURES</t>
  </si>
  <si>
    <t>EBOUBOUM SAMUEL</t>
  </si>
  <si>
    <t>MAMGNO CAROLINE</t>
  </si>
  <si>
    <t>THM</t>
  </si>
  <si>
    <t>GOLDENESS</t>
  </si>
  <si>
    <t>DIGIPAY</t>
  </si>
  <si>
    <t>MOMO</t>
  </si>
  <si>
    <t>GOLDEN NEST</t>
  </si>
  <si>
    <t>GOLAR</t>
  </si>
  <si>
    <t>PROGRAMME DE FETE DE FIN DANNEE 2018</t>
  </si>
  <si>
    <t>NDONGO PATRICIA</t>
  </si>
  <si>
    <t>PINLAP STEPHANE</t>
  </si>
  <si>
    <t>LINBONG SIMON</t>
  </si>
  <si>
    <t>KENGNE FABICE</t>
  </si>
  <si>
    <t>SOCKMACK PAUL</t>
  </si>
  <si>
    <t>EBOMBOU SAMUEL</t>
  </si>
  <si>
    <r>
      <rPr>
        <b/>
        <u/>
        <sz val="14"/>
        <rFont val="Arial"/>
        <family val="2"/>
      </rPr>
      <t>NB</t>
    </r>
    <r>
      <rPr>
        <b/>
        <sz val="14"/>
        <rFont val="Arial"/>
        <family val="2"/>
      </rPr>
      <t>:  ce programme est définitif et aucune absence ne sera tolorée.</t>
    </r>
  </si>
  <si>
    <t>STATION SERVICE BLESSING YASSA</t>
  </si>
  <si>
    <t>FICHE DE PRESENCE STAGIAIRE</t>
  </si>
  <si>
    <t xml:space="preserve">                                                                                                                                                                                                                                                                                                                                                                                                                                                                                                                                                                                                                                                                                                                                                                                                                                                                                                                                                                                                                                                                                                                                                                                                                                                                                                                                                                                                                                                                                                                                                                                                                                                                                                                                                                                                                                                                                                                                                                                                                                                                                                                               </t>
  </si>
  <si>
    <t>ndjehemle</t>
  </si>
  <si>
    <t xml:space="preserve">ETAT DE REMISE </t>
  </si>
  <si>
    <t>MTN MARCHAND</t>
  </si>
  <si>
    <t>ecarts satisfaisant en dessous de la freinte,</t>
  </si>
  <si>
    <t>TERMINAL DIGIPAY</t>
  </si>
  <si>
    <t>18T2970A</t>
  </si>
  <si>
    <t>implémentations</t>
  </si>
  <si>
    <t>oui</t>
  </si>
  <si>
    <t>non</t>
  </si>
  <si>
    <t>Téléphone de tous les pompistes sont désormais dans le bureau du gérants pendant le service</t>
  </si>
  <si>
    <t>Le cahiers de dépotage est cosigné par tous les acteurs</t>
  </si>
  <si>
    <t>Rapport réunion de quart classé dans le classeur</t>
  </si>
  <si>
    <t>Cahier de jauge cosigné par tous les acteurs( gérant, chef de piste, chef de quart, pompiste)</t>
  </si>
  <si>
    <t>Responsable Service qualité en station</t>
  </si>
  <si>
    <t>Présence de chaque pompiste dans son ilot</t>
  </si>
  <si>
    <t>Suivi gestion et explication de coulage</t>
  </si>
  <si>
    <t>Collecte de cash</t>
  </si>
  <si>
    <t>BOUCARO</t>
  </si>
  <si>
    <r>
      <rPr>
        <b/>
        <sz val="11"/>
        <rFont val="Arial"/>
        <family val="2"/>
      </rPr>
      <t>NB</t>
    </r>
    <r>
      <rPr>
        <sz val="11"/>
        <rFont val="Arial"/>
        <family val="2"/>
      </rPr>
      <t>:ce programme doit etre respecté par tout le personnel de la piste (imperatif)</t>
    </r>
  </si>
  <si>
    <t>BAIE+COMPRESSEUR</t>
  </si>
  <si>
    <t xml:space="preserve"> la  pause  par  le pompiste qui sera à  la pompe G3 de jour comme de nuit .</t>
  </si>
  <si>
    <t>( le respect de ce programme est obligatoire pour tous  svp )</t>
  </si>
  <si>
    <r>
      <rPr>
        <b/>
        <u/>
        <sz val="16"/>
        <rFont val="Arial"/>
        <family val="2"/>
      </rPr>
      <t>NB</t>
    </r>
    <r>
      <rPr>
        <sz val="16"/>
        <rFont val="Arial"/>
        <family val="2"/>
      </rPr>
      <t>:</t>
    </r>
    <r>
      <rPr>
        <b/>
        <sz val="16"/>
        <rFont val="Arial"/>
        <family val="2"/>
      </rPr>
      <t xml:space="preserve">merci  de savoir que le BATIMENT  sera  desormais nettoyé pendant </t>
    </r>
  </si>
  <si>
    <t>18T2971A</t>
  </si>
  <si>
    <t>18T2974A</t>
  </si>
  <si>
    <t>Lieu de destockage</t>
  </si>
  <si>
    <t>Lieu de livraison</t>
  </si>
  <si>
    <t xml:space="preserve">Ville </t>
  </si>
  <si>
    <t>Adresse</t>
  </si>
  <si>
    <t>:Douala</t>
  </si>
  <si>
    <t>:Yassa</t>
  </si>
  <si>
    <t>:S/S BLESSING YASSA</t>
  </si>
  <si>
    <t>:BP 5405 douala</t>
  </si>
  <si>
    <t>RESPONSABLE BLESSING</t>
  </si>
  <si>
    <t>grille de prix filtre à huile et gasoil station blessing petroleum S.A</t>
  </si>
  <si>
    <t>LS867B</t>
  </si>
  <si>
    <t>MD135737</t>
  </si>
  <si>
    <t>MD069782</t>
  </si>
  <si>
    <t>233900L010</t>
  </si>
  <si>
    <t>W719/5</t>
  </si>
  <si>
    <t>WK817/3X</t>
  </si>
  <si>
    <t>HU718/5X</t>
  </si>
  <si>
    <t>LF3310</t>
  </si>
  <si>
    <t>1520853J00</t>
  </si>
  <si>
    <t xml:space="preserve">MD136466 </t>
  </si>
  <si>
    <t>LF3829</t>
  </si>
  <si>
    <t>H12125</t>
  </si>
  <si>
    <t>H1275Y</t>
  </si>
  <si>
    <t>P811</t>
  </si>
  <si>
    <t>BF 811</t>
  </si>
  <si>
    <t>FF 5018</t>
  </si>
  <si>
    <t>periode allant du MOIS DE AOUT 2019</t>
  </si>
  <si>
    <t>18T2975</t>
  </si>
  <si>
    <t>Arrêter la présente facture a la somme de: (FCFA) six millions trois cent vingt cinq mille  .</t>
  </si>
  <si>
    <t>²</t>
  </si>
  <si>
    <t xml:space="preserve"> ENEO STABLE  </t>
  </si>
  <si>
    <t>pannes</t>
  </si>
  <si>
    <t xml:space="preserve">Projecteurs </t>
  </si>
  <si>
    <t>insastifaction de la clientele</t>
  </si>
  <si>
    <t>trous d'homme</t>
  </si>
  <si>
    <t>défecteux</t>
  </si>
  <si>
    <t>lampadaire</t>
  </si>
  <si>
    <t xml:space="preserve">Boutique </t>
  </si>
  <si>
    <t>toilette</t>
  </si>
  <si>
    <t>Sèche air</t>
  </si>
  <si>
    <t>01 boite défectueuse</t>
  </si>
  <si>
    <t>Caisse a outil</t>
  </si>
  <si>
    <t>Incomplete</t>
  </si>
  <si>
    <t>insastifaction du personnel</t>
  </si>
  <si>
    <t xml:space="preserve">Grilles </t>
  </si>
  <si>
    <t>parking</t>
  </si>
  <si>
    <t>Projecteur</t>
  </si>
  <si>
    <t xml:space="preserve">Projecteur principal parking  Hors service </t>
  </si>
  <si>
    <t>Projecteur parking coté  toilettes levé vers le ciel</t>
  </si>
  <si>
    <t>Passage arrière</t>
  </si>
  <si>
    <t>Creusé  au niveau  des toilettes clients</t>
  </si>
  <si>
    <t>presque inpraticable pour les véhicules et pietons</t>
  </si>
  <si>
    <t>Entrée de la station pas bien eclairée,le candelabre étant un peu plus en arrière . Un véhicule pourrait traverser la station avant de s'en rendre compte.</t>
  </si>
  <si>
    <t>Eclairage entrée station service</t>
  </si>
  <si>
    <t>Disjonction de certaines lampes</t>
  </si>
  <si>
    <t>Borne à Air</t>
  </si>
  <si>
    <t>Inexistante</t>
  </si>
  <si>
    <t>01  cassé + 02 instables</t>
  </si>
  <si>
    <t>02 coté sortie  éteints</t>
  </si>
  <si>
    <t>Circuit d'évacuation des eaux usées bouché</t>
  </si>
  <si>
    <t>Stagnation des eaux usées dans les bacs au niveau de la baie de lavage, décanteurs inopérants, les eaux usées provenant du caniveau technique se déversent dans la nature</t>
  </si>
  <si>
    <t>Caniveaux</t>
  </si>
  <si>
    <t>Balises de sécurité</t>
  </si>
  <si>
    <t>Celles des volucompteurs G2 et G3</t>
  </si>
  <si>
    <t>Pisoir</t>
  </si>
  <si>
    <t>Boulon chasse eau pissoir et siphon lave main défectueux</t>
  </si>
  <si>
    <t>Ecoulement constante d'eau dès l'ouverture via le boulon d'arret;la conséquence ici c'est que le sol est trempé</t>
  </si>
  <si>
    <t>Eclairage</t>
  </si>
  <si>
    <t>Absence d'ampoules en état</t>
  </si>
  <si>
    <t>Obscurité dès la tombée de la nuit d'où quelques cas de vol</t>
  </si>
  <si>
    <t>Robinet lave main</t>
  </si>
  <si>
    <t>Insuffisante</t>
  </si>
  <si>
    <t>Plusieurs ampoules grillées</t>
  </si>
  <si>
    <t>Lave main Sandwicherie</t>
  </si>
  <si>
    <t>Frigo Wespoint</t>
  </si>
  <si>
    <t>En panne</t>
  </si>
  <si>
    <t>Inopérant</t>
  </si>
  <si>
    <t>Batiments</t>
  </si>
  <si>
    <t>Mur Sandwicherie</t>
  </si>
  <si>
    <t xml:space="preserve"> non peint</t>
  </si>
  <si>
    <t>Robinet Public</t>
  </si>
  <si>
    <t>Vanne d'arret</t>
  </si>
  <si>
    <t>Forage</t>
  </si>
  <si>
    <t>Tuyauterie</t>
  </si>
  <si>
    <t>Fuite d'eau permanente et généralisée</t>
  </si>
  <si>
    <t xml:space="preserve">Murs </t>
  </si>
  <si>
    <t>Peinture très délabrée</t>
  </si>
  <si>
    <t>présence d'un gros trou au couloir,</t>
  </si>
  <si>
    <t xml:space="preserve">qui fait  vieillir le batiment </t>
  </si>
  <si>
    <t>ce qui dimunue leclairage</t>
  </si>
  <si>
    <t xml:space="preserve">etat de salubrité </t>
  </si>
  <si>
    <t>trop deffort à fournir pour la vaisselle</t>
  </si>
  <si>
    <t>CIC</t>
  </si>
  <si>
    <t>STADE YASSA</t>
  </si>
  <si>
    <t>NEPTURNE</t>
  </si>
  <si>
    <t>Yassa,le 28 FEVRIER 2020</t>
  </si>
  <si>
    <t xml:space="preserve">MAC </t>
  </si>
  <si>
    <t>Engen grease EP2 18kg</t>
  </si>
  <si>
    <t>PROCES VERBAL DE DESTOCKAGE  LUBRIFIANT</t>
  </si>
  <si>
    <t>SEAU</t>
  </si>
  <si>
    <t>BLESSING YAPAKI</t>
  </si>
  <si>
    <t>gasoil</t>
  </si>
  <si>
    <t>Station</t>
  </si>
  <si>
    <t>Transaction</t>
  </si>
  <si>
    <t>Litrage</t>
  </si>
  <si>
    <t>Distance parcourue</t>
  </si>
  <si>
    <t>Conso. au 100 km</t>
  </si>
  <si>
    <t>Débit</t>
  </si>
  <si>
    <t>TYPE</t>
  </si>
  <si>
    <t xml:space="preserve">         120,00   </t>
  </si>
  <si>
    <t xml:space="preserve">   180,00   </t>
  </si>
  <si>
    <t xml:space="preserve">   300,00   </t>
  </si>
  <si>
    <t>OUTILS</t>
  </si>
  <si>
    <t>VEILLE CONCURRENTIELLE</t>
  </si>
  <si>
    <t>N° BONS</t>
  </si>
  <si>
    <t xml:space="preserve">QTE </t>
  </si>
  <si>
    <t xml:space="preserve"> C1034305</t>
  </si>
  <si>
    <t>YAPAKI</t>
  </si>
  <si>
    <t>C1034222</t>
  </si>
  <si>
    <t>FATURE NON RECU</t>
  </si>
  <si>
    <t>RECU NON FACTURE</t>
  </si>
  <si>
    <t>POUBELLES et POMPES</t>
  </si>
  <si>
    <t>enterrement</t>
  </si>
  <si>
    <t>Entrée Station</t>
  </si>
  <si>
    <r>
      <t>Nombreuses fissures d</t>
    </r>
    <r>
      <rPr>
        <b/>
        <u/>
        <sz val="14"/>
        <rFont val="Bodoni MT"/>
        <family val="1"/>
      </rPr>
      <t>ûes au passage des torrents</t>
    </r>
  </si>
  <si>
    <t>Neccessite de remblayer avec la posolane pour faciliter l'entrée des véhicules en station</t>
  </si>
  <si>
    <t>presence  d'eau dans l'air que nous utilisons pour satisfaire les clients</t>
  </si>
  <si>
    <t>Eclairage Boukarou</t>
  </si>
  <si>
    <t>Toutes les ampoules sont grillées</t>
  </si>
  <si>
    <t>Mosquée</t>
  </si>
  <si>
    <t>Robinets et Colonne de douche</t>
  </si>
  <si>
    <t>Inexistants</t>
  </si>
  <si>
    <t>Difficulté pour nos clients Musulmans et leurs moto boys de bénéficier de ces installations</t>
  </si>
  <si>
    <t>Toilettes Clients &amp; Pompistes</t>
  </si>
  <si>
    <t>Impossibilité pour les pompistes &amp; clients d'y accéder à cause de l'accès inaccessible</t>
  </si>
  <si>
    <t>Coté gauche du parking obscur, ce qui nous rammene  les petits bandis</t>
  </si>
  <si>
    <t>Consommation électrique sans utilité.</t>
  </si>
  <si>
    <t>neccessite d'être lavé</t>
  </si>
  <si>
    <t>NOV-DEC 2019</t>
  </si>
  <si>
    <t>JANVIER- FEVRIER</t>
  </si>
  <si>
    <t>MARS - AVRIL</t>
  </si>
  <si>
    <t>VIREMENT</t>
  </si>
  <si>
    <t>06/072020</t>
  </si>
  <si>
    <t>ETAT DE DEPENSES SIDIKI</t>
  </si>
  <si>
    <t xml:space="preserve">frais pour Enterrement pied amputé </t>
  </si>
  <si>
    <t>Achat implants</t>
  </si>
  <si>
    <t>Achat certificat medical</t>
  </si>
  <si>
    <t>Achat couches carrées</t>
  </si>
  <si>
    <t>Achat  médicaments</t>
  </si>
  <si>
    <t>Motif de la dépense</t>
  </si>
  <si>
    <t>Coution Hospitalière</t>
  </si>
  <si>
    <t>SOLDE JUSTIFIE</t>
  </si>
  <si>
    <t>GASOIL 3</t>
  </si>
  <si>
    <t>africure</t>
  </si>
  <si>
    <t xml:space="preserve">Engen Xtreme 5W40 </t>
  </si>
  <si>
    <t xml:space="preserve">MUTIGRADE 20W50 </t>
  </si>
  <si>
    <t>Engen premium oil 40</t>
  </si>
  <si>
    <t>Engen breakfluid dot 4</t>
  </si>
  <si>
    <t>VRAC</t>
  </si>
  <si>
    <t>Engen grease GP 0,4 kgs</t>
  </si>
  <si>
    <t>0,4KG</t>
  </si>
  <si>
    <t>50KG</t>
  </si>
  <si>
    <t>Engen OIL 40</t>
  </si>
  <si>
    <t>DIESELUB 540</t>
  </si>
  <si>
    <t>210 L</t>
  </si>
  <si>
    <t xml:space="preserve">Engen oil 40 </t>
  </si>
  <si>
    <t>LUB600</t>
  </si>
  <si>
    <t xml:space="preserve">Lub 600 </t>
  </si>
  <si>
    <t>SAE 50</t>
  </si>
  <si>
    <t xml:space="preserve">Diesel lube 700 </t>
  </si>
  <si>
    <t>1L</t>
  </si>
  <si>
    <t xml:space="preserve">Diesel lube 600 </t>
  </si>
  <si>
    <t>0,2L</t>
  </si>
  <si>
    <t>PREMIUM oil 40</t>
  </si>
  <si>
    <t>DIESEL 600</t>
  </si>
  <si>
    <t xml:space="preserve">ENGEN GREASE </t>
  </si>
  <si>
    <t>180KG</t>
  </si>
  <si>
    <t>DIESELUBE  700 VRAC</t>
  </si>
  <si>
    <t>TQH20/68</t>
  </si>
  <si>
    <t>ENGEN GREASE SP</t>
  </si>
  <si>
    <t>18KGS</t>
  </si>
  <si>
    <t>ENGEN GREASE EP</t>
  </si>
  <si>
    <t>RECETTES JOURNALIERS</t>
  </si>
  <si>
    <t>RUBRIQUE</t>
  </si>
  <si>
    <t>Recrutement sans distinction de tribu ou de race</t>
  </si>
  <si>
    <t>Absence de formation de certains pompistes et hotesses en service</t>
  </si>
  <si>
    <t>Absence de recyclage du personnel de station.</t>
  </si>
  <si>
    <t>Niveau de salaire inférieur aux autres marketers</t>
  </si>
  <si>
    <t>paiement regulier du salaire</t>
  </si>
  <si>
    <t>RESOURCES HUMAINES ET FORMATION</t>
  </si>
  <si>
    <t>Utilisation d'une tenue de bonne qualité</t>
  </si>
  <si>
    <t>Developpement</t>
  </si>
  <si>
    <t>dotation de tenue très tardive( après usure totale), apres 02 ans comparement aux autres(1an ou 6 mois).</t>
  </si>
  <si>
    <t>monnaie disponible dans la majorité de nos GD</t>
  </si>
  <si>
    <t>service de glace et caport effectuées dans nos PDV</t>
  </si>
  <si>
    <t>proximité créée avec la clientèle</t>
  </si>
  <si>
    <t>Laveries inexploitées (absence du service CAR WASH)</t>
  </si>
  <si>
    <t>distribution des produits de qualité</t>
  </si>
  <si>
    <t>Maintenance et accessoires</t>
  </si>
  <si>
    <t>produits, service et politique commercial</t>
  </si>
  <si>
    <t>Position géographique défavorisant les sorties en super</t>
  </si>
  <si>
    <t>position géographique favorisant les ventes en gasoil.</t>
  </si>
  <si>
    <t>toilettes disponibles de manière permanente</t>
  </si>
  <si>
    <t>Equipement des toilettes contamment en panne</t>
  </si>
  <si>
    <t>faible présence en agglomération (faible representation)</t>
  </si>
  <si>
    <t>Animation musicale de la station</t>
  </si>
  <si>
    <t>faible niveau de sécurité des sites( Vigiles sans formation mis en service dans les PDV)</t>
  </si>
  <si>
    <t>Absence des cartes de fidélité</t>
  </si>
  <si>
    <t>Prix des produits élévé en boutique.</t>
  </si>
  <si>
    <t>promotions et avancements reguliés selon le mérite</t>
  </si>
  <si>
    <t xml:space="preserve">niveau d'éclairage inssufisant </t>
  </si>
  <si>
    <t>faible niveau de gratification de la clientèle.(petite clientèle, differents evenements)</t>
  </si>
  <si>
    <t>assurance santé individuel</t>
  </si>
  <si>
    <t>Difficultés pour l'optention des raclettes de piste</t>
  </si>
  <si>
    <t>Abssence des mécanismes de motivation du réseau comme des councours.</t>
  </si>
  <si>
    <t>Borne a air disponible et opérationnelle dans la majorité de nos PDV.</t>
  </si>
  <si>
    <t>Peinture dégradée dans les stations.</t>
  </si>
  <si>
    <t>POINTS FAIBLES</t>
  </si>
  <si>
    <t>POINTS FORTS</t>
  </si>
  <si>
    <t>Lenteur dans la resolution des pannes, surtout celles déliées à la sortie de produit,</t>
  </si>
  <si>
    <t>Recrutement à 90% jeune</t>
  </si>
  <si>
    <t>retard dans le paiement des salaires du personnel  de station.</t>
  </si>
  <si>
    <t>Caisse à outil incomplete  dans nos Baies de graissage.</t>
  </si>
  <si>
    <t xml:space="preserve">Rupture régulière des  lubrifiants </t>
  </si>
  <si>
    <t>certains parkings (acquis)non aménagés</t>
  </si>
  <si>
    <t>o</t>
  </si>
  <si>
    <t>SUIVI CAISSE MONNAIE</t>
  </si>
  <si>
    <t xml:space="preserve">MOTIF DU MOUVEMENT </t>
  </si>
  <si>
    <t>BON PREPAYE</t>
  </si>
  <si>
    <t>appro</t>
  </si>
  <si>
    <t>vente</t>
  </si>
  <si>
    <t xml:space="preserve">date </t>
  </si>
  <si>
    <t>Appro</t>
  </si>
  <si>
    <t>Vente</t>
  </si>
  <si>
    <t>reste</t>
  </si>
  <si>
    <t>ECART 23000</t>
  </si>
  <si>
    <t>GROUPE</t>
  </si>
  <si>
    <t>VEHICULE</t>
  </si>
  <si>
    <r>
      <t>Bon de commande STE EEE du 26 - 0</t>
    </r>
    <r>
      <rPr>
        <b/>
        <sz val="14"/>
        <color rgb="FF1F497D"/>
        <rFont val="Times New Roman"/>
        <family val="1"/>
      </rPr>
      <t>9</t>
    </r>
    <r>
      <rPr>
        <b/>
        <sz val="14"/>
        <color rgb="FF000000"/>
        <rFont val="Times New Roman"/>
        <family val="1"/>
      </rPr>
      <t>- 20</t>
    </r>
    <r>
      <rPr>
        <b/>
        <sz val="14"/>
        <color rgb="FF1F497D"/>
        <rFont val="Times New Roman"/>
        <family val="1"/>
      </rPr>
      <t>20</t>
    </r>
  </si>
  <si>
    <t>LTTR860AQ</t>
  </si>
  <si>
    <t>LTTR790AQ</t>
  </si>
  <si>
    <t>LTTR945AQ</t>
  </si>
  <si>
    <t>LTTR822AQ</t>
  </si>
  <si>
    <t>affaissement du sol</t>
  </si>
  <si>
    <t xml:space="preserve">cassures au niveau de la 1ere baie </t>
  </si>
  <si>
    <t xml:space="preserve">la montée d'eau est très lente </t>
  </si>
  <si>
    <t>manipulation dangereuse  pouvant créer un grave accident pendant leur ouverture et fermeture surtout celui de cuve super qui est totalement detruit</t>
  </si>
  <si>
    <t xml:space="preserve">toutes les pompes n'ont plus de programmation </t>
  </si>
  <si>
    <t>pompes dattaque off depuis des mois déjà</t>
  </si>
  <si>
    <t>C1036533</t>
  </si>
  <si>
    <t>DEPENSE SIDIKI</t>
  </si>
  <si>
    <t>C1036593</t>
  </si>
  <si>
    <t>SECTEUR</t>
  </si>
  <si>
    <t>INSTALLATION</t>
  </si>
  <si>
    <t>Obscure</t>
  </si>
  <si>
    <t>canopy</t>
  </si>
  <si>
    <t>Caissons auvent</t>
  </si>
  <si>
    <t>cuve</t>
  </si>
  <si>
    <t>afficheur S1 obscure d'un coté</t>
  </si>
  <si>
    <t>pomelles couvercles trous d'hommes  cassés</t>
  </si>
  <si>
    <t>mécanisme toilettes</t>
  </si>
  <si>
    <t>robinet toilettes</t>
  </si>
  <si>
    <t>caniveau tecnique</t>
  </si>
  <si>
    <t>absence d'eau au niveau des urinoirs</t>
  </si>
  <si>
    <t>Baie de graissage et air de lavage</t>
  </si>
  <si>
    <t>groupe électrogène</t>
  </si>
  <si>
    <t>fonctionnment manuel dans une succession de coupures</t>
  </si>
  <si>
    <t>espace vert</t>
  </si>
  <si>
    <t>tuyau de ravitallement d'eau des populations percé</t>
  </si>
  <si>
    <t>toitutre</t>
  </si>
  <si>
    <t xml:space="preserve">fuite d'eau </t>
  </si>
  <si>
    <t>levier</t>
  </si>
  <si>
    <t>bouché</t>
  </si>
  <si>
    <t>climatiseur</t>
  </si>
  <si>
    <t>fuite d'eau</t>
  </si>
  <si>
    <t>Candélabre</t>
  </si>
  <si>
    <t>01 coté château forage off</t>
  </si>
  <si>
    <t>reservoir bidet cassé dans la toilette intérieur</t>
  </si>
  <si>
    <t>STADE</t>
  </si>
  <si>
    <t>borne a air automatique</t>
  </si>
  <si>
    <t>plaquette ouverte</t>
  </si>
  <si>
    <t>03 claviers non fonctionnelles</t>
  </si>
  <si>
    <t>flotteur défecteux</t>
  </si>
  <si>
    <t>bouché au niveau de la baie</t>
  </si>
  <si>
    <t>01 robinet lave main défecteux</t>
  </si>
  <si>
    <t>électrique</t>
  </si>
  <si>
    <t>absence de joint de conduit d'eau levier sandwicherie</t>
  </si>
  <si>
    <t>fosse</t>
  </si>
  <si>
    <t>bac de rentension huiles usées immobile</t>
  </si>
  <si>
    <t>LOUM</t>
  </si>
  <si>
    <t>06 ampoules grillées</t>
  </si>
  <si>
    <t>fuite plusieurs pistolets</t>
  </si>
  <si>
    <t>PANNES STATION</t>
  </si>
  <si>
    <t>Batiment</t>
  </si>
  <si>
    <t xml:space="preserve">Ordianteur </t>
  </si>
  <si>
    <t>lenteur de plusieurs pompes</t>
  </si>
  <si>
    <t>TNG</t>
  </si>
  <si>
    <t xml:space="preserve">TOILETTES </t>
  </si>
  <si>
    <t>toilette interne</t>
  </si>
  <si>
    <t>toilette boutique</t>
  </si>
  <si>
    <t>retour des eaux du batiment dans les cuves</t>
  </si>
  <si>
    <t>cassure du sol toilettes clients  et de la porte rouillée et cassure du sol</t>
  </si>
  <si>
    <t>programmation de plusieurs volucompteur défecteuse</t>
  </si>
  <si>
    <t>OFF</t>
  </si>
  <si>
    <t>absence de lave mains</t>
  </si>
  <si>
    <t>compresseur</t>
  </si>
  <si>
    <t>salle compresseur</t>
  </si>
  <si>
    <t>fontionnement manuel</t>
  </si>
  <si>
    <t>ne brille plus</t>
  </si>
  <si>
    <t>02 ampoules éteintes et fuite d'eau</t>
  </si>
  <si>
    <t>fuite au niveau plusieurs pistolets qui ne claqent plus et ne calent plus</t>
  </si>
  <si>
    <t>lampe</t>
  </si>
  <si>
    <t>fonctionnement manuel</t>
  </si>
  <si>
    <t>bouton de pissoir défectueux et sol non amenagé</t>
  </si>
  <si>
    <t>non fonctionnelle, circuit d'évacuation bouché</t>
  </si>
  <si>
    <t>fuit au niveau du mur sans peinture</t>
  </si>
  <si>
    <t>plot de sécurité</t>
  </si>
  <si>
    <t>01 cassé et 02 instables</t>
  </si>
  <si>
    <t>02 lampes OFF( entrée station pas assez éclairée)</t>
  </si>
  <si>
    <t>FRIGO</t>
  </si>
  <si>
    <t>02 en panne</t>
  </si>
  <si>
    <t>toilettes arrière boutique inaccessible</t>
  </si>
  <si>
    <t>trou béeant dangereux a l'allée des toilettes inaccessibles</t>
  </si>
  <si>
    <t>boukaro</t>
  </si>
  <si>
    <t>reglettes défectueuses</t>
  </si>
  <si>
    <t>cassure du sol</t>
  </si>
  <si>
    <t>parking arrière obscure</t>
  </si>
  <si>
    <t>fonctionnement manuel et seche air défecteux</t>
  </si>
  <si>
    <t>toilettes clients</t>
  </si>
  <si>
    <t>absence de vanne d'arrêt</t>
  </si>
  <si>
    <t>fuite d'eau permanente</t>
  </si>
  <si>
    <t>02 lampes OFF</t>
  </si>
  <si>
    <t>absence de programmation de plusieurs pompes</t>
  </si>
  <si>
    <t>tres lent et plante très souvent</t>
  </si>
  <si>
    <t>05 sur 12 off - cassure du toit</t>
  </si>
  <si>
    <t>mécanismes défectueux</t>
  </si>
  <si>
    <t xml:space="preserve">03 a l'entrée défectueux </t>
  </si>
  <si>
    <t>01 en panne</t>
  </si>
  <si>
    <t xml:space="preserve">fuite pistolet G4 </t>
  </si>
  <si>
    <t>inesistant</t>
  </si>
  <si>
    <t>absence de robinet clients</t>
  </si>
  <si>
    <t>02 robinets pissoir défecteux</t>
  </si>
  <si>
    <t>02 robinets lave mains défectueux</t>
  </si>
  <si>
    <t>sortie d'escrément sous le bidet et robinet lave mains défectueux.</t>
  </si>
  <si>
    <t xml:space="preserve">inexistant </t>
  </si>
  <si>
    <t>reglettes</t>
  </si>
  <si>
    <t>04 reglettes non fonctionnelle</t>
  </si>
  <si>
    <t>05 non fonctionnelle</t>
  </si>
  <si>
    <t>robinet colone de douche vestiaire non fonctionnelle</t>
  </si>
  <si>
    <t>ordinateur lent et plante parfois</t>
  </si>
  <si>
    <t>08 tubes plafond OFF et  01 prise défectueuse</t>
  </si>
  <si>
    <t>23 défectueuses</t>
  </si>
  <si>
    <t>11 tubes OFF</t>
  </si>
  <si>
    <t>02 regulateur défectueux</t>
  </si>
  <si>
    <t>absence de prise sandwicherie</t>
  </si>
  <si>
    <t>couvercles défectueux et dangereux</t>
  </si>
  <si>
    <t>01 couvercle défectueux et dangereux</t>
  </si>
  <si>
    <t>01 prise caisse défectueuse et exposée - 03 prises bureau non fonctionnelles</t>
  </si>
  <si>
    <t xml:space="preserve">absence de regulateur </t>
  </si>
  <si>
    <t>fuite pistolet G2</t>
  </si>
  <si>
    <t>porte</t>
  </si>
  <si>
    <t>mécanisme porte en panne</t>
  </si>
  <si>
    <t>01 seul fonctionnel</t>
  </si>
  <si>
    <t xml:space="preserve">dequenteur </t>
  </si>
  <si>
    <t>robinet pissoir defectueux</t>
  </si>
  <si>
    <t>robinet lave mains defectueux</t>
  </si>
  <si>
    <t>robinet lave mains défectueux</t>
  </si>
  <si>
    <t>robinet et mécanisme bidet et lave mains défectueux</t>
  </si>
  <si>
    <t> inexistant</t>
  </si>
  <si>
    <t>pommelles couvercles trous d'hommes  cassés</t>
  </si>
  <si>
    <t>retour des eaux du bâtiment dans les cuves</t>
  </si>
  <si>
    <t>programmation de plusieurs volucompteur défectueuse</t>
  </si>
  <si>
    <t>fuite au niveau plusieurs pistolets qui ne claquent plus et ne calent plus</t>
  </si>
  <si>
    <t>caniveau technique</t>
  </si>
  <si>
    <t xml:space="preserve">décanteur  </t>
  </si>
  <si>
    <t>tuyau de ravitaillement d'eau des populations percé</t>
  </si>
  <si>
    <t>robinet pissoir défectueux</t>
  </si>
  <si>
    <t>toilettes arrière-boutique inaccessible</t>
  </si>
  <si>
    <t>02 robinets pissoir défectueux</t>
  </si>
  <si>
    <t>bouton de pissoir défectueux et sol non aménagé</t>
  </si>
  <si>
    <t>trou béant dangereux a l'allée des toilettes inaccessibles</t>
  </si>
  <si>
    <t>sortie d'excréments sous le bidet et robinet lave mains défectueux.</t>
  </si>
  <si>
    <t>réservoir bidet cassé dans la toilette intérieur</t>
  </si>
  <si>
    <t>robinet colonne de douche vestiaire non fonctionnelle</t>
  </si>
  <si>
    <t>toiture</t>
  </si>
  <si>
    <t>01 robinet lave main défectueux</t>
  </si>
  <si>
    <t>réglettes défectueuses</t>
  </si>
  <si>
    <t>02 régulateurs défectueux</t>
  </si>
  <si>
    <t xml:space="preserve">absence de régulateur </t>
  </si>
  <si>
    <t>fonctionnement manuel dans une succession de coupures</t>
  </si>
  <si>
    <t>bac de rétention huiles usées immobile</t>
  </si>
  <si>
    <t>fonctionnement manuel et sèche air défectueux</t>
  </si>
  <si>
    <t>réglettes</t>
  </si>
  <si>
    <t>04 réglettes non fonctionnelle</t>
  </si>
  <si>
    <t xml:space="preserve">Ordinateur </t>
  </si>
  <si>
    <t>très lent et plante très souvent</t>
  </si>
  <si>
    <t>C1036550</t>
  </si>
  <si>
    <t xml:space="preserve">BLESSING </t>
  </si>
  <si>
    <t>VENTE YASSA DU 09- 10 - 2020</t>
  </si>
  <si>
    <t xml:space="preserve">BON </t>
  </si>
  <si>
    <t>ventes très timide en ce jour i,</t>
  </si>
  <si>
    <t>80w90(20L)=1</t>
  </si>
  <si>
    <t xml:space="preserve">OIL50(vrac)=10 </t>
  </si>
  <si>
    <t>total = 30 litres  =  71500cfa</t>
  </si>
  <si>
    <t>vente passable en lubrifiants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</si>
</sst>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9">
    <numFmt numFmtId="44" formatCode="_-* #,##0.00\ &quot;€&quot;_-;\-* #,##0.00\ &quot;€&quot;_-;_-* &quot;-&quot;??\ &quot;€&quot;_-;_-@_-"/>
    <numFmt numFmtId="43" formatCode="_-* #,##0.00\ _€_-;\-* #,##0.00\ _€_-;_-* &quot;-&quot;??\ _€_-;_-@_-"/>
    <numFmt numFmtId="164" formatCode="_-* #,##0.00\ _F_-;\-* #,##0.00\ _F_-;_-* &quot;-&quot;??\ _F_-;_-@_-"/>
    <numFmt numFmtId="165" formatCode="_-* #,##0\ _F_-;\-* #,##0\ _F_-;_-* &quot;-&quot;??\ _F_-;_-@_-"/>
    <numFmt numFmtId="166" formatCode="_-* #,##0\ _€_-;\-* #,##0\ _€_-;_-* &quot;-&quot;??\ _€_-;_-@_-"/>
    <numFmt numFmtId="167" formatCode="[$-40C]d\-mmm;@"/>
    <numFmt numFmtId="168" formatCode="_-* #,##0.00\ [$€]_-;\-* #,##0.00\ [$€]_-;_-* &quot;-&quot;??\ [$€]_-;_-@_-"/>
    <numFmt numFmtId="169" formatCode="#,##0_ ;[Red]\-#,##0\ "/>
    <numFmt numFmtId="170" formatCode="#,##0_ ;\-#,##0\ "/>
    <numFmt numFmtId="171" formatCode="_-* #,##0.0\ _F_-;\-* #,##0.0\ _F_-;_-* &quot;-&quot;??\ _F_-;_-@_-"/>
    <numFmt numFmtId="172" formatCode="_-* #,##0.0\ _€_-;\-* #,##0.0\ _€_-;_-* &quot;-&quot;?\ _€_-;_-@_-"/>
    <numFmt numFmtId="173" formatCode="[$-40C]mmmm\-yy;@"/>
    <numFmt numFmtId="174" formatCode="#,##0.0"/>
    <numFmt numFmtId="175" formatCode="0.000"/>
    <numFmt numFmtId="176" formatCode="_-* #,##0.0000\ _F_-;\-* #,##0.0000\ _F_-;_-* &quot;-&quot;??\ _F_-;_-@_-"/>
    <numFmt numFmtId="177" formatCode="0.0"/>
    <numFmt numFmtId="178" formatCode="[$-40C]d\-mmm\-yy;@"/>
    <numFmt numFmtId="179" formatCode="_-* #,##0.000\ _F_-;\-* #,##0.000\ _F_-;_-* &quot;-&quot;??\ _F_-;_-@_-"/>
    <numFmt numFmtId="180" formatCode="0.0000"/>
    <numFmt numFmtId="181" formatCode="#,##0.00_ ;[Red]\-#,##0.00\ "/>
    <numFmt numFmtId="182" formatCode="#,##0.0_ ;[Red]\-#,##0.0\ "/>
    <numFmt numFmtId="183" formatCode="#\ ###\ ##0.00;\-#\ ###\ ##0.00;0.00"/>
    <numFmt numFmtId="184" formatCode="##\ ###\ ##0.00;\-##\ ###\ ##0.00;0.000"/>
    <numFmt numFmtId="185" formatCode="_ * #,##0.00_)_F_C_F_A_ ;_ * \(#,##0.00\)_F_C_F_A_ ;_ * &quot;-&quot;??_)_F_C_F_A_ ;_ @_ "/>
    <numFmt numFmtId="186" formatCode="_-* #,##0.0\ _€_-;\-* #,##0.0\ _€_-;_-* &quot;-&quot;??\ _€_-;_-@_-"/>
    <numFmt numFmtId="187" formatCode="#,##0.0\ _€"/>
    <numFmt numFmtId="188" formatCode="0.000000"/>
    <numFmt numFmtId="189" formatCode="_-* #,##0.000\ _€_-;\-* #,##0.000\ _€_-;_-* &quot;-&quot;??\ _€_-;_-@_-"/>
    <numFmt numFmtId="190" formatCode="_-* #,##0\ _€_-;\-* #,##0\ _€_-;_-* &quot;-&quot;?\ _€_-;_-@_-"/>
  </numFmts>
  <fonts count="342" x14ac:knownFonts="1">
    <font>
      <sz val="10"/>
      <name val="Arial"/>
    </font>
    <font>
      <sz val="11"/>
      <color theme="1"/>
      <name val="Times New Roman"/>
      <family val="2"/>
      <scheme val="minor"/>
    </font>
    <font>
      <sz val="11"/>
      <color theme="1"/>
      <name val="Times New Roman"/>
      <family val="2"/>
      <scheme val="minor"/>
    </font>
    <font>
      <sz val="11"/>
      <color theme="1"/>
      <name val="Times New Roman"/>
      <family val="2"/>
      <scheme val="minor"/>
    </font>
    <font>
      <sz val="11"/>
      <color theme="1"/>
      <name val="Times New Roman"/>
      <family val="2"/>
      <scheme val="minor"/>
    </font>
    <font>
      <sz val="11"/>
      <color theme="1"/>
      <name val="Bodoni MT"/>
      <family val="2"/>
    </font>
    <font>
      <sz val="11"/>
      <color theme="1"/>
      <name val="Times New Roman"/>
      <family val="2"/>
      <scheme val="minor"/>
    </font>
    <font>
      <sz val="11"/>
      <color theme="1"/>
      <name val="Times New Roman"/>
      <family val="2"/>
      <scheme val="minor"/>
    </font>
    <font>
      <sz val="11"/>
      <color theme="1"/>
      <name val="Times New Roman"/>
      <family val="2"/>
      <scheme val="minor"/>
    </font>
    <font>
      <sz val="10"/>
      <name val="Arial"/>
      <family val="2"/>
    </font>
    <font>
      <sz val="11"/>
      <color indexed="9"/>
      <name val="Calibri"/>
      <family val="2"/>
    </font>
    <font>
      <sz val="11"/>
      <color indexed="8"/>
      <name val="Calibri"/>
      <family val="2"/>
    </font>
    <font>
      <sz val="11"/>
      <color indexed="10"/>
      <name val="Calibri"/>
      <family val="2"/>
    </font>
    <font>
      <b/>
      <sz val="11"/>
      <color indexed="53"/>
      <name val="Calibri"/>
      <family val="2"/>
    </font>
    <font>
      <sz val="11"/>
      <color indexed="53"/>
      <name val="Calibri"/>
      <family val="2"/>
    </font>
    <font>
      <b/>
      <sz val="11"/>
      <color indexed="8"/>
      <name val="Calibri"/>
      <family val="2"/>
    </font>
    <font>
      <sz val="11"/>
      <color indexed="62"/>
      <name val="Calibri"/>
      <family val="2"/>
    </font>
    <font>
      <sz val="11"/>
      <color indexed="16"/>
      <name val="Calibri"/>
      <family val="2"/>
    </font>
    <font>
      <sz val="11"/>
      <color indexed="60"/>
      <name val="Calibri"/>
      <family val="2"/>
    </font>
    <font>
      <sz val="11"/>
      <color indexed="17"/>
      <name val="Calibri"/>
      <family val="2"/>
    </font>
    <font>
      <b/>
      <sz val="11"/>
      <color indexed="6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b/>
      <sz val="11"/>
      <color indexed="9"/>
      <name val="Calibri"/>
      <family val="2"/>
    </font>
    <font>
      <sz val="10"/>
      <name val="Arial"/>
      <family val="2"/>
    </font>
    <font>
      <sz val="10"/>
      <name val="Arial"/>
      <family val="2"/>
    </font>
    <font>
      <sz val="10"/>
      <name val="Arial"/>
      <family val="2"/>
    </font>
    <font>
      <b/>
      <sz val="10"/>
      <name val="Bodoni MT"/>
      <family val="1"/>
    </font>
    <font>
      <sz val="10"/>
      <name val="Bodoni MT"/>
      <family val="1"/>
    </font>
    <font>
      <b/>
      <sz val="14"/>
      <name val="Bodoni MT"/>
      <family val="1"/>
    </font>
    <font>
      <b/>
      <sz val="12"/>
      <name val="Bodoni MT"/>
      <family val="1"/>
    </font>
    <font>
      <sz val="12"/>
      <name val="Bodoni MT"/>
      <family val="1"/>
    </font>
    <font>
      <b/>
      <sz val="9"/>
      <name val="Bodoni MT"/>
      <family val="1"/>
    </font>
    <font>
      <sz val="8"/>
      <name val="Bodoni MT"/>
      <family val="1"/>
    </font>
    <font>
      <sz val="14"/>
      <name val="Bodoni MT"/>
      <family val="1"/>
    </font>
    <font>
      <sz val="11"/>
      <name val="Bodoni MT"/>
      <family val="1"/>
    </font>
    <font>
      <b/>
      <sz val="11"/>
      <name val="Bodoni MT"/>
      <family val="1"/>
    </font>
    <font>
      <b/>
      <sz val="18"/>
      <name val="Bodoni MT"/>
      <family val="1"/>
    </font>
    <font>
      <sz val="12"/>
      <name val="Arial"/>
      <family val="2"/>
    </font>
    <font>
      <sz val="14"/>
      <name val="Arial"/>
      <family val="2"/>
    </font>
    <font>
      <b/>
      <sz val="16"/>
      <name val="Bodoni MT"/>
      <family val="1"/>
    </font>
    <font>
      <b/>
      <sz val="24"/>
      <name val="Agency FB"/>
      <family val="2"/>
    </font>
    <font>
      <b/>
      <sz val="16"/>
      <name val="Arial"/>
      <family val="2"/>
    </font>
    <font>
      <b/>
      <sz val="10"/>
      <name val="Arial"/>
      <family val="2"/>
    </font>
    <font>
      <sz val="16"/>
      <name val="Tahoma"/>
      <family val="2"/>
    </font>
    <font>
      <sz val="14"/>
      <name val="Tahoma"/>
      <family val="2"/>
    </font>
    <font>
      <b/>
      <sz val="12"/>
      <name val="Tahoma"/>
      <family val="2"/>
    </font>
    <font>
      <b/>
      <sz val="14"/>
      <name val="Tahoma"/>
      <family val="2"/>
    </font>
    <font>
      <b/>
      <sz val="16"/>
      <name val="Tahoma"/>
      <family val="2"/>
    </font>
    <font>
      <sz val="11"/>
      <name val="Arial"/>
      <family val="2"/>
    </font>
    <font>
      <sz val="10"/>
      <name val="Tahoma"/>
      <family val="2"/>
    </font>
    <font>
      <sz val="12"/>
      <name val="Tahoma"/>
      <family val="2"/>
    </font>
    <font>
      <b/>
      <sz val="10"/>
      <name val="Tahoma"/>
      <family val="2"/>
    </font>
    <font>
      <b/>
      <sz val="22"/>
      <name val="Agency FB"/>
      <family val="2"/>
    </font>
    <font>
      <b/>
      <sz val="11"/>
      <name val="Arial"/>
      <family val="2"/>
    </font>
    <font>
      <b/>
      <u/>
      <sz val="12"/>
      <name val="Bodoni MT"/>
      <family val="1"/>
    </font>
    <font>
      <b/>
      <sz val="12"/>
      <name val="Arial"/>
      <family val="2"/>
    </font>
    <font>
      <b/>
      <sz val="20"/>
      <name val="Agency FB"/>
      <family val="2"/>
    </font>
    <font>
      <b/>
      <sz val="14"/>
      <name val="Arial"/>
      <family val="2"/>
    </font>
    <font>
      <sz val="8"/>
      <name val="Arial"/>
      <family val="2"/>
    </font>
    <font>
      <b/>
      <u/>
      <sz val="10"/>
      <name val="Tahoma"/>
      <family val="2"/>
    </font>
    <font>
      <b/>
      <i/>
      <sz val="10"/>
      <name val="Tahoma"/>
      <family val="2"/>
    </font>
    <font>
      <b/>
      <sz val="12"/>
      <name val="Agency FB"/>
      <family val="2"/>
    </font>
    <font>
      <b/>
      <u/>
      <sz val="10"/>
      <name val="Arial"/>
      <family val="2"/>
    </font>
    <font>
      <sz val="14"/>
      <name val="Agency FB"/>
      <family val="2"/>
    </font>
    <font>
      <b/>
      <sz val="13"/>
      <name val="Bodoni MT"/>
      <family val="1"/>
    </font>
    <font>
      <sz val="13"/>
      <name val="Arial"/>
      <family val="2"/>
    </font>
    <font>
      <sz val="13"/>
      <name val="Bodoni MT"/>
      <family val="1"/>
    </font>
    <font>
      <b/>
      <sz val="13"/>
      <name val="Arial"/>
      <family val="2"/>
    </font>
    <font>
      <b/>
      <sz val="8"/>
      <name val="Tahoma"/>
      <family val="2"/>
    </font>
    <font>
      <sz val="22"/>
      <name val="Agency FB"/>
      <family val="2"/>
    </font>
    <font>
      <sz val="16"/>
      <name val="Agency FB"/>
      <family val="2"/>
    </font>
    <font>
      <b/>
      <sz val="16"/>
      <name val="Agency FB"/>
      <family val="2"/>
    </font>
    <font>
      <b/>
      <sz val="12"/>
      <name val="Bodoni MT"/>
      <family val="1"/>
    </font>
    <font>
      <b/>
      <sz val="11"/>
      <name val="Bodoni MT"/>
      <family val="1"/>
    </font>
    <font>
      <sz val="11"/>
      <name val="Bodoni MT"/>
      <family val="1"/>
    </font>
    <font>
      <sz val="14"/>
      <name val="Footlight MT Light"/>
      <family val="1"/>
    </font>
    <font>
      <sz val="8"/>
      <color indexed="81"/>
      <name val="Tahoma"/>
      <family val="2"/>
    </font>
    <font>
      <b/>
      <sz val="8"/>
      <color indexed="81"/>
      <name val="Tahoma"/>
      <family val="2"/>
    </font>
    <font>
      <b/>
      <sz val="12"/>
      <name val="Calibri"/>
      <family val="2"/>
    </font>
    <font>
      <sz val="12"/>
      <name val="Britannic Bold"/>
      <family val="2"/>
    </font>
    <font>
      <b/>
      <u/>
      <sz val="12"/>
      <name val="Arial"/>
      <family val="2"/>
    </font>
    <font>
      <b/>
      <sz val="14"/>
      <name val="Calibri"/>
      <family val="2"/>
    </font>
    <font>
      <b/>
      <sz val="12"/>
      <name val="Britannic Bold"/>
      <family val="2"/>
    </font>
    <font>
      <b/>
      <sz val="16"/>
      <name val="Footlight MT Light"/>
      <family val="1"/>
    </font>
    <font>
      <sz val="14"/>
      <name val="Britannic Bold"/>
      <family val="2"/>
    </font>
    <font>
      <b/>
      <sz val="14"/>
      <name val="Britannic Bold"/>
      <family val="2"/>
    </font>
    <font>
      <b/>
      <u/>
      <sz val="11"/>
      <name val="Arial"/>
      <family val="2"/>
    </font>
    <font>
      <sz val="12"/>
      <name val="Bodoni MT"/>
      <family val="1"/>
    </font>
    <font>
      <sz val="10"/>
      <name val="Times New Roman"/>
      <family val="2"/>
      <scheme val="minor"/>
    </font>
    <font>
      <b/>
      <sz val="11"/>
      <name val="Times New Roman"/>
      <family val="2"/>
      <scheme val="minor"/>
    </font>
    <font>
      <sz val="12"/>
      <name val="Times New Roman"/>
      <family val="2"/>
      <scheme val="minor"/>
    </font>
    <font>
      <sz val="10"/>
      <color theme="0"/>
      <name val="Bodoni MT"/>
      <family val="1"/>
    </font>
    <font>
      <b/>
      <sz val="8"/>
      <name val="Arial"/>
      <family val="2"/>
    </font>
    <font>
      <b/>
      <sz val="12"/>
      <color rgb="FFFF0000"/>
      <name val="Arial"/>
      <family val="2"/>
    </font>
    <font>
      <b/>
      <sz val="10"/>
      <color rgb="FFFF0000"/>
      <name val="Arial"/>
      <family val="2"/>
    </font>
    <font>
      <sz val="16"/>
      <name val="Arial"/>
      <family val="2"/>
    </font>
    <font>
      <b/>
      <sz val="13"/>
      <color rgb="FFFF0000"/>
      <name val="Bodoni MT"/>
      <family val="1"/>
    </font>
    <font>
      <b/>
      <sz val="8"/>
      <color theme="0"/>
      <name val="Tahoma"/>
      <family val="2"/>
    </font>
    <font>
      <sz val="10"/>
      <color rgb="FFFF0000"/>
      <name val="Arial"/>
      <family val="2"/>
    </font>
    <font>
      <b/>
      <sz val="9"/>
      <name val="Arial"/>
      <family val="2"/>
    </font>
    <font>
      <b/>
      <sz val="10"/>
      <name val="Bodoni MT"/>
      <family val="1"/>
    </font>
    <font>
      <sz val="10"/>
      <color rgb="FFFF0000"/>
      <name val="Tahoma"/>
      <family val="2"/>
    </font>
    <font>
      <u/>
      <sz val="10"/>
      <name val="Arial"/>
      <family val="2"/>
    </font>
    <font>
      <b/>
      <sz val="9"/>
      <color rgb="FFFF0000"/>
      <name val="Arial"/>
      <family val="2"/>
    </font>
    <font>
      <sz val="18"/>
      <name val="Arial"/>
      <family val="2"/>
    </font>
    <font>
      <b/>
      <sz val="12"/>
      <color theme="0"/>
      <name val="Arial"/>
      <family val="2"/>
    </font>
    <font>
      <b/>
      <sz val="8"/>
      <color rgb="FFFF0000"/>
      <name val="Arial"/>
      <family val="2"/>
    </font>
    <font>
      <b/>
      <sz val="11"/>
      <color rgb="FFFF0000"/>
      <name val="Arial"/>
      <family val="2"/>
    </font>
    <font>
      <b/>
      <sz val="10"/>
      <color theme="0"/>
      <name val="Arial"/>
      <family val="2"/>
    </font>
    <font>
      <sz val="11"/>
      <name val="Britannic Bold"/>
      <family val="2"/>
    </font>
    <font>
      <sz val="11"/>
      <name val="Times New Roman"/>
      <family val="2"/>
      <scheme val="minor"/>
    </font>
    <font>
      <sz val="10"/>
      <name val="Britannic Bold"/>
      <family val="2"/>
    </font>
    <font>
      <b/>
      <sz val="10"/>
      <name val="Times New Roman"/>
      <family val="2"/>
      <scheme val="minor"/>
    </font>
    <font>
      <b/>
      <u/>
      <sz val="11"/>
      <name val="Times New Roman"/>
      <family val="2"/>
      <scheme val="minor"/>
    </font>
    <font>
      <b/>
      <u/>
      <sz val="12"/>
      <name val="Times New Roman"/>
      <family val="2"/>
      <scheme val="minor"/>
    </font>
    <font>
      <sz val="10"/>
      <name val="Arial"/>
      <family val="2"/>
    </font>
    <font>
      <b/>
      <sz val="11"/>
      <name val="Bell MT"/>
      <family val="1"/>
    </font>
    <font>
      <b/>
      <sz val="11"/>
      <name val="Century"/>
      <family val="1"/>
    </font>
    <font>
      <sz val="12"/>
      <name val="Century"/>
      <family val="1"/>
    </font>
    <font>
      <b/>
      <sz val="12"/>
      <name val="Century"/>
      <family val="1"/>
    </font>
    <font>
      <sz val="18"/>
      <name val="Tahoma"/>
      <family val="2"/>
    </font>
    <font>
      <b/>
      <sz val="14"/>
      <name val="Bell MT"/>
      <family val="1"/>
    </font>
    <font>
      <b/>
      <sz val="9"/>
      <name val="Bodoni MT"/>
      <family val="1"/>
    </font>
    <font>
      <b/>
      <sz val="11"/>
      <color theme="0"/>
      <name val="Arial"/>
      <family val="2"/>
    </font>
    <font>
      <sz val="9"/>
      <name val="Tahoma"/>
      <family val="2"/>
    </font>
    <font>
      <sz val="8"/>
      <name val="Tahoma"/>
      <family val="2"/>
    </font>
    <font>
      <b/>
      <sz val="8"/>
      <color rgb="FFFF0000"/>
      <name val="Tahoma"/>
      <family val="2"/>
    </font>
    <font>
      <b/>
      <sz val="14"/>
      <name val="Bodoni MT"/>
      <family val="1"/>
    </font>
    <font>
      <sz val="12"/>
      <color theme="0"/>
      <name val="Arial"/>
      <family val="2"/>
    </font>
    <font>
      <sz val="12"/>
      <color theme="0"/>
      <name val="Bodoni MT"/>
      <family val="1"/>
    </font>
    <font>
      <b/>
      <sz val="9"/>
      <name val="Tahoma"/>
      <family val="2"/>
    </font>
    <font>
      <b/>
      <sz val="12"/>
      <color theme="1"/>
      <name val="Times New Roman"/>
      <family val="2"/>
      <scheme val="minor"/>
    </font>
    <font>
      <b/>
      <sz val="12"/>
      <name val="Times New Roman"/>
      <family val="2"/>
      <scheme val="minor"/>
    </font>
    <font>
      <b/>
      <sz val="14"/>
      <color theme="1"/>
      <name val="Times New Roman"/>
      <family val="2"/>
      <scheme val="minor"/>
    </font>
    <font>
      <sz val="14"/>
      <name val="Times New Roman"/>
      <family val="2"/>
      <scheme val="minor"/>
    </font>
    <font>
      <b/>
      <sz val="16"/>
      <color theme="1"/>
      <name val="Times New Roman"/>
      <family val="2"/>
      <scheme val="minor"/>
    </font>
    <font>
      <b/>
      <sz val="10"/>
      <color theme="1"/>
      <name val="Arial"/>
      <family val="2"/>
    </font>
    <font>
      <b/>
      <sz val="10"/>
      <color rgb="FFFF0000"/>
      <name val="Bodoni MT"/>
      <family val="1"/>
    </font>
    <font>
      <sz val="14"/>
      <color theme="0"/>
      <name val="Arial"/>
      <family val="2"/>
    </font>
    <font>
      <sz val="18"/>
      <color theme="0"/>
      <name val="Arial"/>
      <family val="2"/>
    </font>
    <font>
      <b/>
      <u val="singleAccounting"/>
      <sz val="11"/>
      <name val="Arial"/>
      <family val="2"/>
    </font>
    <font>
      <b/>
      <i/>
      <sz val="11"/>
      <name val="Arial"/>
      <family val="2"/>
    </font>
    <font>
      <b/>
      <u val="singleAccounting"/>
      <sz val="12"/>
      <name val="Arial"/>
      <family val="2"/>
    </font>
    <font>
      <u/>
      <sz val="11"/>
      <name val="Arial"/>
      <family val="2"/>
    </font>
    <font>
      <sz val="14"/>
      <name val="Bell MT"/>
      <family val="1"/>
    </font>
    <font>
      <b/>
      <sz val="8"/>
      <name val="Bodoni MT"/>
      <family val="1"/>
    </font>
    <font>
      <b/>
      <sz val="11"/>
      <color theme="1"/>
      <name val="Times New Roman"/>
      <family val="2"/>
      <scheme val="minor"/>
    </font>
    <font>
      <b/>
      <sz val="14"/>
      <color rgb="FFFF0000"/>
      <name val="Arial"/>
      <family val="2"/>
    </font>
    <font>
      <b/>
      <sz val="9"/>
      <color theme="1"/>
      <name val="Times New Roman"/>
      <family val="2"/>
      <scheme val="minor"/>
    </font>
    <font>
      <b/>
      <i/>
      <sz val="14"/>
      <name val="Arial"/>
      <family val="2"/>
    </font>
    <font>
      <i/>
      <sz val="16"/>
      <color theme="1"/>
      <name val="Times New Roman"/>
      <family val="2"/>
      <scheme val="minor"/>
    </font>
    <font>
      <b/>
      <i/>
      <sz val="16"/>
      <name val="Arial"/>
      <family val="2"/>
    </font>
    <font>
      <i/>
      <sz val="18"/>
      <name val="Arial"/>
      <family val="2"/>
    </font>
    <font>
      <b/>
      <i/>
      <sz val="10"/>
      <name val="Arial"/>
      <family val="2"/>
    </font>
    <font>
      <sz val="11"/>
      <color rgb="FFFF0000"/>
      <name val="Arial"/>
      <family val="2"/>
    </font>
    <font>
      <b/>
      <sz val="14"/>
      <color theme="1" tint="0.249977111117893"/>
      <name val="Arial"/>
      <family val="2"/>
    </font>
    <font>
      <b/>
      <sz val="12"/>
      <color rgb="FFFF0000"/>
      <name val="Bodoni MT"/>
      <family val="1"/>
    </font>
    <font>
      <sz val="11"/>
      <color rgb="FF00B0F0"/>
      <name val="Times New Roman"/>
      <family val="2"/>
      <scheme val="minor"/>
    </font>
    <font>
      <b/>
      <sz val="12"/>
      <color rgb="FF00B0F0"/>
      <name val="Times New Roman"/>
      <family val="2"/>
      <scheme val="minor"/>
    </font>
    <font>
      <sz val="9"/>
      <name val="Bodoni MT"/>
      <family val="1"/>
    </font>
    <font>
      <sz val="14"/>
      <color theme="1"/>
      <name val="Bodoni MT"/>
      <family val="1"/>
    </font>
    <font>
      <b/>
      <i/>
      <sz val="18"/>
      <name val="Arial"/>
      <family val="2"/>
    </font>
    <font>
      <b/>
      <sz val="18"/>
      <name val="Arial"/>
      <family val="2"/>
    </font>
    <font>
      <sz val="18"/>
      <color theme="1"/>
      <name val="Arial"/>
      <family val="2"/>
    </font>
    <font>
      <b/>
      <sz val="10"/>
      <color theme="1"/>
      <name val="Times New Roman"/>
      <family val="2"/>
      <scheme val="minor"/>
    </font>
    <font>
      <b/>
      <sz val="18"/>
      <color theme="1"/>
      <name val="Times New Roman"/>
      <family val="2"/>
      <scheme val="minor"/>
    </font>
    <font>
      <sz val="22"/>
      <color rgb="FFFF0000"/>
      <name val="Agency FB"/>
      <family val="2"/>
    </font>
    <font>
      <b/>
      <sz val="22"/>
      <name val="Bodoni MT"/>
      <family val="1"/>
    </font>
    <font>
      <b/>
      <sz val="16"/>
      <color rgb="FFFF0000"/>
      <name val="Arial"/>
      <family val="2"/>
    </font>
    <font>
      <b/>
      <sz val="10"/>
      <color rgb="FF1F497D"/>
      <name val="Arial"/>
      <family val="2"/>
    </font>
    <font>
      <sz val="10"/>
      <color rgb="FF1F497D"/>
      <name val="Arial"/>
      <family val="2"/>
    </font>
    <font>
      <sz val="10"/>
      <color rgb="FF000000"/>
      <name val="Arial"/>
      <family val="2"/>
    </font>
    <font>
      <b/>
      <sz val="10"/>
      <color rgb="FF000000"/>
      <name val="Arial"/>
      <family val="2"/>
    </font>
    <font>
      <sz val="10"/>
      <name val="Calibri"/>
      <family val="2"/>
    </font>
    <font>
      <b/>
      <sz val="10"/>
      <color rgb="FF000000"/>
      <name val="Calibri"/>
      <family val="2"/>
    </font>
    <font>
      <b/>
      <sz val="10"/>
      <name val="Calibri"/>
      <family val="2"/>
    </font>
    <font>
      <b/>
      <sz val="10"/>
      <color rgb="FF1F497D"/>
      <name val="Calibri"/>
      <family val="2"/>
    </font>
    <font>
      <sz val="8"/>
      <name val="Calibri"/>
      <family val="2"/>
    </font>
    <font>
      <b/>
      <sz val="8"/>
      <color rgb="FF000000"/>
      <name val="Calibri"/>
      <family val="2"/>
    </font>
    <font>
      <b/>
      <sz val="8"/>
      <color rgb="FF1F497D"/>
      <name val="Calibri"/>
      <family val="2"/>
    </font>
    <font>
      <b/>
      <sz val="12"/>
      <color theme="1"/>
      <name val="Arial"/>
      <family val="2"/>
    </font>
    <font>
      <b/>
      <sz val="11"/>
      <color theme="1"/>
      <name val="Arial"/>
      <family val="2"/>
    </font>
    <font>
      <sz val="10"/>
      <name val="Arial"/>
      <family val="2"/>
    </font>
    <font>
      <sz val="12"/>
      <color rgb="FFFF0000"/>
      <name val="Arial"/>
      <family val="2"/>
    </font>
    <font>
      <sz val="11"/>
      <color rgb="FFFF0000"/>
      <name val="Times New Roman"/>
      <family val="2"/>
      <scheme val="minor"/>
    </font>
    <font>
      <sz val="11"/>
      <name val="Calibri"/>
      <family val="2"/>
    </font>
    <font>
      <b/>
      <sz val="14"/>
      <color theme="1"/>
      <name val="Arial"/>
      <family val="2"/>
    </font>
    <font>
      <b/>
      <sz val="11"/>
      <name val="Calibri"/>
      <family val="2"/>
    </font>
    <font>
      <b/>
      <u/>
      <sz val="16"/>
      <name val="Arial"/>
      <family val="2"/>
    </font>
    <font>
      <b/>
      <sz val="8"/>
      <name val="Calibri"/>
      <family val="2"/>
    </font>
    <font>
      <sz val="12"/>
      <name val="Stencil"/>
      <family val="5"/>
    </font>
    <font>
      <b/>
      <sz val="20"/>
      <name val="Arial"/>
      <family val="2"/>
    </font>
    <font>
      <b/>
      <sz val="16"/>
      <color theme="0"/>
      <name val="Bodoni MT"/>
      <family val="1"/>
    </font>
    <font>
      <b/>
      <sz val="16"/>
      <color rgb="FFFF0000"/>
      <name val="Bodoni MT"/>
      <family val="1"/>
    </font>
    <font>
      <i/>
      <sz val="16"/>
      <name val="Arial"/>
      <family val="2"/>
    </font>
    <font>
      <b/>
      <i/>
      <sz val="12"/>
      <name val="Arial"/>
      <family val="2"/>
    </font>
    <font>
      <i/>
      <sz val="12"/>
      <name val="Arial"/>
      <family val="2"/>
    </font>
    <font>
      <i/>
      <sz val="11"/>
      <name val="Arial"/>
      <family val="2"/>
    </font>
    <font>
      <b/>
      <i/>
      <sz val="9"/>
      <name val="Arial"/>
      <family val="2"/>
    </font>
    <font>
      <i/>
      <sz val="12"/>
      <color theme="1"/>
      <name val="Times New Roman"/>
      <family val="2"/>
      <scheme val="minor"/>
    </font>
    <font>
      <b/>
      <i/>
      <sz val="14"/>
      <color theme="1"/>
      <name val="Times New Roman"/>
      <family val="2"/>
      <scheme val="minor"/>
    </font>
    <font>
      <sz val="16"/>
      <color rgb="FF000000"/>
      <name val="Bodoni MT"/>
      <family val="1"/>
    </font>
    <font>
      <b/>
      <sz val="16"/>
      <color rgb="FF000000"/>
      <name val="Bodoni MT"/>
      <family val="1"/>
    </font>
    <font>
      <sz val="10"/>
      <color theme="1"/>
      <name val="Bodoni MT"/>
      <family val="1"/>
    </font>
    <font>
      <b/>
      <sz val="9"/>
      <color rgb="FF000000"/>
      <name val="Calibri"/>
      <family val="2"/>
    </font>
    <font>
      <b/>
      <sz val="12"/>
      <color rgb="FF000000"/>
      <name val="Calibri"/>
      <family val="2"/>
    </font>
    <font>
      <b/>
      <sz val="14"/>
      <color rgb="FF000000"/>
      <name val="Calibri"/>
      <family val="2"/>
    </font>
    <font>
      <b/>
      <sz val="16"/>
      <color rgb="FF000000"/>
      <name val="Calibri"/>
      <family val="2"/>
    </font>
    <font>
      <b/>
      <u/>
      <sz val="14"/>
      <name val="Arial"/>
      <family val="2"/>
    </font>
    <font>
      <b/>
      <sz val="16"/>
      <name val="Calibri"/>
      <family val="2"/>
    </font>
    <font>
      <i/>
      <sz val="14"/>
      <name val="Arial"/>
      <family val="2"/>
    </font>
    <font>
      <sz val="14"/>
      <color rgb="FFFF0000"/>
      <name val="Bodoni MT"/>
      <family val="1"/>
    </font>
    <font>
      <sz val="16"/>
      <name val="Bodoni MT"/>
      <family val="1"/>
    </font>
    <font>
      <b/>
      <sz val="11"/>
      <color theme="1"/>
      <name val="Arial"/>
      <family val="1"/>
      <scheme val="major"/>
    </font>
    <font>
      <b/>
      <sz val="11"/>
      <color rgb="FF000000"/>
      <name val="Calibri"/>
      <family val="2"/>
    </font>
    <font>
      <b/>
      <sz val="11"/>
      <color rgb="FF000000"/>
      <name val="Arial"/>
      <family val="2"/>
    </font>
    <font>
      <sz val="12"/>
      <color rgb="FF000000"/>
      <name val="Arial"/>
      <family val="2"/>
    </font>
    <font>
      <b/>
      <i/>
      <u/>
      <sz val="10"/>
      <name val="Arial"/>
      <family val="2"/>
    </font>
    <font>
      <b/>
      <sz val="8"/>
      <color theme="1"/>
      <name val="Times New Roman"/>
      <family val="2"/>
      <scheme val="minor"/>
    </font>
    <font>
      <sz val="14"/>
      <color theme="1"/>
      <name val="Times New Roman"/>
      <family val="1"/>
    </font>
    <font>
      <i/>
      <sz val="14"/>
      <name val="Bodoni MT"/>
      <family val="1"/>
    </font>
    <font>
      <b/>
      <sz val="11"/>
      <color rgb="FFFF0000"/>
      <name val="Times New Roman"/>
      <family val="2"/>
      <scheme val="minor"/>
    </font>
    <font>
      <sz val="8"/>
      <color theme="1"/>
      <name val="Times New Roman"/>
      <family val="2"/>
      <scheme val="minor"/>
    </font>
    <font>
      <b/>
      <sz val="11"/>
      <color theme="1"/>
      <name val="Bodoni MT"/>
      <family val="1"/>
    </font>
    <font>
      <sz val="16"/>
      <color rgb="FF0070C0"/>
      <name val="Arial"/>
      <family val="2"/>
    </font>
    <font>
      <b/>
      <sz val="12"/>
      <color rgb="FFFF0000"/>
      <name val="Calibri"/>
      <family val="2"/>
    </font>
    <font>
      <sz val="11"/>
      <color rgb="FF000000"/>
      <name val="Calibri"/>
      <family val="2"/>
    </font>
    <font>
      <u/>
      <sz val="11"/>
      <color rgb="FFFF0000"/>
      <name val="Arial"/>
      <family val="2"/>
    </font>
    <font>
      <i/>
      <sz val="10"/>
      <name val="Arial"/>
      <family val="2"/>
    </font>
    <font>
      <i/>
      <sz val="11"/>
      <color rgb="FFFF0000"/>
      <name val="Arial"/>
      <family val="2"/>
    </font>
    <font>
      <i/>
      <sz val="10"/>
      <color rgb="FFFF0000"/>
      <name val="Arial"/>
      <family val="2"/>
    </font>
    <font>
      <sz val="16"/>
      <color rgb="FFFF0000"/>
      <name val="Arial"/>
      <family val="2"/>
    </font>
    <font>
      <u/>
      <sz val="14"/>
      <name val="Arial"/>
      <family val="2"/>
    </font>
    <font>
      <sz val="14"/>
      <color rgb="FFFF0000"/>
      <name val="Arial"/>
      <family val="2"/>
    </font>
    <font>
      <b/>
      <sz val="18"/>
      <color rgb="FFFF0000"/>
      <name val="Calibri"/>
      <family val="2"/>
    </font>
    <font>
      <b/>
      <sz val="9"/>
      <color theme="1"/>
      <name val="Arial"/>
      <family val="2"/>
    </font>
    <font>
      <b/>
      <sz val="12"/>
      <color theme="1"/>
      <name val="Times New Roman"/>
      <family val="1"/>
    </font>
    <font>
      <b/>
      <sz val="24"/>
      <color rgb="FF000000"/>
      <name val="Calibri"/>
      <family val="2"/>
    </font>
    <font>
      <b/>
      <sz val="11"/>
      <color theme="1" tint="0.249977111117893"/>
      <name val="Arial"/>
      <family val="2"/>
    </font>
    <font>
      <u/>
      <sz val="18"/>
      <name val="Arial"/>
      <family val="2"/>
    </font>
    <font>
      <b/>
      <sz val="20"/>
      <color rgb="FFFF0000"/>
      <name val="Arial"/>
      <family val="2"/>
    </font>
    <font>
      <sz val="12"/>
      <name val="Cambria"/>
      <family val="1"/>
    </font>
    <font>
      <b/>
      <sz val="14"/>
      <color rgb="FF0070C0"/>
      <name val="Arial"/>
      <family val="2"/>
    </font>
    <font>
      <b/>
      <sz val="14"/>
      <color theme="0"/>
      <name val="Bodoni MT"/>
      <family val="1"/>
    </font>
    <font>
      <b/>
      <sz val="36"/>
      <name val="Arial"/>
      <family val="2"/>
    </font>
    <font>
      <sz val="14"/>
      <color rgb="FF000000"/>
      <name val="Bodoni MT"/>
      <family val="1"/>
    </font>
    <font>
      <sz val="10"/>
      <color rgb="FFFF0000"/>
      <name val="Bodoni MT"/>
      <family val="1"/>
    </font>
    <font>
      <i/>
      <sz val="10"/>
      <name val="Bodoni MT"/>
      <family val="1"/>
    </font>
    <font>
      <u/>
      <sz val="11"/>
      <name val="Bodoni MT"/>
      <family val="1"/>
    </font>
    <font>
      <b/>
      <u/>
      <sz val="14"/>
      <color rgb="FF1F497D"/>
      <name val="Bodoni MT"/>
      <family val="1"/>
    </font>
    <font>
      <b/>
      <u/>
      <sz val="14"/>
      <color rgb="FF000000"/>
      <name val="Bodoni MT"/>
      <family val="1"/>
    </font>
    <font>
      <b/>
      <sz val="14"/>
      <color rgb="FFFF0000"/>
      <name val="Bodoni MT"/>
      <family val="1"/>
    </font>
    <font>
      <sz val="14"/>
      <color rgb="FF1F497D"/>
      <name val="Bodoni MT"/>
      <family val="1"/>
    </font>
    <font>
      <b/>
      <sz val="14"/>
      <color rgb="FF000000"/>
      <name val="Bodoni MT"/>
      <family val="1"/>
    </font>
    <font>
      <b/>
      <sz val="14"/>
      <color rgb="FF1F497D"/>
      <name val="Bodoni MT"/>
      <family val="1"/>
    </font>
    <font>
      <b/>
      <u val="double"/>
      <sz val="8"/>
      <name val="Arial"/>
      <family val="2"/>
    </font>
    <font>
      <b/>
      <sz val="14"/>
      <color rgb="FF002060"/>
      <name val="Bodoni MT"/>
      <family val="1"/>
    </font>
    <font>
      <sz val="14"/>
      <color theme="0"/>
      <name val="Bodoni MT"/>
      <family val="1"/>
    </font>
    <font>
      <sz val="26"/>
      <color rgb="FFFF0000"/>
      <name val="Bodoni MT"/>
      <family val="1"/>
    </font>
    <font>
      <b/>
      <sz val="14"/>
      <color theme="1"/>
      <name val="Bodoni MT"/>
      <family val="1"/>
    </font>
    <font>
      <sz val="16"/>
      <color theme="1"/>
      <name val="Arial"/>
      <family val="2"/>
    </font>
    <font>
      <b/>
      <sz val="18"/>
      <color rgb="FF1F497D"/>
      <name val="Bodoni MT"/>
      <family val="1"/>
    </font>
    <font>
      <b/>
      <sz val="9"/>
      <color indexed="81"/>
      <name val="Tahoma"/>
      <family val="2"/>
    </font>
    <font>
      <sz val="9"/>
      <color indexed="81"/>
      <name val="Tahoma"/>
      <family val="2"/>
    </font>
    <font>
      <b/>
      <sz val="22"/>
      <color theme="1"/>
      <name val="Times New Roman"/>
      <family val="2"/>
      <scheme val="minor"/>
    </font>
    <font>
      <b/>
      <i/>
      <u/>
      <sz val="14"/>
      <color rgb="FF1F497D"/>
      <name val="Bodoni MT"/>
      <family val="1"/>
    </font>
    <font>
      <b/>
      <i/>
      <u/>
      <sz val="14"/>
      <color rgb="FF000000"/>
      <name val="Bodoni MT"/>
      <family val="1"/>
    </font>
    <font>
      <sz val="10"/>
      <color theme="1"/>
      <name val="Arial"/>
      <family val="2"/>
    </font>
    <font>
      <sz val="11"/>
      <color theme="1"/>
      <name val="Arial"/>
      <family val="2"/>
    </font>
    <font>
      <sz val="12"/>
      <color theme="1"/>
      <name val="Arial"/>
      <family val="2"/>
    </font>
    <font>
      <b/>
      <sz val="14"/>
      <color indexed="8"/>
      <name val="Arial"/>
      <family val="2"/>
    </font>
    <font>
      <sz val="12"/>
      <color theme="1"/>
      <name val="Bodoni MT"/>
      <family val="1"/>
    </font>
    <font>
      <b/>
      <sz val="11"/>
      <color rgb="FFFF0000"/>
      <name val="Bodoni MT"/>
      <family val="1"/>
    </font>
    <font>
      <sz val="11"/>
      <color rgb="FFFF0000"/>
      <name val="Bodoni MT"/>
      <family val="1"/>
    </font>
    <font>
      <sz val="11"/>
      <name val="Arial"/>
      <family val="1"/>
      <scheme val="major"/>
    </font>
    <font>
      <b/>
      <sz val="11"/>
      <name val="Arial"/>
      <family val="1"/>
      <scheme val="major"/>
    </font>
    <font>
      <sz val="12"/>
      <color rgb="FF0070C0"/>
      <name val="Bodoni MT"/>
      <family val="1"/>
    </font>
    <font>
      <sz val="12"/>
      <color rgb="FFFF0000"/>
      <name val="Bodoni MT"/>
      <family val="1"/>
    </font>
    <font>
      <b/>
      <sz val="10"/>
      <color theme="0"/>
      <name val="Bodoni MT"/>
      <family val="1"/>
    </font>
    <font>
      <b/>
      <sz val="9"/>
      <color rgb="FFFF0000"/>
      <name val="Bodoni MT"/>
      <family val="1"/>
    </font>
    <font>
      <b/>
      <sz val="12"/>
      <color rgb="FFFF0000"/>
      <name val="Arial"/>
      <family val="2"/>
      <scheme val="major"/>
    </font>
    <font>
      <sz val="10"/>
      <name val="Arial"/>
      <family val="2"/>
    </font>
    <font>
      <sz val="10"/>
      <color indexed="0"/>
      <name val="Arial"/>
      <family val="2"/>
    </font>
    <font>
      <b/>
      <sz val="10"/>
      <color theme="1"/>
      <name val="Bodoni MT"/>
      <family val="1"/>
    </font>
    <font>
      <sz val="11"/>
      <color theme="1"/>
      <name val="Bodoni MT"/>
      <family val="1"/>
    </font>
    <font>
      <b/>
      <sz val="16"/>
      <color theme="1"/>
      <name val="Bodoni MT"/>
      <family val="1"/>
    </font>
    <font>
      <b/>
      <sz val="18"/>
      <color theme="1"/>
      <name val="Bodoni MT"/>
      <family val="1"/>
    </font>
    <font>
      <sz val="20"/>
      <color rgb="FF000000"/>
      <name val="Bodoni MT"/>
      <family val="1"/>
    </font>
    <font>
      <b/>
      <sz val="16"/>
      <color rgb="FF1F497D"/>
      <name val="Bodoni MT"/>
      <family val="1"/>
    </font>
    <font>
      <sz val="18"/>
      <color rgb="FFFF0000"/>
      <name val="Bodoni MT"/>
      <family val="1"/>
    </font>
    <font>
      <sz val="20"/>
      <color rgb="FFFF0000"/>
      <name val="Bodoni MT"/>
      <family val="1"/>
    </font>
    <font>
      <b/>
      <sz val="26"/>
      <color rgb="FFFF0000"/>
      <name val="Bodoni MT"/>
      <family val="1"/>
    </font>
    <font>
      <b/>
      <sz val="12"/>
      <color theme="1"/>
      <name val="Bodoni MT"/>
      <family val="1"/>
    </font>
    <font>
      <sz val="10"/>
      <name val="Arial"/>
      <family val="2"/>
    </font>
    <font>
      <sz val="36"/>
      <color rgb="FFFF0000"/>
      <name val="Bodoni MT"/>
      <family val="1"/>
    </font>
    <font>
      <sz val="24"/>
      <color rgb="FFFF0000"/>
      <name val="Bodoni MT"/>
      <family val="1"/>
    </font>
    <font>
      <b/>
      <sz val="16"/>
      <color rgb="FFFF0000"/>
      <name val="Times New Roman"/>
      <family val="1"/>
    </font>
    <font>
      <b/>
      <sz val="24"/>
      <color rgb="FFFF0000"/>
      <name val="Bodoni MT"/>
      <family val="1"/>
    </font>
    <font>
      <b/>
      <sz val="18"/>
      <color rgb="FFFF0000"/>
      <name val="Bodoni MT"/>
      <family val="1"/>
    </font>
    <font>
      <b/>
      <u/>
      <sz val="10"/>
      <name val="Arial Black"/>
      <family val="2"/>
    </font>
    <font>
      <b/>
      <u/>
      <sz val="9"/>
      <name val="Arial Black"/>
      <family val="2"/>
    </font>
    <font>
      <b/>
      <u/>
      <sz val="8"/>
      <name val="Arial Black"/>
      <family val="2"/>
    </font>
    <font>
      <b/>
      <sz val="14"/>
      <color theme="1"/>
      <name val="Times New Roman"/>
      <family val="1"/>
      <scheme val="minor"/>
    </font>
    <font>
      <sz val="10"/>
      <color indexed="0"/>
      <name val="Arial"/>
      <family val="2"/>
    </font>
    <font>
      <sz val="8"/>
      <name val="Arial"/>
      <family val="2"/>
    </font>
    <font>
      <sz val="11"/>
      <color theme="0"/>
      <name val="Times New Roman"/>
      <family val="2"/>
      <scheme val="minor"/>
    </font>
    <font>
      <sz val="18"/>
      <color theme="3"/>
      <name val="Arial"/>
      <family val="2"/>
      <scheme val="major"/>
    </font>
    <font>
      <sz val="22"/>
      <color rgb="FFFF0000"/>
      <name val="Bodoni MT"/>
      <family val="1"/>
    </font>
    <font>
      <b/>
      <sz val="20"/>
      <color theme="1"/>
      <name val="Bodoni MT"/>
      <family val="1"/>
    </font>
    <font>
      <b/>
      <sz val="10"/>
      <color rgb="FFFF0000"/>
      <name val="Tahoma"/>
      <family val="2"/>
    </font>
    <font>
      <b/>
      <sz val="22"/>
      <color rgb="FFFF0000"/>
      <name val="Bodoni MT"/>
      <family val="1"/>
    </font>
    <font>
      <b/>
      <sz val="36"/>
      <color rgb="FFFF0000"/>
      <name val="Bodoni MT"/>
      <family val="1"/>
    </font>
    <font>
      <sz val="18"/>
      <name val="Algerian"/>
      <family val="5"/>
    </font>
    <font>
      <sz val="18"/>
      <name val="Bodoni MT"/>
      <family val="1"/>
    </font>
    <font>
      <b/>
      <sz val="22"/>
      <color theme="5"/>
      <name val="Bodoni MT"/>
      <family val="1"/>
    </font>
    <font>
      <sz val="10"/>
      <name val="Arial"/>
      <family val="2"/>
    </font>
    <font>
      <b/>
      <sz val="10"/>
      <name val="Arial Black"/>
      <family val="2"/>
    </font>
    <font>
      <b/>
      <sz val="28"/>
      <color rgb="FFFF0000"/>
      <name val="Bodoni MT"/>
      <family val="1"/>
    </font>
    <font>
      <b/>
      <u/>
      <sz val="14"/>
      <name val="Bodoni MT"/>
      <family val="1"/>
    </font>
    <font>
      <b/>
      <sz val="20"/>
      <color rgb="FF000000"/>
      <name val="Bodoni MT"/>
      <family val="1"/>
    </font>
    <font>
      <b/>
      <sz val="14"/>
      <color theme="0"/>
      <name val="Arial"/>
      <family val="2"/>
    </font>
    <font>
      <u/>
      <sz val="10"/>
      <color indexed="12"/>
      <name val="Arial"/>
      <family val="2"/>
    </font>
    <font>
      <sz val="10"/>
      <name val="Arial"/>
      <family val="2"/>
    </font>
    <font>
      <b/>
      <sz val="20"/>
      <name val="Bodoni MT"/>
      <family val="1"/>
    </font>
    <font>
      <sz val="10"/>
      <color theme="1"/>
      <name val="Times New Roman"/>
      <family val="2"/>
      <scheme val="minor"/>
    </font>
    <font>
      <b/>
      <i/>
      <sz val="10"/>
      <color theme="1"/>
      <name val="Times New Roman"/>
      <family val="2"/>
      <scheme val="minor"/>
    </font>
    <font>
      <sz val="10"/>
      <name val="Times New Roman"/>
      <family val="1"/>
    </font>
    <font>
      <b/>
      <sz val="14"/>
      <color rgb="FF000000"/>
      <name val="Times New Roman"/>
      <family val="1"/>
    </font>
    <font>
      <b/>
      <sz val="14"/>
      <color rgb="FF1F497D"/>
      <name val="Times New Roman"/>
      <family val="1"/>
    </font>
    <font>
      <b/>
      <sz val="12"/>
      <color rgb="FF000000"/>
      <name val="Times New Roman"/>
      <family val="1"/>
    </font>
    <font>
      <b/>
      <sz val="12"/>
      <color rgb="FF1F497D"/>
      <name val="Arial"/>
      <family val="2"/>
    </font>
    <font>
      <b/>
      <sz val="12"/>
      <color rgb="FF000000"/>
      <name val="Arial"/>
      <family val="2"/>
    </font>
    <font>
      <b/>
      <sz val="16"/>
      <color rgb="FF1F497D"/>
      <name val="Times New Roman"/>
      <family val="1"/>
    </font>
    <font>
      <b/>
      <sz val="16"/>
      <color rgb="FF000000"/>
      <name val="Arial"/>
      <family val="2"/>
    </font>
    <font>
      <b/>
      <sz val="20"/>
      <color rgb="FF1F497D"/>
      <name val="Times New Roman"/>
      <family val="1"/>
    </font>
    <font>
      <b/>
      <sz val="24"/>
      <color theme="1"/>
      <name val="Bodoni MT"/>
      <family val="1"/>
    </font>
    <font>
      <sz val="10"/>
      <name val="Arial"/>
      <family val="2"/>
    </font>
    <font>
      <b/>
      <sz val="18"/>
      <color rgb="FF000000"/>
      <name val="Bodoni MT"/>
      <family val="1"/>
    </font>
    <font>
      <b/>
      <sz val="12"/>
      <color rgb="FF000000"/>
      <name val="Bodoni MT"/>
      <family val="1"/>
    </font>
  </fonts>
  <fills count="64">
    <fill>
      <patternFill patternType="none"/>
    </fill>
    <fill>
      <patternFill patternType="gray125"/>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5"/>
        <bgColor indexed="45"/>
      </patternFill>
    </fill>
    <fill>
      <patternFill patternType="solid">
        <fgColor indexed="43"/>
        <bgColor indexed="43"/>
      </patternFill>
    </fill>
    <fill>
      <patternFill patternType="solid">
        <fgColor indexed="11"/>
        <bgColor indexed="64"/>
      </patternFill>
    </fill>
    <fill>
      <patternFill patternType="solid">
        <fgColor indexed="57"/>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rgb="FF00FF00"/>
        <bgColor indexed="64"/>
      </patternFill>
    </fill>
    <fill>
      <patternFill patternType="solid">
        <fgColor theme="6"/>
        <bgColor indexed="64"/>
      </patternFill>
    </fill>
    <fill>
      <patternFill patternType="solid">
        <fgColor theme="2"/>
        <bgColor indexed="64"/>
      </patternFill>
    </fill>
    <fill>
      <patternFill patternType="solid">
        <fgColor theme="3"/>
        <bgColor indexed="64"/>
      </patternFill>
    </fill>
    <fill>
      <patternFill patternType="solid">
        <fgColor theme="2" tint="-9.9978637043366805E-2"/>
        <bgColor indexed="64"/>
      </patternFill>
    </fill>
    <fill>
      <patternFill patternType="solid">
        <fgColor theme="1"/>
        <bgColor indexed="64"/>
      </patternFill>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
      <patternFill patternType="solid">
        <fgColor rgb="FF00CC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00B0F0"/>
        <bgColor indexed="64"/>
      </patternFill>
    </fill>
    <fill>
      <patternFill patternType="solid">
        <fgColor rgb="FF00B050"/>
        <bgColor indexed="64"/>
      </patternFill>
    </fill>
    <fill>
      <patternFill patternType="solid">
        <fgColor rgb="FFFAC090"/>
        <bgColor indexed="64"/>
      </patternFill>
    </fill>
    <fill>
      <patternFill patternType="solid">
        <fgColor rgb="FFE6B9B8"/>
        <bgColor indexed="64"/>
      </patternFill>
    </fill>
    <fill>
      <patternFill patternType="solid">
        <fgColor rgb="FFFF7C80"/>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D9D9D9"/>
        <bgColor indexed="64"/>
      </patternFill>
    </fill>
    <fill>
      <patternFill patternType="solid">
        <fgColor rgb="FFFABF8F"/>
        <bgColor indexed="64"/>
      </patternFill>
    </fill>
    <fill>
      <patternFill patternType="solid">
        <fgColor rgb="FFEBF1DE"/>
        <bgColor indexed="64"/>
      </patternFill>
    </fill>
    <fill>
      <patternFill patternType="solid">
        <fgColor rgb="FFDAEEF3"/>
        <bgColor indexed="64"/>
      </patternFill>
    </fill>
    <fill>
      <patternFill patternType="solid">
        <fgColor rgb="FF000000"/>
        <bgColor indexed="64"/>
      </patternFill>
    </fill>
    <fill>
      <patternFill patternType="solid">
        <fgColor rgb="FFFFFFFF"/>
        <bgColor indexed="64"/>
      </patternFill>
    </fill>
    <fill>
      <patternFill patternType="solid">
        <fgColor rgb="FFC5D9F1"/>
        <bgColor indexed="64"/>
      </patternFill>
    </fill>
    <fill>
      <patternFill patternType="solid">
        <fgColor rgb="FFFCD5B4"/>
        <bgColor indexed="64"/>
      </patternFill>
    </fill>
    <fill>
      <patternFill patternType="solid">
        <fgColor rgb="FFE6B8B7"/>
        <bgColor indexed="64"/>
      </patternFill>
    </fill>
    <fill>
      <patternFill patternType="solid">
        <fgColor rgb="FFD8E4BC"/>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0070C0"/>
        <bgColor indexed="64"/>
      </patternFill>
    </fill>
    <fill>
      <patternFill patternType="solid">
        <fgColor theme="6"/>
      </patternFill>
    </fill>
    <fill>
      <patternFill patternType="solid">
        <fgColor theme="0" tint="-4.9989318521683403E-2"/>
        <bgColor indexed="64"/>
      </patternFill>
    </fill>
  </fills>
  <borders count="13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4"/>
      </bottom>
      <diagonal/>
    </border>
    <border>
      <left/>
      <right/>
      <top/>
      <bottom style="thick">
        <color indexed="22"/>
      </bottom>
      <diagonal/>
    </border>
    <border>
      <left/>
      <right/>
      <top/>
      <bottom style="medium">
        <color indexed="44"/>
      </bottom>
      <diagonal/>
    </border>
    <border>
      <left/>
      <right/>
      <top style="thin">
        <color indexed="54"/>
      </top>
      <bottom style="double">
        <color indexed="54"/>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bottom/>
      <diagonal/>
    </border>
    <border>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right/>
      <top style="thin">
        <color indexed="64"/>
      </top>
      <bottom style="thin">
        <color indexed="64"/>
      </bottom>
      <diagonal/>
    </border>
    <border>
      <left/>
      <right style="double">
        <color indexed="64"/>
      </right>
      <top/>
      <bottom style="double">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diagonalUp="1" diagonalDown="1">
      <left style="thin">
        <color indexed="64"/>
      </left>
      <right style="thin">
        <color indexed="64"/>
      </right>
      <top/>
      <bottom style="thin">
        <color indexed="64"/>
      </bottom>
      <diagonal style="thin">
        <color indexed="64"/>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top style="medium">
        <color indexed="64"/>
      </top>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right style="medium">
        <color indexed="64"/>
      </right>
      <top/>
      <bottom style="medium">
        <color rgb="FF000000"/>
      </bottom>
      <diagonal/>
    </border>
    <border>
      <left style="medium">
        <color indexed="64"/>
      </left>
      <right style="medium">
        <color indexed="64"/>
      </right>
      <top/>
      <bottom style="medium">
        <color rgb="FF000000"/>
      </bottom>
      <diagonal/>
    </border>
    <border>
      <left style="thin">
        <color indexed="64"/>
      </left>
      <right style="thin">
        <color indexed="64"/>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thin">
        <color indexed="64"/>
      </left>
      <right/>
      <top/>
      <bottom style="medium">
        <color indexed="64"/>
      </bottom>
      <diagonal/>
    </border>
    <border>
      <left style="double">
        <color indexed="64"/>
      </left>
      <right style="double">
        <color indexed="64"/>
      </right>
      <top style="double">
        <color indexed="64"/>
      </top>
      <bottom/>
      <diagonal/>
    </border>
    <border>
      <left style="double">
        <color indexed="64"/>
      </left>
      <right/>
      <top/>
      <bottom/>
      <diagonal/>
    </border>
    <border>
      <left style="double">
        <color indexed="64"/>
      </left>
      <right/>
      <top/>
      <bottom style="double">
        <color indexed="64"/>
      </bottom>
      <diagonal/>
    </border>
    <border>
      <left style="medium">
        <color indexed="64"/>
      </left>
      <right/>
      <top/>
      <bottom style="medium">
        <color rgb="FF000000"/>
      </bottom>
      <diagonal/>
    </border>
    <border>
      <left/>
      <right style="medium">
        <color rgb="FF000000"/>
      </right>
      <top/>
      <bottom/>
      <diagonal/>
    </border>
    <border>
      <left/>
      <right style="medium">
        <color rgb="FF000000"/>
      </right>
      <top style="medium">
        <color indexed="64"/>
      </top>
      <bottom/>
      <diagonal/>
    </border>
    <border>
      <left/>
      <right/>
      <top/>
      <bottom style="medium">
        <color rgb="FF000000"/>
      </bottom>
      <diagonal/>
    </border>
    <border>
      <left style="medium">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right/>
      <top style="medium">
        <color rgb="FF000000"/>
      </top>
      <bottom style="medium">
        <color indexed="64"/>
      </bottom>
      <diagonal/>
    </border>
    <border>
      <left style="medium">
        <color indexed="64"/>
      </left>
      <right/>
      <top style="medium">
        <color rgb="FF000000"/>
      </top>
      <bottom style="medium">
        <color rgb="FF000000"/>
      </bottom>
      <diagonal/>
    </border>
    <border>
      <left/>
      <right/>
      <top style="medium">
        <color rgb="FF000000"/>
      </top>
      <bottom style="medium">
        <color rgb="FF000000"/>
      </bottom>
      <diagonal/>
    </border>
    <border>
      <left style="thin">
        <color indexed="64"/>
      </left>
      <right style="double">
        <color indexed="64"/>
      </right>
      <top/>
      <bottom style="thin">
        <color indexed="64"/>
      </bottom>
      <diagonal/>
    </border>
    <border>
      <left style="double">
        <color indexed="64"/>
      </left>
      <right style="thin">
        <color indexed="64"/>
      </right>
      <top style="double">
        <color indexed="64"/>
      </top>
      <bottom style="double">
        <color indexed="64"/>
      </bottom>
      <diagonal/>
    </border>
    <border>
      <left/>
      <right style="double">
        <color indexed="64"/>
      </right>
      <top style="double">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rgb="FF000000"/>
      </top>
      <bottom/>
      <diagonal/>
    </border>
  </borders>
  <cellStyleXfs count="2456">
    <xf numFmtId="0" fontId="0" fillId="0" borderId="0"/>
    <xf numFmtId="0" fontId="10"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1" fillId="6" borderId="0" applyNumberFormat="0" applyBorder="0" applyAlignment="0" applyProtection="0"/>
    <xf numFmtId="0" fontId="11" fillId="9" borderId="0" applyNumberFormat="0" applyBorder="0" applyAlignment="0" applyProtection="0"/>
    <xf numFmtId="0" fontId="10" fillId="7" borderId="0" applyNumberFormat="0" applyBorder="0" applyAlignment="0" applyProtection="0"/>
    <xf numFmtId="0" fontId="10" fillId="2" borderId="0" applyNumberFormat="0" applyBorder="0" applyAlignment="0" applyProtection="0"/>
    <xf numFmtId="0" fontId="11" fillId="3" borderId="0" applyNumberFormat="0" applyBorder="0" applyAlignment="0" applyProtection="0"/>
    <xf numFmtId="0" fontId="11" fillId="7"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1" fillId="11"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0" fillId="12" borderId="0" applyNumberFormat="0" applyBorder="0" applyAlignment="0" applyProtection="0"/>
    <xf numFmtId="0" fontId="11" fillId="6" borderId="0" applyNumberFormat="0" applyBorder="0" applyAlignment="0" applyProtection="0"/>
    <xf numFmtId="0" fontId="11" fillId="13" borderId="0" applyNumberFormat="0" applyBorder="0" applyAlignment="0" applyProtection="0"/>
    <xf numFmtId="0" fontId="10" fillId="13"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3" borderId="1" applyNumberFormat="0" applyAlignment="0" applyProtection="0"/>
    <xf numFmtId="168" fontId="9" fillId="0" borderId="0" applyFont="0" applyFill="0" applyBorder="0" applyAlignment="0" applyProtection="0"/>
    <xf numFmtId="0" fontId="17" fillId="18" borderId="0" applyNumberFormat="0" applyBorder="0" applyAlignment="0" applyProtection="0"/>
    <xf numFmtId="164" fontId="9" fillId="0" borderId="0" applyFont="0" applyFill="0" applyBorder="0" applyAlignment="0" applyProtection="0"/>
    <xf numFmtId="164" fontId="27" fillId="0" borderId="0" applyFont="0" applyFill="0" applyBorder="0" applyAlignment="0" applyProtection="0"/>
    <xf numFmtId="164" fontId="27" fillId="0" borderId="0" applyFont="0" applyFill="0" applyBorder="0" applyAlignment="0" applyProtection="0"/>
    <xf numFmtId="0" fontId="18" fillId="19" borderId="0" applyNumberFormat="0" applyBorder="0" applyAlignment="0" applyProtection="0"/>
    <xf numFmtId="0" fontId="26" fillId="0" borderId="0"/>
    <xf numFmtId="0" fontId="19" fillId="9" borderId="0" applyNumberFormat="0" applyBorder="0" applyAlignment="0" applyProtection="0"/>
    <xf numFmtId="0" fontId="20" fillId="14" borderId="4" applyNumberFormat="0" applyAlignment="0" applyProtection="0"/>
    <xf numFmtId="0" fontId="21" fillId="0" borderId="0" applyNumberFormat="0" applyFill="0" applyBorder="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15" fillId="0" borderId="8" applyNumberFormat="0" applyFill="0" applyAlignment="0" applyProtection="0"/>
    <xf numFmtId="0" fontId="25" fillId="8" borderId="9" applyNumberFormat="0" applyAlignment="0" applyProtection="0"/>
    <xf numFmtId="0" fontId="9" fillId="0" borderId="0"/>
    <xf numFmtId="0" fontId="9" fillId="0" borderId="0" applyFont="0" applyFill="0" applyBorder="0" applyAlignment="0" applyProtection="0"/>
    <xf numFmtId="43" fontId="8" fillId="0" borderId="0" applyFont="0" applyFill="0" applyBorder="0" applyAlignment="0" applyProtection="0"/>
    <xf numFmtId="0" fontId="9" fillId="0" borderId="0" applyFont="0" applyFill="0" applyBorder="0" applyAlignment="0" applyProtection="0"/>
    <xf numFmtId="0" fontId="28" fillId="0" borderId="0" applyFont="0" applyFill="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14" borderId="1" applyNumberFormat="0" applyAlignment="0" applyProtection="0"/>
    <xf numFmtId="0" fontId="13" fillId="14" borderId="1" applyNumberFormat="0" applyAlignment="0" applyProtection="0"/>
    <xf numFmtId="0" fontId="13" fillId="14" borderId="1" applyNumberFormat="0" applyAlignment="0" applyProtection="0"/>
    <xf numFmtId="0" fontId="13" fillId="14" borderId="1" applyNumberFormat="0" applyAlignment="0" applyProtection="0"/>
    <xf numFmtId="0" fontId="14" fillId="0" borderId="2" applyNumberFormat="0" applyFill="0" applyAlignment="0" applyProtection="0"/>
    <xf numFmtId="0" fontId="14" fillId="0" borderId="2" applyNumberFormat="0" applyFill="0" applyAlignment="0" applyProtection="0"/>
    <xf numFmtId="0" fontId="14" fillId="0" borderId="2" applyNumberFormat="0" applyFill="0" applyAlignment="0" applyProtection="0"/>
    <xf numFmtId="0" fontId="14" fillId="0" borderId="2" applyNumberFormat="0" applyFill="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16" fillId="13" borderId="1" applyNumberFormat="0" applyAlignment="0" applyProtection="0"/>
    <xf numFmtId="0" fontId="16" fillId="13" borderId="1" applyNumberFormat="0" applyAlignment="0" applyProtection="0"/>
    <xf numFmtId="0" fontId="16" fillId="13" borderId="1" applyNumberFormat="0" applyAlignment="0" applyProtection="0"/>
    <xf numFmtId="0" fontId="16" fillId="13" borderId="1" applyNumberFormat="0" applyAlignment="0" applyProtection="0"/>
    <xf numFmtId="168" fontId="9" fillId="0" borderId="0" applyFont="0" applyFill="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9" fillId="0" borderId="0"/>
    <xf numFmtId="0" fontId="9" fillId="0" borderId="0"/>
    <xf numFmtId="0" fontId="9" fillId="0" borderId="0"/>
    <xf numFmtId="0" fontId="9" fillId="0" borderId="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20" fillId="14" borderId="4" applyNumberFormat="0" applyAlignment="0" applyProtection="0"/>
    <xf numFmtId="0" fontId="20" fillId="14" borderId="4" applyNumberFormat="0" applyAlignment="0" applyProtection="0"/>
    <xf numFmtId="0" fontId="20" fillId="14" borderId="4" applyNumberFormat="0" applyAlignment="0" applyProtection="0"/>
    <xf numFmtId="0" fontId="20" fillId="14" borderId="4" applyNumberFormat="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25" fillId="8" borderId="9" applyNumberFormat="0" applyAlignment="0" applyProtection="0"/>
    <xf numFmtId="0" fontId="25" fillId="8" borderId="9" applyNumberFormat="0" applyAlignment="0" applyProtection="0"/>
    <xf numFmtId="0" fontId="25" fillId="8" borderId="9" applyNumberFormat="0" applyAlignment="0" applyProtection="0"/>
    <xf numFmtId="0" fontId="25" fillId="8" borderId="9" applyNumberFormat="0" applyAlignment="0" applyProtection="0"/>
    <xf numFmtId="0" fontId="7" fillId="0" borderId="0"/>
    <xf numFmtId="0" fontId="9" fillId="0" borderId="0"/>
    <xf numFmtId="0" fontId="10" fillId="8"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9" fillId="0" borderId="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2" borderId="0" applyNumberFormat="0" applyBorder="0" applyAlignment="0" applyProtection="0"/>
    <xf numFmtId="0" fontId="9" fillId="0" borderId="0"/>
    <xf numFmtId="0" fontId="10" fillId="10" borderId="0" applyNumberFormat="0" applyBorder="0" applyAlignment="0" applyProtection="0"/>
    <xf numFmtId="0" fontId="10" fillId="8" borderId="0" applyNumberFormat="0" applyBorder="0" applyAlignment="0" applyProtection="0"/>
    <xf numFmtId="0" fontId="10" fillId="12" borderId="0" applyNumberFormat="0" applyBorder="0" applyAlignment="0" applyProtection="0"/>
    <xf numFmtId="0" fontId="10" fillId="5" borderId="0" applyNumberFormat="0" applyBorder="0" applyAlignment="0" applyProtection="0"/>
    <xf numFmtId="0" fontId="10" fillId="10"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9" fillId="0" borderId="0"/>
    <xf numFmtId="0" fontId="16" fillId="13" borderId="1" applyNumberFormat="0" applyAlignment="0" applyProtection="0"/>
    <xf numFmtId="164" fontId="9" fillId="0" borderId="0" applyFont="0" applyFill="0" applyBorder="0" applyAlignment="0" applyProtection="0"/>
    <xf numFmtId="0" fontId="15" fillId="0" borderId="8" applyNumberFormat="0" applyFill="0" applyAlignment="0" applyProtection="0"/>
    <xf numFmtId="0" fontId="10" fillId="12" borderId="0" applyNumberFormat="0" applyBorder="0" applyAlignment="0" applyProtection="0"/>
    <xf numFmtId="0" fontId="10" fillId="8"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0" fillId="8"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6" fillId="13" borderId="1" applyNumberFormat="0" applyAlignment="0" applyProtection="0"/>
    <xf numFmtId="164" fontId="9" fillId="0" borderId="0" applyFont="0" applyFill="0" applyBorder="0" applyAlignment="0" applyProtection="0"/>
    <xf numFmtId="0" fontId="15" fillId="0" borderId="8" applyNumberFormat="0" applyFill="0" applyAlignment="0" applyProtection="0"/>
    <xf numFmtId="0" fontId="10" fillId="2"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17" fillId="18" borderId="0" applyNumberFormat="0" applyBorder="0" applyAlignment="0" applyProtection="0"/>
    <xf numFmtId="0" fontId="18" fillId="19" borderId="0" applyNumberFormat="0" applyBorder="0" applyAlignment="0" applyProtection="0"/>
    <xf numFmtId="0" fontId="9" fillId="0" borderId="0"/>
    <xf numFmtId="0" fontId="19" fillId="9" borderId="0" applyNumberFormat="0" applyBorder="0" applyAlignment="0" applyProtection="0"/>
    <xf numFmtId="0" fontId="20" fillId="14" borderId="4" applyNumberFormat="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15" fillId="0" borderId="8" applyNumberFormat="0" applyFill="0" applyAlignment="0" applyProtection="0"/>
    <xf numFmtId="0" fontId="15" fillId="0" borderId="8" applyNumberFormat="0" applyFill="0" applyAlignment="0" applyProtection="0"/>
    <xf numFmtId="0" fontId="25" fillId="8" borderId="9"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10" fillId="10"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164" fontId="9" fillId="0" borderId="0" applyFont="0" applyFill="0" applyBorder="0" applyAlignment="0" applyProtection="0"/>
    <xf numFmtId="0" fontId="10" fillId="2"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9" fillId="6" borderId="3" applyNumberFormat="0" applyFont="0" applyAlignment="0" applyProtection="0"/>
    <xf numFmtId="0" fontId="10" fillId="8" borderId="0" applyNumberFormat="0" applyBorder="0" applyAlignment="0" applyProtection="0"/>
    <xf numFmtId="164" fontId="9" fillId="0" borderId="0" applyFont="0" applyFill="0" applyBorder="0" applyAlignment="0" applyProtection="0"/>
    <xf numFmtId="0" fontId="10" fillId="2" borderId="0" applyNumberFormat="0" applyBorder="0" applyAlignment="0" applyProtection="0"/>
    <xf numFmtId="0" fontId="9" fillId="6" borderId="3" applyNumberFormat="0" applyFont="0" applyAlignment="0" applyProtection="0"/>
    <xf numFmtId="0" fontId="10" fillId="8" borderId="0" applyNumberFormat="0" applyBorder="0" applyAlignment="0" applyProtection="0"/>
    <xf numFmtId="0" fontId="9" fillId="6" borderId="3" applyNumberFormat="0" applyFont="0" applyAlignment="0" applyProtection="0"/>
    <xf numFmtId="0" fontId="10" fillId="2" borderId="0" applyNumberFormat="0" applyBorder="0" applyAlignment="0" applyProtection="0"/>
    <xf numFmtId="0" fontId="10" fillId="12" borderId="0" applyNumberFormat="0" applyBorder="0" applyAlignment="0" applyProtection="0"/>
    <xf numFmtId="164" fontId="9" fillId="0" borderId="0" applyFont="0" applyFill="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9" fillId="6" borderId="3" applyNumberFormat="0" applyFont="0" applyAlignment="0" applyProtection="0"/>
    <xf numFmtId="0" fontId="10" fillId="12"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5" fillId="0" borderId="8" applyNumberFormat="0" applyFill="0" applyAlignment="0" applyProtection="0"/>
    <xf numFmtId="0" fontId="10" fillId="5"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164" fontId="9" fillId="0" borderId="0" applyFont="0" applyFill="0" applyBorder="0" applyAlignment="0" applyProtection="0"/>
    <xf numFmtId="0" fontId="15" fillId="0" borderId="8" applyNumberFormat="0" applyFill="0" applyAlignment="0" applyProtection="0"/>
    <xf numFmtId="0" fontId="10" fillId="2" borderId="0" applyNumberFormat="0" applyBorder="0" applyAlignment="0" applyProtection="0"/>
    <xf numFmtId="0" fontId="10" fillId="8" borderId="0" applyNumberFormat="0" applyBorder="0" applyAlignment="0" applyProtection="0"/>
    <xf numFmtId="0" fontId="10" fillId="5"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164" fontId="9" fillId="0" borderId="0" applyFont="0" applyFill="0" applyBorder="0" applyAlignment="0" applyProtection="0"/>
    <xf numFmtId="0" fontId="10" fillId="2" borderId="0" applyNumberFormat="0" applyBorder="0" applyAlignment="0" applyProtection="0"/>
    <xf numFmtId="0" fontId="15" fillId="0" borderId="8" applyNumberFormat="0" applyFill="0" applyAlignment="0" applyProtection="0"/>
    <xf numFmtId="0" fontId="10" fillId="8" borderId="0" applyNumberFormat="0" applyBorder="0" applyAlignment="0" applyProtection="0"/>
    <xf numFmtId="0" fontId="10" fillId="5"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164" fontId="9" fillId="0" borderId="0" applyFont="0" applyFill="0" applyBorder="0" applyAlignment="0" applyProtection="0"/>
    <xf numFmtId="0" fontId="10" fillId="2" borderId="0" applyNumberFormat="0" applyBorder="0" applyAlignment="0" applyProtection="0"/>
    <xf numFmtId="0" fontId="15" fillId="0" borderId="8" applyNumberFormat="0" applyFill="0" applyAlignment="0" applyProtection="0"/>
    <xf numFmtId="0" fontId="10" fillId="8"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10" fillId="12" borderId="0" applyNumberFormat="0" applyBorder="0" applyAlignment="0" applyProtection="0"/>
    <xf numFmtId="0" fontId="10" fillId="8" borderId="0" applyNumberFormat="0" applyBorder="0" applyAlignment="0" applyProtection="0"/>
    <xf numFmtId="164" fontId="9" fillId="0" borderId="0" applyFont="0" applyFill="0" applyBorder="0" applyAlignment="0" applyProtection="0"/>
    <xf numFmtId="0" fontId="10" fillId="2" borderId="0" applyNumberFormat="0" applyBorder="0" applyAlignment="0" applyProtection="0"/>
    <xf numFmtId="0" fontId="15" fillId="0" borderId="8" applyNumberFormat="0" applyFill="0" applyAlignment="0" applyProtection="0"/>
    <xf numFmtId="0" fontId="10" fillId="2"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0" borderId="0" applyNumberFormat="0" applyBorder="0" applyAlignment="0" applyProtection="0"/>
    <xf numFmtId="0" fontId="10" fillId="12" borderId="0" applyNumberFormat="0" applyBorder="0" applyAlignment="0" applyProtection="0"/>
    <xf numFmtId="0" fontId="10" fillId="5"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0" fontId="10" fillId="2" borderId="0" applyNumberFormat="0" applyBorder="0" applyAlignment="0" applyProtection="0"/>
    <xf numFmtId="0" fontId="15" fillId="0" borderId="8" applyNumberFormat="0" applyFill="0" applyAlignment="0" applyProtection="0"/>
    <xf numFmtId="0" fontId="10" fillId="10"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10" fillId="8"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0" fontId="10" fillId="2" borderId="0" applyNumberFormat="0" applyBorder="0" applyAlignment="0" applyProtection="0"/>
    <xf numFmtId="0" fontId="9" fillId="0" borderId="0"/>
    <xf numFmtId="0" fontId="15" fillId="0" borderId="8" applyNumberFormat="0" applyFill="0" applyAlignment="0" applyProtection="0"/>
    <xf numFmtId="0" fontId="10" fillId="2"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9" fillId="0" borderId="0"/>
    <xf numFmtId="0" fontId="16" fillId="13" borderId="1" applyNumberFormat="0" applyAlignment="0" applyProtection="0"/>
    <xf numFmtId="0" fontId="15" fillId="0" borderId="8" applyNumberFormat="0" applyFill="0" applyAlignment="0" applyProtection="0"/>
    <xf numFmtId="0" fontId="10" fillId="12" borderId="0" applyNumberFormat="0" applyBorder="0" applyAlignment="0" applyProtection="0"/>
    <xf numFmtId="0" fontId="10" fillId="5"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8" borderId="0" applyNumberFormat="0" applyBorder="0" applyAlignment="0" applyProtection="0"/>
    <xf numFmtId="0" fontId="10" fillId="2" borderId="0" applyNumberFormat="0" applyBorder="0" applyAlignment="0" applyProtection="0"/>
    <xf numFmtId="0" fontId="9" fillId="0" borderId="0"/>
    <xf numFmtId="0" fontId="16" fillId="13" borderId="1" applyNumberFormat="0" applyAlignment="0" applyProtection="0"/>
    <xf numFmtId="0" fontId="15" fillId="0" borderId="8" applyNumberFormat="0" applyFill="0" applyAlignment="0" applyProtection="0"/>
    <xf numFmtId="0" fontId="10" fillId="12" borderId="0" applyNumberFormat="0" applyBorder="0" applyAlignment="0" applyProtection="0"/>
    <xf numFmtId="0" fontId="10" fillId="10"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9" fillId="0" borderId="0"/>
    <xf numFmtId="0" fontId="16" fillId="13" borderId="1" applyNumberFormat="0" applyAlignment="0" applyProtection="0"/>
    <xf numFmtId="0" fontId="15" fillId="0" borderId="8" applyNumberFormat="0" applyFill="0" applyAlignment="0" applyProtection="0"/>
    <xf numFmtId="0" fontId="10" fillId="5" borderId="0" applyNumberFormat="0" applyBorder="0" applyAlignment="0" applyProtection="0"/>
    <xf numFmtId="0" fontId="10" fillId="12"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9" fillId="0" borderId="0"/>
    <xf numFmtId="0" fontId="16" fillId="13" borderId="1" applyNumberFormat="0" applyAlignment="0" applyProtection="0"/>
    <xf numFmtId="0" fontId="15" fillId="0" borderId="8" applyNumberFormat="0" applyFill="0" applyAlignment="0" applyProtection="0"/>
    <xf numFmtId="0" fontId="10" fillId="10" borderId="0" applyNumberFormat="0" applyBorder="0" applyAlignment="0" applyProtection="0"/>
    <xf numFmtId="0" fontId="10" fillId="12" borderId="0" applyNumberFormat="0" applyBorder="0" applyAlignment="0" applyProtection="0"/>
    <xf numFmtId="0" fontId="10" fillId="8"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0" fillId="8"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0"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0" fillId="8"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15" fillId="0" borderId="8" applyNumberFormat="0" applyFill="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16" fillId="13" borderId="1" applyNumberFormat="0" applyAlignment="0" applyProtection="0"/>
    <xf numFmtId="0" fontId="9" fillId="0" borderId="0"/>
    <xf numFmtId="0" fontId="15" fillId="0" borderId="8" applyNumberFormat="0" applyFill="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6" fillId="13" borderId="1" applyNumberFormat="0" applyAlignment="0" applyProtection="0"/>
    <xf numFmtId="0" fontId="15" fillId="0" borderId="8" applyNumberFormat="0" applyFill="0" applyAlignment="0" applyProtection="0"/>
    <xf numFmtId="0" fontId="10" fillId="2" borderId="0" applyNumberFormat="0" applyBorder="0" applyAlignment="0" applyProtection="0"/>
    <xf numFmtId="0" fontId="10" fillId="12" borderId="0" applyNumberFormat="0" applyBorder="0" applyAlignment="0" applyProtection="0"/>
    <xf numFmtId="0" fontId="10" fillId="10" borderId="0" applyNumberFormat="0" applyBorder="0" applyAlignment="0" applyProtection="0"/>
    <xf numFmtId="0" fontId="24" fillId="0" borderId="0" applyNumberFormat="0" applyFill="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5" fillId="0" borderId="8" applyNumberFormat="0" applyFill="0" applyAlignment="0" applyProtection="0"/>
    <xf numFmtId="0" fontId="10" fillId="8" borderId="0" applyNumberFormat="0" applyBorder="0" applyAlignment="0" applyProtection="0"/>
    <xf numFmtId="0" fontId="25" fillId="8" borderId="9" applyNumberFormat="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9" fillId="0" borderId="0" applyFont="0" applyFill="0" applyBorder="0" applyAlignment="0" applyProtection="0"/>
    <xf numFmtId="0" fontId="10" fillId="10"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8" borderId="0" applyNumberFormat="0" applyBorder="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0" fontId="15" fillId="0" borderId="8" applyNumberFormat="0" applyFill="0" applyAlignment="0" applyProtection="0"/>
    <xf numFmtId="0" fontId="20" fillId="14" borderId="4" applyNumberFormat="0" applyAlignment="0" applyProtection="0"/>
    <xf numFmtId="0" fontId="10" fillId="5" borderId="0" applyNumberFormat="0" applyBorder="0" applyAlignment="0" applyProtection="0"/>
    <xf numFmtId="0" fontId="19" fillId="9"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12" borderId="0" applyNumberFormat="0" applyBorder="0" applyAlignment="0" applyProtection="0"/>
    <xf numFmtId="0" fontId="10" fillId="2"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0" fontId="15" fillId="0" borderId="8" applyNumberFormat="0" applyFill="0" applyAlignment="0" applyProtection="0"/>
    <xf numFmtId="0" fontId="10" fillId="5"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0" fontId="15" fillId="0" borderId="8" applyNumberFormat="0" applyFill="0" applyAlignment="0" applyProtection="0"/>
    <xf numFmtId="0" fontId="17" fillId="18" borderId="0" applyNumberFormat="0" applyBorder="0" applyAlignment="0" applyProtection="0"/>
    <xf numFmtId="0" fontId="16" fillId="13" borderId="1" applyNumberFormat="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15" fillId="0" borderId="8" applyNumberFormat="0" applyFill="0" applyAlignment="0" applyProtection="0"/>
    <xf numFmtId="43" fontId="7" fillId="0" borderId="0" applyFont="0" applyFill="0" applyBorder="0" applyAlignment="0" applyProtection="0"/>
    <xf numFmtId="0" fontId="9" fillId="0" borderId="0" applyFont="0" applyFill="0" applyBorder="0" applyAlignment="0" applyProtection="0"/>
    <xf numFmtId="43" fontId="7" fillId="0" borderId="0" applyFont="0" applyFill="0" applyBorder="0" applyAlignment="0" applyProtection="0"/>
    <xf numFmtId="0" fontId="9" fillId="0" borderId="0" applyFont="0" applyFill="0" applyBorder="0" applyAlignment="0" applyProtection="0"/>
    <xf numFmtId="0" fontId="24" fillId="0" borderId="7" applyNumberFormat="0" applyFill="0" applyAlignment="0" applyProtection="0"/>
    <xf numFmtId="0" fontId="23" fillId="0" borderId="6" applyNumberFormat="0" applyFill="0" applyAlignment="0" applyProtection="0"/>
    <xf numFmtId="0" fontId="22" fillId="0" borderId="5" applyNumberFormat="0" applyFill="0" applyAlignment="0" applyProtection="0"/>
    <xf numFmtId="0" fontId="18" fillId="19" borderId="0" applyNumberFormat="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14" fillId="0" borderId="2" applyNumberFormat="0" applyFill="0" applyAlignment="0" applyProtection="0"/>
    <xf numFmtId="0" fontId="13" fillId="14" borderId="1" applyNumberFormat="0" applyAlignment="0" applyProtection="0"/>
    <xf numFmtId="0" fontId="12" fillId="0" borderId="0" applyNumberFormat="0" applyFill="0" applyBorder="0" applyAlignment="0" applyProtection="0"/>
    <xf numFmtId="0" fontId="10" fillId="12" borderId="0" applyNumberFormat="0" applyBorder="0" applyAlignment="0" applyProtection="0"/>
    <xf numFmtId="0" fontId="10" fillId="10" borderId="0" applyNumberFormat="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10" fillId="8" borderId="0" applyNumberFormat="0" applyBorder="0" applyAlignment="0" applyProtection="0"/>
    <xf numFmtId="164" fontId="9" fillId="0" borderId="0" applyFont="0" applyFill="0" applyBorder="0" applyAlignment="0" applyProtection="0"/>
    <xf numFmtId="0" fontId="10" fillId="5" borderId="0" applyNumberFormat="0" applyBorder="0" applyAlignment="0" applyProtection="0"/>
    <xf numFmtId="0" fontId="10" fillId="2" borderId="0" applyNumberFormat="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17" fillId="18" borderId="0" applyNumberFormat="0" applyBorder="0" applyAlignment="0" applyProtection="0"/>
    <xf numFmtId="0" fontId="18" fillId="19" borderId="0" applyNumberFormat="0" applyBorder="0" applyAlignment="0" applyProtection="0"/>
    <xf numFmtId="0" fontId="9" fillId="0" borderId="0"/>
    <xf numFmtId="0" fontId="9" fillId="0" borderId="0"/>
    <xf numFmtId="0" fontId="19" fillId="9" borderId="0" applyNumberFormat="0" applyBorder="0" applyAlignment="0" applyProtection="0"/>
    <xf numFmtId="0" fontId="20" fillId="14" borderId="4" applyNumberFormat="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8" borderId="9" applyNumberForma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43" fontId="7" fillId="0" borderId="0" applyFont="0" applyFill="0" applyBorder="0" applyAlignment="0" applyProtection="0"/>
    <xf numFmtId="0" fontId="9" fillId="0" borderId="0" applyFont="0" applyFill="0" applyBorder="0" applyAlignment="0" applyProtection="0"/>
    <xf numFmtId="0" fontId="9" fillId="0" borderId="0"/>
    <xf numFmtId="0" fontId="10" fillId="2" borderId="0" applyNumberFormat="0" applyBorder="0" applyAlignment="0" applyProtection="0"/>
    <xf numFmtId="0"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10" fillId="5" borderId="0" applyNumberFormat="0" applyBorder="0" applyAlignment="0" applyProtection="0"/>
    <xf numFmtId="0" fontId="9" fillId="6" borderId="3" applyNumberFormat="0" applyFont="0" applyAlignment="0" applyProtection="0"/>
    <xf numFmtId="0" fontId="10" fillId="8"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6" fillId="13" borderId="1" applyNumberFormat="0" applyAlignment="0" applyProtection="0"/>
    <xf numFmtId="0" fontId="17" fillId="18" borderId="0" applyNumberFormat="0" applyBorder="0" applyAlignment="0" applyProtection="0"/>
    <xf numFmtId="0" fontId="18" fillId="19" borderId="0" applyNumberFormat="0" applyBorder="0" applyAlignment="0" applyProtection="0"/>
    <xf numFmtId="0" fontId="9" fillId="0" borderId="0"/>
    <xf numFmtId="0" fontId="19" fillId="9" borderId="0" applyNumberFormat="0" applyBorder="0" applyAlignment="0" applyProtection="0"/>
    <xf numFmtId="0" fontId="20" fillId="14" borderId="4" applyNumberFormat="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15" fillId="0" borderId="8" applyNumberFormat="0" applyFill="0" applyAlignment="0" applyProtection="0"/>
    <xf numFmtId="0" fontId="25" fillId="8" borderId="9" applyNumberFormat="0" applyAlignment="0" applyProtection="0"/>
    <xf numFmtId="0" fontId="9" fillId="0" borderId="0" applyFont="0" applyFill="0" applyBorder="0" applyAlignment="0" applyProtection="0"/>
    <xf numFmtId="43" fontId="7" fillId="0" borderId="0" applyFont="0" applyFill="0" applyBorder="0" applyAlignment="0" applyProtection="0"/>
    <xf numFmtId="0"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17" fillId="18" borderId="0" applyNumberFormat="0" applyBorder="0" applyAlignment="0" applyProtection="0"/>
    <xf numFmtId="0" fontId="18" fillId="19" borderId="0" applyNumberFormat="0" applyBorder="0" applyAlignment="0" applyProtection="0"/>
    <xf numFmtId="0" fontId="9" fillId="0" borderId="0"/>
    <xf numFmtId="0" fontId="9" fillId="0" borderId="0"/>
    <xf numFmtId="0" fontId="19" fillId="9" borderId="0" applyNumberFormat="0" applyBorder="0" applyAlignment="0" applyProtection="0"/>
    <xf numFmtId="0" fontId="20" fillId="14" borderId="4" applyNumberFormat="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8" borderId="9"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0" fontId="10" fillId="2" borderId="0" applyNumberFormat="0" applyBorder="0" applyAlignment="0" applyProtection="0"/>
    <xf numFmtId="0" fontId="10" fillId="12" borderId="0" applyNumberFormat="0" applyBorder="0" applyAlignment="0" applyProtection="0"/>
    <xf numFmtId="0" fontId="10" fillId="10" borderId="0" applyNumberFormat="0" applyBorder="0" applyAlignment="0" applyProtection="0"/>
    <xf numFmtId="0" fontId="24" fillId="0" borderId="0" applyNumberFormat="0" applyFill="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5" fillId="0" borderId="8" applyNumberFormat="0" applyFill="0" applyAlignment="0" applyProtection="0"/>
    <xf numFmtId="0" fontId="10" fillId="8" borderId="0" applyNumberFormat="0" applyBorder="0" applyAlignment="0" applyProtection="0"/>
    <xf numFmtId="0" fontId="25" fillId="8" borderId="9" applyNumberFormat="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8" borderId="0" applyNumberFormat="0" applyBorder="0" applyAlignment="0" applyProtection="0"/>
    <xf numFmtId="0" fontId="10" fillId="5"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164" fontId="9" fillId="0" borderId="0" applyFont="0" applyFill="0" applyBorder="0" applyAlignment="0" applyProtection="0"/>
    <xf numFmtId="0" fontId="15" fillId="0" borderId="8" applyNumberFormat="0" applyFill="0" applyAlignment="0" applyProtection="0"/>
    <xf numFmtId="0" fontId="20" fillId="14" borderId="4" applyNumberFormat="0" applyAlignment="0" applyProtection="0"/>
    <xf numFmtId="0" fontId="10" fillId="5" borderId="0" applyNumberFormat="0" applyBorder="0" applyAlignment="0" applyProtection="0"/>
    <xf numFmtId="0" fontId="19" fillId="9"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5" fillId="0" borderId="8" applyNumberFormat="0" applyFill="0" applyAlignment="0" applyProtection="0"/>
    <xf numFmtId="0" fontId="10" fillId="5" borderId="0" applyNumberFormat="0" applyBorder="0" applyAlignment="0" applyProtection="0"/>
    <xf numFmtId="0" fontId="10" fillId="2" borderId="0" applyNumberFormat="0" applyBorder="0" applyAlignment="0" applyProtection="0"/>
    <xf numFmtId="0" fontId="15" fillId="0" borderId="8" applyNumberFormat="0" applyFill="0" applyAlignment="0" applyProtection="0"/>
    <xf numFmtId="0" fontId="17" fillId="18" borderId="0" applyNumberFormat="0" applyBorder="0" applyAlignment="0" applyProtection="0"/>
    <xf numFmtId="0" fontId="16" fillId="13" borderId="1" applyNumberFormat="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0" fillId="2" borderId="0" applyNumberFormat="0" applyBorder="0" applyAlignment="0" applyProtection="0"/>
    <xf numFmtId="0" fontId="16" fillId="13" borderId="1" applyNumberFormat="0" applyAlignment="0" applyProtection="0"/>
    <xf numFmtId="164" fontId="9" fillId="0" borderId="0" applyFont="0" applyFill="0" applyBorder="0" applyAlignment="0" applyProtection="0"/>
    <xf numFmtId="0" fontId="15" fillId="0" borderId="8" applyNumberFormat="0" applyFill="0" applyAlignment="0" applyProtection="0"/>
    <xf numFmtId="43" fontId="7"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24" fillId="0" borderId="7" applyNumberFormat="0" applyFill="0" applyAlignment="0" applyProtection="0"/>
    <xf numFmtId="0" fontId="23" fillId="0" borderId="6" applyNumberFormat="0" applyFill="0" applyAlignment="0" applyProtection="0"/>
    <xf numFmtId="0" fontId="22" fillId="0" borderId="5" applyNumberFormat="0" applyFill="0" applyAlignment="0" applyProtection="0"/>
    <xf numFmtId="0" fontId="18" fillId="19" borderId="0" applyNumberFormat="0" applyBorder="0" applyAlignment="0" applyProtection="0"/>
    <xf numFmtId="0" fontId="9" fillId="6" borderId="3" applyNumberFormat="0" applyFont="0" applyAlignment="0" applyProtection="0"/>
    <xf numFmtId="0" fontId="14" fillId="0" borderId="2" applyNumberFormat="0" applyFill="0" applyAlignment="0" applyProtection="0"/>
    <xf numFmtId="0" fontId="13" fillId="14" borderId="1" applyNumberFormat="0" applyAlignment="0" applyProtection="0"/>
    <xf numFmtId="0" fontId="12" fillId="0" borderId="0" applyNumberFormat="0" applyFill="0" applyBorder="0" applyAlignment="0" applyProtection="0"/>
    <xf numFmtId="0" fontId="10" fillId="12" borderId="0" applyNumberFormat="0" applyBorder="0" applyAlignment="0" applyProtection="0"/>
    <xf numFmtId="0" fontId="10" fillId="10" borderId="0" applyNumberFormat="0" applyBorder="0" applyAlignment="0" applyProtection="0"/>
    <xf numFmtId="0" fontId="10" fillId="8"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0" borderId="0"/>
    <xf numFmtId="164" fontId="9" fillId="0" borderId="0" applyFont="0" applyFill="0" applyBorder="0" applyAlignment="0" applyProtection="0"/>
    <xf numFmtId="0" fontId="9" fillId="0" borderId="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0" borderId="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0" borderId="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0" borderId="0"/>
    <xf numFmtId="0" fontId="9" fillId="0" borderId="0"/>
    <xf numFmtId="0" fontId="9" fillId="0" borderId="0"/>
    <xf numFmtId="0" fontId="9" fillId="6" borderId="3" applyNumberFormat="0" applyFont="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0" borderId="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164" fontId="9" fillId="0" borderId="0" applyFont="0" applyFill="0" applyBorder="0" applyAlignment="0" applyProtection="0"/>
    <xf numFmtId="0" fontId="9" fillId="0" borderId="0"/>
    <xf numFmtId="0" fontId="9" fillId="0" borderId="0"/>
    <xf numFmtId="0" fontId="9" fillId="6" borderId="3" applyNumberFormat="0" applyFont="0" applyAlignment="0" applyProtection="0"/>
    <xf numFmtId="0" fontId="9" fillId="0" borderId="0"/>
    <xf numFmtId="0" fontId="9" fillId="0" borderId="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164" fontId="9" fillId="0" borderId="0" applyFont="0" applyFill="0" applyBorder="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0" fontId="9" fillId="6" borderId="3" applyNumberFormat="0" applyFont="0" applyAlignment="0" applyProtection="0"/>
    <xf numFmtId="164"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6" borderId="3" applyNumberFormat="0" applyFont="0" applyAlignment="0" applyProtection="0"/>
    <xf numFmtId="0" fontId="9" fillId="6" borderId="3" applyNumberFormat="0" applyFont="0" applyAlignment="0" applyProtection="0"/>
    <xf numFmtId="0" fontId="9" fillId="0" borderId="0"/>
    <xf numFmtId="0" fontId="10" fillId="2"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2" fillId="0" borderId="0" applyNumberFormat="0" applyFill="0" applyBorder="0" applyAlignment="0" applyProtection="0"/>
    <xf numFmtId="0" fontId="13" fillId="14" borderId="1" applyNumberFormat="0" applyAlignment="0" applyProtection="0"/>
    <xf numFmtId="0" fontId="14" fillId="0" borderId="2" applyNumberFormat="0" applyFill="0" applyAlignment="0" applyProtection="0"/>
    <xf numFmtId="0" fontId="9" fillId="6" borderId="3" applyNumberFormat="0" applyFont="0" applyAlignment="0" applyProtection="0"/>
    <xf numFmtId="0" fontId="16" fillId="13" borderId="1" applyNumberFormat="0" applyAlignment="0" applyProtection="0"/>
    <xf numFmtId="0" fontId="17" fillId="18" borderId="0" applyNumberFormat="0" applyBorder="0" applyAlignment="0" applyProtection="0"/>
    <xf numFmtId="164" fontId="9" fillId="0" borderId="0" applyFont="0" applyFill="0" applyBorder="0" applyAlignment="0" applyProtection="0"/>
    <xf numFmtId="164" fontId="9" fillId="0" borderId="0" applyFont="0" applyFill="0" applyBorder="0" applyAlignment="0" applyProtection="0"/>
    <xf numFmtId="0" fontId="18" fillId="19" borderId="0" applyNumberFormat="0" applyBorder="0" applyAlignment="0" applyProtection="0"/>
    <xf numFmtId="0" fontId="9" fillId="0" borderId="0"/>
    <xf numFmtId="0" fontId="19" fillId="9" borderId="0" applyNumberFormat="0" applyBorder="0" applyAlignment="0" applyProtection="0"/>
    <xf numFmtId="0" fontId="20" fillId="14" borderId="4" applyNumberFormat="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15" fillId="0" borderId="8" applyNumberFormat="0" applyFill="0" applyAlignment="0" applyProtection="0"/>
    <xf numFmtId="0" fontId="25" fillId="8" borderId="9" applyNumberFormat="0" applyAlignment="0" applyProtection="0"/>
    <xf numFmtId="0" fontId="9" fillId="0" borderId="0" applyFont="0" applyFill="0" applyBorder="0" applyAlignment="0" applyProtection="0"/>
    <xf numFmtId="43" fontId="7" fillId="0" borderId="0" applyFont="0" applyFill="0" applyBorder="0" applyAlignment="0" applyProtection="0"/>
    <xf numFmtId="0" fontId="9" fillId="0" borderId="0" applyFont="0" applyFill="0" applyBorder="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6" borderId="3" applyNumberFormat="0" applyFont="0" applyAlignment="0" applyProtection="0"/>
    <xf numFmtId="0" fontId="9" fillId="0" borderId="0"/>
    <xf numFmtId="0" fontId="9" fillId="0" borderId="0"/>
    <xf numFmtId="9" fontId="118" fillId="0" borderId="0" applyFont="0" applyFill="0" applyBorder="0" applyAlignment="0" applyProtection="0"/>
    <xf numFmtId="0" fontId="6" fillId="0" borderId="0"/>
    <xf numFmtId="0" fontId="20" fillId="14" borderId="97" applyNumberFormat="0" applyAlignment="0" applyProtection="0"/>
    <xf numFmtId="0" fontId="16" fillId="13" borderId="95" applyNumberFormat="0" applyAlignment="0" applyProtection="0"/>
    <xf numFmtId="0" fontId="9" fillId="6" borderId="96" applyNumberFormat="0" applyFont="0" applyAlignment="0" applyProtection="0"/>
    <xf numFmtId="0" fontId="13" fillId="14" borderId="95" applyNumberFormat="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20" fillId="14" borderId="97" applyNumberFormat="0" applyAlignment="0" applyProtection="0"/>
    <xf numFmtId="0" fontId="13" fillId="14" borderId="95" applyNumberFormat="0" applyAlignment="0" applyProtection="0"/>
    <xf numFmtId="0" fontId="15" fillId="0" borderId="98" applyNumberFormat="0" applyFill="0" applyAlignment="0" applyProtection="0"/>
    <xf numFmtId="0" fontId="15" fillId="0" borderId="98" applyNumberFormat="0" applyFill="0" applyAlignment="0" applyProtection="0"/>
    <xf numFmtId="0" fontId="9" fillId="6" borderId="96" applyNumberFormat="0" applyFont="0" applyAlignment="0" applyProtection="0"/>
    <xf numFmtId="0" fontId="16" fillId="13" borderId="95" applyNumberFormat="0" applyAlignment="0" applyProtection="0"/>
    <xf numFmtId="0" fontId="20" fillId="14" borderId="97"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20" fillId="14" borderId="97" applyNumberFormat="0" applyAlignment="0" applyProtection="0"/>
    <xf numFmtId="0" fontId="15" fillId="0" borderId="98" applyNumberFormat="0" applyFill="0" applyAlignment="0" applyProtection="0"/>
    <xf numFmtId="43" fontId="6" fillId="0" borderId="0" applyFont="0" applyFill="0" applyBorder="0" applyAlignment="0" applyProtection="0"/>
    <xf numFmtId="166" fontId="6" fillId="0" borderId="0"/>
    <xf numFmtId="178" fontId="6" fillId="0" borderId="0"/>
    <xf numFmtId="0" fontId="13" fillId="14" borderId="95" applyNumberFormat="0" applyAlignment="0" applyProtection="0"/>
    <xf numFmtId="0" fontId="185" fillId="6" borderId="96" applyNumberFormat="0" applyFont="0" applyAlignment="0" applyProtection="0"/>
    <xf numFmtId="0" fontId="16" fillId="13" borderId="95" applyNumberFormat="0" applyAlignment="0" applyProtection="0"/>
    <xf numFmtId="164" fontId="185" fillId="0" borderId="0" applyFont="0" applyFill="0" applyBorder="0" applyAlignment="0" applyProtection="0"/>
    <xf numFmtId="0" fontId="20" fillId="14" borderId="97" applyNumberFormat="0" applyAlignment="0" applyProtection="0"/>
    <xf numFmtId="0" fontId="15" fillId="0" borderId="98" applyNumberFormat="0" applyFill="0" applyAlignment="0" applyProtection="0"/>
    <xf numFmtId="0" fontId="9" fillId="0" borderId="0"/>
    <xf numFmtId="0" fontId="5" fillId="0" borderId="0"/>
    <xf numFmtId="0" fontId="9" fillId="0" borderId="0"/>
    <xf numFmtId="0" fontId="10" fillId="2"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2" fillId="0" borderId="0" applyNumberFormat="0" applyFill="0" applyBorder="0" applyAlignment="0" applyProtection="0"/>
    <xf numFmtId="0" fontId="13" fillId="14" borderId="95" applyNumberFormat="0" applyAlignment="0" applyProtection="0"/>
    <xf numFmtId="0" fontId="14" fillId="0" borderId="2" applyNumberFormat="0" applyFill="0" applyAlignment="0" applyProtection="0"/>
    <xf numFmtId="0" fontId="9" fillId="6" borderId="96" applyNumberFormat="0" applyFont="0" applyAlignment="0" applyProtection="0"/>
    <xf numFmtId="0" fontId="16" fillId="13" borderId="95" applyNumberFormat="0" applyAlignment="0" applyProtection="0"/>
    <xf numFmtId="0" fontId="17" fillId="18" borderId="0" applyNumberFormat="0" applyBorder="0" applyAlignment="0" applyProtection="0"/>
    <xf numFmtId="164" fontId="9" fillId="0" borderId="0" applyFont="0" applyFill="0" applyBorder="0" applyAlignment="0" applyProtection="0"/>
    <xf numFmtId="0" fontId="18" fillId="19" borderId="0" applyNumberFormat="0" applyBorder="0" applyAlignment="0" applyProtection="0"/>
    <xf numFmtId="0" fontId="19" fillId="9" borderId="0" applyNumberFormat="0" applyBorder="0" applyAlignment="0" applyProtection="0"/>
    <xf numFmtId="0" fontId="20" fillId="14" borderId="97" applyNumberFormat="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15" fillId="0" borderId="98" applyNumberFormat="0" applyFill="0" applyAlignment="0" applyProtection="0"/>
    <xf numFmtId="0" fontId="25" fillId="8" borderId="9" applyNumberFormat="0" applyAlignment="0" applyProtection="0"/>
    <xf numFmtId="43" fontId="6" fillId="0" borderId="0" applyFont="0" applyFill="0" applyBorder="0" applyAlignment="0" applyProtection="0"/>
    <xf numFmtId="0" fontId="13" fillId="14" borderId="95" applyNumberFormat="0" applyAlignment="0" applyProtection="0"/>
    <xf numFmtId="0" fontId="13" fillId="14" borderId="95" applyNumberFormat="0" applyAlignment="0" applyProtection="0"/>
    <xf numFmtId="0" fontId="13" fillId="14" borderId="95" applyNumberFormat="0" applyAlignment="0" applyProtection="0"/>
    <xf numFmtId="0" fontId="13" fillId="14" borderId="95" applyNumberForma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16" fillId="13" borderId="95" applyNumberFormat="0" applyAlignment="0" applyProtection="0"/>
    <xf numFmtId="0" fontId="16" fillId="13" borderId="95" applyNumberFormat="0" applyAlignment="0" applyProtection="0"/>
    <xf numFmtId="0" fontId="16" fillId="13" borderId="95" applyNumberFormat="0" applyAlignment="0" applyProtection="0"/>
    <xf numFmtId="0" fontId="16" fillId="13" borderId="95" applyNumberFormat="0" applyAlignment="0" applyProtection="0"/>
    <xf numFmtId="0" fontId="20" fillId="14" borderId="97" applyNumberFormat="0" applyAlignment="0" applyProtection="0"/>
    <xf numFmtId="0" fontId="20" fillId="14" borderId="97" applyNumberFormat="0" applyAlignment="0" applyProtection="0"/>
    <xf numFmtId="0" fontId="20" fillId="14" borderId="97" applyNumberFormat="0" applyAlignment="0" applyProtection="0"/>
    <xf numFmtId="0" fontId="20" fillId="14" borderId="97" applyNumberFormat="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6" fillId="0" borderId="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20" fillId="14" borderId="97" applyNumberFormat="0" applyAlignment="0" applyProtection="0"/>
    <xf numFmtId="0" fontId="15" fillId="0" borderId="98" applyNumberFormat="0" applyFill="0" applyAlignment="0" applyProtection="0"/>
    <xf numFmtId="0" fontId="15" fillId="0" borderId="98" applyNumberFormat="0" applyFill="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20" fillId="14" borderId="97" applyNumberFormat="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0" fontId="16" fillId="13" borderId="95" applyNumberFormat="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43" fontId="6" fillId="0" borderId="0" applyFont="0" applyFill="0" applyBorder="0" applyAlignment="0" applyProtection="0"/>
    <xf numFmtId="43" fontId="6" fillId="0" borderId="0" applyFont="0" applyFill="0" applyBorder="0" applyAlignment="0" applyProtection="0"/>
    <xf numFmtId="0" fontId="9" fillId="6" borderId="96" applyNumberFormat="0" applyFont="0" applyAlignment="0" applyProtection="0"/>
    <xf numFmtId="0" fontId="13" fillId="14" borderId="95" applyNumberForma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20" fillId="14" borderId="97" applyNumberForma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43" fontId="6" fillId="0" borderId="0" applyFont="0" applyFill="0" applyBorder="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20" fillId="14" borderId="97" applyNumberFormat="0" applyAlignment="0" applyProtection="0"/>
    <xf numFmtId="0" fontId="15" fillId="0" borderId="98" applyNumberFormat="0" applyFill="0" applyAlignment="0" applyProtection="0"/>
    <xf numFmtId="43" fontId="6" fillId="0" borderId="0" applyFont="0" applyFill="0" applyBorder="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20" fillId="14" borderId="97" applyNumberFormat="0" applyAlignment="0" applyProtection="0"/>
    <xf numFmtId="0" fontId="15" fillId="0" borderId="98" applyNumberFormat="0" applyFill="0" applyAlignment="0" applyProtection="0"/>
    <xf numFmtId="0" fontId="15" fillId="0" borderId="98" applyNumberFormat="0" applyFill="0" applyAlignment="0" applyProtection="0"/>
    <xf numFmtId="0" fontId="20" fillId="14" borderId="97" applyNumberFormat="0" applyAlignment="0" applyProtection="0"/>
    <xf numFmtId="0" fontId="15" fillId="0" borderId="98" applyNumberFormat="0" applyFill="0" applyAlignment="0" applyProtection="0"/>
    <xf numFmtId="0" fontId="15" fillId="0" borderId="98" applyNumberFormat="0" applyFill="0" applyAlignment="0" applyProtection="0"/>
    <xf numFmtId="0" fontId="16" fillId="13" borderId="95" applyNumberFormat="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15" fillId="0" borderId="98" applyNumberFormat="0" applyFill="0" applyAlignment="0" applyProtection="0"/>
    <xf numFmtId="43" fontId="6" fillId="0" borderId="0" applyFont="0" applyFill="0" applyBorder="0" applyAlignment="0" applyProtection="0"/>
    <xf numFmtId="0" fontId="9" fillId="6" borderId="96" applyNumberFormat="0" applyFont="0" applyAlignment="0" applyProtection="0"/>
    <xf numFmtId="0" fontId="13" fillId="14" borderId="95" applyNumberForma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13" fillId="14" borderId="95" applyNumberFormat="0" applyAlignment="0" applyProtection="0"/>
    <xf numFmtId="0" fontId="9" fillId="6" borderId="96" applyNumberFormat="0" applyFont="0" applyAlignment="0" applyProtection="0"/>
    <xf numFmtId="0" fontId="16" fillId="13" borderId="95" applyNumberFormat="0" applyAlignment="0" applyProtection="0"/>
    <xf numFmtId="0" fontId="20" fillId="14" borderId="97" applyNumberFormat="0" applyAlignment="0" applyProtection="0"/>
    <xf numFmtId="0" fontId="15" fillId="0" borderId="98" applyNumberFormat="0" applyFill="0" applyAlignment="0" applyProtection="0"/>
    <xf numFmtId="43" fontId="6" fillId="0" borderId="0" applyFont="0" applyFill="0" applyBorder="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0" fontId="9" fillId="6" borderId="96" applyNumberFormat="0" applyFont="0" applyAlignment="0" applyProtection="0"/>
    <xf numFmtId="9" fontId="9" fillId="0" borderId="0" applyFont="0" applyFill="0" applyBorder="0" applyAlignment="0" applyProtection="0"/>
    <xf numFmtId="0" fontId="9" fillId="6" borderId="96" applyNumberFormat="0" applyFont="0" applyAlignment="0" applyProtection="0"/>
    <xf numFmtId="0" fontId="10" fillId="2" borderId="0" applyNumberFormat="0" applyBorder="0" applyAlignment="0" applyProtection="0"/>
    <xf numFmtId="0" fontId="15" fillId="0" borderId="98" applyNumberFormat="0" applyFill="0" applyAlignment="0" applyProtection="0"/>
    <xf numFmtId="0" fontId="10" fillId="8"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9" fillId="0" borderId="0"/>
    <xf numFmtId="0" fontId="14" fillId="0" borderId="2" applyNumberFormat="0" applyFill="0" applyAlignment="0" applyProtection="0"/>
    <xf numFmtId="0" fontId="12" fillId="0" borderId="0" applyNumberFormat="0" applyFill="0" applyBorder="0" applyAlignment="0" applyProtection="0"/>
    <xf numFmtId="0" fontId="14" fillId="0" borderId="2" applyNumberFormat="0" applyFill="0" applyAlignment="0" applyProtection="0"/>
    <xf numFmtId="0" fontId="19" fillId="9"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9" fillId="0" borderId="0" applyFont="0" applyFill="0" applyBorder="0" applyAlignment="0" applyProtection="0"/>
    <xf numFmtId="0" fontId="17" fillId="18" borderId="0" applyNumberFormat="0" applyBorder="0" applyAlignment="0" applyProtection="0"/>
    <xf numFmtId="164" fontId="9" fillId="0" borderId="0" applyFont="0" applyFill="0" applyBorder="0" applyAlignment="0" applyProtection="0"/>
    <xf numFmtId="0" fontId="16" fillId="13" borderId="95" applyNumberFormat="0" applyAlignment="0" applyProtection="0"/>
    <xf numFmtId="0" fontId="16" fillId="13" borderId="95" applyNumberFormat="0" applyAlignment="0" applyProtection="0"/>
    <xf numFmtId="0" fontId="13" fillId="14" borderId="95" applyNumberFormat="0" applyAlignment="0" applyProtection="0"/>
    <xf numFmtId="0" fontId="9" fillId="0" borderId="0"/>
    <xf numFmtId="0" fontId="10" fillId="2" borderId="0" applyNumberFormat="0" applyBorder="0" applyAlignment="0" applyProtection="0"/>
    <xf numFmtId="0" fontId="9" fillId="0" borderId="0" applyFont="0" applyFill="0" applyBorder="0" applyAlignment="0" applyProtection="0"/>
    <xf numFmtId="0" fontId="10" fillId="10" borderId="0" applyNumberFormat="0" applyBorder="0" applyAlignment="0" applyProtection="0"/>
    <xf numFmtId="0" fontId="12" fillId="0" borderId="0" applyNumberFormat="0" applyFill="0" applyBorder="0" applyAlignment="0" applyProtection="0"/>
    <xf numFmtId="0" fontId="10" fillId="12" borderId="0" applyNumberFormat="0" applyBorder="0" applyAlignment="0" applyProtection="0"/>
    <xf numFmtId="0" fontId="22" fillId="0" borderId="5" applyNumberFormat="0" applyFill="0" applyAlignment="0" applyProtection="0"/>
    <xf numFmtId="0" fontId="12" fillId="0" borderId="0" applyNumberFormat="0" applyFill="0" applyBorder="0" applyAlignment="0" applyProtection="0"/>
    <xf numFmtId="0" fontId="13" fillId="14" borderId="95" applyNumberFormat="0" applyAlignment="0" applyProtection="0"/>
    <xf numFmtId="0" fontId="14" fillId="0" borderId="2" applyNumberFormat="0" applyFill="0" applyAlignment="0" applyProtection="0"/>
    <xf numFmtId="0" fontId="9" fillId="6" borderId="96" applyNumberFormat="0" applyFont="0" applyAlignment="0" applyProtection="0"/>
    <xf numFmtId="0" fontId="16" fillId="13" borderId="95" applyNumberFormat="0" applyAlignment="0" applyProtection="0"/>
    <xf numFmtId="0" fontId="10" fillId="2" borderId="0" applyNumberFormat="0" applyBorder="0" applyAlignment="0" applyProtection="0"/>
    <xf numFmtId="0" fontId="10" fillId="8" borderId="0" applyNumberFormat="0" applyBorder="0" applyAlignment="0" applyProtection="0"/>
    <xf numFmtId="0" fontId="17" fillId="18" borderId="0" applyNumberFormat="0" applyBorder="0" applyAlignment="0" applyProtection="0"/>
    <xf numFmtId="0" fontId="18" fillId="19" borderId="0" applyNumberFormat="0" applyBorder="0" applyAlignment="0" applyProtection="0"/>
    <xf numFmtId="0" fontId="19" fillId="9" borderId="0" applyNumberFormat="0" applyBorder="0" applyAlignment="0" applyProtection="0"/>
    <xf numFmtId="0" fontId="16" fillId="13" borderId="95" applyNumberFormat="0" applyAlignment="0" applyProtection="0"/>
    <xf numFmtId="0" fontId="20" fillId="14" borderId="97" applyNumberFormat="0" applyAlignment="0" applyProtection="0"/>
    <xf numFmtId="0" fontId="14" fillId="0" borderId="2"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9" fillId="0" borderId="0" applyFont="0" applyFill="0" applyBorder="0" applyAlignment="0" applyProtection="0"/>
    <xf numFmtId="0" fontId="24" fillId="0" borderId="7" applyNumberFormat="0" applyFill="0" applyAlignment="0" applyProtection="0"/>
    <xf numFmtId="0" fontId="15" fillId="0" borderId="98" applyNumberFormat="0" applyFill="0" applyAlignment="0" applyProtection="0"/>
    <xf numFmtId="0" fontId="10" fillId="8" borderId="0" applyNumberFormat="0" applyBorder="0" applyAlignment="0" applyProtection="0"/>
    <xf numFmtId="0" fontId="24" fillId="0" borderId="0" applyNumberFormat="0" applyFill="0" applyBorder="0" applyAlignment="0" applyProtection="0"/>
    <xf numFmtId="0" fontId="15" fillId="0" borderId="98" applyNumberFormat="0" applyFill="0" applyAlignment="0" applyProtection="0"/>
    <xf numFmtId="0" fontId="18" fillId="19" borderId="0" applyNumberFormat="0" applyBorder="0" applyAlignment="0" applyProtection="0"/>
    <xf numFmtId="0" fontId="25" fillId="8" borderId="9" applyNumberFormat="0" applyAlignment="0" applyProtection="0"/>
    <xf numFmtId="0" fontId="10" fillId="8" borderId="0" applyNumberFormat="0" applyBorder="0" applyAlignment="0" applyProtection="0"/>
    <xf numFmtId="0" fontId="10" fillId="10" borderId="0" applyNumberFormat="0" applyBorder="0" applyAlignment="0" applyProtection="0"/>
    <xf numFmtId="0" fontId="13" fillId="14" borderId="95" applyNumberFormat="0" applyAlignment="0" applyProtection="0"/>
    <xf numFmtId="0" fontId="22" fillId="0" borderId="5" applyNumberFormat="0" applyFill="0" applyAlignment="0" applyProtection="0"/>
    <xf numFmtId="0" fontId="15" fillId="0" borderId="98" applyNumberFormat="0" applyFill="0" applyAlignment="0" applyProtection="0"/>
    <xf numFmtId="0" fontId="10" fillId="8" borderId="0" applyNumberFormat="0" applyBorder="0" applyAlignment="0" applyProtection="0"/>
    <xf numFmtId="0" fontId="9" fillId="0" borderId="0"/>
    <xf numFmtId="0" fontId="10" fillId="2" borderId="0" applyNumberFormat="0" applyBorder="0" applyAlignment="0" applyProtection="0"/>
    <xf numFmtId="0" fontId="19" fillId="9" borderId="0" applyNumberFormat="0" applyBorder="0" applyAlignment="0" applyProtection="0"/>
    <xf numFmtId="0" fontId="9" fillId="0" borderId="0" applyFont="0" applyFill="0" applyBorder="0" applyAlignment="0" applyProtection="0"/>
    <xf numFmtId="0" fontId="25" fillId="8" borderId="9" applyNumberFormat="0" applyAlignment="0" applyProtection="0"/>
    <xf numFmtId="0" fontId="10" fillId="12" borderId="0" applyNumberFormat="0" applyBorder="0" applyAlignment="0" applyProtection="0"/>
    <xf numFmtId="0" fontId="10" fillId="8" borderId="0" applyNumberFormat="0" applyBorder="0" applyAlignment="0" applyProtection="0"/>
    <xf numFmtId="0" fontId="12" fillId="0" borderId="0" applyNumberFormat="0" applyFill="0" applyBorder="0" applyAlignment="0" applyProtection="0"/>
    <xf numFmtId="0" fontId="10" fillId="5" borderId="0" applyNumberFormat="0" applyBorder="0" applyAlignment="0" applyProtection="0"/>
    <xf numFmtId="0" fontId="17" fillId="18"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23" fillId="0" borderId="6" applyNumberFormat="0" applyFill="0" applyAlignment="0" applyProtection="0"/>
    <xf numFmtId="0" fontId="12" fillId="0" borderId="0" applyNumberFormat="0" applyFill="0" applyBorder="0" applyAlignment="0" applyProtection="0"/>
    <xf numFmtId="0" fontId="17" fillId="18" borderId="0" applyNumberFormat="0" applyBorder="0" applyAlignment="0" applyProtection="0"/>
    <xf numFmtId="0" fontId="23" fillId="0" borderId="6" applyNumberFormat="0" applyFill="0" applyAlignment="0" applyProtection="0"/>
    <xf numFmtId="0" fontId="20" fillId="14" borderId="97" applyNumberFormat="0" applyAlignment="0" applyProtection="0"/>
    <xf numFmtId="0" fontId="14" fillId="0" borderId="2"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4" fillId="0" borderId="0" applyNumberFormat="0" applyFill="0" applyBorder="0" applyAlignment="0" applyProtection="0"/>
    <xf numFmtId="0" fontId="22" fillId="0" borderId="5" applyNumberFormat="0" applyFill="0" applyAlignment="0" applyProtection="0"/>
    <xf numFmtId="0" fontId="24" fillId="0" borderId="7" applyNumberFormat="0" applyFill="0" applyAlignment="0" applyProtection="0"/>
    <xf numFmtId="0" fontId="9" fillId="0" borderId="0"/>
    <xf numFmtId="0" fontId="23" fillId="0" borderId="6"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18" fillId="19" borderId="0" applyNumberFormat="0" applyBorder="0" applyAlignment="0" applyProtection="0"/>
    <xf numFmtId="0" fontId="16" fillId="13" borderId="95" applyNumberFormat="0" applyAlignment="0" applyProtection="0"/>
    <xf numFmtId="0" fontId="10" fillId="10"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0" fillId="5" borderId="0" applyNumberFormat="0" applyBorder="0" applyAlignment="0" applyProtection="0"/>
    <xf numFmtId="0" fontId="19" fillId="9" borderId="0" applyNumberFormat="0" applyBorder="0" applyAlignment="0" applyProtection="0"/>
    <xf numFmtId="0" fontId="24" fillId="0" borderId="7" applyNumberFormat="0" applyFill="0" applyAlignment="0" applyProtection="0"/>
    <xf numFmtId="0" fontId="9" fillId="0" borderId="0"/>
    <xf numFmtId="0" fontId="10" fillId="12" borderId="0" applyNumberFormat="0" applyBorder="0" applyAlignment="0" applyProtection="0"/>
    <xf numFmtId="0" fontId="10" fillId="12" borderId="0" applyNumberFormat="0" applyBorder="0" applyAlignment="0" applyProtection="0"/>
    <xf numFmtId="0" fontId="17" fillId="18" borderId="0" applyNumberFormat="0" applyBorder="0" applyAlignment="0" applyProtection="0"/>
    <xf numFmtId="0" fontId="25" fillId="8" borderId="9" applyNumberFormat="0" applyAlignment="0" applyProtection="0"/>
    <xf numFmtId="164" fontId="9" fillId="0" borderId="0" applyFont="0" applyFill="0" applyBorder="0" applyAlignment="0" applyProtection="0"/>
    <xf numFmtId="0" fontId="10" fillId="2" borderId="0" applyNumberFormat="0" applyBorder="0" applyAlignment="0" applyProtection="0"/>
    <xf numFmtId="0" fontId="10" fillId="10" borderId="0" applyNumberFormat="0" applyBorder="0" applyAlignment="0" applyProtection="0"/>
    <xf numFmtId="0" fontId="10" fillId="2" borderId="0" applyNumberFormat="0" applyBorder="0" applyAlignment="0" applyProtection="0"/>
    <xf numFmtId="0" fontId="18" fillId="19"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0" fillId="5" borderId="0" applyNumberFormat="0" applyBorder="0" applyAlignment="0" applyProtection="0"/>
    <xf numFmtId="0" fontId="18" fillId="19" borderId="0" applyNumberFormat="0" applyBorder="0" applyAlignment="0" applyProtection="0"/>
    <xf numFmtId="0" fontId="10" fillId="5" borderId="0" applyNumberFormat="0" applyBorder="0" applyAlignment="0" applyProtection="0"/>
    <xf numFmtId="0" fontId="18" fillId="19" borderId="0" applyNumberFormat="0" applyBorder="0" applyAlignment="0" applyProtection="0"/>
    <xf numFmtId="0" fontId="10" fillId="12" borderId="0" applyNumberFormat="0" applyBorder="0" applyAlignment="0" applyProtection="0"/>
    <xf numFmtId="0" fontId="10" fillId="2" borderId="0" applyNumberFormat="0" applyBorder="0" applyAlignment="0" applyProtection="0"/>
    <xf numFmtId="0" fontId="15" fillId="0" borderId="98" applyNumberFormat="0" applyFill="0" applyAlignment="0" applyProtection="0"/>
    <xf numFmtId="0" fontId="10" fillId="2" borderId="0" applyNumberFormat="0" applyBorder="0" applyAlignment="0" applyProtection="0"/>
    <xf numFmtId="0" fontId="10" fillId="8" borderId="0" applyNumberFormat="0" applyBorder="0" applyAlignment="0" applyProtection="0"/>
    <xf numFmtId="0" fontId="10" fillId="2" borderId="0" applyNumberFormat="0" applyBorder="0" applyAlignment="0" applyProtection="0"/>
    <xf numFmtId="0" fontId="19" fillId="9" borderId="0" applyNumberFormat="0" applyBorder="0" applyAlignment="0" applyProtection="0"/>
    <xf numFmtId="0" fontId="25" fillId="8" borderId="9" applyNumberFormat="0" applyAlignment="0" applyProtection="0"/>
    <xf numFmtId="0" fontId="10" fillId="5" borderId="0" applyNumberFormat="0" applyBorder="0" applyAlignment="0" applyProtection="0"/>
    <xf numFmtId="0" fontId="10" fillId="2" borderId="0" applyNumberFormat="0" applyBorder="0" applyAlignment="0" applyProtection="0"/>
    <xf numFmtId="0" fontId="14" fillId="0" borderId="2" applyNumberFormat="0" applyFill="0" applyAlignment="0" applyProtection="0"/>
    <xf numFmtId="0" fontId="9" fillId="0" borderId="0"/>
    <xf numFmtId="0" fontId="19" fillId="9" borderId="0" applyNumberFormat="0" applyBorder="0" applyAlignment="0" applyProtection="0"/>
    <xf numFmtId="0" fontId="9" fillId="0" borderId="0"/>
    <xf numFmtId="0" fontId="10" fillId="10" borderId="0" applyNumberFormat="0" applyBorder="0" applyAlignment="0" applyProtection="0"/>
    <xf numFmtId="0" fontId="19" fillId="9" borderId="0" applyNumberFormat="0" applyBorder="0" applyAlignment="0" applyProtection="0"/>
    <xf numFmtId="0" fontId="9" fillId="0" borderId="0"/>
    <xf numFmtId="0" fontId="12" fillId="0" borderId="0" applyNumberFormat="0" applyFill="0" applyBorder="0" applyAlignment="0" applyProtection="0"/>
    <xf numFmtId="0" fontId="22" fillId="0" borderId="5" applyNumberFormat="0" applyFill="0" applyAlignment="0" applyProtection="0"/>
    <xf numFmtId="0" fontId="13" fillId="14" borderId="95" applyNumberFormat="0" applyAlignment="0" applyProtection="0"/>
    <xf numFmtId="0" fontId="14" fillId="0" borderId="2" applyNumberFormat="0" applyFill="0" applyAlignment="0" applyProtection="0"/>
    <xf numFmtId="0" fontId="12" fillId="0" borderId="0" applyNumberFormat="0" applyFill="0" applyBorder="0" applyAlignment="0" applyProtection="0"/>
    <xf numFmtId="0" fontId="23" fillId="0" borderId="6" applyNumberFormat="0" applyFill="0" applyAlignment="0" applyProtection="0"/>
    <xf numFmtId="0" fontId="10" fillId="2" borderId="0" applyNumberFormat="0" applyBorder="0" applyAlignment="0" applyProtection="0"/>
    <xf numFmtId="0" fontId="24" fillId="0" borderId="7" applyNumberFormat="0" applyFill="0" applyAlignment="0" applyProtection="0"/>
    <xf numFmtId="0" fontId="14" fillId="0" borderId="2" applyNumberFormat="0" applyFill="0" applyAlignment="0" applyProtection="0"/>
    <xf numFmtId="0" fontId="23" fillId="0" borderId="6" applyNumberFormat="0" applyFill="0" applyAlignment="0" applyProtection="0"/>
    <xf numFmtId="0" fontId="22" fillId="0" borderId="5" applyNumberFormat="0" applyFill="0" applyAlignment="0" applyProtection="0"/>
    <xf numFmtId="0" fontId="10" fillId="12" borderId="0" applyNumberFormat="0" applyBorder="0" applyAlignment="0" applyProtection="0"/>
    <xf numFmtId="0" fontId="14" fillId="0" borderId="2" applyNumberFormat="0" applyFill="0" applyAlignment="0" applyProtection="0"/>
    <xf numFmtId="164" fontId="9" fillId="0" borderId="0" applyFont="0" applyFill="0" applyBorder="0" applyAlignment="0" applyProtection="0"/>
    <xf numFmtId="0" fontId="14" fillId="0" borderId="2" applyNumberFormat="0" applyFill="0" applyAlignment="0" applyProtection="0"/>
    <xf numFmtId="0" fontId="13" fillId="14" borderId="95" applyNumberFormat="0" applyAlignment="0" applyProtection="0"/>
    <xf numFmtId="164" fontId="9" fillId="0" borderId="0" applyFont="0" applyFill="0" applyBorder="0" applyAlignment="0" applyProtection="0"/>
    <xf numFmtId="0" fontId="10" fillId="10" borderId="0" applyNumberFormat="0" applyBorder="0" applyAlignment="0" applyProtection="0"/>
    <xf numFmtId="0" fontId="14" fillId="0" borderId="2" applyNumberFormat="0" applyFill="0" applyAlignment="0" applyProtection="0"/>
    <xf numFmtId="0" fontId="13" fillId="14" borderId="95" applyNumberFormat="0" applyAlignment="0" applyProtection="0"/>
    <xf numFmtId="0" fontId="24" fillId="0" borderId="7" applyNumberFormat="0" applyFill="0" applyAlignment="0" applyProtection="0"/>
    <xf numFmtId="0" fontId="18" fillId="19" borderId="0" applyNumberFormat="0" applyBorder="0" applyAlignment="0" applyProtection="0"/>
    <xf numFmtId="0" fontId="23" fillId="0" borderId="6" applyNumberFormat="0" applyFill="0" applyAlignment="0" applyProtection="0"/>
    <xf numFmtId="0" fontId="25" fillId="8" borderId="9" applyNumberFormat="0" applyAlignment="0" applyProtection="0"/>
    <xf numFmtId="0" fontId="9" fillId="0" borderId="0"/>
    <xf numFmtId="0" fontId="10" fillId="12" borderId="0" applyNumberFormat="0" applyBorder="0" applyAlignment="0" applyProtection="0"/>
    <xf numFmtId="0" fontId="19" fillId="9"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4" fillId="0" borderId="2" applyNumberFormat="0" applyFill="0" applyAlignment="0" applyProtection="0"/>
    <xf numFmtId="0" fontId="9" fillId="0" borderId="0" applyFont="0" applyFill="0" applyBorder="0" applyAlignment="0" applyProtection="0"/>
    <xf numFmtId="0" fontId="10" fillId="2" borderId="0" applyNumberFormat="0" applyBorder="0" applyAlignment="0" applyProtection="0"/>
    <xf numFmtId="0" fontId="17" fillId="18" borderId="0" applyNumberFormat="0" applyBorder="0" applyAlignment="0" applyProtection="0"/>
    <xf numFmtId="0" fontId="19" fillId="9" borderId="0" applyNumberFormat="0" applyBorder="0" applyAlignment="0" applyProtection="0"/>
    <xf numFmtId="164" fontId="9" fillId="0" borderId="0" applyFont="0" applyFill="0" applyBorder="0" applyAlignment="0" applyProtection="0"/>
    <xf numFmtId="0" fontId="10" fillId="8" borderId="0" applyNumberFormat="0" applyBorder="0" applyAlignment="0" applyProtection="0"/>
    <xf numFmtId="0" fontId="18" fillId="19" borderId="0" applyNumberFormat="0" applyBorder="0" applyAlignment="0" applyProtection="0"/>
    <xf numFmtId="0" fontId="25" fillId="8" borderId="9" applyNumberFormat="0" applyAlignment="0" applyProtection="0"/>
    <xf numFmtId="0" fontId="19" fillId="9" borderId="0" applyNumberFormat="0" applyBorder="0" applyAlignment="0" applyProtection="0"/>
    <xf numFmtId="0" fontId="25" fillId="8" borderId="9" applyNumberFormat="0" applyAlignment="0" applyProtection="0"/>
    <xf numFmtId="0" fontId="10" fillId="2" borderId="0" applyNumberFormat="0" applyBorder="0" applyAlignment="0" applyProtection="0"/>
    <xf numFmtId="164" fontId="9" fillId="0" borderId="0" applyFont="0" applyFill="0" applyBorder="0" applyAlignment="0" applyProtection="0"/>
    <xf numFmtId="0" fontId="9" fillId="6" borderId="96" applyNumberFormat="0" applyFont="0" applyAlignment="0" applyProtection="0"/>
    <xf numFmtId="164" fontId="9" fillId="0" borderId="0" applyFont="0" applyFill="0" applyBorder="0" applyAlignment="0" applyProtection="0"/>
    <xf numFmtId="0" fontId="10" fillId="2" borderId="0" applyNumberFormat="0" applyBorder="0" applyAlignment="0" applyProtection="0"/>
    <xf numFmtId="0" fontId="15" fillId="0" borderId="98" applyNumberFormat="0" applyFill="0" applyAlignment="0" applyProtection="0"/>
    <xf numFmtId="0" fontId="10" fillId="12" borderId="0" applyNumberFormat="0" applyBorder="0" applyAlignment="0" applyProtection="0"/>
    <xf numFmtId="0" fontId="23" fillId="0" borderId="6" applyNumberFormat="0" applyFill="0" applyAlignment="0" applyProtection="0"/>
    <xf numFmtId="0" fontId="24" fillId="0" borderId="7" applyNumberFormat="0" applyFill="0" applyAlignment="0" applyProtection="0"/>
    <xf numFmtId="0" fontId="17" fillId="18" borderId="0" applyNumberFormat="0" applyBorder="0" applyAlignment="0" applyProtection="0"/>
    <xf numFmtId="0" fontId="10" fillId="5" borderId="0" applyNumberFormat="0" applyBorder="0" applyAlignment="0" applyProtection="0"/>
    <xf numFmtId="0" fontId="24" fillId="0" borderId="7" applyNumberFormat="0" applyFill="0" applyAlignment="0" applyProtection="0"/>
    <xf numFmtId="0" fontId="13" fillId="14" borderId="95" applyNumberFormat="0" applyAlignment="0" applyProtection="0"/>
    <xf numFmtId="0" fontId="10" fillId="5" borderId="0" applyNumberFormat="0" applyBorder="0" applyAlignment="0" applyProtection="0"/>
    <xf numFmtId="0" fontId="17" fillId="18" borderId="0" applyNumberFormat="0" applyBorder="0" applyAlignment="0" applyProtection="0"/>
    <xf numFmtId="0" fontId="9" fillId="0" borderId="0"/>
    <xf numFmtId="0" fontId="10" fillId="8" borderId="0" applyNumberFormat="0" applyBorder="0" applyAlignment="0" applyProtection="0"/>
    <xf numFmtId="0" fontId="9" fillId="0" borderId="0"/>
    <xf numFmtId="0" fontId="25" fillId="8" borderId="9" applyNumberFormat="0" applyAlignment="0" applyProtection="0"/>
    <xf numFmtId="0" fontId="10" fillId="2" borderId="0" applyNumberFormat="0" applyBorder="0" applyAlignment="0" applyProtection="0"/>
    <xf numFmtId="0" fontId="13" fillId="14" borderId="95" applyNumberFormat="0" applyAlignment="0" applyProtection="0"/>
    <xf numFmtId="0" fontId="10" fillId="2" borderId="0" applyNumberFormat="0" applyBorder="0" applyAlignment="0" applyProtection="0"/>
    <xf numFmtId="0" fontId="23" fillId="0" borderId="6" applyNumberFormat="0" applyFill="0" applyAlignment="0" applyProtection="0"/>
    <xf numFmtId="0" fontId="10" fillId="10" borderId="0" applyNumberFormat="0" applyBorder="0" applyAlignment="0" applyProtection="0"/>
    <xf numFmtId="0" fontId="19" fillId="9" borderId="0" applyNumberFormat="0" applyBorder="0" applyAlignment="0" applyProtection="0"/>
    <xf numFmtId="0" fontId="9" fillId="0" borderId="0"/>
    <xf numFmtId="0" fontId="23" fillId="0" borderId="6" applyNumberFormat="0" applyFill="0" applyAlignment="0" applyProtection="0"/>
    <xf numFmtId="0" fontId="10" fillId="8" borderId="0" applyNumberFormat="0" applyBorder="0" applyAlignment="0" applyProtection="0"/>
    <xf numFmtId="0" fontId="13" fillId="14" borderId="95" applyNumberFormat="0" applyAlignment="0" applyProtection="0"/>
    <xf numFmtId="0" fontId="22" fillId="0" borderId="5" applyNumberFormat="0" applyFill="0" applyAlignment="0" applyProtection="0"/>
    <xf numFmtId="0" fontId="15" fillId="0" borderId="98" applyNumberFormat="0" applyFill="0" applyAlignment="0" applyProtection="0"/>
    <xf numFmtId="0" fontId="10" fillId="12" borderId="0" applyNumberFormat="0" applyBorder="0" applyAlignment="0" applyProtection="0"/>
    <xf numFmtId="0" fontId="24" fillId="0" borderId="7" applyNumberFormat="0" applyFill="0" applyAlignment="0" applyProtection="0"/>
    <xf numFmtId="0" fontId="18" fillId="19" borderId="0" applyNumberFormat="0" applyBorder="0" applyAlignment="0" applyProtection="0"/>
    <xf numFmtId="0" fontId="12" fillId="0" borderId="0" applyNumberFormat="0" applyFill="0" applyBorder="0" applyAlignment="0" applyProtection="0"/>
    <xf numFmtId="0" fontId="20" fillId="14" borderId="97" applyNumberFormat="0" applyAlignment="0" applyProtection="0"/>
    <xf numFmtId="0" fontId="16" fillId="13" borderId="95" applyNumberFormat="0" applyAlignment="0" applyProtection="0"/>
    <xf numFmtId="0" fontId="10" fillId="10" borderId="0" applyNumberFormat="0" applyBorder="0" applyAlignment="0" applyProtection="0"/>
    <xf numFmtId="0" fontId="12" fillId="0" borderId="0" applyNumberFormat="0" applyFill="0" applyBorder="0" applyAlignment="0" applyProtection="0"/>
    <xf numFmtId="0" fontId="10" fillId="2" borderId="0" applyNumberFormat="0" applyBorder="0" applyAlignment="0" applyProtection="0"/>
    <xf numFmtId="0" fontId="10" fillId="2" borderId="0" applyNumberFormat="0" applyBorder="0" applyAlignment="0" applyProtection="0"/>
    <xf numFmtId="0" fontId="22" fillId="0" borderId="5" applyNumberFormat="0" applyFill="0" applyAlignment="0" applyProtection="0"/>
    <xf numFmtId="0" fontId="10" fillId="8" borderId="0" applyNumberFormat="0" applyBorder="0" applyAlignment="0" applyProtection="0"/>
    <xf numFmtId="0" fontId="17" fillId="18" borderId="0" applyNumberFormat="0" applyBorder="0" applyAlignment="0" applyProtection="0"/>
    <xf numFmtId="0" fontId="22" fillId="0" borderId="5" applyNumberFormat="0" applyFill="0" applyAlignment="0" applyProtection="0"/>
    <xf numFmtId="0" fontId="9" fillId="0" borderId="0" applyFont="0" applyFill="0" applyBorder="0" applyAlignment="0" applyProtection="0"/>
    <xf numFmtId="0" fontId="22" fillId="0" borderId="5" applyNumberFormat="0" applyFill="0" applyAlignment="0" applyProtection="0"/>
    <xf numFmtId="0" fontId="14" fillId="0" borderId="2" applyNumberFormat="0" applyFill="0" applyAlignment="0" applyProtection="0"/>
    <xf numFmtId="0" fontId="16" fillId="13" borderId="95" applyNumberFormat="0" applyAlignment="0" applyProtection="0"/>
    <xf numFmtId="0" fontId="17" fillId="18" borderId="0" applyNumberFormat="0" applyBorder="0" applyAlignment="0" applyProtection="0"/>
    <xf numFmtId="0" fontId="9" fillId="0" borderId="0" applyFont="0" applyFill="0" applyBorder="0" applyAlignment="0" applyProtection="0"/>
    <xf numFmtId="0" fontId="24" fillId="0" borderId="0" applyNumberFormat="0" applyFill="0" applyBorder="0" applyAlignment="0" applyProtection="0"/>
    <xf numFmtId="0" fontId="9" fillId="0" borderId="0"/>
    <xf numFmtId="0" fontId="18" fillId="19" borderId="0" applyNumberFormat="0" applyBorder="0" applyAlignment="0" applyProtection="0"/>
    <xf numFmtId="0" fontId="16" fillId="13" borderId="95" applyNumberFormat="0" applyAlignment="0" applyProtection="0"/>
    <xf numFmtId="0" fontId="15" fillId="0" borderId="98" applyNumberFormat="0" applyFill="0" applyAlignment="0" applyProtection="0"/>
    <xf numFmtId="0" fontId="12" fillId="0" borderId="0" applyNumberFormat="0" applyFill="0" applyBorder="0" applyAlignment="0" applyProtection="0"/>
    <xf numFmtId="0" fontId="23" fillId="0" borderId="6" applyNumberFormat="0" applyFill="0" applyAlignment="0" applyProtection="0"/>
    <xf numFmtId="0" fontId="23" fillId="0" borderId="6" applyNumberFormat="0" applyFill="0" applyAlignment="0" applyProtection="0"/>
    <xf numFmtId="0" fontId="10" fillId="2" borderId="0" applyNumberFormat="0" applyBorder="0" applyAlignment="0" applyProtection="0"/>
    <xf numFmtId="0" fontId="17" fillId="18" borderId="0" applyNumberFormat="0" applyBorder="0" applyAlignment="0" applyProtection="0"/>
    <xf numFmtId="0" fontId="10" fillId="12" borderId="0" applyNumberFormat="0" applyBorder="0" applyAlignment="0" applyProtection="0"/>
    <xf numFmtId="0" fontId="14" fillId="0" borderId="2" applyNumberFormat="0" applyFill="0" applyAlignment="0" applyProtection="0"/>
    <xf numFmtId="0" fontId="18" fillId="19" borderId="0" applyNumberFormat="0" applyBorder="0" applyAlignment="0" applyProtection="0"/>
    <xf numFmtId="0" fontId="10" fillId="10" borderId="0" applyNumberFormat="0" applyBorder="0" applyAlignment="0" applyProtection="0"/>
    <xf numFmtId="0" fontId="20" fillId="14" borderId="97" applyNumberFormat="0" applyAlignment="0" applyProtection="0"/>
    <xf numFmtId="0" fontId="12" fillId="0" borderId="0" applyNumberFormat="0" applyFill="0" applyBorder="0" applyAlignment="0" applyProtection="0"/>
    <xf numFmtId="0" fontId="19" fillId="9" borderId="0" applyNumberFormat="0" applyBorder="0" applyAlignment="0" applyProtection="0"/>
    <xf numFmtId="0" fontId="10" fillId="2" borderId="0" applyNumberFormat="0" applyBorder="0" applyAlignment="0" applyProtection="0"/>
    <xf numFmtId="0" fontId="22" fillId="0" borderId="5" applyNumberFormat="0" applyFill="0" applyAlignment="0" applyProtection="0"/>
    <xf numFmtId="0" fontId="18" fillId="19" borderId="0" applyNumberFormat="0" applyBorder="0" applyAlignment="0" applyProtection="0"/>
    <xf numFmtId="0" fontId="12" fillId="0" borderId="0" applyNumberFormat="0" applyFill="0" applyBorder="0" applyAlignment="0" applyProtection="0"/>
    <xf numFmtId="0" fontId="24" fillId="0" borderId="0" applyNumberFormat="0" applyFill="0" applyBorder="0" applyAlignment="0" applyProtection="0"/>
    <xf numFmtId="0" fontId="20" fillId="14" borderId="97" applyNumberFormat="0" applyAlignment="0" applyProtection="0"/>
    <xf numFmtId="0" fontId="10" fillId="5" borderId="0" applyNumberFormat="0" applyBorder="0" applyAlignment="0" applyProtection="0"/>
    <xf numFmtId="0" fontId="24" fillId="0" borderId="0" applyNumberFormat="0" applyFill="0" applyBorder="0" applyAlignment="0" applyProtection="0"/>
    <xf numFmtId="0" fontId="25" fillId="8" borderId="9" applyNumberFormat="0" applyAlignment="0" applyProtection="0"/>
    <xf numFmtId="0" fontId="19" fillId="9" borderId="0" applyNumberFormat="0" applyBorder="0" applyAlignment="0" applyProtection="0"/>
    <xf numFmtId="0" fontId="24" fillId="0" borderId="7" applyNumberFormat="0" applyFill="0" applyAlignment="0" applyProtection="0"/>
    <xf numFmtId="0" fontId="9" fillId="6" borderId="96" applyNumberFormat="0" applyFont="0" applyAlignment="0" applyProtection="0"/>
    <xf numFmtId="0" fontId="16" fillId="13" borderId="95" applyNumberFormat="0" applyAlignment="0" applyProtection="0"/>
    <xf numFmtId="0" fontId="18" fillId="19"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24" fillId="0" borderId="0" applyNumberFormat="0" applyFill="0" applyBorder="0" applyAlignment="0" applyProtection="0"/>
    <xf numFmtId="164" fontId="9" fillId="0" borderId="0" applyFont="0" applyFill="0" applyBorder="0" applyAlignment="0" applyProtection="0"/>
    <xf numFmtId="0" fontId="20" fillId="14" borderId="97" applyNumberFormat="0" applyAlignment="0" applyProtection="0"/>
    <xf numFmtId="0" fontId="10" fillId="5" borderId="0" applyNumberFormat="0" applyBorder="0" applyAlignment="0" applyProtection="0"/>
    <xf numFmtId="0" fontId="24" fillId="0" borderId="0" applyNumberFormat="0" applyFill="0" applyBorder="0" applyAlignment="0" applyProtection="0"/>
    <xf numFmtId="0" fontId="25" fillId="8" borderId="9" applyNumberFormat="0" applyAlignment="0" applyProtection="0"/>
    <xf numFmtId="0" fontId="24" fillId="0" borderId="7" applyNumberFormat="0" applyFill="0" applyAlignment="0" applyProtection="0"/>
    <xf numFmtId="0" fontId="9" fillId="6" borderId="96" applyNumberFormat="0" applyFont="0" applyAlignment="0" applyProtection="0"/>
    <xf numFmtId="0" fontId="10" fillId="10" borderId="0" applyNumberFormat="0" applyBorder="0" applyAlignment="0" applyProtection="0"/>
    <xf numFmtId="0" fontId="24" fillId="0" borderId="0" applyNumberFormat="0" applyFill="0" applyBorder="0" applyAlignment="0" applyProtection="0"/>
    <xf numFmtId="164" fontId="9" fillId="0" borderId="0" applyFont="0" applyFill="0" applyBorder="0" applyAlignment="0" applyProtection="0"/>
    <xf numFmtId="0" fontId="20" fillId="14" borderId="97" applyNumberFormat="0" applyAlignment="0" applyProtection="0"/>
    <xf numFmtId="0" fontId="10" fillId="5" borderId="0" applyNumberFormat="0" applyBorder="0" applyAlignment="0" applyProtection="0"/>
    <xf numFmtId="0" fontId="24" fillId="0" borderId="0" applyNumberFormat="0" applyFill="0" applyBorder="0" applyAlignment="0" applyProtection="0"/>
    <xf numFmtId="0" fontId="25" fillId="8" borderId="9" applyNumberFormat="0" applyAlignment="0" applyProtection="0"/>
    <xf numFmtId="0" fontId="24" fillId="0" borderId="7" applyNumberFormat="0" applyFill="0" applyAlignment="0" applyProtection="0"/>
    <xf numFmtId="0" fontId="9" fillId="6" borderId="96" applyNumberFormat="0" applyFont="0" applyAlignment="0" applyProtection="0"/>
    <xf numFmtId="0" fontId="10" fillId="10" borderId="0" applyNumberFormat="0" applyBorder="0" applyAlignment="0" applyProtection="0"/>
    <xf numFmtId="0" fontId="24" fillId="0" borderId="0" applyNumberFormat="0" applyFill="0" applyBorder="0" applyAlignment="0" applyProtection="0"/>
    <xf numFmtId="164" fontId="9" fillId="0" borderId="0" applyFont="0" applyFill="0" applyBorder="0" applyAlignment="0" applyProtection="0"/>
    <xf numFmtId="0" fontId="20" fillId="14" borderId="97" applyNumberFormat="0" applyAlignment="0" applyProtection="0"/>
    <xf numFmtId="0" fontId="10" fillId="5" borderId="0" applyNumberFormat="0" applyBorder="0" applyAlignment="0" applyProtection="0"/>
    <xf numFmtId="0" fontId="24" fillId="0" borderId="0" applyNumberFormat="0" applyFill="0" applyBorder="0" applyAlignment="0" applyProtection="0"/>
    <xf numFmtId="0" fontId="25" fillId="8" borderId="9" applyNumberFormat="0" applyAlignment="0" applyProtection="0"/>
    <xf numFmtId="0" fontId="24" fillId="0" borderId="7" applyNumberFormat="0" applyFill="0" applyAlignment="0" applyProtection="0"/>
    <xf numFmtId="0" fontId="9" fillId="6" borderId="96" applyNumberFormat="0" applyFont="0" applyAlignment="0" applyProtection="0"/>
    <xf numFmtId="0" fontId="24" fillId="0" borderId="0" applyNumberFormat="0" applyFill="0" applyBorder="0" applyAlignment="0" applyProtection="0"/>
    <xf numFmtId="164" fontId="9" fillId="0" borderId="0" applyFont="0" applyFill="0" applyBorder="0" applyAlignment="0" applyProtection="0"/>
    <xf numFmtId="0" fontId="25" fillId="8" borderId="9" applyNumberFormat="0" applyAlignment="0" applyProtection="0"/>
    <xf numFmtId="0" fontId="24" fillId="0" borderId="7" applyNumberFormat="0" applyFill="0" applyAlignment="0" applyProtection="0"/>
    <xf numFmtId="0" fontId="9" fillId="6" borderId="96" applyNumberFormat="0" applyFont="0" applyAlignment="0" applyProtection="0"/>
    <xf numFmtId="0" fontId="24" fillId="0" borderId="0" applyNumberFormat="0" applyFill="0" applyBorder="0" applyAlignment="0" applyProtection="0"/>
    <xf numFmtId="0" fontId="9" fillId="6" borderId="96" applyNumberFormat="0" applyFont="0" applyAlignment="0" applyProtection="0"/>
    <xf numFmtId="0" fontId="6" fillId="0" borderId="0"/>
    <xf numFmtId="9" fontId="6" fillId="0" borderId="0" applyFont="0" applyFill="0" applyBorder="0" applyAlignment="0" applyProtection="0"/>
    <xf numFmtId="0" fontId="10" fillId="10" borderId="0" applyNumberFormat="0" applyBorder="0" applyAlignment="0" applyProtection="0"/>
    <xf numFmtId="0" fontId="10" fillId="2" borderId="0" applyNumberFormat="0" applyBorder="0" applyAlignment="0" applyProtection="0"/>
    <xf numFmtId="0" fontId="10" fillId="8" borderId="0" applyNumberFormat="0" applyBorder="0" applyAlignment="0" applyProtection="0"/>
    <xf numFmtId="0" fontId="10" fillId="12" borderId="0" applyNumberFormat="0" applyBorder="0" applyAlignment="0" applyProtection="0"/>
    <xf numFmtId="0" fontId="10" fillId="5" borderId="0" applyNumberFormat="0" applyBorder="0" applyAlignment="0" applyProtection="0"/>
    <xf numFmtId="0" fontId="10" fillId="2" borderId="0" applyNumberFormat="0" applyBorder="0" applyAlignment="0" applyProtection="0"/>
    <xf numFmtId="0" fontId="4" fillId="0" borderId="0"/>
    <xf numFmtId="0" fontId="284" fillId="6" borderId="96" applyNumberFormat="0" applyFont="0" applyAlignment="0" applyProtection="0"/>
    <xf numFmtId="164" fontId="284" fillId="0" borderId="0" applyFont="0" applyFill="0" applyBorder="0" applyAlignment="0" applyProtection="0"/>
    <xf numFmtId="0" fontId="285" fillId="0" borderId="0"/>
    <xf numFmtId="0" fontId="3" fillId="0" borderId="0"/>
    <xf numFmtId="43" fontId="3" fillId="0" borderId="0" applyFont="0" applyFill="0" applyBorder="0" applyAlignment="0" applyProtection="0"/>
    <xf numFmtId="0" fontId="296" fillId="6" borderId="96" applyNumberFormat="0" applyFont="0" applyAlignment="0" applyProtection="0"/>
    <xf numFmtId="164" fontId="296" fillId="0" borderId="0" applyFont="0" applyFill="0" applyBorder="0" applyAlignment="0" applyProtection="0"/>
    <xf numFmtId="164" fontId="9" fillId="0" borderId="0" applyFont="0" applyFill="0" applyBorder="0" applyAlignment="0" applyProtection="0"/>
    <xf numFmtId="0" fontId="306" fillId="0" borderId="0"/>
    <xf numFmtId="0" fontId="2" fillId="0" borderId="0"/>
    <xf numFmtId="166" fontId="2" fillId="0" borderId="0"/>
    <xf numFmtId="166" fontId="2" fillId="0" borderId="0"/>
    <xf numFmtId="178" fontId="2" fillId="0" borderId="0"/>
    <xf numFmtId="178" fontId="2" fillId="0" borderId="0"/>
    <xf numFmtId="178" fontId="2" fillId="0" borderId="0"/>
    <xf numFmtId="9" fontId="2" fillId="0" borderId="0" applyFont="0" applyFill="0" applyBorder="0" applyAlignment="0" applyProtection="0"/>
    <xf numFmtId="0" fontId="309" fillId="0" borderId="0" applyNumberFormat="0" applyFill="0" applyBorder="0" applyAlignment="0" applyProtection="0"/>
    <xf numFmtId="0" fontId="308" fillId="62" borderId="0" applyNumberFormat="0" applyBorder="0" applyAlignment="0" applyProtection="0"/>
    <xf numFmtId="178"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18" fillId="0" borderId="0" applyFont="0" applyFill="0" applyBorder="0" applyAlignment="0" applyProtection="0"/>
    <xf numFmtId="9" fontId="318"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178" fontId="1" fillId="0" borderId="0"/>
    <xf numFmtId="166" fontId="1" fillId="0" borderId="0"/>
    <xf numFmtId="43" fontId="9" fillId="0" borderId="0" applyFont="0" applyFill="0" applyBorder="0" applyAlignment="0" applyProtection="0"/>
    <xf numFmtId="43" fontId="1" fillId="0" borderId="0" applyFont="0" applyFill="0" applyBorder="0" applyAlignment="0" applyProtection="0"/>
    <xf numFmtId="0" fontId="324" fillId="0" borderId="0" applyNumberFormat="0" applyFill="0" applyBorder="0" applyAlignment="0" applyProtection="0">
      <alignment vertical="top"/>
      <protection locked="0"/>
    </xf>
    <xf numFmtId="0" fontId="5" fillId="0" borderId="0"/>
    <xf numFmtId="43" fontId="9" fillId="0" borderId="0" applyFont="0" applyFill="0" applyBorder="0" applyAlignment="0" applyProtection="0"/>
    <xf numFmtId="164" fontId="9" fillId="0" borderId="0" applyFont="0" applyFill="0" applyBorder="0" applyAlignment="0" applyProtection="0"/>
    <xf numFmtId="43" fontId="1" fillId="0" borderId="0" applyFont="0" applyFill="0" applyBorder="0" applyAlignment="0" applyProtection="0"/>
    <xf numFmtId="164"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178" fontId="1" fillId="0" borderId="0"/>
    <xf numFmtId="166" fontId="1" fillId="0" borderId="0"/>
    <xf numFmtId="178" fontId="1" fillId="0" borderId="0"/>
    <xf numFmtId="178" fontId="1" fillId="0" borderId="0"/>
    <xf numFmtId="178" fontId="1" fillId="0" borderId="0"/>
    <xf numFmtId="0" fontId="1" fillId="0" borderId="0"/>
    <xf numFmtId="0" fontId="1" fillId="0" borderId="0"/>
    <xf numFmtId="0" fontId="1" fillId="0" borderId="0"/>
    <xf numFmtId="0" fontId="1" fillId="0" borderId="0"/>
    <xf numFmtId="187" fontId="1" fillId="0" borderId="0"/>
    <xf numFmtId="0" fontId="1" fillId="0" borderId="0"/>
    <xf numFmtId="17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86" fontId="1" fillId="0" borderId="0"/>
    <xf numFmtId="0" fontId="9" fillId="0" borderId="0"/>
    <xf numFmtId="178" fontId="1" fillId="0" borderId="0"/>
    <xf numFmtId="178" fontId="1" fillId="0" borderId="0"/>
    <xf numFmtId="178" fontId="1" fillId="0" borderId="0"/>
    <xf numFmtId="178" fontId="1" fillId="0" borderId="0"/>
    <xf numFmtId="178" fontId="1" fillId="0" borderId="0"/>
    <xf numFmtId="178" fontId="1" fillId="0" borderId="0"/>
    <xf numFmtId="178" fontId="1" fillId="0" borderId="0"/>
    <xf numFmtId="185"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325" fillId="6" borderId="96" applyNumberFormat="0" applyFont="0" applyAlignment="0" applyProtection="0"/>
    <xf numFmtId="164" fontId="325" fillId="0" borderId="0" applyFont="0" applyFill="0" applyBorder="0" applyAlignment="0" applyProtection="0"/>
    <xf numFmtId="0" fontId="339" fillId="6" borderId="96" applyNumberFormat="0" applyFont="0" applyAlignment="0" applyProtection="0"/>
    <xf numFmtId="164" fontId="339" fillId="0" borderId="0" applyFont="0" applyFill="0" applyBorder="0" applyAlignment="0" applyProtection="0"/>
  </cellStyleXfs>
  <cellXfs count="3391">
    <xf numFmtId="0" fontId="0" fillId="0" borderId="0" xfId="0"/>
    <xf numFmtId="0" fontId="32" fillId="0" borderId="0" xfId="0" applyFont="1"/>
    <xf numFmtId="17" fontId="32" fillId="0" borderId="0" xfId="0" applyNumberFormat="1" applyFont="1"/>
    <xf numFmtId="0" fontId="33" fillId="0" borderId="0" xfId="0" applyFont="1"/>
    <xf numFmtId="0" fontId="30" fillId="0" borderId="0" xfId="0" applyFont="1" applyBorder="1"/>
    <xf numFmtId="3" fontId="29" fillId="24" borderId="12" xfId="0" applyNumberFormat="1" applyFont="1" applyFill="1" applyBorder="1"/>
    <xf numFmtId="3" fontId="30" fillId="0" borderId="12" xfId="0" applyNumberFormat="1" applyFont="1" applyBorder="1"/>
    <xf numFmtId="0" fontId="30" fillId="0" borderId="0" xfId="0" applyFont="1"/>
    <xf numFmtId="0" fontId="29" fillId="0" borderId="0" xfId="0" applyFont="1"/>
    <xf numFmtId="16" fontId="30" fillId="0" borderId="12" xfId="0" applyNumberFormat="1" applyFont="1" applyBorder="1"/>
    <xf numFmtId="0" fontId="30" fillId="0" borderId="12" xfId="0" applyFont="1" applyBorder="1"/>
    <xf numFmtId="0" fontId="30" fillId="0" borderId="12" xfId="0" applyFont="1" applyFill="1" applyBorder="1"/>
    <xf numFmtId="3" fontId="29" fillId="25" borderId="12" xfId="0" applyNumberFormat="1" applyFont="1" applyFill="1" applyBorder="1"/>
    <xf numFmtId="0" fontId="29" fillId="0" borderId="12" xfId="0" applyFont="1" applyFill="1" applyBorder="1"/>
    <xf numFmtId="165" fontId="30" fillId="0" borderId="0" xfId="35" applyNumberFormat="1" applyFont="1" applyBorder="1"/>
    <xf numFmtId="165" fontId="30" fillId="0" borderId="0" xfId="35" applyNumberFormat="1" applyFont="1"/>
    <xf numFmtId="0" fontId="30" fillId="0" borderId="0" xfId="0" applyFont="1" applyFill="1" applyBorder="1"/>
    <xf numFmtId="0" fontId="30" fillId="0" borderId="0" xfId="0" applyFont="1" applyFill="1"/>
    <xf numFmtId="0" fontId="36" fillId="0" borderId="0" xfId="0" applyFont="1"/>
    <xf numFmtId="0" fontId="31" fillId="0" borderId="0" xfId="0" applyFont="1" applyFill="1" applyAlignment="1">
      <alignment vertical="center"/>
    </xf>
    <xf numFmtId="0" fontId="30" fillId="0" borderId="12" xfId="0" applyFont="1" applyFill="1" applyBorder="1" applyAlignment="1">
      <alignment horizontal="center"/>
    </xf>
    <xf numFmtId="165" fontId="30" fillId="0" borderId="0" xfId="0" applyNumberFormat="1" applyFont="1"/>
    <xf numFmtId="165" fontId="29" fillId="0" borderId="12" xfId="35" applyNumberFormat="1" applyFont="1" applyBorder="1"/>
    <xf numFmtId="165" fontId="29" fillId="20" borderId="12" xfId="35" applyNumberFormat="1" applyFont="1" applyFill="1" applyBorder="1"/>
    <xf numFmtId="165" fontId="30" fillId="0" borderId="12" xfId="0" applyNumberFormat="1" applyFont="1" applyBorder="1"/>
    <xf numFmtId="165" fontId="30" fillId="0" borderId="12" xfId="35" applyNumberFormat="1" applyFont="1" applyFill="1" applyBorder="1"/>
    <xf numFmtId="0" fontId="30" fillId="0" borderId="0" xfId="0" applyFont="1" applyAlignment="1">
      <alignment vertical="center"/>
    </xf>
    <xf numFmtId="164" fontId="30" fillId="0" borderId="0" xfId="35" applyFont="1" applyAlignment="1">
      <alignment vertical="center"/>
    </xf>
    <xf numFmtId="164" fontId="30" fillId="0" borderId="12" xfId="35" applyFont="1" applyBorder="1"/>
    <xf numFmtId="3" fontId="30" fillId="24" borderId="0" xfId="0" applyNumberFormat="1" applyFont="1" applyFill="1"/>
    <xf numFmtId="0" fontId="30" fillId="24" borderId="0" xfId="0" applyFont="1" applyFill="1"/>
    <xf numFmtId="0" fontId="31" fillId="24" borderId="0" xfId="0" applyFont="1" applyFill="1" applyAlignment="1">
      <alignment horizontal="center" vertical="center"/>
    </xf>
    <xf numFmtId="0" fontId="31" fillId="24" borderId="0" xfId="0" applyFont="1" applyFill="1" applyAlignment="1">
      <alignment vertical="center"/>
    </xf>
    <xf numFmtId="0" fontId="30" fillId="0" borderId="10" xfId="0" applyFont="1" applyFill="1" applyBorder="1" applyAlignment="1">
      <alignment horizontal="center"/>
    </xf>
    <xf numFmtId="0" fontId="30" fillId="0" borderId="29" xfId="0" applyFont="1" applyFill="1" applyBorder="1" applyAlignment="1">
      <alignment horizontal="center"/>
    </xf>
    <xf numFmtId="0" fontId="30" fillId="0" borderId="24" xfId="0" applyFont="1" applyFill="1" applyBorder="1" applyAlignment="1">
      <alignment horizontal="center"/>
    </xf>
    <xf numFmtId="0" fontId="31" fillId="0" borderId="0" xfId="0" applyFont="1"/>
    <xf numFmtId="0" fontId="40" fillId="0" borderId="0" xfId="0" applyFont="1"/>
    <xf numFmtId="0" fontId="41" fillId="0" borderId="0" xfId="0" applyFont="1"/>
    <xf numFmtId="0" fontId="9" fillId="0" borderId="0" xfId="0" applyFont="1"/>
    <xf numFmtId="164" fontId="30" fillId="0" borderId="0" xfId="35" applyFont="1" applyFill="1" applyBorder="1"/>
    <xf numFmtId="0" fontId="32" fillId="0" borderId="0" xfId="0" applyFont="1" applyFill="1" applyBorder="1" applyAlignment="1">
      <alignment horizontal="center"/>
    </xf>
    <xf numFmtId="0" fontId="45" fillId="0" borderId="0" xfId="0" applyFont="1"/>
    <xf numFmtId="0" fontId="47" fillId="0" borderId="0" xfId="0" applyFont="1"/>
    <xf numFmtId="0" fontId="48" fillId="0" borderId="0" xfId="0" applyFont="1"/>
    <xf numFmtId="0" fontId="50" fillId="0" borderId="0" xfId="0" applyFont="1"/>
    <xf numFmtId="0" fontId="52" fillId="0" borderId="0" xfId="0" applyFont="1"/>
    <xf numFmtId="0" fontId="53" fillId="0" borderId="0" xfId="0" applyFont="1"/>
    <xf numFmtId="0" fontId="54" fillId="0" borderId="0" xfId="0" applyFont="1"/>
    <xf numFmtId="0" fontId="36" fillId="0" borderId="0" xfId="0" applyFont="1" applyFill="1"/>
    <xf numFmtId="0" fontId="31" fillId="0" borderId="0" xfId="0" applyFont="1" applyFill="1" applyAlignment="1">
      <alignment horizontal="center" vertical="center"/>
    </xf>
    <xf numFmtId="0" fontId="51" fillId="0" borderId="0" xfId="0" applyFont="1"/>
    <xf numFmtId="0" fontId="42" fillId="0" borderId="0" xfId="0" applyFont="1"/>
    <xf numFmtId="0" fontId="36" fillId="29" borderId="24" xfId="0" applyFont="1" applyFill="1" applyBorder="1" applyAlignment="1">
      <alignment horizontal="center"/>
    </xf>
    <xf numFmtId="165" fontId="31" fillId="24" borderId="12" xfId="35" applyNumberFormat="1" applyFont="1" applyFill="1" applyBorder="1"/>
    <xf numFmtId="0" fontId="36" fillId="26" borderId="24" xfId="0" applyFont="1" applyFill="1" applyBorder="1" applyAlignment="1">
      <alignment horizontal="center"/>
    </xf>
    <xf numFmtId="0" fontId="31" fillId="0" borderId="0" xfId="0" applyFont="1" applyFill="1" applyBorder="1" applyAlignment="1">
      <alignment horizontal="center" vertical="center"/>
    </xf>
    <xf numFmtId="0" fontId="33" fillId="0" borderId="12" xfId="0" applyFont="1" applyBorder="1"/>
    <xf numFmtId="0" fontId="33" fillId="0" borderId="0" xfId="0" applyFont="1" applyBorder="1"/>
    <xf numFmtId="0" fontId="32" fillId="0" borderId="12" xfId="0" applyFont="1" applyBorder="1"/>
    <xf numFmtId="0" fontId="58" fillId="0" borderId="0" xfId="0" applyFont="1"/>
    <xf numFmtId="0" fontId="45" fillId="0" borderId="46" xfId="0" applyFont="1" applyBorder="1"/>
    <xf numFmtId="165" fontId="56" fillId="0" borderId="54" xfId="35" applyNumberFormat="1" applyFont="1" applyBorder="1"/>
    <xf numFmtId="0" fontId="56" fillId="0" borderId="57" xfId="0" applyFont="1" applyBorder="1"/>
    <xf numFmtId="165" fontId="56" fillId="0" borderId="12" xfId="35" applyNumberFormat="1" applyFont="1" applyBorder="1"/>
    <xf numFmtId="165" fontId="56" fillId="0" borderId="56" xfId="35" applyNumberFormat="1" applyFont="1" applyBorder="1"/>
    <xf numFmtId="165" fontId="51" fillId="0" borderId="12" xfId="35" applyNumberFormat="1" applyFont="1" applyBorder="1"/>
    <xf numFmtId="0" fontId="9" fillId="0" borderId="57" xfId="0" applyFont="1" applyBorder="1"/>
    <xf numFmtId="165" fontId="56" fillId="0" borderId="47" xfId="35" applyNumberFormat="1" applyFont="1" applyBorder="1"/>
    <xf numFmtId="0" fontId="56" fillId="0" borderId="0" xfId="0" applyFont="1"/>
    <xf numFmtId="0" fontId="56" fillId="0" borderId="53" xfId="0" applyFont="1" applyBorder="1" applyAlignment="1">
      <alignment horizontal="center"/>
    </xf>
    <xf numFmtId="0" fontId="36" fillId="0" borderId="0" xfId="0" applyFont="1" applyFill="1" applyBorder="1" applyAlignment="1">
      <alignment horizontal="center"/>
    </xf>
    <xf numFmtId="0" fontId="41" fillId="0" borderId="12" xfId="0" applyFont="1" applyBorder="1"/>
    <xf numFmtId="165" fontId="41" fillId="0" borderId="12" xfId="35" applyNumberFormat="1" applyFont="1" applyBorder="1"/>
    <xf numFmtId="0" fontId="60" fillId="0" borderId="0" xfId="0" applyFont="1"/>
    <xf numFmtId="0" fontId="55" fillId="0" borderId="0" xfId="0" applyFont="1" applyFill="1"/>
    <xf numFmtId="0" fontId="56" fillId="0" borderId="63" xfId="0" applyFont="1" applyBorder="1" applyAlignment="1">
      <alignment horizontal="center"/>
    </xf>
    <xf numFmtId="0" fontId="58" fillId="0" borderId="0" xfId="0" applyFont="1" applyBorder="1"/>
    <xf numFmtId="0" fontId="56" fillId="0" borderId="73" xfId="0" applyFont="1" applyBorder="1"/>
    <xf numFmtId="0" fontId="38" fillId="0" borderId="12" xfId="0" applyFont="1" applyBorder="1"/>
    <xf numFmtId="0" fontId="43" fillId="0" borderId="0" xfId="0" applyFont="1" applyFill="1"/>
    <xf numFmtId="0" fontId="52" fillId="0" borderId="25" xfId="0" applyFont="1" applyBorder="1"/>
    <xf numFmtId="0" fontId="52" fillId="0" borderId="0" xfId="0" applyFont="1" applyBorder="1"/>
    <xf numFmtId="0" fontId="52" fillId="0" borderId="26" xfId="0" applyFont="1" applyBorder="1" applyAlignment="1">
      <alignment horizontal="center"/>
    </xf>
    <xf numFmtId="0" fontId="52" fillId="0" borderId="27" xfId="0" applyFont="1" applyBorder="1"/>
    <xf numFmtId="0" fontId="52" fillId="0" borderId="28" xfId="0" applyFont="1" applyBorder="1"/>
    <xf numFmtId="165" fontId="33" fillId="0" borderId="12" xfId="35" applyNumberFormat="1" applyFont="1" applyFill="1" applyBorder="1"/>
    <xf numFmtId="17" fontId="48" fillId="0" borderId="0" xfId="0" applyNumberFormat="1" applyFont="1"/>
    <xf numFmtId="0" fontId="49" fillId="0" borderId="12" xfId="0" applyFont="1" applyBorder="1" applyAlignment="1">
      <alignment horizontal="center"/>
    </xf>
    <xf numFmtId="3" fontId="47" fillId="0" borderId="0" xfId="0" applyNumberFormat="1" applyFont="1"/>
    <xf numFmtId="16" fontId="52" fillId="0" borderId="12" xfId="0" applyNumberFormat="1" applyFont="1" applyFill="1" applyBorder="1" applyAlignment="1">
      <alignment horizontal="center"/>
    </xf>
    <xf numFmtId="3" fontId="31" fillId="0" borderId="0" xfId="0" applyNumberFormat="1" applyFont="1" applyFill="1" applyBorder="1"/>
    <xf numFmtId="0" fontId="9" fillId="0" borderId="0" xfId="0" applyFont="1" applyBorder="1"/>
    <xf numFmtId="0" fontId="64" fillId="0" borderId="0" xfId="0" applyFont="1" applyFill="1"/>
    <xf numFmtId="0" fontId="40" fillId="0" borderId="0" xfId="0" applyFont="1" applyFill="1"/>
    <xf numFmtId="0" fontId="65" fillId="0" borderId="0" xfId="0" applyFont="1"/>
    <xf numFmtId="0" fontId="48" fillId="0" borderId="0" xfId="0" applyFont="1" applyBorder="1" applyAlignment="1"/>
    <xf numFmtId="0" fontId="45" fillId="0" borderId="12" xfId="0" applyFont="1" applyBorder="1"/>
    <xf numFmtId="0" fontId="32" fillId="0" borderId="12" xfId="0" applyFont="1" applyBorder="1" applyAlignment="1">
      <alignment horizontal="center"/>
    </xf>
    <xf numFmtId="165" fontId="33" fillId="0" borderId="0" xfId="35" applyNumberFormat="1" applyFont="1" applyBorder="1"/>
    <xf numFmtId="0" fontId="32" fillId="0" borderId="31"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32" fillId="0" borderId="32" xfId="0" applyFont="1" applyBorder="1" applyAlignment="1">
      <alignment horizontal="center" vertical="center"/>
    </xf>
    <xf numFmtId="0" fontId="32" fillId="20" borderId="10" xfId="0" applyFont="1" applyFill="1" applyBorder="1" applyAlignment="1">
      <alignment horizontal="center" vertical="center"/>
    </xf>
    <xf numFmtId="0" fontId="32" fillId="0" borderId="33" xfId="0" applyFont="1" applyBorder="1" applyAlignment="1">
      <alignment horizontal="center" vertical="center"/>
    </xf>
    <xf numFmtId="165" fontId="33" fillId="0" borderId="12" xfId="35" applyNumberFormat="1" applyFont="1" applyFill="1" applyBorder="1" applyAlignment="1">
      <alignment horizontal="center" vertical="center"/>
    </xf>
    <xf numFmtId="164" fontId="33" fillId="0" borderId="12" xfId="35" applyFont="1" applyFill="1" applyBorder="1" applyAlignment="1">
      <alignment horizontal="center" vertical="center"/>
    </xf>
    <xf numFmtId="165" fontId="32" fillId="23" borderId="12" xfId="35" applyNumberFormat="1" applyFont="1" applyFill="1" applyBorder="1" applyAlignment="1">
      <alignment vertical="center"/>
    </xf>
    <xf numFmtId="165" fontId="33" fillId="23" borderId="12" xfId="35" applyNumberFormat="1" applyFont="1" applyFill="1" applyBorder="1" applyAlignment="1">
      <alignment vertical="center"/>
    </xf>
    <xf numFmtId="16" fontId="33" fillId="0" borderId="12" xfId="0" applyNumberFormat="1" applyFont="1" applyBorder="1" applyAlignment="1">
      <alignment vertical="center"/>
    </xf>
    <xf numFmtId="164" fontId="33" fillId="0" borderId="12" xfId="35" applyFont="1" applyBorder="1" applyAlignment="1">
      <alignment vertical="center"/>
    </xf>
    <xf numFmtId="165" fontId="32" fillId="0" borderId="12" xfId="35" applyNumberFormat="1" applyFont="1" applyBorder="1"/>
    <xf numFmtId="165" fontId="33" fillId="0" borderId="12" xfId="35" applyNumberFormat="1" applyFont="1" applyBorder="1"/>
    <xf numFmtId="165" fontId="33" fillId="0" borderId="12" xfId="35" applyNumberFormat="1" applyFont="1" applyBorder="1" applyAlignment="1">
      <alignment vertical="center"/>
    </xf>
    <xf numFmtId="165" fontId="32" fillId="0" borderId="12" xfId="35" applyNumberFormat="1" applyFont="1" applyBorder="1" applyAlignment="1">
      <alignment vertical="center"/>
    </xf>
    <xf numFmtId="165" fontId="33" fillId="0" borderId="0" xfId="0" applyNumberFormat="1" applyFont="1"/>
    <xf numFmtId="164" fontId="33" fillId="0" borderId="12" xfId="35" applyFont="1" applyFill="1" applyBorder="1" applyAlignment="1">
      <alignment vertical="center"/>
    </xf>
    <xf numFmtId="165" fontId="33" fillId="0" borderId="12" xfId="35" applyNumberFormat="1" applyFont="1" applyFill="1" applyBorder="1" applyAlignment="1">
      <alignment vertical="center"/>
    </xf>
    <xf numFmtId="165" fontId="32" fillId="0" borderId="0" xfId="0" applyNumberFormat="1" applyFont="1" applyFill="1"/>
    <xf numFmtId="165" fontId="33" fillId="26" borderId="12" xfId="35" applyNumberFormat="1" applyFont="1" applyFill="1" applyBorder="1" applyAlignment="1">
      <alignment vertical="center"/>
    </xf>
    <xf numFmtId="0" fontId="32" fillId="0" borderId="12" xfId="0" applyFont="1" applyBorder="1" applyAlignment="1">
      <alignment vertical="center"/>
    </xf>
    <xf numFmtId="164" fontId="32" fillId="0" borderId="12" xfId="35" applyFont="1" applyBorder="1" applyAlignment="1">
      <alignment vertical="center"/>
    </xf>
    <xf numFmtId="165" fontId="32" fillId="0" borderId="20" xfId="35" applyNumberFormat="1" applyFont="1" applyFill="1" applyBorder="1" applyAlignment="1">
      <alignment vertical="center"/>
    </xf>
    <xf numFmtId="0" fontId="33" fillId="0" borderId="0" xfId="0" applyFont="1" applyAlignment="1">
      <alignment vertical="center"/>
    </xf>
    <xf numFmtId="164" fontId="33" fillId="0" borderId="0" xfId="35" applyFont="1" applyAlignment="1">
      <alignment vertical="center"/>
    </xf>
    <xf numFmtId="164" fontId="33" fillId="0" borderId="12" xfId="35" applyFont="1" applyBorder="1"/>
    <xf numFmtId="165" fontId="33" fillId="0" borderId="12" xfId="0" applyNumberFormat="1" applyFont="1" applyBorder="1"/>
    <xf numFmtId="0" fontId="33" fillId="0" borderId="10" xfId="0" applyFont="1" applyFill="1" applyBorder="1" applyAlignment="1">
      <alignment horizontal="center"/>
    </xf>
    <xf numFmtId="0" fontId="33" fillId="0" borderId="29" xfId="0" applyFont="1" applyFill="1" applyBorder="1" applyAlignment="1">
      <alignment horizontal="center"/>
    </xf>
    <xf numFmtId="0" fontId="33" fillId="0" borderId="24" xfId="0" applyFont="1" applyFill="1" applyBorder="1" applyAlignment="1">
      <alignment horizontal="center"/>
    </xf>
    <xf numFmtId="0" fontId="33" fillId="0" borderId="0" xfId="0" applyFont="1" applyAlignment="1">
      <alignment vertical="top"/>
    </xf>
    <xf numFmtId="0" fontId="32" fillId="0" borderId="12" xfId="0" applyFont="1" applyBorder="1" applyAlignment="1">
      <alignment horizontal="center" vertical="center"/>
    </xf>
    <xf numFmtId="165" fontId="32" fillId="31" borderId="12" xfId="35" applyNumberFormat="1" applyFont="1" applyFill="1" applyBorder="1" applyAlignment="1">
      <alignment vertical="center"/>
    </xf>
    <xf numFmtId="165" fontId="32" fillId="0" borderId="12" xfId="35" applyNumberFormat="1" applyFont="1" applyFill="1" applyBorder="1" applyAlignment="1">
      <alignment vertical="center"/>
    </xf>
    <xf numFmtId="165" fontId="33" fillId="0" borderId="0" xfId="35" applyNumberFormat="1" applyFont="1"/>
    <xf numFmtId="165" fontId="33" fillId="20" borderId="12" xfId="35" applyNumberFormat="1" applyFont="1" applyFill="1" applyBorder="1"/>
    <xf numFmtId="164" fontId="32" fillId="0" borderId="12" xfId="35" applyNumberFormat="1" applyFont="1" applyBorder="1" applyAlignment="1">
      <alignment vertical="center"/>
    </xf>
    <xf numFmtId="0" fontId="36" fillId="0" borderId="12" xfId="0" applyFont="1" applyFill="1" applyBorder="1" applyAlignment="1">
      <alignment horizontal="center"/>
    </xf>
    <xf numFmtId="0" fontId="41" fillId="0" borderId="0" xfId="0" applyFont="1" applyFill="1"/>
    <xf numFmtId="0" fontId="36" fillId="0" borderId="0" xfId="0" applyFont="1" applyFill="1" applyBorder="1"/>
    <xf numFmtId="0" fontId="31" fillId="0" borderId="0" xfId="0" applyFont="1" applyAlignment="1"/>
    <xf numFmtId="17" fontId="31" fillId="0" borderId="0" xfId="0" applyNumberFormat="1" applyFont="1"/>
    <xf numFmtId="17" fontId="31" fillId="0" borderId="0" xfId="0" applyNumberFormat="1" applyFont="1" applyAlignment="1">
      <alignment horizontal="left"/>
    </xf>
    <xf numFmtId="0" fontId="31" fillId="0" borderId="12" xfId="0" applyFont="1" applyBorder="1" applyAlignment="1"/>
    <xf numFmtId="0" fontId="36" fillId="0" borderId="14" xfId="0" applyFont="1" applyFill="1" applyBorder="1" applyAlignment="1">
      <alignment horizontal="center"/>
    </xf>
    <xf numFmtId="16" fontId="36" fillId="0" borderId="12" xfId="0" applyNumberFormat="1" applyFont="1" applyFill="1" applyBorder="1" applyAlignment="1">
      <alignment horizontal="center"/>
    </xf>
    <xf numFmtId="165" fontId="36" fillId="0" borderId="12" xfId="35" applyNumberFormat="1" applyFont="1" applyFill="1" applyBorder="1"/>
    <xf numFmtId="165" fontId="36" fillId="0" borderId="0" xfId="0" applyNumberFormat="1" applyFont="1"/>
    <xf numFmtId="0" fontId="41" fillId="0" borderId="0" xfId="0" applyFont="1" applyFill="1" applyBorder="1"/>
    <xf numFmtId="165" fontId="36" fillId="0" borderId="0" xfId="0" applyNumberFormat="1" applyFont="1" applyFill="1" applyBorder="1"/>
    <xf numFmtId="165" fontId="36" fillId="0" borderId="0" xfId="0" applyNumberFormat="1" applyFont="1" applyFill="1"/>
    <xf numFmtId="0" fontId="31" fillId="0" borderId="22" xfId="0" applyFont="1" applyBorder="1" applyAlignment="1">
      <alignment horizontal="center"/>
    </xf>
    <xf numFmtId="0" fontId="36" fillId="0" borderId="12" xfId="0" applyFont="1" applyBorder="1"/>
    <xf numFmtId="3" fontId="36" fillId="0" borderId="0" xfId="0" applyNumberFormat="1" applyFont="1"/>
    <xf numFmtId="0" fontId="33" fillId="0" borderId="13" xfId="0" applyFont="1" applyBorder="1"/>
    <xf numFmtId="0" fontId="57" fillId="0" borderId="13" xfId="0" applyFont="1" applyBorder="1"/>
    <xf numFmtId="169" fontId="33" fillId="0" borderId="12" xfId="0" applyNumberFormat="1" applyFont="1" applyBorder="1"/>
    <xf numFmtId="169" fontId="32" fillId="23" borderId="12" xfId="0" applyNumberFormat="1" applyFont="1" applyFill="1" applyBorder="1"/>
    <xf numFmtId="165" fontId="36" fillId="0" borderId="0" xfId="35" applyNumberFormat="1" applyFont="1" applyBorder="1"/>
    <xf numFmtId="0" fontId="31" fillId="0" borderId="31" xfId="0" applyFont="1" applyBorder="1" applyAlignment="1">
      <alignment horizontal="center" vertical="center"/>
    </xf>
    <xf numFmtId="0" fontId="31" fillId="0" borderId="10" xfId="0" applyFont="1" applyBorder="1" applyAlignment="1">
      <alignment horizontal="center" vertical="center"/>
    </xf>
    <xf numFmtId="0" fontId="31" fillId="0" borderId="24" xfId="0" applyFont="1" applyBorder="1" applyAlignment="1">
      <alignment horizontal="center" vertical="center"/>
    </xf>
    <xf numFmtId="0" fontId="31" fillId="0" borderId="32" xfId="0" applyFont="1" applyBorder="1" applyAlignment="1">
      <alignment horizontal="center" vertical="center"/>
    </xf>
    <xf numFmtId="0" fontId="31" fillId="20" borderId="10" xfId="0" applyFont="1" applyFill="1" applyBorder="1" applyAlignment="1">
      <alignment horizontal="center" vertical="center"/>
    </xf>
    <xf numFmtId="0" fontId="31" fillId="0" borderId="33" xfId="0" applyFont="1" applyBorder="1" applyAlignment="1">
      <alignment horizontal="center" vertical="center"/>
    </xf>
    <xf numFmtId="165" fontId="36" fillId="0" borderId="12" xfId="35" applyNumberFormat="1" applyFont="1" applyFill="1" applyBorder="1" applyAlignment="1">
      <alignment horizontal="center" vertical="center"/>
    </xf>
    <xf numFmtId="164" fontId="36" fillId="0" borderId="12" xfId="35" applyFont="1" applyFill="1" applyBorder="1" applyAlignment="1">
      <alignment horizontal="center" vertical="center"/>
    </xf>
    <xf numFmtId="165" fontId="36" fillId="23" borderId="12" xfId="35" applyNumberFormat="1" applyFont="1" applyFill="1" applyBorder="1" applyAlignment="1">
      <alignment vertical="center"/>
    </xf>
    <xf numFmtId="164" fontId="36" fillId="0" borderId="12" xfId="35" applyFont="1" applyBorder="1" applyAlignment="1">
      <alignment vertical="center"/>
    </xf>
    <xf numFmtId="165" fontId="31" fillId="0" borderId="12" xfId="35" applyNumberFormat="1" applyFont="1" applyBorder="1"/>
    <xf numFmtId="165" fontId="36" fillId="0" borderId="12" xfId="35" applyNumberFormat="1" applyFont="1" applyBorder="1"/>
    <xf numFmtId="165" fontId="36" fillId="0" borderId="12" xfId="35" applyNumberFormat="1" applyFont="1" applyBorder="1" applyAlignment="1">
      <alignment vertical="center"/>
    </xf>
    <xf numFmtId="165" fontId="31" fillId="0" borderId="12" xfId="35" applyNumberFormat="1" applyFont="1" applyBorder="1" applyAlignment="1">
      <alignment vertical="center"/>
    </xf>
    <xf numFmtId="164" fontId="36" fillId="0" borderId="12" xfId="35" applyFont="1" applyFill="1" applyBorder="1" applyAlignment="1">
      <alignment vertical="center"/>
    </xf>
    <xf numFmtId="165" fontId="36" fillId="0" borderId="12" xfId="35" applyNumberFormat="1" applyFont="1" applyFill="1" applyBorder="1" applyAlignment="1">
      <alignment vertical="center"/>
    </xf>
    <xf numFmtId="165" fontId="31" fillId="0" borderId="0" xfId="0" applyNumberFormat="1" applyFont="1" applyFill="1"/>
    <xf numFmtId="165" fontId="36" fillId="26" borderId="12" xfId="35" applyNumberFormat="1" applyFont="1" applyFill="1" applyBorder="1" applyAlignment="1">
      <alignment vertical="center"/>
    </xf>
    <xf numFmtId="0" fontId="31" fillId="0" borderId="12" xfId="0" applyFont="1" applyBorder="1" applyAlignment="1">
      <alignment vertical="center"/>
    </xf>
    <xf numFmtId="164" fontId="31" fillId="0" borderId="12" xfId="35" applyFont="1" applyBorder="1" applyAlignment="1">
      <alignment vertical="center"/>
    </xf>
    <xf numFmtId="165" fontId="31" fillId="0" borderId="20" xfId="35" applyNumberFormat="1" applyFont="1" applyFill="1" applyBorder="1" applyAlignment="1">
      <alignment vertical="center"/>
    </xf>
    <xf numFmtId="0" fontId="31" fillId="0" borderId="12" xfId="0" applyFont="1" applyBorder="1" applyAlignment="1">
      <alignment horizontal="center" vertical="center"/>
    </xf>
    <xf numFmtId="165" fontId="31" fillId="31" borderId="12" xfId="35" applyNumberFormat="1" applyFont="1" applyFill="1" applyBorder="1" applyAlignment="1">
      <alignment vertical="center"/>
    </xf>
    <xf numFmtId="165" fontId="36" fillId="20" borderId="12" xfId="35" applyNumberFormat="1" applyFont="1" applyFill="1" applyBorder="1"/>
    <xf numFmtId="165" fontId="31" fillId="0" borderId="12" xfId="35" applyNumberFormat="1" applyFont="1" applyFill="1" applyBorder="1" applyAlignment="1">
      <alignment vertical="center"/>
    </xf>
    <xf numFmtId="164" fontId="31" fillId="0" borderId="12" xfId="35" applyNumberFormat="1" applyFont="1" applyBorder="1" applyAlignment="1">
      <alignment vertical="center"/>
    </xf>
    <xf numFmtId="0" fontId="51" fillId="0" borderId="0" xfId="0" applyFont="1" applyFill="1"/>
    <xf numFmtId="0" fontId="32" fillId="0" borderId="33" xfId="0" applyFont="1" applyFill="1" applyBorder="1" applyAlignment="1">
      <alignment horizontal="center" vertical="center"/>
    </xf>
    <xf numFmtId="165" fontId="33" fillId="0" borderId="0" xfId="35" applyNumberFormat="1" applyFont="1" applyFill="1" applyBorder="1" applyAlignment="1">
      <alignment vertical="center"/>
    </xf>
    <xf numFmtId="165" fontId="32" fillId="0" borderId="12" xfId="35" applyNumberFormat="1" applyFont="1" applyFill="1" applyBorder="1"/>
    <xf numFmtId="165" fontId="33" fillId="0" borderId="0" xfId="0" applyNumberFormat="1" applyFont="1" applyFill="1"/>
    <xf numFmtId="165" fontId="38" fillId="0" borderId="12" xfId="35" applyNumberFormat="1" applyFont="1" applyBorder="1" applyAlignment="1">
      <alignment vertical="center"/>
    </xf>
    <xf numFmtId="0" fontId="31" fillId="0" borderId="0" xfId="0" applyFont="1" applyBorder="1"/>
    <xf numFmtId="0" fontId="51" fillId="0" borderId="0" xfId="0" applyFont="1" applyAlignment="1">
      <alignment horizontal="center"/>
    </xf>
    <xf numFmtId="0" fontId="67" fillId="0" borderId="0" xfId="0" applyFont="1" applyFill="1" applyAlignment="1">
      <alignment vertical="center"/>
    </xf>
    <xf numFmtId="0" fontId="67" fillId="0" borderId="0" xfId="0" applyFont="1" applyFill="1" applyAlignment="1">
      <alignment horizontal="center" vertical="center"/>
    </xf>
    <xf numFmtId="0" fontId="68" fillId="0" borderId="0" xfId="0" applyFont="1"/>
    <xf numFmtId="0" fontId="68" fillId="0" borderId="0" xfId="0" applyFont="1" applyAlignment="1">
      <alignment horizontal="center"/>
    </xf>
    <xf numFmtId="0" fontId="67" fillId="0" borderId="0" xfId="0" applyFont="1"/>
    <xf numFmtId="17" fontId="67" fillId="0" borderId="0" xfId="0" applyNumberFormat="1" applyFont="1"/>
    <xf numFmtId="0" fontId="69" fillId="0" borderId="0" xfId="0" applyFont="1" applyBorder="1"/>
    <xf numFmtId="3" fontId="69" fillId="0" borderId="0" xfId="0" applyNumberFormat="1" applyFont="1" applyBorder="1" applyAlignment="1">
      <alignment horizontal="center"/>
    </xf>
    <xf numFmtId="3" fontId="67" fillId="20" borderId="12" xfId="0" applyNumberFormat="1" applyFont="1" applyFill="1" applyBorder="1" applyAlignment="1">
      <alignment horizontal="center"/>
    </xf>
    <xf numFmtId="3" fontId="67" fillId="0" borderId="12" xfId="0" applyNumberFormat="1" applyFont="1" applyBorder="1" applyAlignment="1">
      <alignment horizontal="center"/>
    </xf>
    <xf numFmtId="3" fontId="67" fillId="0" borderId="12" xfId="0" applyNumberFormat="1" applyFont="1" applyFill="1" applyBorder="1" applyAlignment="1">
      <alignment horizontal="center"/>
    </xf>
    <xf numFmtId="3" fontId="69" fillId="0" borderId="12" xfId="0" applyNumberFormat="1" applyFont="1" applyFill="1" applyBorder="1"/>
    <xf numFmtId="3" fontId="69" fillId="0" borderId="12" xfId="0" applyNumberFormat="1" applyFont="1" applyFill="1" applyBorder="1" applyAlignment="1">
      <alignment horizontal="center"/>
    </xf>
    <xf numFmtId="3" fontId="69" fillId="0" borderId="12" xfId="0" applyNumberFormat="1" applyFont="1" applyFill="1" applyBorder="1" applyAlignment="1">
      <alignment horizontal="right"/>
    </xf>
    <xf numFmtId="3" fontId="69" fillId="0" borderId="22" xfId="0" applyNumberFormat="1" applyFont="1" applyBorder="1"/>
    <xf numFmtId="3" fontId="67" fillId="0" borderId="22" xfId="0" applyNumberFormat="1" applyFont="1" applyBorder="1"/>
    <xf numFmtId="0" fontId="70" fillId="0" borderId="0" xfId="0" applyFont="1"/>
    <xf numFmtId="3" fontId="67" fillId="0" borderId="24" xfId="0" applyNumberFormat="1" applyFont="1" applyBorder="1" applyAlignment="1">
      <alignment horizontal="left"/>
    </xf>
    <xf numFmtId="0" fontId="66" fillId="24" borderId="0" xfId="0" applyFont="1" applyFill="1"/>
    <xf numFmtId="0" fontId="31" fillId="20" borderId="22" xfId="0" applyFont="1" applyFill="1" applyBorder="1" applyAlignment="1">
      <alignment horizontal="center"/>
    </xf>
    <xf numFmtId="0" fontId="31" fillId="20" borderId="12" xfId="0" applyFont="1" applyFill="1" applyBorder="1" applyAlignment="1">
      <alignment horizontal="center"/>
    </xf>
    <xf numFmtId="0" fontId="31" fillId="20" borderId="0" xfId="0" applyFont="1" applyFill="1" applyBorder="1" applyAlignment="1">
      <alignment horizontal="center"/>
    </xf>
    <xf numFmtId="16" fontId="36" fillId="0" borderId="12" xfId="0" applyNumberFormat="1" applyFont="1" applyBorder="1"/>
    <xf numFmtId="3" fontId="47" fillId="0" borderId="0" xfId="0" applyNumberFormat="1" applyFont="1" applyFill="1" applyBorder="1"/>
    <xf numFmtId="165" fontId="41" fillId="0" borderId="0" xfId="0" applyNumberFormat="1" applyFont="1"/>
    <xf numFmtId="165" fontId="31" fillId="0" borderId="12" xfId="35" applyNumberFormat="1" applyFont="1" applyBorder="1" applyAlignment="1"/>
    <xf numFmtId="0" fontId="33" fillId="0" borderId="0" xfId="0" applyFont="1" applyFill="1"/>
    <xf numFmtId="0" fontId="32" fillId="0" borderId="0" xfId="0" applyFont="1" applyFill="1"/>
    <xf numFmtId="17" fontId="32" fillId="0" borderId="0" xfId="0" applyNumberFormat="1" applyFont="1" applyFill="1"/>
    <xf numFmtId="0" fontId="29" fillId="0" borderId="12" xfId="0" applyFont="1" applyFill="1" applyBorder="1" applyAlignment="1">
      <alignment horizontal="center"/>
    </xf>
    <xf numFmtId="0" fontId="29" fillId="0" borderId="0" xfId="0" applyFont="1" applyFill="1"/>
    <xf numFmtId="0" fontId="29" fillId="0" borderId="21" xfId="0" applyFont="1" applyFill="1" applyBorder="1" applyAlignment="1">
      <alignment horizontal="center"/>
    </xf>
    <xf numFmtId="3" fontId="30" fillId="0" borderId="10" xfId="35" applyNumberFormat="1" applyFont="1" applyFill="1" applyBorder="1"/>
    <xf numFmtId="3" fontId="30" fillId="0" borderId="24" xfId="35" applyNumberFormat="1" applyFont="1" applyFill="1" applyBorder="1"/>
    <xf numFmtId="3" fontId="30" fillId="0" borderId="12" xfId="35" applyNumberFormat="1" applyFont="1" applyFill="1" applyBorder="1"/>
    <xf numFmtId="165" fontId="30" fillId="0" borderId="12" xfId="35" applyNumberFormat="1" applyFont="1" applyFill="1" applyBorder="1" applyAlignment="1">
      <alignment horizontal="right"/>
    </xf>
    <xf numFmtId="164" fontId="30" fillId="0" borderId="0" xfId="35" applyFont="1" applyFill="1" applyBorder="1" applyAlignment="1">
      <alignment horizontal="right"/>
    </xf>
    <xf numFmtId="3" fontId="31" fillId="0" borderId="12" xfId="0" applyNumberFormat="1" applyFont="1" applyFill="1" applyBorder="1" applyAlignment="1">
      <alignment horizontal="center" vertical="center"/>
    </xf>
    <xf numFmtId="3" fontId="33" fillId="0" borderId="0" xfId="0" applyNumberFormat="1" applyFont="1"/>
    <xf numFmtId="0" fontId="61" fillId="0" borderId="0" xfId="0" applyFont="1"/>
    <xf numFmtId="165" fontId="35" fillId="0" borderId="0" xfId="35" applyNumberFormat="1" applyFont="1"/>
    <xf numFmtId="165" fontId="35" fillId="24" borderId="12" xfId="35" applyNumberFormat="1" applyFont="1" applyFill="1" applyBorder="1"/>
    <xf numFmtId="165" fontId="35" fillId="20" borderId="12" xfId="35" applyNumberFormat="1" applyFont="1" applyFill="1" applyBorder="1"/>
    <xf numFmtId="0" fontId="41" fillId="24" borderId="0" xfId="0" applyFont="1" applyFill="1"/>
    <xf numFmtId="0" fontId="38" fillId="0" borderId="0" xfId="0" applyFont="1"/>
    <xf numFmtId="165" fontId="37" fillId="0" borderId="0" xfId="35" applyNumberFormat="1" applyFont="1" applyBorder="1"/>
    <xf numFmtId="165" fontId="37" fillId="26" borderId="12" xfId="35" applyNumberFormat="1" applyFont="1" applyFill="1" applyBorder="1" applyAlignment="1">
      <alignment vertical="center"/>
    </xf>
    <xf numFmtId="0" fontId="37" fillId="0" borderId="0" xfId="0" applyFont="1" applyAlignment="1">
      <alignment vertical="center"/>
    </xf>
    <xf numFmtId="164" fontId="37" fillId="0" borderId="0" xfId="35" applyFont="1" applyAlignment="1">
      <alignment vertical="center"/>
    </xf>
    <xf numFmtId="0" fontId="37" fillId="0" borderId="12" xfId="0" applyFont="1" applyBorder="1"/>
    <xf numFmtId="164" fontId="37" fillId="0" borderId="12" xfId="35" applyFont="1" applyBorder="1"/>
    <xf numFmtId="165" fontId="37" fillId="0" borderId="12" xfId="0" applyNumberFormat="1" applyFont="1" applyBorder="1"/>
    <xf numFmtId="165" fontId="37" fillId="0" borderId="0" xfId="0" applyNumberFormat="1" applyFont="1"/>
    <xf numFmtId="0" fontId="37" fillId="0" borderId="10" xfId="0" applyFont="1" applyFill="1" applyBorder="1" applyAlignment="1">
      <alignment horizontal="center"/>
    </xf>
    <xf numFmtId="0" fontId="37" fillId="0" borderId="29" xfId="0" applyFont="1" applyFill="1" applyBorder="1" applyAlignment="1">
      <alignment horizontal="center"/>
    </xf>
    <xf numFmtId="0" fontId="37" fillId="0" borderId="24" xfId="0" applyFont="1" applyFill="1" applyBorder="1" applyAlignment="1">
      <alignment horizontal="center"/>
    </xf>
    <xf numFmtId="0" fontId="9" fillId="0" borderId="0" xfId="0" applyFont="1" applyFill="1"/>
    <xf numFmtId="17" fontId="30" fillId="0" borderId="0" xfId="0" applyNumberFormat="1" applyFont="1"/>
    <xf numFmtId="0" fontId="9" fillId="31" borderId="0" xfId="0" applyFont="1" applyFill="1"/>
    <xf numFmtId="165" fontId="30" fillId="0" borderId="0" xfId="0" applyNumberFormat="1" applyFont="1" applyBorder="1"/>
    <xf numFmtId="165" fontId="29" fillId="0" borderId="12" xfId="35" applyNumberFormat="1" applyFont="1" applyFill="1" applyBorder="1"/>
    <xf numFmtId="165" fontId="29" fillId="0" borderId="12" xfId="0" applyNumberFormat="1" applyFont="1" applyFill="1" applyBorder="1"/>
    <xf numFmtId="165" fontId="29" fillId="31" borderId="12" xfId="35" applyNumberFormat="1" applyFont="1" applyFill="1" applyBorder="1"/>
    <xf numFmtId="165" fontId="37" fillId="31" borderId="12" xfId="35" applyNumberFormat="1" applyFont="1" applyFill="1" applyBorder="1" applyAlignment="1">
      <alignment vertical="center"/>
    </xf>
    <xf numFmtId="165" fontId="33" fillId="31" borderId="0" xfId="35" applyNumberFormat="1" applyFont="1" applyFill="1" applyBorder="1" applyAlignment="1">
      <alignment vertical="center"/>
    </xf>
    <xf numFmtId="165" fontId="33" fillId="31" borderId="12" xfId="35" applyNumberFormat="1" applyFont="1" applyFill="1" applyBorder="1" applyAlignment="1">
      <alignment vertical="center"/>
    </xf>
    <xf numFmtId="0" fontId="9" fillId="0" borderId="12" xfId="0" applyFont="1" applyFill="1" applyBorder="1"/>
    <xf numFmtId="0" fontId="45" fillId="0" borderId="12" xfId="0" applyFont="1" applyFill="1" applyBorder="1" applyAlignment="1">
      <alignment horizontal="center"/>
    </xf>
    <xf numFmtId="0" fontId="54" fillId="0" borderId="0" xfId="0" applyFont="1" applyAlignment="1">
      <alignment horizontal="left"/>
    </xf>
    <xf numFmtId="0" fontId="54" fillId="0" borderId="0" xfId="0" applyFont="1" applyBorder="1" applyAlignment="1">
      <alignment horizontal="center" vertical="center" wrapText="1"/>
    </xf>
    <xf numFmtId="0" fontId="52" fillId="27" borderId="12" xfId="0" applyFont="1" applyFill="1" applyBorder="1" applyAlignment="1">
      <alignment horizontal="center"/>
    </xf>
    <xf numFmtId="0" fontId="52" fillId="27" borderId="12" xfId="0" applyFont="1" applyFill="1" applyBorder="1"/>
    <xf numFmtId="165" fontId="52" fillId="27" borderId="12" xfId="35" applyNumberFormat="1" applyFont="1" applyFill="1" applyBorder="1"/>
    <xf numFmtId="165" fontId="9" fillId="0" borderId="12" xfId="35" applyNumberFormat="1" applyFont="1" applyBorder="1" applyAlignment="1">
      <alignment horizontal="center"/>
    </xf>
    <xf numFmtId="17" fontId="41" fillId="0" borderId="0" xfId="0" applyNumberFormat="1" applyFont="1"/>
    <xf numFmtId="0" fontId="32" fillId="31" borderId="12" xfId="0" applyFont="1" applyFill="1" applyBorder="1" applyAlignment="1">
      <alignment horizontal="center"/>
    </xf>
    <xf numFmtId="165" fontId="33" fillId="31" borderId="12" xfId="35" applyNumberFormat="1" applyFont="1" applyFill="1" applyBorder="1" applyProtection="1">
      <protection locked="0"/>
    </xf>
    <xf numFmtId="0" fontId="29" fillId="31" borderId="12" xfId="0" applyFont="1" applyFill="1" applyBorder="1" applyAlignment="1">
      <alignment horizontal="center"/>
    </xf>
    <xf numFmtId="164" fontId="37" fillId="31" borderId="12" xfId="35" applyFont="1" applyFill="1" applyBorder="1" applyAlignment="1" applyProtection="1">
      <alignment horizontal="center" vertical="center"/>
      <protection locked="0"/>
    </xf>
    <xf numFmtId="164" fontId="30" fillId="31" borderId="12" xfId="35" applyFont="1" applyFill="1" applyBorder="1" applyAlignment="1" applyProtection="1">
      <alignment horizontal="center" vertical="center"/>
      <protection locked="0"/>
    </xf>
    <xf numFmtId="3" fontId="30" fillId="31" borderId="12" xfId="0" applyNumberFormat="1" applyFont="1" applyFill="1" applyBorder="1" applyProtection="1">
      <protection locked="0"/>
    </xf>
    <xf numFmtId="165" fontId="33" fillId="24" borderId="12" xfId="35" applyNumberFormat="1" applyFont="1" applyFill="1" applyBorder="1"/>
    <xf numFmtId="165" fontId="33" fillId="23" borderId="0" xfId="35" applyNumberFormat="1" applyFont="1" applyFill="1" applyBorder="1" applyAlignment="1">
      <alignment vertical="center"/>
    </xf>
    <xf numFmtId="164" fontId="33" fillId="31" borderId="12" xfId="35" applyFont="1" applyFill="1" applyBorder="1" applyAlignment="1">
      <alignment vertical="center"/>
    </xf>
    <xf numFmtId="165" fontId="32" fillId="31" borderId="12" xfId="35" applyNumberFormat="1" applyFont="1" applyFill="1" applyBorder="1"/>
    <xf numFmtId="165" fontId="33" fillId="31" borderId="12" xfId="35" applyNumberFormat="1" applyFont="1" applyFill="1" applyBorder="1"/>
    <xf numFmtId="165" fontId="45" fillId="0" borderId="12" xfId="0" applyNumberFormat="1" applyFont="1" applyBorder="1" applyAlignment="1">
      <alignment horizontal="center"/>
    </xf>
    <xf numFmtId="165" fontId="9" fillId="0" borderId="0" xfId="0" applyNumberFormat="1" applyFont="1"/>
    <xf numFmtId="3" fontId="67" fillId="31" borderId="22" xfId="0" applyNumberFormat="1" applyFont="1" applyFill="1" applyBorder="1"/>
    <xf numFmtId="0" fontId="41" fillId="0" borderId="0" xfId="0" applyFont="1" applyBorder="1"/>
    <xf numFmtId="0" fontId="31" fillId="0" borderId="0" xfId="0" applyFont="1" applyBorder="1" applyAlignment="1">
      <alignment horizontal="center"/>
    </xf>
    <xf numFmtId="16" fontId="41" fillId="0" borderId="0" xfId="0" applyNumberFormat="1" applyFont="1" applyBorder="1"/>
    <xf numFmtId="3" fontId="47" fillId="0" borderId="0" xfId="35" applyNumberFormat="1" applyFont="1" applyBorder="1"/>
    <xf numFmtId="0" fontId="36" fillId="0" borderId="0" xfId="0" applyFont="1" applyBorder="1"/>
    <xf numFmtId="0" fontId="52" fillId="0" borderId="79" xfId="0" applyFont="1" applyBorder="1" applyAlignment="1">
      <alignment horizontal="center"/>
    </xf>
    <xf numFmtId="0" fontId="52" fillId="0" borderId="79" xfId="0" applyFont="1" applyBorder="1"/>
    <xf numFmtId="0" fontId="54" fillId="0" borderId="79" xfId="0" applyFont="1" applyBorder="1" applyAlignment="1">
      <alignment horizontal="center" vertical="center" wrapText="1"/>
    </xf>
    <xf numFmtId="0" fontId="72" fillId="0" borderId="0" xfId="0" applyFont="1" applyFill="1"/>
    <xf numFmtId="0" fontId="48" fillId="0" borderId="0" xfId="0" applyFont="1" applyFill="1" applyBorder="1" applyAlignment="1">
      <alignment horizontal="center" vertical="center"/>
    </xf>
    <xf numFmtId="0" fontId="52" fillId="0" borderId="0" xfId="0" applyFont="1" applyFill="1"/>
    <xf numFmtId="0" fontId="59" fillId="0" borderId="0" xfId="0" applyFont="1" applyFill="1"/>
    <xf numFmtId="0" fontId="73" fillId="0" borderId="0" xfId="0" applyFont="1" applyFill="1"/>
    <xf numFmtId="0" fontId="42" fillId="0" borderId="0" xfId="0" applyFont="1" applyFill="1" applyAlignment="1">
      <alignment vertical="center"/>
    </xf>
    <xf numFmtId="0" fontId="50" fillId="0" borderId="0" xfId="0" applyFont="1" applyFill="1" applyBorder="1" applyAlignment="1">
      <alignment horizontal="center" vertical="center"/>
    </xf>
    <xf numFmtId="0" fontId="46" fillId="0" borderId="0" xfId="0" applyFont="1" applyFill="1"/>
    <xf numFmtId="0" fontId="74" fillId="24" borderId="0" xfId="0" applyFont="1" applyFill="1"/>
    <xf numFmtId="3" fontId="76" fillId="31" borderId="12" xfId="35" applyNumberFormat="1" applyFont="1" applyFill="1" applyBorder="1" applyAlignment="1">
      <alignment horizontal="center"/>
    </xf>
    <xf numFmtId="3" fontId="77" fillId="31" borderId="12" xfId="0" applyNumberFormat="1" applyFont="1" applyFill="1" applyBorder="1" applyAlignment="1" applyProtection="1">
      <alignment horizontal="center" vertical="center"/>
      <protection locked="0"/>
    </xf>
    <xf numFmtId="165" fontId="32" fillId="31" borderId="12" xfId="35" applyNumberFormat="1" applyFont="1" applyFill="1" applyBorder="1" applyAlignment="1">
      <alignment horizontal="center"/>
    </xf>
    <xf numFmtId="0" fontId="58" fillId="31" borderId="0" xfId="0" applyFont="1" applyFill="1"/>
    <xf numFmtId="3" fontId="37" fillId="0" borderId="12" xfId="0" applyNumberFormat="1" applyFont="1" applyFill="1" applyBorder="1"/>
    <xf numFmtId="0" fontId="37" fillId="0" borderId="12" xfId="0" applyFont="1" applyFill="1" applyBorder="1"/>
    <xf numFmtId="166" fontId="40" fillId="0" borderId="0" xfId="0" applyNumberFormat="1" applyFont="1"/>
    <xf numFmtId="3" fontId="9" fillId="0" borderId="0" xfId="0" applyNumberFormat="1" applyFont="1"/>
    <xf numFmtId="0" fontId="69" fillId="0" borderId="12" xfId="0" applyNumberFormat="1" applyFont="1" applyFill="1" applyBorder="1" applyAlignment="1">
      <alignment horizontal="center"/>
    </xf>
    <xf numFmtId="0" fontId="69" fillId="0" borderId="12" xfId="35" applyNumberFormat="1" applyFont="1" applyFill="1" applyBorder="1" applyAlignment="1">
      <alignment horizontal="center" vertical="center"/>
    </xf>
    <xf numFmtId="170" fontId="69" fillId="0" borderId="12" xfId="35" applyNumberFormat="1" applyFont="1" applyFill="1" applyBorder="1" applyAlignment="1">
      <alignment horizontal="center"/>
    </xf>
    <xf numFmtId="3" fontId="69" fillId="0" borderId="34" xfId="0" applyNumberFormat="1" applyFont="1" applyFill="1" applyBorder="1"/>
    <xf numFmtId="3" fontId="69" fillId="0" borderId="34" xfId="0" applyNumberFormat="1" applyFont="1" applyFill="1" applyBorder="1" applyAlignment="1">
      <alignment horizontal="center"/>
    </xf>
    <xf numFmtId="3" fontId="77" fillId="0" borderId="12" xfId="0" applyNumberFormat="1" applyFont="1" applyFill="1" applyBorder="1" applyAlignment="1" applyProtection="1">
      <alignment horizontal="center" vertical="center"/>
      <protection locked="0"/>
    </xf>
    <xf numFmtId="0" fontId="78" fillId="24" borderId="0" xfId="0" applyFont="1" applyFill="1"/>
    <xf numFmtId="0" fontId="52" fillId="0" borderId="79" xfId="0" applyFont="1" applyBorder="1" applyAlignment="1"/>
    <xf numFmtId="0" fontId="52" fillId="22" borderId="79" xfId="0" applyFont="1" applyFill="1" applyBorder="1" applyAlignment="1"/>
    <xf numFmtId="165" fontId="9" fillId="0" borderId="0" xfId="35" applyNumberFormat="1" applyFont="1"/>
    <xf numFmtId="3" fontId="41" fillId="0" borderId="0" xfId="0" applyNumberFormat="1" applyFont="1"/>
    <xf numFmtId="0" fontId="9" fillId="0" borderId="12" xfId="0" applyFont="1" applyBorder="1"/>
    <xf numFmtId="3" fontId="37" fillId="34" borderId="12" xfId="0" applyNumberFormat="1" applyFont="1" applyFill="1" applyBorder="1"/>
    <xf numFmtId="3" fontId="69" fillId="34" borderId="22" xfId="0" applyNumberFormat="1" applyFont="1" applyFill="1" applyBorder="1" applyAlignment="1">
      <alignment horizontal="center"/>
    </xf>
    <xf numFmtId="3" fontId="69" fillId="34" borderId="12" xfId="0" applyNumberFormat="1" applyFont="1" applyFill="1" applyBorder="1" applyAlignment="1">
      <alignment horizontal="right"/>
    </xf>
    <xf numFmtId="3" fontId="51" fillId="0" borderId="0" xfId="0" applyNumberFormat="1" applyFont="1"/>
    <xf numFmtId="3" fontId="56" fillId="0" borderId="12" xfId="0" applyNumberFormat="1" applyFont="1" applyBorder="1"/>
    <xf numFmtId="0" fontId="9" fillId="0" borderId="0" xfId="0" applyFont="1" applyFill="1" applyBorder="1"/>
    <xf numFmtId="0" fontId="56" fillId="0" borderId="12" xfId="0" applyFont="1" applyBorder="1"/>
    <xf numFmtId="0" fontId="45" fillId="0" borderId="12" xfId="0" applyFont="1" applyBorder="1" applyAlignment="1">
      <alignment horizontal="center" wrapText="1"/>
    </xf>
    <xf numFmtId="0" fontId="83" fillId="0" borderId="0" xfId="0" applyFont="1"/>
    <xf numFmtId="0" fontId="82" fillId="0" borderId="0" xfId="0" applyFont="1"/>
    <xf numFmtId="0" fontId="86" fillId="24" borderId="0" xfId="0" applyFont="1" applyFill="1"/>
    <xf numFmtId="0" fontId="87" fillId="24" borderId="0" xfId="0" applyFont="1" applyFill="1"/>
    <xf numFmtId="0" fontId="88" fillId="24" borderId="0" xfId="0" applyFont="1" applyFill="1"/>
    <xf numFmtId="0" fontId="89" fillId="0" borderId="0" xfId="0" applyFont="1"/>
    <xf numFmtId="0" fontId="53" fillId="0" borderId="0" xfId="0" applyFont="1" applyBorder="1"/>
    <xf numFmtId="0" fontId="82" fillId="24" borderId="0" xfId="0" applyFont="1" applyFill="1"/>
    <xf numFmtId="0" fontId="48" fillId="0" borderId="12" xfId="0" applyFont="1" applyBorder="1" applyAlignment="1">
      <alignment horizontal="center"/>
    </xf>
    <xf numFmtId="0" fontId="61" fillId="0" borderId="0" xfId="0" applyFont="1" applyFill="1"/>
    <xf numFmtId="165" fontId="29" fillId="0" borderId="12" xfId="35" applyNumberFormat="1" applyFont="1" applyFill="1" applyBorder="1" applyAlignment="1"/>
    <xf numFmtId="0" fontId="31" fillId="0" borderId="12" xfId="0" applyFont="1" applyBorder="1" applyAlignment="1">
      <alignment horizontal="center"/>
    </xf>
    <xf numFmtId="0" fontId="32" fillId="0" borderId="10" xfId="0" applyFont="1" applyBorder="1" applyAlignment="1">
      <alignment horizontal="center"/>
    </xf>
    <xf numFmtId="0" fontId="54" fillId="0" borderId="79" xfId="0" applyFont="1" applyBorder="1" applyAlignment="1">
      <alignment horizontal="center"/>
    </xf>
    <xf numFmtId="165" fontId="30" fillId="0" borderId="0" xfId="35" applyNumberFormat="1" applyFont="1" applyFill="1" applyBorder="1" applyAlignment="1">
      <alignment horizontal="center" vertical="center"/>
    </xf>
    <xf numFmtId="0" fontId="9" fillId="0" borderId="0" xfId="0" applyFont="1" applyBorder="1" applyAlignment="1">
      <alignment horizontal="center" vertical="center"/>
    </xf>
    <xf numFmtId="165" fontId="30" fillId="0" borderId="0" xfId="35" applyNumberFormat="1" applyFont="1" applyBorder="1" applyAlignment="1">
      <alignment horizontal="center"/>
    </xf>
    <xf numFmtId="0" fontId="32" fillId="0" borderId="11" xfId="0" applyFont="1" applyBorder="1" applyAlignment="1">
      <alignment horizontal="center" vertical="center"/>
    </xf>
    <xf numFmtId="0" fontId="32" fillId="0" borderId="22" xfId="0" applyFont="1" applyBorder="1" applyAlignment="1">
      <alignment horizontal="center" vertical="center"/>
    </xf>
    <xf numFmtId="0" fontId="32" fillId="0" borderId="21" xfId="0" applyFont="1" applyBorder="1" applyAlignment="1">
      <alignment horizontal="center" vertical="center"/>
    </xf>
    <xf numFmtId="0" fontId="31" fillId="0" borderId="22" xfId="0" applyFont="1" applyBorder="1" applyAlignment="1">
      <alignment horizontal="center" vertical="center"/>
    </xf>
    <xf numFmtId="0" fontId="30" fillId="0" borderId="12" xfId="0" applyFont="1" applyBorder="1" applyAlignment="1">
      <alignment horizontal="center"/>
    </xf>
    <xf numFmtId="0" fontId="52" fillId="0" borderId="0" xfId="0" applyFont="1" applyFill="1" applyBorder="1" applyAlignment="1"/>
    <xf numFmtId="0" fontId="9" fillId="0" borderId="0" xfId="0" applyFont="1" applyAlignment="1"/>
    <xf numFmtId="3" fontId="36" fillId="0" borderId="0" xfId="0" applyNumberFormat="1" applyFont="1" applyFill="1"/>
    <xf numFmtId="0" fontId="36" fillId="0" borderId="12" xfId="0" applyFont="1" applyFill="1" applyBorder="1"/>
    <xf numFmtId="3" fontId="37" fillId="24" borderId="12" xfId="0" applyNumberFormat="1" applyFont="1" applyFill="1" applyBorder="1"/>
    <xf numFmtId="3" fontId="69" fillId="24" borderId="12" xfId="0" applyNumberFormat="1" applyFont="1" applyFill="1" applyBorder="1" applyAlignment="1">
      <alignment horizontal="center"/>
    </xf>
    <xf numFmtId="3" fontId="69" fillId="24" borderId="12" xfId="0" applyNumberFormat="1" applyFont="1" applyFill="1" applyBorder="1" applyAlignment="1">
      <alignment horizontal="right"/>
    </xf>
    <xf numFmtId="3" fontId="67" fillId="0" borderId="0" xfId="0" applyNumberFormat="1" applyFont="1"/>
    <xf numFmtId="0" fontId="9" fillId="24" borderId="0" xfId="0" applyFont="1" applyFill="1"/>
    <xf numFmtId="14" fontId="91" fillId="0" borderId="0" xfId="0" applyNumberFormat="1" applyFont="1"/>
    <xf numFmtId="0" fontId="91" fillId="0" borderId="0" xfId="0" applyFont="1"/>
    <xf numFmtId="43" fontId="91" fillId="24" borderId="12" xfId="35" applyNumberFormat="1" applyFont="1" applyFill="1" applyBorder="1"/>
    <xf numFmtId="0" fontId="9" fillId="0" borderId="12" xfId="0" applyFont="1" applyFill="1" applyBorder="1" applyAlignment="1">
      <alignment horizontal="center"/>
    </xf>
    <xf numFmtId="0" fontId="87" fillId="0" borderId="0" xfId="0" applyFont="1"/>
    <xf numFmtId="0" fontId="9" fillId="0" borderId="0" xfId="0" applyFont="1" applyAlignment="1">
      <alignment horizontal="center"/>
    </xf>
    <xf numFmtId="0" fontId="9" fillId="0" borderId="12" xfId="0" applyFont="1" applyBorder="1" applyAlignment="1">
      <alignment horizontal="left"/>
    </xf>
    <xf numFmtId="0" fontId="9" fillId="0" borderId="11" xfId="0" applyFont="1" applyBorder="1"/>
    <xf numFmtId="165" fontId="45" fillId="0" borderId="12" xfId="35" applyNumberFormat="1" applyFont="1" applyBorder="1"/>
    <xf numFmtId="165" fontId="9" fillId="0" borderId="0" xfId="0" applyNumberFormat="1" applyFont="1" applyBorder="1"/>
    <xf numFmtId="0" fontId="31" fillId="0" borderId="0" xfId="0" applyFont="1" applyFill="1"/>
    <xf numFmtId="0" fontId="32" fillId="0" borderId="12" xfId="0" applyFont="1" applyFill="1" applyBorder="1" applyAlignment="1">
      <alignment horizontal="center" vertical="center"/>
    </xf>
    <xf numFmtId="165" fontId="32" fillId="0" borderId="12" xfId="35" applyNumberFormat="1" applyFont="1" applyFill="1" applyBorder="1" applyAlignment="1">
      <alignment horizontal="center" vertical="center"/>
    </xf>
    <xf numFmtId="0" fontId="54" fillId="0" borderId="0" xfId="0" applyFont="1" applyFill="1" applyBorder="1" applyAlignment="1">
      <alignment horizontal="center" vertical="center"/>
    </xf>
    <xf numFmtId="0" fontId="54" fillId="0" borderId="0" xfId="0" applyFont="1" applyFill="1"/>
    <xf numFmtId="3" fontId="69" fillId="34" borderId="12" xfId="0" applyNumberFormat="1" applyFont="1" applyFill="1" applyBorder="1" applyAlignment="1">
      <alignment horizontal="center" vertical="center"/>
    </xf>
    <xf numFmtId="3" fontId="41" fillId="0" borderId="10" xfId="0" applyNumberFormat="1" applyFont="1" applyBorder="1"/>
    <xf numFmtId="0" fontId="29" fillId="0" borderId="63" xfId="0" applyFont="1" applyBorder="1" applyAlignment="1">
      <alignment horizontal="center"/>
    </xf>
    <xf numFmtId="0" fontId="29" fillId="0" borderId="53" xfId="0" applyFont="1" applyBorder="1" applyAlignment="1">
      <alignment horizontal="center"/>
    </xf>
    <xf numFmtId="16" fontId="30" fillId="0" borderId="57" xfId="0" applyNumberFormat="1" applyFont="1" applyBorder="1"/>
    <xf numFmtId="14" fontId="37" fillId="0" borderId="12" xfId="0" applyNumberFormat="1" applyFont="1" applyBorder="1" applyAlignment="1">
      <alignment horizontal="center"/>
    </xf>
    <xf numFmtId="0" fontId="69" fillId="0" borderId="12" xfId="35" applyNumberFormat="1" applyFont="1" applyFill="1" applyBorder="1" applyAlignment="1">
      <alignment horizontal="center"/>
    </xf>
    <xf numFmtId="3" fontId="54" fillId="32" borderId="13" xfId="0" applyNumberFormat="1" applyFont="1" applyFill="1" applyBorder="1" applyAlignment="1">
      <alignment horizontal="center"/>
    </xf>
    <xf numFmtId="165" fontId="30" fillId="0" borderId="0" xfId="35" applyNumberFormat="1" applyFont="1" applyFill="1" applyBorder="1" applyAlignment="1"/>
    <xf numFmtId="0" fontId="52" fillId="32" borderId="79" xfId="0" applyFont="1" applyFill="1" applyBorder="1" applyAlignment="1">
      <alignment horizontal="center"/>
    </xf>
    <xf numFmtId="0" fontId="31" fillId="0" borderId="0" xfId="0" applyFont="1" applyFill="1" applyBorder="1" applyAlignment="1">
      <alignment vertical="center"/>
    </xf>
    <xf numFmtId="0" fontId="9" fillId="0" borderId="0" xfId="0" applyFont="1" applyAlignment="1">
      <alignment vertical="center"/>
    </xf>
    <xf numFmtId="165" fontId="40" fillId="0" borderId="0" xfId="0" applyNumberFormat="1" applyFont="1"/>
    <xf numFmtId="0" fontId="97" fillId="0" borderId="0" xfId="0" applyFont="1" applyAlignment="1">
      <alignment horizontal="center"/>
    </xf>
    <xf numFmtId="0" fontId="97" fillId="0" borderId="0" xfId="0" applyFont="1" applyAlignment="1">
      <alignment horizontal="center" vertical="center"/>
    </xf>
    <xf numFmtId="0" fontId="97" fillId="0" borderId="0" xfId="0" applyFont="1" applyFill="1" applyAlignment="1">
      <alignment horizontal="center" vertical="center"/>
    </xf>
    <xf numFmtId="0" fontId="97" fillId="0" borderId="0" xfId="0" applyFont="1" applyFill="1" applyAlignment="1"/>
    <xf numFmtId="0" fontId="29" fillId="0" borderId="12" xfId="0" applyFont="1" applyBorder="1" applyAlignment="1">
      <alignment horizontal="center"/>
    </xf>
    <xf numFmtId="0" fontId="97" fillId="0" borderId="0" xfId="0" applyFont="1" applyAlignment="1">
      <alignment horizontal="center" vertical="top"/>
    </xf>
    <xf numFmtId="3" fontId="99" fillId="0" borderId="12" xfId="0" applyNumberFormat="1" applyFont="1" applyFill="1" applyBorder="1" applyAlignment="1">
      <alignment horizontal="center"/>
    </xf>
    <xf numFmtId="3" fontId="99" fillId="34" borderId="22" xfId="0" applyNumberFormat="1" applyFont="1" applyFill="1" applyBorder="1" applyAlignment="1">
      <alignment horizontal="center"/>
    </xf>
    <xf numFmtId="3" fontId="99" fillId="24" borderId="12" xfId="0" applyNumberFormat="1" applyFont="1" applyFill="1" applyBorder="1" applyAlignment="1">
      <alignment horizontal="center"/>
    </xf>
    <xf numFmtId="3" fontId="99" fillId="34" borderId="12" xfId="0" applyNumberFormat="1" applyFont="1" applyFill="1" applyBorder="1" applyAlignment="1">
      <alignment horizontal="center"/>
    </xf>
    <xf numFmtId="0" fontId="30" fillId="0" borderId="0" xfId="0" applyFont="1" applyFill="1" applyAlignment="1">
      <alignment vertical="center"/>
    </xf>
    <xf numFmtId="3" fontId="91" fillId="24" borderId="12" xfId="0" applyNumberFormat="1" applyFont="1" applyFill="1" applyBorder="1"/>
    <xf numFmtId="0" fontId="9" fillId="0" borderId="24" xfId="0" applyFont="1" applyBorder="1"/>
    <xf numFmtId="0" fontId="0" fillId="0" borderId="21" xfId="0" applyBorder="1"/>
    <xf numFmtId="0" fontId="0" fillId="0" borderId="0" xfId="0" applyBorder="1"/>
    <xf numFmtId="0" fontId="9" fillId="0" borderId="63" xfId="0" applyFont="1" applyBorder="1"/>
    <xf numFmtId="0" fontId="9" fillId="0" borderId="64" xfId="0" applyFont="1" applyBorder="1"/>
    <xf numFmtId="0" fontId="9" fillId="0" borderId="31" xfId="0" applyFont="1" applyBorder="1"/>
    <xf numFmtId="170" fontId="98" fillId="0" borderId="0" xfId="35" applyNumberFormat="1" applyFont="1" applyBorder="1"/>
    <xf numFmtId="0" fontId="33" fillId="31" borderId="12" xfId="0" applyFont="1" applyFill="1" applyBorder="1" applyAlignment="1" applyProtection="1">
      <alignment horizontal="left" vertical="center"/>
      <protection locked="0"/>
    </xf>
    <xf numFmtId="165" fontId="91" fillId="24" borderId="12" xfId="35" applyNumberFormat="1" applyFont="1" applyFill="1" applyBorder="1"/>
    <xf numFmtId="165" fontId="103" fillId="0" borderId="12" xfId="35" applyNumberFormat="1" applyFont="1" applyFill="1" applyBorder="1"/>
    <xf numFmtId="165" fontId="103" fillId="0" borderId="12" xfId="35" applyNumberFormat="1" applyFont="1" applyFill="1" applyBorder="1" applyAlignment="1">
      <alignment horizontal="right"/>
    </xf>
    <xf numFmtId="0" fontId="104" fillId="0" borderId="12" xfId="0" applyFont="1" applyFill="1" applyBorder="1" applyAlignment="1">
      <alignment horizontal="center"/>
    </xf>
    <xf numFmtId="0" fontId="104" fillId="0" borderId="12" xfId="0" applyFont="1" applyBorder="1"/>
    <xf numFmtId="165" fontId="104" fillId="0" borderId="12" xfId="0" applyNumberFormat="1" applyFont="1" applyFill="1" applyBorder="1" applyAlignment="1">
      <alignment horizontal="center"/>
    </xf>
    <xf numFmtId="0" fontId="105" fillId="0" borderId="0" xfId="0" applyFont="1"/>
    <xf numFmtId="14" fontId="31" fillId="0" borderId="12" xfId="0" applyNumberFormat="1" applyFont="1" applyBorder="1" applyAlignment="1">
      <alignment horizontal="left"/>
    </xf>
    <xf numFmtId="3" fontId="69" fillId="31" borderId="12" xfId="0" applyNumberFormat="1" applyFont="1" applyFill="1" applyBorder="1" applyAlignment="1">
      <alignment horizontal="right"/>
    </xf>
    <xf numFmtId="165" fontId="0" fillId="0" borderId="0" xfId="0" applyNumberFormat="1"/>
    <xf numFmtId="171" fontId="69" fillId="24" borderId="12" xfId="35" applyNumberFormat="1" applyFont="1" applyFill="1" applyBorder="1" applyAlignment="1">
      <alignment horizontal="center"/>
    </xf>
    <xf numFmtId="165" fontId="29" fillId="24" borderId="12" xfId="35" applyNumberFormat="1" applyFont="1" applyFill="1" applyBorder="1"/>
    <xf numFmtId="0" fontId="37" fillId="24" borderId="12" xfId="0" applyFont="1" applyFill="1" applyBorder="1" applyAlignment="1">
      <alignment horizontal="center"/>
    </xf>
    <xf numFmtId="0" fontId="31" fillId="0" borderId="2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165" fontId="36" fillId="31" borderId="12" xfId="35" applyNumberFormat="1" applyFont="1" applyFill="1" applyBorder="1" applyAlignment="1">
      <alignment vertical="center"/>
    </xf>
    <xf numFmtId="170" fontId="107" fillId="0" borderId="0" xfId="35" applyNumberFormat="1" applyFont="1" applyBorder="1"/>
    <xf numFmtId="0" fontId="51" fillId="0" borderId="12" xfId="0" applyFont="1" applyBorder="1"/>
    <xf numFmtId="165" fontId="56" fillId="0" borderId="62" xfId="35" applyNumberFormat="1" applyFont="1" applyBorder="1"/>
    <xf numFmtId="165" fontId="0" fillId="0" borderId="0" xfId="35" applyNumberFormat="1" applyFont="1" applyBorder="1"/>
    <xf numFmtId="165" fontId="45" fillId="0" borderId="0" xfId="35" applyNumberFormat="1" applyFont="1" applyBorder="1"/>
    <xf numFmtId="165" fontId="0" fillId="0" borderId="12" xfId="35" applyNumberFormat="1" applyFont="1" applyBorder="1"/>
    <xf numFmtId="0" fontId="0" fillId="0" borderId="12" xfId="0" applyBorder="1"/>
    <xf numFmtId="0" fontId="0" fillId="0" borderId="11" xfId="0" applyBorder="1"/>
    <xf numFmtId="165" fontId="0" fillId="0" borderId="11" xfId="35" applyNumberFormat="1" applyFont="1" applyBorder="1"/>
    <xf numFmtId="0" fontId="45" fillId="0" borderId="45" xfId="0" applyFont="1" applyBorder="1"/>
    <xf numFmtId="0" fontId="45" fillId="0" borderId="0" xfId="0" applyFont="1" applyBorder="1"/>
    <xf numFmtId="0" fontId="51" fillId="0" borderId="11" xfId="0" applyFont="1" applyBorder="1"/>
    <xf numFmtId="165" fontId="45" fillId="0" borderId="11" xfId="35" applyNumberFormat="1" applyFont="1" applyBorder="1"/>
    <xf numFmtId="0" fontId="45" fillId="0" borderId="0" xfId="0" applyFont="1" applyAlignment="1">
      <alignment horizontal="center" wrapText="1"/>
    </xf>
    <xf numFmtId="165" fontId="0" fillId="0" borderId="12" xfId="35" applyNumberFormat="1" applyFont="1" applyBorder="1" applyAlignment="1">
      <alignment vertical="center"/>
    </xf>
    <xf numFmtId="0" fontId="45" fillId="0" borderId="21" xfId="0" applyFont="1" applyBorder="1"/>
    <xf numFmtId="0" fontId="9" fillId="0" borderId="21" xfId="0" applyFont="1" applyBorder="1"/>
    <xf numFmtId="165" fontId="45" fillId="0" borderId="21" xfId="0" applyNumberFormat="1" applyFont="1" applyBorder="1"/>
    <xf numFmtId="165" fontId="45" fillId="0" borderId="47" xfId="0" applyNumberFormat="1" applyFont="1" applyBorder="1"/>
    <xf numFmtId="0" fontId="9" fillId="0" borderId="45" xfId="0" applyFont="1" applyBorder="1"/>
    <xf numFmtId="0" fontId="0" fillId="0" borderId="46" xfId="0" applyBorder="1"/>
    <xf numFmtId="0" fontId="45" fillId="0" borderId="63" xfId="0" applyFont="1" applyBorder="1" applyAlignment="1">
      <alignment horizontal="center" wrapText="1"/>
    </xf>
    <xf numFmtId="0" fontId="45" fillId="0" borderId="64" xfId="0" applyFont="1" applyBorder="1" applyAlignment="1">
      <alignment horizontal="center" wrapText="1"/>
    </xf>
    <xf numFmtId="0" fontId="9" fillId="0" borderId="61" xfId="0" applyFont="1" applyBorder="1"/>
    <xf numFmtId="0" fontId="0" fillId="0" borderId="62" xfId="0" applyBorder="1"/>
    <xf numFmtId="165" fontId="45" fillId="0" borderId="62" xfId="0" applyNumberFormat="1" applyFont="1" applyBorder="1"/>
    <xf numFmtId="165" fontId="45" fillId="0" borderId="46" xfId="0" applyNumberFormat="1" applyFont="1" applyBorder="1"/>
    <xf numFmtId="165" fontId="45" fillId="24" borderId="62" xfId="0" applyNumberFormat="1" applyFont="1" applyFill="1" applyBorder="1"/>
    <xf numFmtId="0" fontId="45" fillId="24" borderId="46" xfId="0" applyFont="1" applyFill="1" applyBorder="1" applyAlignment="1">
      <alignment horizontal="center"/>
    </xf>
    <xf numFmtId="165" fontId="45" fillId="24" borderId="46" xfId="0" applyNumberFormat="1" applyFont="1" applyFill="1" applyBorder="1"/>
    <xf numFmtId="0" fontId="0" fillId="0" borderId="56" xfId="0" applyBorder="1"/>
    <xf numFmtId="0" fontId="0" fillId="0" borderId="57" xfId="0" applyBorder="1"/>
    <xf numFmtId="0" fontId="0" fillId="0" borderId="65" xfId="0" applyBorder="1"/>
    <xf numFmtId="0" fontId="0" fillId="0" borderId="72" xfId="0" applyBorder="1"/>
    <xf numFmtId="164" fontId="0" fillId="0" borderId="12" xfId="35" applyFont="1" applyBorder="1"/>
    <xf numFmtId="165" fontId="0" fillId="0" borderId="56" xfId="35" applyNumberFormat="1" applyFont="1" applyBorder="1"/>
    <xf numFmtId="0" fontId="45" fillId="0" borderId="21" xfId="0" applyFont="1" applyBorder="1" applyAlignment="1">
      <alignment horizontal="center"/>
    </xf>
    <xf numFmtId="0" fontId="0" fillId="0" borderId="73" xfId="0" applyBorder="1"/>
    <xf numFmtId="0" fontId="45" fillId="0" borderId="73" xfId="0" applyFont="1" applyBorder="1"/>
    <xf numFmtId="0" fontId="0" fillId="0" borderId="42" xfId="0" applyBorder="1"/>
    <xf numFmtId="0" fontId="0" fillId="0" borderId="43" xfId="0" applyBorder="1"/>
    <xf numFmtId="0" fontId="0" fillId="0" borderId="44" xfId="0" applyBorder="1"/>
    <xf numFmtId="165" fontId="0" fillId="0" borderId="0" xfId="0" applyNumberFormat="1" applyBorder="1"/>
    <xf numFmtId="0" fontId="0" fillId="0" borderId="0" xfId="0" applyFill="1" applyBorder="1"/>
    <xf numFmtId="0" fontId="32" fillId="0" borderId="22" xfId="0" applyFont="1" applyFill="1" applyBorder="1" applyAlignment="1">
      <alignment horizontal="center" vertical="center"/>
    </xf>
    <xf numFmtId="0" fontId="31" fillId="0" borderId="2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14" fontId="32" fillId="36" borderId="33" xfId="0" applyNumberFormat="1" applyFont="1" applyFill="1" applyBorder="1" applyAlignment="1">
      <alignment horizontal="center" vertical="center"/>
    </xf>
    <xf numFmtId="165" fontId="32" fillId="36" borderId="12" xfId="35" applyNumberFormat="1" applyFont="1" applyFill="1" applyBorder="1" applyAlignment="1">
      <alignment vertical="center"/>
    </xf>
    <xf numFmtId="0" fontId="44" fillId="0" borderId="0" xfId="0" applyFont="1" applyFill="1" applyBorder="1" applyAlignment="1">
      <alignment vertical="center"/>
    </xf>
    <xf numFmtId="0" fontId="96" fillId="0" borderId="0" xfId="0" applyFont="1" applyAlignment="1"/>
    <xf numFmtId="165" fontId="0" fillId="0" borderId="0" xfId="35" applyNumberFormat="1" applyFont="1"/>
    <xf numFmtId="3" fontId="91" fillId="24" borderId="22" xfId="0" applyNumberFormat="1" applyFont="1" applyFill="1" applyBorder="1"/>
    <xf numFmtId="165" fontId="91" fillId="24" borderId="22" xfId="35" applyNumberFormat="1" applyFont="1" applyFill="1" applyBorder="1"/>
    <xf numFmtId="43" fontId="91" fillId="24" borderId="22" xfId="35" applyNumberFormat="1" applyFont="1" applyFill="1" applyBorder="1"/>
    <xf numFmtId="0" fontId="91" fillId="24" borderId="87" xfId="0" applyFont="1" applyFill="1" applyBorder="1" applyAlignment="1">
      <alignment horizontal="center"/>
    </xf>
    <xf numFmtId="0" fontId="30" fillId="0" borderId="61" xfId="0" applyFont="1" applyFill="1" applyBorder="1"/>
    <xf numFmtId="0" fontId="47" fillId="0" borderId="0" xfId="0" applyFont="1" applyFill="1"/>
    <xf numFmtId="0" fontId="47" fillId="0" borderId="0" xfId="0" applyFont="1" applyFill="1" applyBorder="1"/>
    <xf numFmtId="171" fontId="69" fillId="0" borderId="0" xfId="0" applyNumberFormat="1" applyFont="1" applyBorder="1"/>
    <xf numFmtId="0" fontId="9" fillId="0" borderId="12" xfId="0" applyFont="1" applyBorder="1" applyAlignment="1">
      <alignment wrapText="1"/>
    </xf>
    <xf numFmtId="165" fontId="37" fillId="0" borderId="12" xfId="35" applyNumberFormat="1" applyFont="1" applyBorder="1"/>
    <xf numFmtId="165" fontId="40" fillId="0" borderId="0" xfId="35" applyNumberFormat="1" applyFont="1"/>
    <xf numFmtId="0" fontId="45" fillId="0" borderId="12" xfId="0" applyFont="1" applyBorder="1" applyAlignment="1">
      <alignment horizontal="center" vertical="center" wrapText="1"/>
    </xf>
    <xf numFmtId="175" fontId="41" fillId="0" borderId="0" xfId="0" applyNumberFormat="1" applyFont="1"/>
    <xf numFmtId="165" fontId="95" fillId="0" borderId="47" xfId="35" applyNumberFormat="1" applyFont="1" applyFill="1" applyBorder="1" applyAlignment="1">
      <alignment horizontal="center"/>
    </xf>
    <xf numFmtId="0" fontId="45" fillId="0" borderId="63" xfId="0" applyFont="1" applyBorder="1"/>
    <xf numFmtId="165" fontId="58" fillId="0" borderId="56" xfId="35" applyNumberFormat="1" applyFont="1" applyBorder="1"/>
    <xf numFmtId="165" fontId="45" fillId="0" borderId="62" xfId="35" applyNumberFormat="1" applyFont="1" applyBorder="1"/>
    <xf numFmtId="3" fontId="40" fillId="32" borderId="12" xfId="0" applyNumberFormat="1" applyFont="1" applyFill="1" applyBorder="1"/>
    <xf numFmtId="3" fontId="40" fillId="37" borderId="12" xfId="0" applyNumberFormat="1" applyFont="1" applyFill="1" applyBorder="1"/>
    <xf numFmtId="3" fontId="40" fillId="24" borderId="12" xfId="0" applyNumberFormat="1" applyFont="1" applyFill="1" applyBorder="1"/>
    <xf numFmtId="0" fontId="106" fillId="0" borderId="0" xfId="0" applyFont="1" applyAlignment="1">
      <alignment horizontal="center" vertical="center"/>
    </xf>
    <xf numFmtId="0" fontId="114" fillId="0" borderId="0" xfId="0" applyFont="1"/>
    <xf numFmtId="0" fontId="45" fillId="0" borderId="0" xfId="0" applyFont="1" applyAlignment="1">
      <alignment horizontal="center" vertical="center" wrapText="1"/>
    </xf>
    <xf numFmtId="0" fontId="0" fillId="0" borderId="10" xfId="0" applyBorder="1"/>
    <xf numFmtId="0" fontId="0" fillId="0" borderId="24" xfId="0" applyBorder="1"/>
    <xf numFmtId="0" fontId="0" fillId="0" borderId="61" xfId="0" applyBorder="1"/>
    <xf numFmtId="0" fontId="0" fillId="0" borderId="60" xfId="0" applyBorder="1"/>
    <xf numFmtId="0" fontId="45" fillId="0" borderId="57" xfId="0" applyFont="1" applyBorder="1" applyAlignment="1">
      <alignment horizontal="center" vertical="center" wrapText="1"/>
    </xf>
    <xf numFmtId="0" fontId="45" fillId="0" borderId="56" xfId="0" applyFont="1" applyBorder="1" applyAlignment="1">
      <alignment horizontal="center" vertical="center" wrapText="1"/>
    </xf>
    <xf numFmtId="0" fontId="0" fillId="0" borderId="69" xfId="0" applyBorder="1"/>
    <xf numFmtId="0" fontId="56" fillId="0" borderId="10" xfId="0" applyFont="1" applyBorder="1" applyAlignment="1">
      <alignment horizontal="center" vertical="center" wrapText="1"/>
    </xf>
    <xf numFmtId="0" fontId="56" fillId="0" borderId="57" xfId="0" applyFont="1" applyBorder="1" applyAlignment="1">
      <alignment horizontal="center" vertical="center" wrapText="1"/>
    </xf>
    <xf numFmtId="0" fontId="96" fillId="0" borderId="0" xfId="0" applyFont="1" applyAlignment="1">
      <alignment horizontal="left"/>
    </xf>
    <xf numFmtId="0" fontId="91" fillId="24" borderId="48" xfId="0" applyFont="1" applyFill="1" applyBorder="1" applyAlignment="1">
      <alignment horizontal="center"/>
    </xf>
    <xf numFmtId="0" fontId="96" fillId="0" borderId="0" xfId="0" applyFont="1" applyAlignment="1">
      <alignment horizontal="right"/>
    </xf>
    <xf numFmtId="0" fontId="60" fillId="0" borderId="0" xfId="0" applyFont="1" applyFill="1" applyBorder="1" applyAlignment="1">
      <alignment vertical="center"/>
    </xf>
    <xf numFmtId="0" fontId="115" fillId="24" borderId="48" xfId="0" applyFont="1" applyFill="1" applyBorder="1" applyAlignment="1">
      <alignment horizontal="center"/>
    </xf>
    <xf numFmtId="0" fontId="91" fillId="24" borderId="39" xfId="0" applyFont="1" applyFill="1" applyBorder="1" applyAlignment="1"/>
    <xf numFmtId="0" fontId="115" fillId="24" borderId="87" xfId="0" applyFont="1" applyFill="1" applyBorder="1" applyAlignment="1">
      <alignment horizontal="center"/>
    </xf>
    <xf numFmtId="0" fontId="91" fillId="24" borderId="38" xfId="0" applyFont="1" applyFill="1" applyBorder="1" applyAlignment="1">
      <alignment horizontal="center"/>
    </xf>
    <xf numFmtId="165" fontId="92" fillId="24" borderId="22" xfId="35" applyNumberFormat="1" applyFont="1" applyFill="1" applyBorder="1"/>
    <xf numFmtId="171" fontId="91" fillId="24" borderId="22" xfId="35" applyNumberFormat="1" applyFont="1" applyFill="1" applyBorder="1"/>
    <xf numFmtId="166" fontId="91" fillId="24" borderId="54" xfId="35" applyNumberFormat="1" applyFont="1" applyFill="1" applyBorder="1"/>
    <xf numFmtId="165" fontId="92" fillId="24" borderId="12" xfId="35" applyNumberFormat="1" applyFont="1" applyFill="1" applyBorder="1"/>
    <xf numFmtId="171" fontId="91" fillId="24" borderId="12" xfId="35" applyNumberFormat="1" applyFont="1" applyFill="1" applyBorder="1"/>
    <xf numFmtId="0" fontId="115" fillId="24" borderId="61" xfId="0" applyFont="1" applyFill="1" applyBorder="1"/>
    <xf numFmtId="165" fontId="92" fillId="24" borderId="62" xfId="35" applyNumberFormat="1" applyFont="1" applyFill="1" applyBorder="1"/>
    <xf numFmtId="164" fontId="92" fillId="24" borderId="62" xfId="35" applyNumberFormat="1" applyFont="1" applyFill="1" applyBorder="1"/>
    <xf numFmtId="0" fontId="40" fillId="0" borderId="0" xfId="0" applyFont="1" applyFill="1" applyBorder="1"/>
    <xf numFmtId="0" fontId="41" fillId="0" borderId="0" xfId="0" applyFont="1" applyAlignment="1"/>
    <xf numFmtId="0" fontId="95" fillId="0" borderId="64" xfId="0" applyFont="1" applyBorder="1" applyAlignment="1">
      <alignment horizontal="center"/>
    </xf>
    <xf numFmtId="0" fontId="45" fillId="0" borderId="12" xfId="0" applyFont="1" applyBorder="1" applyAlignment="1">
      <alignment horizontal="center"/>
    </xf>
    <xf numFmtId="165" fontId="0" fillId="0" borderId="12" xfId="0" applyNumberFormat="1" applyBorder="1"/>
    <xf numFmtId="165" fontId="56" fillId="0" borderId="12" xfId="0" applyNumberFormat="1" applyFont="1" applyBorder="1"/>
    <xf numFmtId="165" fontId="56" fillId="0" borderId="0" xfId="0" applyNumberFormat="1" applyFont="1" applyBorder="1"/>
    <xf numFmtId="0" fontId="0" fillId="0" borderId="39" xfId="0" applyBorder="1"/>
    <xf numFmtId="0" fontId="0" fillId="0" borderId="41" xfId="0" applyBorder="1"/>
    <xf numFmtId="0" fontId="45" fillId="0" borderId="56" xfId="0" applyFont="1" applyFill="1" applyBorder="1" applyAlignment="1">
      <alignment horizontal="center"/>
    </xf>
    <xf numFmtId="0" fontId="56" fillId="0" borderId="55" xfId="0" applyFont="1" applyBorder="1"/>
    <xf numFmtId="0" fontId="32" fillId="25" borderId="12" xfId="0" applyFont="1" applyFill="1" applyBorder="1" applyAlignment="1">
      <alignment horizontal="center" vertical="center"/>
    </xf>
    <xf numFmtId="0" fontId="32" fillId="20" borderId="12" xfId="0" applyFont="1" applyFill="1" applyBorder="1" applyAlignment="1">
      <alignment horizontal="center" vertical="center"/>
    </xf>
    <xf numFmtId="0" fontId="57" fillId="0" borderId="13" xfId="0" applyFont="1" applyBorder="1" applyAlignment="1">
      <alignment vertical="center"/>
    </xf>
    <xf numFmtId="0" fontId="33" fillId="0" borderId="12" xfId="0" applyFont="1" applyBorder="1" applyAlignment="1">
      <alignment vertical="center"/>
    </xf>
    <xf numFmtId="0" fontId="40" fillId="0" borderId="0" xfId="0" applyFont="1" applyAlignment="1">
      <alignment vertical="center"/>
    </xf>
    <xf numFmtId="166" fontId="32" fillId="23" borderId="12" xfId="35" applyNumberFormat="1" applyFont="1" applyFill="1" applyBorder="1" applyAlignment="1">
      <alignment vertical="center"/>
    </xf>
    <xf numFmtId="0" fontId="33" fillId="0" borderId="13" xfId="0" applyFont="1" applyBorder="1" applyAlignment="1">
      <alignment vertical="center"/>
    </xf>
    <xf numFmtId="166" fontId="32" fillId="0" borderId="12" xfId="35" applyNumberFormat="1" applyFont="1" applyFill="1" applyBorder="1" applyAlignment="1">
      <alignment vertical="center"/>
    </xf>
    <xf numFmtId="166" fontId="32" fillId="0" borderId="10" xfId="35" applyNumberFormat="1" applyFont="1" applyFill="1" applyBorder="1" applyAlignment="1">
      <alignment vertical="center"/>
    </xf>
    <xf numFmtId="166" fontId="32" fillId="0" borderId="12" xfId="35" applyNumberFormat="1" applyFont="1" applyBorder="1" applyAlignment="1">
      <alignment vertical="center"/>
    </xf>
    <xf numFmtId="166" fontId="32" fillId="0" borderId="10" xfId="35" applyNumberFormat="1" applyFont="1" applyBorder="1" applyAlignment="1">
      <alignment vertical="center"/>
    </xf>
    <xf numFmtId="166" fontId="32" fillId="20" borderId="12" xfId="35" applyNumberFormat="1" applyFont="1" applyFill="1" applyBorder="1" applyAlignment="1">
      <alignment vertical="center"/>
    </xf>
    <xf numFmtId="166" fontId="32" fillId="20" borderId="10" xfId="35" applyNumberFormat="1" applyFont="1" applyFill="1" applyBorder="1" applyAlignment="1">
      <alignment vertical="center"/>
    </xf>
    <xf numFmtId="166" fontId="33" fillId="0" borderId="12" xfId="0" applyNumberFormat="1" applyFont="1" applyBorder="1" applyAlignment="1">
      <alignment vertical="center"/>
    </xf>
    <xf numFmtId="166" fontId="32" fillId="0" borderId="12" xfId="0" applyNumberFormat="1" applyFont="1" applyBorder="1" applyAlignment="1">
      <alignment vertical="center"/>
    </xf>
    <xf numFmtId="166" fontId="32" fillId="34" borderId="12" xfId="35" applyNumberFormat="1" applyFont="1" applyFill="1" applyBorder="1" applyAlignment="1">
      <alignment vertical="center"/>
    </xf>
    <xf numFmtId="0" fontId="32" fillId="0" borderId="12" xfId="0" applyFont="1" applyFill="1" applyBorder="1" applyAlignment="1">
      <alignment vertical="center"/>
    </xf>
    <xf numFmtId="166" fontId="32" fillId="20" borderId="12" xfId="0" applyNumberFormat="1" applyFont="1" applyFill="1" applyBorder="1" applyAlignment="1">
      <alignment vertical="center"/>
    </xf>
    <xf numFmtId="0" fontId="33" fillId="0" borderId="0" xfId="0" applyFont="1" applyBorder="1" applyAlignment="1">
      <alignment vertical="center"/>
    </xf>
    <xf numFmtId="0" fontId="31" fillId="0" borderId="13" xfId="0" applyFont="1" applyBorder="1" applyAlignment="1">
      <alignment vertical="center"/>
    </xf>
    <xf numFmtId="0" fontId="33" fillId="0" borderId="21" xfId="0" applyFont="1" applyBorder="1" applyAlignment="1">
      <alignment vertical="center"/>
    </xf>
    <xf numFmtId="169" fontId="37" fillId="0" borderId="12" xfId="0" applyNumberFormat="1" applyFont="1" applyBorder="1" applyAlignment="1">
      <alignment vertical="center"/>
    </xf>
    <xf numFmtId="9" fontId="33" fillId="0" borderId="0" xfId="1418" applyFont="1" applyBorder="1"/>
    <xf numFmtId="176" fontId="33" fillId="0" borderId="0" xfId="35" applyNumberFormat="1" applyFont="1" applyFill="1" applyBorder="1"/>
    <xf numFmtId="0" fontId="52" fillId="0" borderId="80" xfId="0" applyFont="1" applyBorder="1" applyAlignment="1"/>
    <xf numFmtId="0" fontId="52" fillId="0" borderId="81" xfId="0" applyFont="1" applyBorder="1" applyAlignment="1"/>
    <xf numFmtId="0" fontId="56" fillId="0" borderId="64" xfId="0" applyFont="1" applyBorder="1" applyAlignment="1">
      <alignment horizontal="center"/>
    </xf>
    <xf numFmtId="0" fontId="0" fillId="0" borderId="0" xfId="0" applyAlignment="1">
      <alignment wrapText="1"/>
    </xf>
    <xf numFmtId="165" fontId="56" fillId="0" borderId="0" xfId="0" applyNumberFormat="1" applyFont="1" applyBorder="1" applyAlignment="1">
      <alignment wrapText="1"/>
    </xf>
    <xf numFmtId="0" fontId="0" fillId="0" borderId="0" xfId="0" applyBorder="1" applyAlignment="1">
      <alignment wrapText="1"/>
    </xf>
    <xf numFmtId="165" fontId="0" fillId="0" borderId="0" xfId="35" applyNumberFormat="1" applyFont="1" applyBorder="1" applyAlignment="1">
      <alignment wrapText="1"/>
    </xf>
    <xf numFmtId="0" fontId="56" fillId="0" borderId="0" xfId="0" applyFont="1" applyBorder="1" applyAlignment="1">
      <alignment wrapText="1"/>
    </xf>
    <xf numFmtId="0" fontId="115" fillId="24" borderId="33" xfId="0" applyFont="1" applyFill="1" applyBorder="1"/>
    <xf numFmtId="0" fontId="115" fillId="24" borderId="57" xfId="0" applyFont="1" applyFill="1" applyBorder="1"/>
    <xf numFmtId="0" fontId="122" fillId="0" borderId="0" xfId="0" applyFont="1" applyBorder="1" applyAlignment="1">
      <alignment wrapText="1"/>
    </xf>
    <xf numFmtId="165" fontId="0" fillId="0" borderId="0" xfId="0" applyNumberFormat="1" applyAlignment="1">
      <alignment wrapText="1"/>
    </xf>
    <xf numFmtId="0" fontId="121" fillId="0" borderId="10" xfId="0" applyFont="1" applyBorder="1" applyAlignment="1">
      <alignment wrapText="1"/>
    </xf>
    <xf numFmtId="0" fontId="122" fillId="0" borderId="10" xfId="0" applyFont="1" applyBorder="1" applyAlignment="1">
      <alignment wrapText="1"/>
    </xf>
    <xf numFmtId="0" fontId="56" fillId="0" borderId="10" xfId="0" applyFont="1" applyBorder="1" applyAlignment="1">
      <alignment wrapText="1"/>
    </xf>
    <xf numFmtId="3" fontId="32" fillId="0" borderId="84" xfId="35" applyNumberFormat="1" applyFont="1" applyBorder="1" applyAlignment="1">
      <alignment horizontal="center" vertical="center" wrapText="1"/>
    </xf>
    <xf numFmtId="3" fontId="40" fillId="0" borderId="84" xfId="35" applyNumberFormat="1" applyFont="1" applyBorder="1" applyAlignment="1">
      <alignment horizontal="center" wrapText="1"/>
    </xf>
    <xf numFmtId="165" fontId="56" fillId="0" borderId="84" xfId="0" applyNumberFormat="1" applyFont="1" applyBorder="1" applyAlignment="1">
      <alignment wrapText="1"/>
    </xf>
    <xf numFmtId="165" fontId="56" fillId="0" borderId="88" xfId="0" applyNumberFormat="1" applyFont="1" applyBorder="1" applyAlignment="1">
      <alignment wrapText="1"/>
    </xf>
    <xf numFmtId="165" fontId="56" fillId="0" borderId="86" xfId="0" applyNumberFormat="1" applyFont="1" applyBorder="1" applyAlignment="1">
      <alignment wrapText="1"/>
    </xf>
    <xf numFmtId="3" fontId="32" fillId="0" borderId="89" xfId="35" applyNumberFormat="1" applyFont="1" applyBorder="1" applyAlignment="1">
      <alignment horizontal="center" vertical="center" wrapText="1"/>
    </xf>
    <xf numFmtId="0" fontId="56" fillId="0" borderId="0" xfId="0" applyFont="1" applyFill="1" applyBorder="1" applyAlignment="1">
      <alignment vertical="center"/>
    </xf>
    <xf numFmtId="9" fontId="58" fillId="0" borderId="86" xfId="1418" applyFont="1" applyBorder="1" applyAlignment="1">
      <alignment wrapText="1"/>
    </xf>
    <xf numFmtId="165" fontId="45" fillId="0" borderId="91" xfId="35" applyNumberFormat="1" applyFont="1" applyBorder="1" applyAlignment="1">
      <alignment wrapText="1"/>
    </xf>
    <xf numFmtId="165" fontId="45" fillId="0" borderId="92" xfId="35" applyNumberFormat="1" applyFont="1" applyBorder="1" applyAlignment="1">
      <alignment wrapText="1"/>
    </xf>
    <xf numFmtId="3" fontId="58" fillId="24" borderId="84" xfId="35" applyNumberFormat="1" applyFont="1" applyFill="1" applyBorder="1" applyAlignment="1">
      <alignment horizontal="center" wrapText="1"/>
    </xf>
    <xf numFmtId="3" fontId="58" fillId="0" borderId="84" xfId="35" applyNumberFormat="1" applyFont="1" applyBorder="1" applyAlignment="1">
      <alignment horizontal="center" wrapText="1"/>
    </xf>
    <xf numFmtId="0" fontId="120" fillId="0" borderId="85" xfId="0" applyFont="1" applyBorder="1" applyAlignment="1">
      <alignment horizontal="center" vertical="center" wrapText="1"/>
    </xf>
    <xf numFmtId="0" fontId="120" fillId="0" borderId="88" xfId="0" applyFont="1" applyBorder="1" applyAlignment="1">
      <alignment horizontal="center" vertical="center" wrapText="1"/>
    </xf>
    <xf numFmtId="165" fontId="56" fillId="0" borderId="93" xfId="35" applyNumberFormat="1" applyFont="1" applyBorder="1" applyAlignment="1">
      <alignment wrapText="1"/>
    </xf>
    <xf numFmtId="165" fontId="56" fillId="0" borderId="91" xfId="35" applyNumberFormat="1" applyFont="1" applyBorder="1" applyAlignment="1">
      <alignment wrapText="1"/>
    </xf>
    <xf numFmtId="9" fontId="56" fillId="0" borderId="87" xfId="1418" applyFont="1" applyBorder="1" applyAlignment="1">
      <alignment horizontal="center" wrapText="1"/>
    </xf>
    <xf numFmtId="0" fontId="45" fillId="0" borderId="0" xfId="0" applyFont="1" applyFill="1"/>
    <xf numFmtId="3" fontId="29" fillId="0" borderId="10" xfId="35" applyNumberFormat="1" applyFont="1" applyFill="1" applyBorder="1"/>
    <xf numFmtId="3" fontId="29" fillId="0" borderId="24" xfId="35" applyNumberFormat="1" applyFont="1" applyFill="1" applyBorder="1"/>
    <xf numFmtId="164" fontId="29" fillId="0" borderId="0" xfId="35" applyFont="1" applyFill="1" applyBorder="1"/>
    <xf numFmtId="3" fontId="67" fillId="0" borderId="0" xfId="0" applyNumberFormat="1" applyFont="1" applyFill="1" applyBorder="1" applyAlignment="1">
      <alignment horizontal="center"/>
    </xf>
    <xf numFmtId="3" fontId="69" fillId="0" borderId="0" xfId="0" applyNumberFormat="1" applyFont="1" applyFill="1" applyBorder="1"/>
    <xf numFmtId="0" fontId="68" fillId="0" borderId="0" xfId="0" applyFont="1" applyFill="1"/>
    <xf numFmtId="3" fontId="67" fillId="0" borderId="0" xfId="0" applyNumberFormat="1" applyFont="1" applyFill="1" applyBorder="1"/>
    <xf numFmtId="177" fontId="68" fillId="0" borderId="0" xfId="0" applyNumberFormat="1" applyFont="1"/>
    <xf numFmtId="0" fontId="56" fillId="0" borderId="61" xfId="0" applyFont="1" applyBorder="1"/>
    <xf numFmtId="3" fontId="69" fillId="0" borderId="0" xfId="0" applyNumberFormat="1" applyFont="1" applyFill="1" applyBorder="1" applyAlignment="1"/>
    <xf numFmtId="0" fontId="69" fillId="0" borderId="0" xfId="0" applyFont="1" applyFill="1" applyBorder="1" applyAlignment="1"/>
    <xf numFmtId="3" fontId="69" fillId="0" borderId="0" xfId="0" applyNumberFormat="1" applyFont="1" applyBorder="1" applyAlignment="1"/>
    <xf numFmtId="0" fontId="56" fillId="0" borderId="0" xfId="0" applyFont="1" applyBorder="1" applyAlignment="1"/>
    <xf numFmtId="3" fontId="56" fillId="0" borderId="0" xfId="0" applyNumberFormat="1" applyFont="1" applyBorder="1" applyAlignment="1"/>
    <xf numFmtId="165" fontId="56" fillId="0" borderId="0" xfId="35" applyNumberFormat="1" applyFont="1" applyBorder="1" applyAlignment="1"/>
    <xf numFmtId="3" fontId="67" fillId="0" borderId="0" xfId="0" applyNumberFormat="1" applyFont="1" applyBorder="1" applyAlignment="1">
      <alignment horizontal="center"/>
    </xf>
    <xf numFmtId="3" fontId="67" fillId="0" borderId="51" xfId="0" applyNumberFormat="1" applyFont="1" applyBorder="1" applyAlignment="1">
      <alignment horizontal="left"/>
    </xf>
    <xf numFmtId="3" fontId="67" fillId="0" borderId="52" xfId="0" applyNumberFormat="1" applyFont="1" applyBorder="1" applyAlignment="1">
      <alignment horizontal="left"/>
    </xf>
    <xf numFmtId="3" fontId="67" fillId="0" borderId="53" xfId="0" applyNumberFormat="1" applyFont="1" applyBorder="1" applyAlignment="1">
      <alignment horizontal="center"/>
    </xf>
    <xf numFmtId="3" fontId="67" fillId="0" borderId="55" xfId="0" applyNumberFormat="1" applyFont="1" applyBorder="1" applyAlignment="1">
      <alignment horizontal="left"/>
    </xf>
    <xf numFmtId="3" fontId="67" fillId="0" borderId="56" xfId="0" applyNumberFormat="1" applyFont="1" applyBorder="1" applyAlignment="1">
      <alignment horizontal="center"/>
    </xf>
    <xf numFmtId="3" fontId="67" fillId="0" borderId="58" xfId="0" applyNumberFormat="1" applyFont="1" applyBorder="1" applyAlignment="1">
      <alignment horizontal="left"/>
    </xf>
    <xf numFmtId="3" fontId="67" fillId="0" borderId="59" xfId="0" applyNumberFormat="1" applyFont="1" applyBorder="1" applyAlignment="1">
      <alignment horizontal="left"/>
    </xf>
    <xf numFmtId="3" fontId="67" fillId="0" borderId="60" xfId="0" applyNumberFormat="1" applyFont="1" applyBorder="1" applyAlignment="1">
      <alignment horizontal="center"/>
    </xf>
    <xf numFmtId="3" fontId="56" fillId="0" borderId="56" xfId="0" applyNumberFormat="1" applyFont="1" applyBorder="1" applyAlignment="1"/>
    <xf numFmtId="165" fontId="56" fillId="0" borderId="60" xfId="35" applyNumberFormat="1" applyFont="1" applyBorder="1" applyAlignment="1">
      <alignment horizontal="right"/>
    </xf>
    <xf numFmtId="3" fontId="34" fillId="0" borderId="45" xfId="0" applyNumberFormat="1" applyFont="1" applyBorder="1" applyAlignment="1">
      <alignment horizontal="center"/>
    </xf>
    <xf numFmtId="3" fontId="34" fillId="0" borderId="46" xfId="0" applyNumberFormat="1" applyFont="1" applyBorder="1" applyAlignment="1">
      <alignment horizontal="center"/>
    </xf>
    <xf numFmtId="3" fontId="34" fillId="0" borderId="47" xfId="0" applyNumberFormat="1" applyFont="1" applyBorder="1" applyAlignment="1">
      <alignment horizontal="center"/>
    </xf>
    <xf numFmtId="0" fontId="67" fillId="24" borderId="0" xfId="0" applyFont="1" applyFill="1" applyAlignment="1">
      <alignment vertical="center"/>
    </xf>
    <xf numFmtId="0" fontId="41" fillId="0" borderId="0" xfId="0" applyFont="1" applyAlignment="1">
      <alignment vertical="top" wrapText="1"/>
    </xf>
    <xf numFmtId="3" fontId="41" fillId="0" borderId="0" xfId="0" applyNumberFormat="1" applyFont="1" applyFill="1"/>
    <xf numFmtId="0" fontId="41" fillId="0" borderId="12" xfId="0" applyFont="1" applyFill="1" applyBorder="1"/>
    <xf numFmtId="14" fontId="93" fillId="0" borderId="0" xfId="0" applyNumberFormat="1" applyFont="1"/>
    <xf numFmtId="165" fontId="93" fillId="0" borderId="0" xfId="35" applyNumberFormat="1" applyFont="1"/>
    <xf numFmtId="3" fontId="53" fillId="0" borderId="0" xfId="0" applyNumberFormat="1" applyFont="1"/>
    <xf numFmtId="0" fontId="107" fillId="0" borderId="0" xfId="0" applyFont="1" applyAlignment="1">
      <alignment horizontal="left"/>
    </xf>
    <xf numFmtId="0" fontId="123" fillId="0" borderId="0" xfId="0" applyFont="1" applyAlignment="1">
      <alignment horizontal="left"/>
    </xf>
    <xf numFmtId="165" fontId="107" fillId="0" borderId="0" xfId="35" applyNumberFormat="1" applyFont="1" applyBorder="1" applyAlignment="1">
      <alignment horizontal="left"/>
    </xf>
    <xf numFmtId="165" fontId="107" fillId="0" borderId="0" xfId="35" applyNumberFormat="1" applyFont="1" applyFill="1" applyBorder="1" applyAlignment="1">
      <alignment horizontal="left"/>
    </xf>
    <xf numFmtId="3" fontId="53" fillId="0" borderId="0" xfId="35" applyNumberFormat="1" applyFont="1" applyBorder="1" applyAlignment="1">
      <alignment horizontal="left"/>
    </xf>
    <xf numFmtId="165" fontId="41" fillId="0" borderId="0" xfId="35" applyNumberFormat="1" applyFont="1"/>
    <xf numFmtId="165" fontId="41" fillId="0" borderId="0" xfId="35" applyNumberFormat="1" applyFont="1" applyFill="1"/>
    <xf numFmtId="0" fontId="41" fillId="0" borderId="0" xfId="0" applyFont="1" applyBorder="1" applyAlignment="1"/>
    <xf numFmtId="165" fontId="41" fillId="0" borderId="0" xfId="35" applyNumberFormat="1" applyFont="1" applyBorder="1" applyAlignment="1"/>
    <xf numFmtId="165" fontId="45" fillId="0" borderId="0" xfId="0" applyNumberFormat="1" applyFont="1"/>
    <xf numFmtId="173" fontId="125" fillId="0" borderId="0" xfId="35" applyNumberFormat="1" applyFont="1"/>
    <xf numFmtId="165" fontId="56" fillId="0" borderId="0" xfId="0" applyNumberFormat="1" applyFont="1" applyBorder="1" applyAlignment="1">
      <alignment horizontal="center" wrapText="1"/>
    </xf>
    <xf numFmtId="9" fontId="56" fillId="0" borderId="0" xfId="1418" applyFont="1" applyBorder="1" applyAlignment="1">
      <alignment horizontal="center" wrapText="1"/>
    </xf>
    <xf numFmtId="0" fontId="89" fillId="0" borderId="0" xfId="0" applyFont="1" applyAlignment="1">
      <alignment wrapText="1"/>
    </xf>
    <xf numFmtId="165" fontId="58" fillId="24" borderId="85" xfId="35" applyNumberFormat="1" applyFont="1" applyFill="1" applyBorder="1" applyAlignment="1">
      <alignment horizontal="center" wrapText="1"/>
    </xf>
    <xf numFmtId="165" fontId="58" fillId="0" borderId="85" xfId="35" applyNumberFormat="1" applyFont="1" applyFill="1" applyBorder="1" applyAlignment="1">
      <alignment horizontal="center" wrapText="1"/>
    </xf>
    <xf numFmtId="165" fontId="126" fillId="30" borderId="84" xfId="0" applyNumberFormat="1" applyFont="1" applyFill="1" applyBorder="1" applyAlignment="1">
      <alignment wrapText="1"/>
    </xf>
    <xf numFmtId="0" fontId="54" fillId="0" borderId="0" xfId="0" applyFont="1" applyFill="1" applyBorder="1" applyAlignment="1">
      <alignment horizontal="left" vertical="center"/>
    </xf>
    <xf numFmtId="165" fontId="128" fillId="0" borderId="79" xfId="35" applyNumberFormat="1" applyFont="1" applyFill="1" applyBorder="1"/>
    <xf numFmtId="0" fontId="127" fillId="0" borderId="79" xfId="0" applyFont="1" applyBorder="1" applyAlignment="1"/>
    <xf numFmtId="0" fontId="48" fillId="21" borderId="0" xfId="0" applyFont="1" applyFill="1" applyAlignment="1">
      <alignment horizontal="center" vertical="center" wrapText="1"/>
    </xf>
    <xf numFmtId="0" fontId="120" fillId="0" borderId="51" xfId="0" applyFont="1" applyBorder="1" applyAlignment="1">
      <alignment horizontal="center" vertical="center" wrapText="1"/>
    </xf>
    <xf numFmtId="3" fontId="49" fillId="0" borderId="12" xfId="0" applyNumberFormat="1" applyFont="1" applyFill="1" applyBorder="1" applyAlignment="1">
      <alignment horizontal="center"/>
    </xf>
    <xf numFmtId="3" fontId="31" fillId="25" borderId="12" xfId="0" applyNumberFormat="1" applyFont="1" applyFill="1" applyBorder="1" applyAlignment="1">
      <alignment horizontal="center"/>
    </xf>
    <xf numFmtId="0" fontId="58" fillId="0" borderId="0" xfId="0" applyFont="1" applyFill="1" applyBorder="1" applyAlignment="1">
      <alignment horizontal="center" vertical="center"/>
    </xf>
    <xf numFmtId="0" fontId="130" fillId="0" borderId="0" xfId="0" applyFont="1"/>
    <xf numFmtId="0" fontId="76" fillId="0" borderId="0" xfId="0" applyFont="1"/>
    <xf numFmtId="0" fontId="0" fillId="0" borderId="12" xfId="0" applyBorder="1" applyAlignment="1"/>
    <xf numFmtId="165" fontId="56" fillId="0" borderId="12" xfId="35" applyNumberFormat="1" applyFont="1" applyBorder="1" applyAlignment="1"/>
    <xf numFmtId="0" fontId="38" fillId="0" borderId="12" xfId="0" applyFont="1" applyFill="1" applyBorder="1" applyAlignment="1">
      <alignment vertical="center"/>
    </xf>
    <xf numFmtId="0" fontId="56" fillId="0" borderId="0" xfId="0" applyFont="1" applyAlignment="1">
      <alignment horizontal="center" wrapText="1"/>
    </xf>
    <xf numFmtId="0" fontId="56" fillId="0" borderId="12" xfId="0" applyFont="1" applyBorder="1" applyAlignment="1">
      <alignment horizontal="center" wrapText="1"/>
    </xf>
    <xf numFmtId="165" fontId="131" fillId="0" borderId="0" xfId="35" applyNumberFormat="1" applyFont="1"/>
    <xf numFmtId="0" fontId="131" fillId="0" borderId="0" xfId="0" applyFont="1"/>
    <xf numFmtId="165" fontId="131" fillId="0" borderId="0" xfId="0" applyNumberFormat="1" applyFont="1"/>
    <xf numFmtId="165" fontId="132" fillId="0" borderId="0" xfId="0" applyNumberFormat="1" applyFont="1"/>
    <xf numFmtId="14" fontId="0" fillId="0" borderId="0" xfId="0" applyNumberFormat="1"/>
    <xf numFmtId="171" fontId="68" fillId="0" borderId="0" xfId="0" applyNumberFormat="1" applyFont="1"/>
    <xf numFmtId="165" fontId="51" fillId="0" borderId="0" xfId="0" applyNumberFormat="1" applyFont="1"/>
    <xf numFmtId="165" fontId="133" fillId="0" borderId="79" xfId="35" applyNumberFormat="1" applyFont="1" applyBorder="1" applyAlignment="1">
      <alignment horizontal="center" vertical="center"/>
    </xf>
    <xf numFmtId="164" fontId="31" fillId="0" borderId="12" xfId="35" applyFont="1" applyBorder="1" applyAlignment="1">
      <alignment horizontal="center"/>
    </xf>
    <xf numFmtId="165" fontId="110" fillId="0" borderId="12" xfId="35" applyNumberFormat="1" applyFont="1" applyBorder="1"/>
    <xf numFmtId="170" fontId="94" fillId="30" borderId="0" xfId="35" applyNumberFormat="1" applyFont="1" applyFill="1" applyAlignment="1">
      <alignment horizontal="center"/>
    </xf>
    <xf numFmtId="14" fontId="9" fillId="0" borderId="0" xfId="0" applyNumberFormat="1" applyFont="1"/>
    <xf numFmtId="165" fontId="45" fillId="0" borderId="0" xfId="35" applyNumberFormat="1" applyFont="1"/>
    <xf numFmtId="0" fontId="45" fillId="0" borderId="0" xfId="0" applyFont="1" applyBorder="1" applyAlignment="1">
      <alignment horizontal="center"/>
    </xf>
    <xf numFmtId="171" fontId="67" fillId="0" borderId="0" xfId="0" applyNumberFormat="1" applyFont="1" applyAlignment="1">
      <alignment horizontal="center"/>
    </xf>
    <xf numFmtId="0" fontId="99" fillId="0" borderId="12" xfId="35" applyNumberFormat="1" applyFont="1" applyFill="1" applyBorder="1" applyAlignment="1">
      <alignment horizontal="center"/>
    </xf>
    <xf numFmtId="0" fontId="51" fillId="0" borderId="0" xfId="0" applyFont="1" applyFill="1" applyBorder="1"/>
    <xf numFmtId="0" fontId="68" fillId="0" borderId="0" xfId="0" applyFont="1" applyFill="1" applyBorder="1"/>
    <xf numFmtId="3" fontId="68" fillId="0" borderId="0" xfId="0" applyNumberFormat="1" applyFont="1" applyFill="1" applyBorder="1" applyAlignment="1"/>
    <xf numFmtId="0" fontId="68" fillId="0" borderId="0" xfId="0" applyFont="1" applyFill="1" applyBorder="1" applyAlignment="1"/>
    <xf numFmtId="0" fontId="56" fillId="0" borderId="44" xfId="0" applyFont="1" applyBorder="1"/>
    <xf numFmtId="0" fontId="0" fillId="0" borderId="38" xfId="0" applyBorder="1"/>
    <xf numFmtId="165" fontId="51" fillId="0" borderId="12" xfId="35" applyNumberFormat="1" applyFont="1" applyFill="1" applyBorder="1"/>
    <xf numFmtId="0" fontId="51" fillId="0" borderId="12" xfId="0" applyFont="1" applyFill="1" applyBorder="1"/>
    <xf numFmtId="165" fontId="51" fillId="0" borderId="22" xfId="35" applyNumberFormat="1" applyFont="1" applyFill="1" applyBorder="1"/>
    <xf numFmtId="1" fontId="9" fillId="0" borderId="0" xfId="0" applyNumberFormat="1" applyFont="1"/>
    <xf numFmtId="0" fontId="37" fillId="0" borderId="12" xfId="0" applyFont="1" applyFill="1" applyBorder="1" applyAlignment="1">
      <alignment horizontal="center"/>
    </xf>
    <xf numFmtId="165" fontId="45" fillId="0" borderId="12" xfId="35" applyNumberFormat="1" applyFont="1" applyFill="1" applyBorder="1"/>
    <xf numFmtId="0" fontId="75" fillId="0" borderId="12" xfId="0" applyFont="1" applyBorder="1"/>
    <xf numFmtId="0" fontId="138" fillId="0" borderId="0" xfId="0" applyFont="1" applyAlignment="1">
      <alignment horizontal="left"/>
    </xf>
    <xf numFmtId="0" fontId="0" fillId="0" borderId="16" xfId="0" applyBorder="1" applyAlignment="1"/>
    <xf numFmtId="0" fontId="58" fillId="0" borderId="11" xfId="0" applyFont="1" applyBorder="1"/>
    <xf numFmtId="0" fontId="56" fillId="0" borderId="12" xfId="0" applyFont="1" applyFill="1" applyBorder="1"/>
    <xf numFmtId="0" fontId="56" fillId="0" borderId="22" xfId="0" applyFont="1" applyBorder="1"/>
    <xf numFmtId="0" fontId="56" fillId="0" borderId="45" xfId="0" applyFont="1" applyFill="1" applyBorder="1"/>
    <xf numFmtId="0" fontId="0" fillId="0" borderId="64" xfId="0" applyBorder="1"/>
    <xf numFmtId="0" fontId="45" fillId="0" borderId="57" xfId="0" applyFont="1" applyBorder="1"/>
    <xf numFmtId="0" fontId="45" fillId="0" borderId="61" xfId="0" applyFont="1" applyBorder="1"/>
    <xf numFmtId="0" fontId="0" fillId="0" borderId="12" xfId="0" applyBorder="1" applyAlignment="1">
      <alignment horizontal="center"/>
    </xf>
    <xf numFmtId="0" fontId="56" fillId="0" borderId="12" xfId="0" applyFont="1" applyBorder="1" applyAlignment="1">
      <alignment wrapText="1"/>
    </xf>
    <xf numFmtId="0" fontId="0" fillId="0" borderId="0" xfId="0" applyAlignment="1">
      <alignment horizontal="center"/>
    </xf>
    <xf numFmtId="0" fontId="0" fillId="0" borderId="16" xfId="0" applyBorder="1" applyAlignment="1">
      <alignment horizontal="center"/>
    </xf>
    <xf numFmtId="0" fontId="45" fillId="0" borderId="12" xfId="0" applyFont="1" applyBorder="1" applyAlignment="1">
      <alignment horizontal="center"/>
    </xf>
    <xf numFmtId="0" fontId="0" fillId="0" borderId="12" xfId="0" applyBorder="1" applyAlignment="1">
      <alignment horizontal="center"/>
    </xf>
    <xf numFmtId="0" fontId="31" fillId="0" borderId="2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0" fontId="105" fillId="0" borderId="16" xfId="0" applyFont="1" applyBorder="1" applyAlignment="1"/>
    <xf numFmtId="0" fontId="65" fillId="0" borderId="0" xfId="0" applyFont="1" applyBorder="1" applyAlignment="1"/>
    <xf numFmtId="0" fontId="45" fillId="0" borderId="64" xfId="0" applyFont="1" applyBorder="1" applyAlignment="1">
      <alignment horizontal="center"/>
    </xf>
    <xf numFmtId="0" fontId="45" fillId="0" borderId="63" xfId="0" applyFont="1" applyBorder="1" applyAlignment="1">
      <alignment horizontal="center"/>
    </xf>
    <xf numFmtId="0" fontId="41" fillId="0" borderId="0" xfId="0" applyFont="1" applyAlignment="1">
      <alignment horizontal="left" vertical="top" wrapText="1"/>
    </xf>
    <xf numFmtId="164" fontId="33" fillId="31" borderId="12" xfId="35" applyFont="1" applyFill="1" applyBorder="1" applyProtection="1">
      <protection locked="0"/>
    </xf>
    <xf numFmtId="164" fontId="32" fillId="31" borderId="12" xfId="35" applyFont="1" applyFill="1" applyBorder="1" applyAlignment="1">
      <alignment horizontal="center"/>
    </xf>
    <xf numFmtId="164" fontId="128" fillId="0" borderId="79" xfId="35" applyFont="1" applyFill="1" applyBorder="1"/>
    <xf numFmtId="164" fontId="40" fillId="0" borderId="0" xfId="35" applyFont="1"/>
    <xf numFmtId="164" fontId="9" fillId="0" borderId="0" xfId="35" applyFont="1"/>
    <xf numFmtId="164" fontId="52" fillId="0" borderId="0" xfId="35" applyFont="1" applyFill="1" applyBorder="1" applyAlignment="1"/>
    <xf numFmtId="164" fontId="54" fillId="0" borderId="79" xfId="35" applyFont="1" applyBorder="1" applyAlignment="1">
      <alignment horizontal="center" vertical="center" wrapText="1"/>
    </xf>
    <xf numFmtId="164" fontId="9" fillId="0" borderId="0" xfId="35" applyFont="1" applyFill="1" applyBorder="1"/>
    <xf numFmtId="0" fontId="32" fillId="0" borderId="0" xfId="0" applyFont="1" applyAlignment="1">
      <alignment horizontal="right"/>
    </xf>
    <xf numFmtId="17" fontId="32" fillId="0" borderId="0" xfId="0" applyNumberFormat="1" applyFont="1" applyAlignment="1">
      <alignment horizontal="left"/>
    </xf>
    <xf numFmtId="165" fontId="95" fillId="0" borderId="0" xfId="0" applyNumberFormat="1" applyFont="1" applyBorder="1"/>
    <xf numFmtId="0" fontId="95" fillId="0" borderId="12" xfId="0" applyFont="1" applyBorder="1" applyAlignment="1"/>
    <xf numFmtId="165" fontId="56" fillId="24" borderId="12" xfId="35" applyNumberFormat="1" applyFont="1" applyFill="1" applyBorder="1"/>
    <xf numFmtId="0" fontId="109" fillId="0" borderId="0" xfId="0" applyFont="1" applyFill="1" applyAlignment="1">
      <alignment horizontal="right"/>
    </xf>
    <xf numFmtId="0" fontId="29" fillId="31" borderId="12" xfId="0" applyFont="1" applyFill="1" applyBorder="1"/>
    <xf numFmtId="0" fontId="32" fillId="31" borderId="12" xfId="0" applyFont="1" applyFill="1" applyBorder="1"/>
    <xf numFmtId="0" fontId="38" fillId="31" borderId="12" xfId="0" applyFont="1" applyFill="1" applyBorder="1"/>
    <xf numFmtId="165" fontId="38" fillId="0" borderId="12" xfId="35" applyNumberFormat="1" applyFont="1" applyBorder="1"/>
    <xf numFmtId="165" fontId="38" fillId="0" borderId="12" xfId="35" applyNumberFormat="1" applyFont="1" applyFill="1" applyBorder="1" applyAlignment="1">
      <alignment horizontal="left"/>
    </xf>
    <xf numFmtId="165" fontId="38" fillId="0" borderId="12" xfId="35" applyNumberFormat="1" applyFont="1" applyFill="1" applyBorder="1"/>
    <xf numFmtId="0" fontId="38" fillId="0" borderId="12" xfId="0" applyFont="1" applyFill="1" applyBorder="1"/>
    <xf numFmtId="0" fontId="32" fillId="0" borderId="12" xfId="0" applyFont="1" applyFill="1" applyBorder="1"/>
    <xf numFmtId="165" fontId="30" fillId="0" borderId="0" xfId="35" applyNumberFormat="1" applyFont="1" applyBorder="1" applyAlignment="1">
      <alignment vertical="center"/>
    </xf>
    <xf numFmtId="165" fontId="30" fillId="0" borderId="0" xfId="35" applyNumberFormat="1" applyFont="1" applyBorder="1" applyAlignment="1">
      <alignment vertical="center" wrapText="1"/>
    </xf>
    <xf numFmtId="165" fontId="30" fillId="0" borderId="0" xfId="35" applyNumberFormat="1" applyFont="1" applyFill="1" applyBorder="1" applyAlignment="1">
      <alignment vertical="center"/>
    </xf>
    <xf numFmtId="0" fontId="9" fillId="0" borderId="0" xfId="0" applyFont="1" applyBorder="1" applyAlignment="1">
      <alignment vertical="center"/>
    </xf>
    <xf numFmtId="16" fontId="37" fillId="0" borderId="12" xfId="0" applyNumberFormat="1" applyFont="1" applyBorder="1" applyAlignment="1">
      <alignment vertical="center"/>
    </xf>
    <xf numFmtId="0" fontId="9" fillId="0" borderId="12" xfId="0" applyFont="1" applyBorder="1" applyAlignment="1">
      <alignment horizontal="center"/>
    </xf>
    <xf numFmtId="165" fontId="110" fillId="24" borderId="12" xfId="35" applyNumberFormat="1" applyFont="1" applyFill="1" applyBorder="1"/>
    <xf numFmtId="0" fontId="45" fillId="0" borderId="11" xfId="0" applyFont="1" applyBorder="1" applyAlignment="1"/>
    <xf numFmtId="165" fontId="56" fillId="0" borderId="22" xfId="35" applyNumberFormat="1" applyFont="1" applyBorder="1" applyAlignment="1">
      <alignment horizontal="center" vertical="center"/>
    </xf>
    <xf numFmtId="0" fontId="45" fillId="0" borderId="73" xfId="0" applyFont="1" applyBorder="1" applyAlignment="1">
      <alignment horizontal="center"/>
    </xf>
    <xf numFmtId="167" fontId="51" fillId="0" borderId="12" xfId="0" applyNumberFormat="1" applyFont="1" applyBorder="1"/>
    <xf numFmtId="165" fontId="110" fillId="0" borderId="22" xfId="35" applyNumberFormat="1" applyFont="1" applyBorder="1" applyAlignment="1">
      <alignment horizontal="center" vertical="center"/>
    </xf>
    <xf numFmtId="14" fontId="41" fillId="24" borderId="0" xfId="0" applyNumberFormat="1" applyFont="1" applyFill="1"/>
    <xf numFmtId="0" fontId="34" fillId="0" borderId="0" xfId="0" applyFont="1"/>
    <xf numFmtId="0" fontId="38" fillId="0" borderId="0" xfId="0" applyFont="1" applyAlignment="1"/>
    <xf numFmtId="17" fontId="40" fillId="0" borderId="0" xfId="0" applyNumberFormat="1" applyFont="1"/>
    <xf numFmtId="0" fontId="56" fillId="25" borderId="22" xfId="0" applyFont="1" applyFill="1" applyBorder="1" applyAlignment="1">
      <alignment horizontal="center" vertical="center"/>
    </xf>
    <xf numFmtId="0" fontId="102" fillId="25" borderId="22" xfId="0" applyFont="1" applyFill="1" applyBorder="1" applyAlignment="1">
      <alignment horizontal="center" vertical="center"/>
    </xf>
    <xf numFmtId="0" fontId="56" fillId="33" borderId="12" xfId="0" applyFont="1" applyFill="1" applyBorder="1"/>
    <xf numFmtId="165" fontId="51" fillId="33" borderId="12" xfId="35" applyNumberFormat="1" applyFont="1" applyFill="1" applyBorder="1"/>
    <xf numFmtId="165" fontId="56" fillId="33" borderId="12" xfId="35" applyNumberFormat="1" applyFont="1" applyFill="1" applyBorder="1"/>
    <xf numFmtId="1" fontId="51" fillId="0" borderId="0" xfId="0" applyNumberFormat="1" applyFont="1" applyAlignment="1">
      <alignment horizontal="center"/>
    </xf>
    <xf numFmtId="1" fontId="51" fillId="0" borderId="0" xfId="0" applyNumberFormat="1" applyFont="1"/>
    <xf numFmtId="3" fontId="49" fillId="33" borderId="0" xfId="0" applyNumberFormat="1" applyFont="1" applyFill="1" applyAlignment="1">
      <alignment horizontal="center"/>
    </xf>
    <xf numFmtId="171" fontId="51" fillId="0" borderId="0" xfId="0" applyNumberFormat="1" applyFont="1"/>
    <xf numFmtId="3" fontId="69" fillId="0" borderId="21" xfId="0" applyNumberFormat="1" applyFont="1" applyBorder="1"/>
    <xf numFmtId="3" fontId="67" fillId="31" borderId="38" xfId="0" applyNumberFormat="1" applyFont="1" applyFill="1" applyBorder="1"/>
    <xf numFmtId="0" fontId="9" fillId="34" borderId="0" xfId="0" applyFont="1" applyFill="1"/>
    <xf numFmtId="17" fontId="133" fillId="0" borderId="0" xfId="0" applyNumberFormat="1" applyFont="1"/>
    <xf numFmtId="0" fontId="45" fillId="0" borderId="0" xfId="0" applyFont="1" applyAlignment="1">
      <alignment horizontal="center"/>
    </xf>
    <xf numFmtId="17" fontId="45" fillId="0" borderId="0" xfId="0" applyNumberFormat="1" applyFont="1" applyFill="1"/>
    <xf numFmtId="165" fontId="40" fillId="0" borderId="56" xfId="35" applyNumberFormat="1" applyFont="1" applyBorder="1" applyAlignment="1">
      <alignment horizontal="center"/>
    </xf>
    <xf numFmtId="0" fontId="45" fillId="24" borderId="12" xfId="0" applyFont="1" applyFill="1" applyBorder="1"/>
    <xf numFmtId="165" fontId="31" fillId="24" borderId="12" xfId="35" applyNumberFormat="1" applyFont="1" applyFill="1" applyBorder="1" applyAlignment="1">
      <alignment vertical="center"/>
    </xf>
    <xf numFmtId="165" fontId="75" fillId="24" borderId="12" xfId="35" applyNumberFormat="1" applyFont="1" applyFill="1" applyBorder="1"/>
    <xf numFmtId="165" fontId="76" fillId="0" borderId="12" xfId="0" applyNumberFormat="1" applyFont="1" applyFill="1" applyBorder="1" applyAlignment="1">
      <alignment horizontal="center"/>
    </xf>
    <xf numFmtId="165" fontId="41" fillId="0" borderId="0" xfId="35" applyNumberFormat="1" applyFont="1" applyBorder="1"/>
    <xf numFmtId="0" fontId="32" fillId="0" borderId="0" xfId="0" applyFont="1" applyBorder="1" applyAlignment="1">
      <alignment horizontal="left"/>
    </xf>
    <xf numFmtId="0" fontId="121" fillId="0" borderId="0" xfId="0" applyFont="1" applyBorder="1"/>
    <xf numFmtId="3" fontId="32" fillId="0" borderId="0" xfId="0" applyNumberFormat="1" applyFont="1" applyBorder="1" applyAlignment="1">
      <alignment horizontal="left"/>
    </xf>
    <xf numFmtId="170" fontId="40" fillId="0" borderId="0" xfId="35" applyNumberFormat="1" applyFont="1" applyBorder="1" applyAlignment="1">
      <alignment horizontal="left"/>
    </xf>
    <xf numFmtId="3" fontId="33" fillId="0" borderId="0" xfId="0" applyNumberFormat="1" applyFont="1" applyBorder="1" applyAlignment="1">
      <alignment horizontal="left"/>
    </xf>
    <xf numFmtId="165" fontId="41" fillId="24" borderId="0" xfId="35" applyNumberFormat="1" applyFont="1" applyFill="1" applyBorder="1"/>
    <xf numFmtId="0" fontId="36" fillId="29" borderId="12" xfId="0" applyFont="1" applyFill="1" applyBorder="1" applyAlignment="1">
      <alignment horizontal="center"/>
    </xf>
    <xf numFmtId="0" fontId="36" fillId="26" borderId="12" xfId="0" applyFont="1" applyFill="1" applyBorder="1" applyAlignment="1">
      <alignment horizontal="center"/>
    </xf>
    <xf numFmtId="0" fontId="60" fillId="0" borderId="12" xfId="0" applyFont="1" applyBorder="1"/>
    <xf numFmtId="0" fontId="38" fillId="0" borderId="12" xfId="0" applyFont="1" applyBorder="1" applyAlignment="1">
      <alignment horizontal="center" wrapText="1"/>
    </xf>
    <xf numFmtId="0" fontId="31" fillId="0" borderId="12" xfId="0" applyFont="1" applyBorder="1" applyAlignment="1">
      <alignment horizontal="center" wrapText="1"/>
    </xf>
    <xf numFmtId="165" fontId="126" fillId="0" borderId="0" xfId="0" applyNumberFormat="1" applyFont="1" applyBorder="1" applyAlignment="1">
      <alignment wrapText="1"/>
    </xf>
    <xf numFmtId="0" fontId="141" fillId="0" borderId="0" xfId="0" applyFont="1" applyBorder="1" applyAlignment="1">
      <alignment horizontal="center"/>
    </xf>
    <xf numFmtId="0" fontId="141" fillId="0" borderId="0" xfId="0" applyFont="1" applyBorder="1"/>
    <xf numFmtId="165" fontId="111" fillId="0" borderId="0" xfId="0" applyNumberFormat="1" applyFont="1" applyBorder="1" applyAlignment="1">
      <alignment wrapText="1"/>
    </xf>
    <xf numFmtId="165" fontId="111" fillId="0" borderId="0" xfId="0" applyNumberFormat="1" applyFont="1" applyBorder="1"/>
    <xf numFmtId="165" fontId="108" fillId="0" borderId="0" xfId="0" applyNumberFormat="1" applyFont="1" applyBorder="1"/>
    <xf numFmtId="14" fontId="37" fillId="0" borderId="12" xfId="0" applyNumberFormat="1" applyFont="1" applyBorder="1"/>
    <xf numFmtId="14" fontId="37" fillId="0" borderId="0" xfId="0" applyNumberFormat="1" applyFont="1" applyFill="1" applyBorder="1" applyAlignment="1">
      <alignment horizontal="center"/>
    </xf>
    <xf numFmtId="0" fontId="54" fillId="0" borderId="0" xfId="0" applyFont="1" applyFill="1" applyBorder="1"/>
    <xf numFmtId="0" fontId="54" fillId="0" borderId="0" xfId="0" applyFont="1" applyFill="1" applyAlignment="1">
      <alignment horizontal="left"/>
    </xf>
    <xf numFmtId="0" fontId="109" fillId="0" borderId="0" xfId="0" applyFont="1" applyAlignment="1">
      <alignment horizontal="center"/>
    </xf>
    <xf numFmtId="0" fontId="54" fillId="0" borderId="0" xfId="0" applyFont="1" applyFill="1" applyAlignment="1">
      <alignment horizontal="center" vertical="center" wrapText="1"/>
    </xf>
    <xf numFmtId="0" fontId="32" fillId="0" borderId="22" xfId="0" applyFont="1" applyFill="1" applyBorder="1" applyAlignment="1">
      <alignment horizontal="center" vertical="center"/>
    </xf>
    <xf numFmtId="0" fontId="34" fillId="0" borderId="11" xfId="0" applyFont="1" applyFill="1" applyBorder="1" applyAlignment="1">
      <alignment horizontal="center" vertical="center" wrapText="1"/>
    </xf>
    <xf numFmtId="0" fontId="31" fillId="0" borderId="29" xfId="0" applyFont="1" applyBorder="1" applyAlignment="1">
      <alignment horizontal="center" vertical="center"/>
    </xf>
    <xf numFmtId="0" fontId="31" fillId="20" borderId="29" xfId="0" applyFont="1" applyFill="1" applyBorder="1" applyAlignment="1">
      <alignment horizontal="center" vertical="center"/>
    </xf>
    <xf numFmtId="165" fontId="36" fillId="0" borderId="10" xfId="35" applyNumberFormat="1" applyFont="1" applyFill="1" applyBorder="1" applyAlignment="1">
      <alignment horizontal="center" vertical="center"/>
    </xf>
    <xf numFmtId="165" fontId="31" fillId="0" borderId="10" xfId="35" applyNumberFormat="1" applyFont="1" applyBorder="1" applyAlignment="1">
      <alignment vertical="center"/>
    </xf>
    <xf numFmtId="165" fontId="36" fillId="0" borderId="10" xfId="35" applyNumberFormat="1" applyFont="1" applyBorder="1" applyAlignment="1">
      <alignment vertical="center"/>
    </xf>
    <xf numFmtId="165" fontId="36" fillId="0" borderId="10" xfId="35" applyNumberFormat="1" applyFont="1" applyFill="1" applyBorder="1" applyAlignment="1">
      <alignment vertical="center"/>
    </xf>
    <xf numFmtId="165" fontId="31" fillId="0" borderId="24" xfId="35" applyNumberFormat="1" applyFont="1" applyBorder="1" applyAlignment="1">
      <alignment vertical="center"/>
    </xf>
    <xf numFmtId="165" fontId="34" fillId="0" borderId="12" xfId="35" applyNumberFormat="1" applyFont="1" applyBorder="1" applyAlignment="1">
      <alignment vertical="center"/>
    </xf>
    <xf numFmtId="165" fontId="33" fillId="0" borderId="10" xfId="35" applyNumberFormat="1" applyFont="1" applyBorder="1" applyAlignment="1">
      <alignment vertical="center"/>
    </xf>
    <xf numFmtId="0" fontId="31" fillId="0" borderId="2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3" fontId="91" fillId="0" borderId="0" xfId="0" applyNumberFormat="1" applyFont="1"/>
    <xf numFmtId="165" fontId="34" fillId="0" borderId="12" xfId="35" applyNumberFormat="1" applyFont="1" applyFill="1" applyBorder="1"/>
    <xf numFmtId="165" fontId="34" fillId="31" borderId="12" xfId="35" applyNumberFormat="1" applyFont="1" applyFill="1" applyBorder="1"/>
    <xf numFmtId="0" fontId="31" fillId="0" borderId="31" xfId="0" applyFont="1" applyBorder="1" applyAlignment="1">
      <alignment horizontal="center" vertical="center"/>
    </xf>
    <xf numFmtId="172" fontId="51" fillId="0" borderId="0" xfId="0" applyNumberFormat="1" applyFont="1"/>
    <xf numFmtId="0" fontId="60" fillId="0" borderId="0" xfId="0" applyFont="1" applyAlignment="1">
      <alignment horizontal="left"/>
    </xf>
    <xf numFmtId="165" fontId="31" fillId="0" borderId="0" xfId="0" applyNumberFormat="1" applyFont="1"/>
    <xf numFmtId="0" fontId="60" fillId="0" borderId="0" xfId="0" applyFont="1" applyBorder="1"/>
    <xf numFmtId="165" fontId="145" fillId="0" borderId="0" xfId="35" applyNumberFormat="1" applyFont="1" applyAlignment="1">
      <alignment horizontal="center"/>
    </xf>
    <xf numFmtId="0" fontId="146" fillId="0" borderId="0" xfId="0" applyFont="1"/>
    <xf numFmtId="172" fontId="68" fillId="0" borderId="0" xfId="0" applyNumberFormat="1" applyFont="1"/>
    <xf numFmtId="165" fontId="34" fillId="0" borderId="12" xfId="35" applyNumberFormat="1" applyFont="1" applyFill="1" applyBorder="1" applyAlignment="1">
      <alignment vertical="center"/>
    </xf>
    <xf numFmtId="0" fontId="56" fillId="0" borderId="0" xfId="0" applyFont="1" applyBorder="1" applyAlignment="1">
      <alignment horizontal="center"/>
    </xf>
    <xf numFmtId="0" fontId="32" fillId="0" borderId="22" xfId="0" applyFont="1" applyFill="1" applyBorder="1" applyAlignment="1">
      <alignment horizontal="center" vertical="center"/>
    </xf>
    <xf numFmtId="0" fontId="31" fillId="0" borderId="32"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24" xfId="0" applyFont="1" applyFill="1" applyBorder="1" applyAlignment="1">
      <alignment horizontal="center" vertical="center"/>
    </xf>
    <xf numFmtId="0" fontId="31" fillId="0" borderId="33" xfId="0" applyFont="1" applyFill="1" applyBorder="1" applyAlignment="1">
      <alignment horizontal="center" vertical="center"/>
    </xf>
    <xf numFmtId="16" fontId="33" fillId="0" borderId="12" xfId="0" applyNumberFormat="1" applyFont="1" applyFill="1" applyBorder="1" applyAlignment="1">
      <alignment vertical="center"/>
    </xf>
    <xf numFmtId="0" fontId="31" fillId="0" borderId="12" xfId="0" applyFont="1" applyFill="1" applyBorder="1" applyAlignment="1">
      <alignment vertical="center"/>
    </xf>
    <xf numFmtId="164" fontId="31" fillId="0" borderId="12" xfId="35" applyNumberFormat="1" applyFont="1" applyFill="1" applyBorder="1" applyAlignment="1">
      <alignment vertical="center"/>
    </xf>
    <xf numFmtId="164" fontId="31" fillId="0" borderId="12" xfId="35" applyFont="1" applyFill="1" applyBorder="1" applyAlignment="1">
      <alignment vertical="center"/>
    </xf>
    <xf numFmtId="165" fontId="148" fillId="0" borderId="12" xfId="35" applyNumberFormat="1" applyFont="1" applyFill="1" applyBorder="1" applyAlignment="1">
      <alignment vertical="center"/>
    </xf>
    <xf numFmtId="0" fontId="142" fillId="0" borderId="0" xfId="0" applyFont="1" applyBorder="1" applyAlignment="1">
      <alignment horizontal="left" vertical="top" wrapText="1"/>
    </xf>
    <xf numFmtId="0" fontId="147" fillId="0" borderId="0" xfId="0" applyFont="1" applyFill="1" applyBorder="1" applyAlignment="1"/>
    <xf numFmtId="0" fontId="110" fillId="0" borderId="0" xfId="0" applyFont="1" applyFill="1" applyBorder="1" applyAlignment="1">
      <alignment horizontal="center"/>
    </xf>
    <xf numFmtId="0" fontId="142" fillId="0" borderId="0" xfId="0" applyFont="1" applyBorder="1" applyAlignment="1">
      <alignment vertical="top" wrapText="1"/>
    </xf>
    <xf numFmtId="3" fontId="0" fillId="0" borderId="0" xfId="0" applyNumberFormat="1"/>
    <xf numFmtId="165" fontId="32" fillId="0" borderId="12" xfId="0" applyNumberFormat="1" applyFont="1" applyFill="1" applyBorder="1"/>
    <xf numFmtId="165" fontId="58" fillId="0" borderId="12" xfId="35" applyNumberFormat="1" applyFont="1" applyBorder="1"/>
    <xf numFmtId="165" fontId="32" fillId="0" borderId="0" xfId="35" applyNumberFormat="1" applyFont="1"/>
    <xf numFmtId="165" fontId="32" fillId="0" borderId="0" xfId="35" applyNumberFormat="1" applyFont="1" applyBorder="1" applyAlignment="1">
      <alignment vertical="center"/>
    </xf>
    <xf numFmtId="165" fontId="32" fillId="0" borderId="0" xfId="0" applyNumberFormat="1" applyFont="1" applyFill="1" applyBorder="1" applyAlignment="1">
      <alignment horizontal="center" vertical="center"/>
    </xf>
    <xf numFmtId="165" fontId="61" fillId="0" borderId="0" xfId="0" applyNumberFormat="1" applyFont="1"/>
    <xf numFmtId="0" fontId="60" fillId="0" borderId="0" xfId="0" applyFont="1" applyAlignment="1">
      <alignment wrapText="1"/>
    </xf>
    <xf numFmtId="165" fontId="31" fillId="20" borderId="10" xfId="35" applyNumberFormat="1" applyFont="1" applyFill="1" applyBorder="1" applyAlignment="1">
      <alignment wrapText="1"/>
    </xf>
    <xf numFmtId="165" fontId="31" fillId="20" borderId="24" xfId="35" applyNumberFormat="1" applyFont="1" applyFill="1" applyBorder="1" applyAlignment="1">
      <alignment wrapText="1"/>
    </xf>
    <xf numFmtId="165" fontId="31" fillId="20" borderId="10" xfId="35" applyNumberFormat="1" applyFont="1" applyFill="1" applyBorder="1" applyAlignment="1">
      <alignment vertical="center" wrapText="1"/>
    </xf>
    <xf numFmtId="165" fontId="31" fillId="20" borderId="24" xfId="35" applyNumberFormat="1" applyFont="1" applyFill="1" applyBorder="1" applyAlignment="1">
      <alignment vertical="center" wrapText="1"/>
    </xf>
    <xf numFmtId="165" fontId="31" fillId="0" borderId="12" xfId="35" applyNumberFormat="1" applyFont="1" applyBorder="1" applyAlignment="1">
      <alignment horizontal="center" wrapText="1"/>
    </xf>
    <xf numFmtId="169" fontId="40" fillId="0" borderId="0" xfId="0" applyNumberFormat="1" applyFont="1"/>
    <xf numFmtId="165" fontId="41" fillId="0" borderId="0" xfId="0" applyNumberFormat="1" applyFont="1" applyFill="1"/>
    <xf numFmtId="0" fontId="136" fillId="0" borderId="0" xfId="0" applyFont="1" applyFill="1" applyAlignment="1">
      <alignment vertical="center"/>
    </xf>
    <xf numFmtId="0" fontId="149" fillId="0" borderId="12" xfId="0" applyFont="1" applyBorder="1"/>
    <xf numFmtId="0" fontId="0" fillId="0" borderId="12" xfId="0" applyBorder="1" applyAlignment="1">
      <alignment vertical="center" wrapText="1"/>
    </xf>
    <xf numFmtId="0" fontId="149" fillId="0" borderId="12" xfId="0" applyFont="1" applyBorder="1" applyAlignment="1">
      <alignment horizontal="center" wrapText="1"/>
    </xf>
    <xf numFmtId="0" fontId="0" fillId="0" borderId="12" xfId="0" applyBorder="1" applyAlignment="1">
      <alignment wrapText="1"/>
    </xf>
    <xf numFmtId="0" fontId="92" fillId="38" borderId="12" xfId="0" applyFont="1" applyFill="1" applyBorder="1" applyAlignment="1">
      <alignment horizontal="center" wrapText="1"/>
    </xf>
    <xf numFmtId="0" fontId="149" fillId="39" borderId="12" xfId="0" applyFont="1" applyFill="1" applyBorder="1" applyAlignment="1">
      <alignment wrapText="1"/>
    </xf>
    <xf numFmtId="0" fontId="149" fillId="32" borderId="12" xfId="0" applyFont="1" applyFill="1" applyBorder="1" applyAlignment="1">
      <alignment wrapText="1"/>
    </xf>
    <xf numFmtId="0" fontId="56" fillId="0" borderId="0" xfId="0" applyFont="1" applyAlignment="1">
      <alignment horizontal="left"/>
    </xf>
    <xf numFmtId="0" fontId="31" fillId="31" borderId="12" xfId="0" applyFont="1" applyFill="1" applyBorder="1"/>
    <xf numFmtId="3" fontId="36" fillId="0" borderId="0" xfId="0" applyNumberFormat="1" applyFont="1" applyBorder="1"/>
    <xf numFmtId="165" fontId="148" fillId="0" borderId="0" xfId="35" applyNumberFormat="1" applyFont="1" applyFill="1" applyBorder="1" applyAlignment="1">
      <alignment vertical="center"/>
    </xf>
    <xf numFmtId="165" fontId="36" fillId="0" borderId="0" xfId="35" applyNumberFormat="1" applyFont="1" applyBorder="1" applyAlignment="1">
      <alignment vertical="center"/>
    </xf>
    <xf numFmtId="165" fontId="0" fillId="0" borderId="0" xfId="35" applyNumberFormat="1" applyFont="1" applyAlignment="1">
      <alignment horizontal="center"/>
    </xf>
    <xf numFmtId="165" fontId="51" fillId="0" borderId="0" xfId="35" applyNumberFormat="1" applyFont="1" applyAlignment="1">
      <alignment horizontal="center"/>
    </xf>
    <xf numFmtId="165" fontId="56" fillId="0" borderId="0" xfId="35" applyNumberFormat="1" applyFont="1" applyBorder="1" applyAlignment="1">
      <alignment horizontal="center"/>
    </xf>
    <xf numFmtId="0" fontId="41" fillId="0" borderId="0" xfId="0" applyFont="1" applyAlignment="1">
      <alignment horizontal="left" vertical="top" wrapText="1"/>
    </xf>
    <xf numFmtId="0" fontId="64" fillId="0" borderId="0" xfId="0" applyFont="1" applyFill="1" applyAlignment="1"/>
    <xf numFmtId="3" fontId="38" fillId="24" borderId="12" xfId="0" applyNumberFormat="1" applyFont="1" applyFill="1" applyBorder="1"/>
    <xf numFmtId="165" fontId="51" fillId="0" borderId="0" xfId="35" applyNumberFormat="1" applyFont="1" applyFill="1" applyAlignment="1">
      <alignment horizontal="center"/>
    </xf>
    <xf numFmtId="0" fontId="45" fillId="0" borderId="0" xfId="0" applyFont="1" applyAlignment="1">
      <alignment horizontal="right"/>
    </xf>
    <xf numFmtId="14" fontId="45" fillId="0" borderId="0" xfId="0" applyNumberFormat="1" applyFont="1" applyAlignment="1">
      <alignment horizontal="left"/>
    </xf>
    <xf numFmtId="172" fontId="69" fillId="0" borderId="0" xfId="0" applyNumberFormat="1" applyFont="1"/>
    <xf numFmtId="17" fontId="58" fillId="0" borderId="0" xfId="0" applyNumberFormat="1" applyFont="1"/>
    <xf numFmtId="164" fontId="67" fillId="0" borderId="0" xfId="35" applyFont="1" applyFill="1" applyAlignment="1">
      <alignment vertical="center"/>
    </xf>
    <xf numFmtId="0" fontId="41" fillId="0" borderId="0" xfId="0" applyFont="1" applyAlignment="1">
      <alignment wrapText="1"/>
    </xf>
    <xf numFmtId="0" fontId="0" fillId="0" borderId="0" xfId="0" applyFill="1"/>
    <xf numFmtId="0" fontId="32" fillId="24" borderId="12" xfId="0" applyFont="1" applyFill="1" applyBorder="1" applyAlignment="1">
      <alignment vertical="center"/>
    </xf>
    <xf numFmtId="165" fontId="60" fillId="0" borderId="0" xfId="35" applyNumberFormat="1" applyFont="1" applyBorder="1"/>
    <xf numFmtId="165" fontId="51" fillId="0" borderId="0" xfId="35" applyNumberFormat="1" applyFont="1" applyBorder="1" applyAlignment="1">
      <alignment horizontal="center"/>
    </xf>
    <xf numFmtId="165" fontId="51" fillId="0" borderId="0" xfId="35" applyNumberFormat="1" applyFont="1" applyFill="1" applyBorder="1" applyAlignment="1">
      <alignment horizontal="center"/>
    </xf>
    <xf numFmtId="0" fontId="0" fillId="0" borderId="0" xfId="0" applyAlignment="1"/>
    <xf numFmtId="0" fontId="153" fillId="0" borderId="12" xfId="0" applyFont="1" applyFill="1" applyBorder="1" applyAlignment="1">
      <alignment wrapText="1"/>
    </xf>
    <xf numFmtId="0" fontId="153" fillId="0" borderId="12" xfId="0" applyFont="1" applyFill="1" applyBorder="1" applyAlignment="1"/>
    <xf numFmtId="0" fontId="155" fillId="0" borderId="12" xfId="0" applyFont="1" applyBorder="1" applyAlignment="1"/>
    <xf numFmtId="0" fontId="32" fillId="0" borderId="11" xfId="0" applyFont="1" applyBorder="1" applyAlignment="1">
      <alignment horizontal="center" vertical="center"/>
    </xf>
    <xf numFmtId="0" fontId="32" fillId="0" borderId="22" xfId="0" applyFont="1" applyBorder="1" applyAlignment="1">
      <alignment horizontal="center" vertical="center"/>
    </xf>
    <xf numFmtId="0" fontId="32" fillId="0" borderId="21"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152" fillId="0" borderId="12" xfId="35" applyNumberFormat="1" applyFont="1" applyBorder="1" applyAlignment="1"/>
    <xf numFmtId="0" fontId="45" fillId="0" borderId="12" xfId="0" applyFont="1" applyBorder="1" applyAlignment="1"/>
    <xf numFmtId="0" fontId="51" fillId="0" borderId="0" xfId="0" applyFont="1" applyBorder="1"/>
    <xf numFmtId="0" fontId="58" fillId="0" borderId="12" xfId="0" applyFont="1" applyBorder="1"/>
    <xf numFmtId="0" fontId="32" fillId="40" borderId="12" xfId="0" applyFont="1" applyFill="1" applyBorder="1"/>
    <xf numFmtId="0" fontId="32" fillId="0" borderId="22" xfId="0" applyFont="1" applyBorder="1" applyAlignment="1">
      <alignment horizontal="center" vertical="center"/>
    </xf>
    <xf numFmtId="0" fontId="32" fillId="0" borderId="12"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9" fillId="0" borderId="0" xfId="0" applyFont="1" applyFill="1" applyBorder="1" applyAlignment="1"/>
    <xf numFmtId="166" fontId="0" fillId="0" borderId="0" xfId="0" applyNumberFormat="1" applyFill="1" applyBorder="1"/>
    <xf numFmtId="17" fontId="31" fillId="0" borderId="0" xfId="0" applyNumberFormat="1" applyFont="1" applyAlignment="1">
      <alignment horizontal="center"/>
    </xf>
    <xf numFmtId="165" fontId="41" fillId="0" borderId="0" xfId="0" applyNumberFormat="1" applyFont="1" applyBorder="1"/>
    <xf numFmtId="0" fontId="101" fillId="0" borderId="0" xfId="0" applyFont="1"/>
    <xf numFmtId="164" fontId="30" fillId="0" borderId="0" xfId="35" applyFont="1"/>
    <xf numFmtId="164" fontId="9" fillId="0" borderId="0" xfId="0" applyNumberFormat="1" applyFont="1"/>
    <xf numFmtId="0" fontId="31" fillId="0" borderId="2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14" fontId="37" fillId="24" borderId="12" xfId="0" applyNumberFormat="1" applyFont="1" applyFill="1" applyBorder="1"/>
    <xf numFmtId="0" fontId="58" fillId="31" borderId="0" xfId="0" applyFont="1" applyFill="1" applyBorder="1" applyAlignment="1">
      <alignment vertical="center"/>
    </xf>
    <xf numFmtId="0" fontId="29" fillId="0" borderId="12" xfId="0" applyFont="1" applyBorder="1" applyAlignment="1">
      <alignment horizontal="center" wrapText="1"/>
    </xf>
    <xf numFmtId="0" fontId="32" fillId="20" borderId="10" xfId="0" applyFont="1" applyFill="1" applyBorder="1" applyAlignment="1">
      <alignment vertical="center"/>
    </xf>
    <xf numFmtId="0" fontId="32" fillId="20" borderId="24" xfId="0" applyFont="1" applyFill="1" applyBorder="1" applyAlignment="1">
      <alignment vertical="center"/>
    </xf>
    <xf numFmtId="0" fontId="42" fillId="20" borderId="10" xfId="0" applyFont="1" applyFill="1" applyBorder="1" applyAlignment="1">
      <alignment vertical="center"/>
    </xf>
    <xf numFmtId="0" fontId="42" fillId="20" borderId="24" xfId="0" applyFont="1" applyFill="1" applyBorder="1" applyAlignment="1">
      <alignment vertical="center"/>
    </xf>
    <xf numFmtId="164" fontId="61" fillId="0" borderId="0" xfId="35" applyFont="1"/>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0" fillId="0" borderId="10" xfId="35" applyNumberFormat="1" applyFont="1" applyBorder="1"/>
    <xf numFmtId="165" fontId="0" fillId="0" borderId="24" xfId="35" applyNumberFormat="1" applyFont="1" applyBorder="1"/>
    <xf numFmtId="0" fontId="149" fillId="0" borderId="0" xfId="0" applyFont="1"/>
    <xf numFmtId="166" fontId="149" fillId="0" borderId="0" xfId="35" applyNumberFormat="1" applyFont="1"/>
    <xf numFmtId="166" fontId="138" fillId="0" borderId="0" xfId="35" applyNumberFormat="1" applyFont="1"/>
    <xf numFmtId="0" fontId="149" fillId="33" borderId="12" xfId="0" applyFont="1" applyFill="1" applyBorder="1"/>
    <xf numFmtId="0" fontId="0" fillId="0" borderId="57" xfId="0" applyFill="1" applyBorder="1"/>
    <xf numFmtId="166" fontId="0" fillId="0" borderId="0" xfId="0" applyNumberFormat="1"/>
    <xf numFmtId="0" fontId="0" fillId="0" borderId="31" xfId="0" applyFill="1" applyBorder="1"/>
    <xf numFmtId="166" fontId="58" fillId="0" borderId="62" xfId="0" applyNumberFormat="1" applyFont="1" applyBorder="1"/>
    <xf numFmtId="0" fontId="149" fillId="0" borderId="0" xfId="0" applyFont="1" applyBorder="1" applyAlignment="1">
      <alignment horizontal="left"/>
    </xf>
    <xf numFmtId="0" fontId="92" fillId="0" borderId="12" xfId="0" applyFont="1" applyFill="1" applyBorder="1"/>
    <xf numFmtId="166" fontId="113" fillId="0" borderId="12" xfId="35" applyNumberFormat="1" applyFont="1" applyFill="1" applyBorder="1"/>
    <xf numFmtId="166" fontId="0" fillId="0" borderId="12" xfId="35" applyNumberFormat="1" applyFont="1" applyFill="1" applyBorder="1"/>
    <xf numFmtId="166" fontId="160" fillId="0" borderId="12" xfId="35" applyNumberFormat="1" applyFont="1" applyFill="1" applyBorder="1"/>
    <xf numFmtId="166" fontId="0" fillId="0" borderId="11" xfId="35" applyNumberFormat="1" applyFont="1" applyFill="1" applyBorder="1"/>
    <xf numFmtId="166" fontId="160" fillId="0" borderId="11" xfId="35" applyNumberFormat="1" applyFont="1" applyFill="1" applyBorder="1"/>
    <xf numFmtId="166" fontId="161" fillId="0" borderId="10" xfId="35" applyNumberFormat="1" applyFont="1" applyFill="1" applyBorder="1"/>
    <xf numFmtId="166" fontId="161" fillId="0" borderId="20" xfId="35" applyNumberFormat="1" applyFont="1" applyFill="1" applyBorder="1"/>
    <xf numFmtId="0" fontId="151" fillId="33" borderId="12" xfId="0" applyFont="1" applyFill="1" applyBorder="1"/>
    <xf numFmtId="0" fontId="9" fillId="0" borderId="11" xfId="0" applyFont="1" applyFill="1" applyBorder="1"/>
    <xf numFmtId="0" fontId="32" fillId="0" borderId="22" xfId="0" applyFont="1" applyBorder="1" applyAlignment="1">
      <alignment horizontal="center" vertical="center"/>
    </xf>
    <xf numFmtId="0" fontId="32" fillId="0" borderId="12"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45" fillId="0" borderId="11" xfId="0" applyFont="1" applyFill="1" applyBorder="1"/>
    <xf numFmtId="17" fontId="51" fillId="0" borderId="0" xfId="0" applyNumberFormat="1" applyFont="1" applyAlignment="1">
      <alignment horizontal="left"/>
    </xf>
    <xf numFmtId="169" fontId="56" fillId="0" borderId="12" xfId="35" applyNumberFormat="1" applyFont="1" applyBorder="1"/>
    <xf numFmtId="169" fontId="56" fillId="0" borderId="93" xfId="35" applyNumberFormat="1" applyFont="1" applyBorder="1"/>
    <xf numFmtId="165" fontId="37" fillId="0" borderId="12" xfId="35" applyNumberFormat="1" applyFont="1" applyFill="1" applyBorder="1"/>
    <xf numFmtId="165" fontId="29" fillId="0" borderId="12" xfId="35" applyNumberFormat="1" applyFont="1" applyBorder="1" applyAlignment="1">
      <alignment vertical="center"/>
    </xf>
    <xf numFmtId="165" fontId="162" fillId="0" borderId="12" xfId="35" applyNumberFormat="1" applyFont="1" applyBorder="1" applyAlignment="1">
      <alignment vertical="center"/>
    </xf>
    <xf numFmtId="0" fontId="32" fillId="0" borderId="22" xfId="0" applyFont="1" applyBorder="1" applyAlignment="1">
      <alignment horizontal="center" vertical="center"/>
    </xf>
    <xf numFmtId="0" fontId="32" fillId="0" borderId="12"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32" fillId="0" borderId="22" xfId="0" applyFont="1" applyBorder="1" applyAlignment="1">
      <alignment horizontal="center" vertical="center"/>
    </xf>
    <xf numFmtId="0" fontId="32" fillId="0" borderId="12"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45" fillId="0" borderId="46" xfId="35" applyNumberFormat="1" applyFont="1" applyBorder="1"/>
    <xf numFmtId="0" fontId="97" fillId="0" borderId="49" xfId="0" applyFont="1" applyFill="1" applyBorder="1"/>
    <xf numFmtId="165" fontId="97" fillId="0" borderId="50" xfId="35" applyNumberFormat="1" applyFont="1" applyBorder="1"/>
    <xf numFmtId="165" fontId="97" fillId="0" borderId="77" xfId="35" applyNumberFormat="1" applyFont="1" applyBorder="1"/>
    <xf numFmtId="0" fontId="56" fillId="0" borderId="12" xfId="0" applyFont="1" applyBorder="1" applyAlignment="1">
      <alignment horizontal="center" wrapText="1"/>
    </xf>
    <xf numFmtId="0" fontId="56" fillId="0" borderId="12" xfId="0" applyFont="1" applyBorder="1" applyAlignment="1">
      <alignment horizontal="center"/>
    </xf>
    <xf numFmtId="0" fontId="29" fillId="0" borderId="35" xfId="0" applyFont="1" applyFill="1" applyBorder="1" applyAlignment="1">
      <alignment horizontal="center"/>
    </xf>
    <xf numFmtId="0" fontId="29" fillId="0" borderId="36" xfId="0" applyFont="1" applyFill="1" applyBorder="1" applyAlignment="1">
      <alignment horizontal="center"/>
    </xf>
    <xf numFmtId="0" fontId="29" fillId="0" borderId="37" xfId="0" applyFont="1" applyFill="1" applyBorder="1" applyAlignment="1">
      <alignment horizontal="center"/>
    </xf>
    <xf numFmtId="3" fontId="69" fillId="38" borderId="12" xfId="0" applyNumberFormat="1" applyFont="1" applyFill="1" applyBorder="1" applyAlignment="1">
      <alignment horizontal="center"/>
    </xf>
    <xf numFmtId="3" fontId="69" fillId="0" borderId="12" xfId="0" applyNumberFormat="1" applyFont="1" applyFill="1" applyBorder="1" applyAlignment="1"/>
    <xf numFmtId="0" fontId="69" fillId="0" borderId="12" xfId="0" applyFont="1" applyFill="1" applyBorder="1" applyAlignment="1"/>
    <xf numFmtId="177" fontId="56" fillId="0" borderId="12" xfId="0" applyNumberFormat="1" applyFont="1" applyBorder="1"/>
    <xf numFmtId="171" fontId="69" fillId="0" borderId="12" xfId="35" applyNumberFormat="1" applyFont="1" applyFill="1" applyBorder="1"/>
    <xf numFmtId="164" fontId="51" fillId="0" borderId="12" xfId="35" applyFont="1" applyBorder="1"/>
    <xf numFmtId="171" fontId="51" fillId="0" borderId="12" xfId="35" applyNumberFormat="1" applyFont="1" applyBorder="1"/>
    <xf numFmtId="171" fontId="51" fillId="0" borderId="12" xfId="35" applyNumberFormat="1" applyFont="1" applyFill="1" applyBorder="1"/>
    <xf numFmtId="171" fontId="67" fillId="0" borderId="12" xfId="35" applyNumberFormat="1" applyFont="1" applyFill="1" applyBorder="1"/>
    <xf numFmtId="171" fontId="69" fillId="0" borderId="12" xfId="35" applyNumberFormat="1" applyFont="1" applyFill="1" applyBorder="1" applyAlignment="1"/>
    <xf numFmtId="165" fontId="69" fillId="0" borderId="12" xfId="35" applyNumberFormat="1" applyFont="1" applyFill="1" applyBorder="1"/>
    <xf numFmtId="165" fontId="69" fillId="0" borderId="12" xfId="35" applyNumberFormat="1" applyFont="1" applyFill="1" applyBorder="1" applyAlignment="1"/>
    <xf numFmtId="165" fontId="67" fillId="0" borderId="12" xfId="35" applyNumberFormat="1" applyFont="1" applyFill="1" applyBorder="1" applyAlignment="1">
      <alignment horizontal="center"/>
    </xf>
    <xf numFmtId="1" fontId="51" fillId="0" borderId="12" xfId="0" applyNumberFormat="1" applyFont="1" applyFill="1" applyBorder="1"/>
    <xf numFmtId="0" fontId="155" fillId="0" borderId="12" xfId="0" applyFont="1" applyBorder="1" applyAlignment="1">
      <alignment horizontal="center"/>
    </xf>
    <xf numFmtId="0" fontId="163" fillId="0" borderId="0" xfId="0" applyFont="1" applyFill="1"/>
    <xf numFmtId="165" fontId="131" fillId="0" borderId="0" xfId="35" applyNumberFormat="1" applyFont="1" applyBorder="1"/>
    <xf numFmtId="20" fontId="31" fillId="0" borderId="10" xfId="0" applyNumberFormat="1" applyFont="1" applyFill="1" applyBorder="1" applyAlignment="1">
      <alignment horizontal="center"/>
    </xf>
    <xf numFmtId="20" fontId="31" fillId="0" borderId="29" xfId="0" applyNumberFormat="1" applyFont="1" applyFill="1" applyBorder="1" applyAlignment="1">
      <alignment horizontal="center"/>
    </xf>
    <xf numFmtId="20" fontId="31" fillId="0" borderId="24" xfId="0" applyNumberFormat="1" applyFont="1" applyFill="1" applyBorder="1" applyAlignment="1">
      <alignment horizontal="center"/>
    </xf>
    <xf numFmtId="14" fontId="37" fillId="0" borderId="10" xfId="0" applyNumberFormat="1" applyFont="1" applyBorder="1"/>
    <xf numFmtId="165" fontId="33" fillId="26" borderId="20" xfId="35" applyNumberFormat="1" applyFont="1" applyFill="1" applyBorder="1" applyAlignment="1">
      <alignment vertical="center"/>
    </xf>
    <xf numFmtId="165" fontId="0" fillId="0" borderId="0" xfId="35" applyNumberFormat="1" applyFont="1" applyFill="1" applyAlignment="1">
      <alignment horizontal="center"/>
    </xf>
    <xf numFmtId="165" fontId="33" fillId="41" borderId="12" xfId="35" applyNumberFormat="1" applyFont="1" applyFill="1" applyBorder="1" applyAlignment="1">
      <alignment vertical="center"/>
    </xf>
    <xf numFmtId="0" fontId="156" fillId="0" borderId="20" xfId="0" applyFont="1" applyBorder="1" applyAlignment="1">
      <alignment horizontal="center"/>
    </xf>
    <xf numFmtId="0" fontId="0" fillId="0" borderId="11" xfId="0" applyBorder="1" applyAlignment="1"/>
    <xf numFmtId="0" fontId="0" fillId="0" borderId="22" xfId="0" applyBorder="1" applyAlignment="1"/>
    <xf numFmtId="0" fontId="58" fillId="0" borderId="0" xfId="0" applyFont="1" applyAlignment="1">
      <alignment horizontal="right"/>
    </xf>
    <xf numFmtId="14" fontId="58" fillId="0" borderId="0" xfId="0" applyNumberFormat="1" applyFont="1" applyAlignment="1">
      <alignment horizontal="left"/>
    </xf>
    <xf numFmtId="3" fontId="33" fillId="0" borderId="12" xfId="35" applyNumberFormat="1" applyFont="1" applyFill="1" applyBorder="1" applyAlignment="1">
      <alignment horizontal="center" vertical="center"/>
    </xf>
    <xf numFmtId="165" fontId="148" fillId="0" borderId="12" xfId="35" applyNumberFormat="1" applyFont="1" applyBorder="1" applyAlignment="1">
      <alignment vertical="center"/>
    </xf>
    <xf numFmtId="0" fontId="32" fillId="24" borderId="12" xfId="0" applyFont="1" applyFill="1" applyBorder="1"/>
    <xf numFmtId="165" fontId="29" fillId="24" borderId="12" xfId="0" applyNumberFormat="1" applyFont="1" applyFill="1" applyBorder="1"/>
    <xf numFmtId="165" fontId="34" fillId="24" borderId="12" xfId="35" applyNumberFormat="1" applyFont="1" applyFill="1" applyBorder="1"/>
    <xf numFmtId="14" fontId="56" fillId="0" borderId="22" xfId="0" applyNumberFormat="1" applyFont="1" applyBorder="1" applyAlignment="1">
      <alignment horizontal="center" vertical="center"/>
    </xf>
    <xf numFmtId="0" fontId="45" fillId="0" borderId="12" xfId="0" applyFont="1" applyFill="1" applyBorder="1"/>
    <xf numFmtId="0" fontId="29" fillId="0" borderId="12" xfId="0" applyFont="1" applyBorder="1"/>
    <xf numFmtId="0" fontId="45" fillId="0" borderId="12" xfId="0" applyFont="1" applyBorder="1" applyAlignment="1">
      <alignment wrapText="1"/>
    </xf>
    <xf numFmtId="0" fontId="85" fillId="0" borderId="0" xfId="0" applyFont="1" applyBorder="1"/>
    <xf numFmtId="0" fontId="88" fillId="0" borderId="0" xfId="0" applyFont="1" applyBorder="1"/>
    <xf numFmtId="165" fontId="166" fillId="0" borderId="0" xfId="0" applyNumberFormat="1" applyFont="1" applyFill="1" applyBorder="1" applyAlignment="1">
      <alignment horizontal="left" vertical="top" wrapText="1"/>
    </xf>
    <xf numFmtId="165" fontId="30" fillId="0" borderId="12" xfId="35" applyNumberFormat="1" applyFont="1" applyBorder="1"/>
    <xf numFmtId="3" fontId="60" fillId="0" borderId="0" xfId="0" applyNumberFormat="1" applyFont="1"/>
    <xf numFmtId="165" fontId="58" fillId="0" borderId="0" xfId="35" applyNumberFormat="1" applyFont="1" applyBorder="1"/>
    <xf numFmtId="0" fontId="149" fillId="0" borderId="12" xfId="0" applyFont="1" applyBorder="1" applyAlignment="1">
      <alignment horizontal="center"/>
    </xf>
    <xf numFmtId="0" fontId="9" fillId="0" borderId="12" xfId="0" applyFont="1" applyBorder="1" applyAlignment="1">
      <alignment vertical="center" wrapText="1"/>
    </xf>
    <xf numFmtId="0" fontId="167" fillId="0" borderId="12" xfId="0" applyFont="1" applyBorder="1"/>
    <xf numFmtId="0" fontId="169" fillId="0" borderId="0" xfId="0" applyFont="1" applyFill="1"/>
    <xf numFmtId="0" fontId="170" fillId="0" borderId="0" xfId="0" applyFont="1" applyFill="1" applyAlignment="1">
      <alignment vertical="center"/>
    </xf>
    <xf numFmtId="3" fontId="45" fillId="0" borderId="0" xfId="0" applyNumberFormat="1" applyFont="1" applyBorder="1" applyAlignment="1">
      <alignment horizontal="center"/>
    </xf>
    <xf numFmtId="0" fontId="51" fillId="0" borderId="0" xfId="0" applyFont="1" applyBorder="1" applyAlignment="1"/>
    <xf numFmtId="0" fontId="9" fillId="0" borderId="0" xfId="0" applyFont="1" applyBorder="1" applyAlignment="1"/>
    <xf numFmtId="165" fontId="29" fillId="34" borderId="12" xfId="35" applyNumberFormat="1" applyFont="1" applyFill="1" applyBorder="1"/>
    <xf numFmtId="3" fontId="51" fillId="0" borderId="0" xfId="0" applyNumberFormat="1" applyFont="1" applyFill="1"/>
    <xf numFmtId="172" fontId="68" fillId="0" borderId="0" xfId="0" applyNumberFormat="1" applyFont="1" applyAlignment="1">
      <alignment horizontal="center"/>
    </xf>
    <xf numFmtId="3" fontId="40" fillId="24" borderId="11" xfId="0" applyNumberFormat="1" applyFont="1" applyFill="1" applyBorder="1"/>
    <xf numFmtId="3" fontId="56" fillId="24" borderId="47" xfId="0" applyNumberFormat="1" applyFont="1" applyFill="1" applyBorder="1"/>
    <xf numFmtId="3" fontId="56" fillId="37" borderId="47" xfId="0" applyNumberFormat="1" applyFont="1" applyFill="1" applyBorder="1"/>
    <xf numFmtId="3" fontId="56" fillId="32" borderId="47" xfId="0" applyNumberFormat="1" applyFont="1" applyFill="1" applyBorder="1"/>
    <xf numFmtId="166" fontId="113" fillId="0" borderId="12" xfId="1440" applyNumberFormat="1" applyFont="1" applyFill="1" applyBorder="1"/>
    <xf numFmtId="0" fontId="31" fillId="0" borderId="2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165" fontId="32" fillId="0" borderId="60" xfId="35" applyNumberFormat="1" applyFont="1" applyFill="1" applyBorder="1" applyAlignment="1">
      <alignment horizontal="center"/>
    </xf>
    <xf numFmtId="170" fontId="58" fillId="24" borderId="12" xfId="35" applyNumberFormat="1" applyFont="1" applyFill="1" applyBorder="1" applyAlignment="1"/>
    <xf numFmtId="0" fontId="41" fillId="24" borderId="12" xfId="0" applyFont="1" applyFill="1" applyBorder="1"/>
    <xf numFmtId="0" fontId="38" fillId="24" borderId="12" xfId="0" applyFont="1" applyFill="1" applyBorder="1" applyAlignment="1">
      <alignment horizontal="center" vertical="center"/>
    </xf>
    <xf numFmtId="164" fontId="33" fillId="0" borderId="57" xfId="35" applyFont="1" applyFill="1" applyBorder="1" applyAlignment="1">
      <alignment horizontal="center" vertical="center"/>
    </xf>
    <xf numFmtId="164" fontId="33" fillId="0" borderId="57" xfId="35" applyFont="1" applyFill="1" applyBorder="1" applyAlignment="1">
      <alignment vertical="center"/>
    </xf>
    <xf numFmtId="0" fontId="40" fillId="0" borderId="12" xfId="0" applyFont="1" applyBorder="1"/>
    <xf numFmtId="0" fontId="29" fillId="20" borderId="12" xfId="0" applyFont="1" applyFill="1" applyBorder="1" applyAlignment="1">
      <alignment horizontal="center" vertical="center"/>
    </xf>
    <xf numFmtId="165" fontId="60" fillId="0" borderId="0" xfId="0" applyNumberFormat="1" applyFont="1"/>
    <xf numFmtId="0" fontId="148" fillId="24" borderId="12" xfId="0" applyFont="1" applyFill="1" applyBorder="1" applyAlignment="1">
      <alignment horizontal="center" vertical="center"/>
    </xf>
    <xf numFmtId="0" fontId="34" fillId="24" borderId="12" xfId="0" applyFont="1" applyFill="1" applyBorder="1" applyAlignment="1">
      <alignment horizontal="center" vertical="center"/>
    </xf>
    <xf numFmtId="0" fontId="95" fillId="0" borderId="0" xfId="0" applyFont="1"/>
    <xf numFmtId="170" fontId="95" fillId="24" borderId="12" xfId="35" applyNumberFormat="1" applyFont="1" applyFill="1" applyBorder="1" applyAlignment="1"/>
    <xf numFmtId="165" fontId="148" fillId="0" borderId="12" xfId="35" applyNumberFormat="1" applyFont="1" applyFill="1" applyBorder="1" applyAlignment="1">
      <alignment horizontal="center" vertical="center"/>
    </xf>
    <xf numFmtId="0" fontId="95" fillId="0" borderId="0" xfId="0" applyFont="1" applyBorder="1"/>
    <xf numFmtId="170" fontId="58" fillId="25" borderId="57" xfId="35" applyNumberFormat="1" applyFont="1" applyFill="1" applyBorder="1" applyAlignment="1"/>
    <xf numFmtId="170" fontId="58" fillId="25" borderId="12" xfId="35" applyNumberFormat="1" applyFont="1" applyFill="1" applyBorder="1" applyAlignment="1"/>
    <xf numFmtId="0" fontId="41" fillId="0" borderId="0" xfId="0" applyFont="1" applyAlignment="1">
      <alignment horizontal="left" vertical="top" wrapText="1"/>
    </xf>
    <xf numFmtId="0" fontId="45" fillId="0" borderId="37" xfId="0" applyFont="1" applyBorder="1" applyAlignment="1">
      <alignment wrapText="1"/>
    </xf>
    <xf numFmtId="0" fontId="45" fillId="0" borderId="72" xfId="0" applyFont="1" applyBorder="1" applyAlignment="1">
      <alignment wrapText="1"/>
    </xf>
    <xf numFmtId="0" fontId="45" fillId="0" borderId="44" xfId="0" applyFont="1" applyBorder="1" applyAlignment="1">
      <alignment wrapText="1"/>
    </xf>
    <xf numFmtId="0" fontId="174" fillId="0" borderId="87" xfId="0" applyFont="1" applyBorder="1" applyAlignment="1">
      <alignment wrapText="1"/>
    </xf>
    <xf numFmtId="0" fontId="175" fillId="0" borderId="44" xfId="0" applyFont="1" applyBorder="1" applyAlignment="1">
      <alignment wrapText="1"/>
    </xf>
    <xf numFmtId="0" fontId="97" fillId="0" borderId="87" xfId="0" applyFont="1" applyBorder="1" applyAlignment="1">
      <alignment wrapText="1"/>
    </xf>
    <xf numFmtId="0" fontId="175" fillId="0" borderId="0" xfId="0" applyFont="1"/>
    <xf numFmtId="0" fontId="45" fillId="0" borderId="87" xfId="0" applyFont="1" applyBorder="1" applyAlignment="1">
      <alignment wrapText="1"/>
    </xf>
    <xf numFmtId="0" fontId="175" fillId="0" borderId="87" xfId="0" applyFont="1" applyBorder="1" applyAlignment="1">
      <alignment wrapText="1"/>
    </xf>
    <xf numFmtId="0" fontId="172" fillId="0" borderId="44" xfId="0" applyFont="1" applyBorder="1" applyAlignment="1">
      <alignment wrapText="1"/>
    </xf>
    <xf numFmtId="0" fontId="176" fillId="0" borderId="0" xfId="0" applyFont="1"/>
    <xf numFmtId="0" fontId="177" fillId="42" borderId="37" xfId="0" applyFont="1" applyFill="1" applyBorder="1" applyAlignment="1">
      <alignment horizontal="center" wrapText="1"/>
    </xf>
    <xf numFmtId="0" fontId="177" fillId="43" borderId="37" xfId="0" applyFont="1" applyFill="1" applyBorder="1" applyAlignment="1">
      <alignment horizontal="center" wrapText="1"/>
    </xf>
    <xf numFmtId="0" fontId="177" fillId="0" borderId="38" xfId="0" applyFont="1" applyBorder="1" applyAlignment="1">
      <alignment horizontal="center" wrapText="1"/>
    </xf>
    <xf numFmtId="0" fontId="177" fillId="0" borderId="72" xfId="0" applyFont="1" applyBorder="1" applyAlignment="1">
      <alignment horizontal="center" wrapText="1"/>
    </xf>
    <xf numFmtId="0" fontId="177" fillId="0" borderId="87" xfId="0" applyFont="1" applyBorder="1" applyAlignment="1">
      <alignment horizontal="center" wrapText="1"/>
    </xf>
    <xf numFmtId="0" fontId="178" fillId="0" borderId="37" xfId="0" applyFont="1" applyBorder="1" applyAlignment="1">
      <alignment wrapText="1"/>
    </xf>
    <xf numFmtId="0" fontId="176" fillId="0" borderId="87" xfId="0" applyFont="1" applyBorder="1" applyAlignment="1">
      <alignment wrapText="1"/>
    </xf>
    <xf numFmtId="0" fontId="178" fillId="0" borderId="44" xfId="0" applyFont="1" applyBorder="1" applyAlignment="1">
      <alignment wrapText="1"/>
    </xf>
    <xf numFmtId="0" fontId="177" fillId="0" borderId="44" xfId="0" applyFont="1" applyBorder="1" applyAlignment="1">
      <alignment wrapText="1"/>
    </xf>
    <xf numFmtId="0" fontId="178" fillId="0" borderId="99" xfId="0" applyFont="1" applyBorder="1" applyAlignment="1">
      <alignment wrapText="1"/>
    </xf>
    <xf numFmtId="0" fontId="176" fillId="0" borderId="44" xfId="0" applyFont="1" applyBorder="1" applyAlignment="1">
      <alignment wrapText="1"/>
    </xf>
    <xf numFmtId="0" fontId="179" fillId="0" borderId="44" xfId="0" applyFont="1" applyBorder="1" applyAlignment="1">
      <alignment wrapText="1"/>
    </xf>
    <xf numFmtId="0" fontId="180" fillId="0" borderId="0" xfId="0" applyFont="1"/>
    <xf numFmtId="0" fontId="181" fillId="0" borderId="87" xfId="0" applyFont="1" applyBorder="1" applyAlignment="1">
      <alignment horizontal="center" wrapText="1"/>
    </xf>
    <xf numFmtId="0" fontId="29" fillId="0" borderId="70" xfId="0" applyFont="1" applyBorder="1" applyAlignment="1">
      <alignment horizontal="center"/>
    </xf>
    <xf numFmtId="0" fontId="67" fillId="24" borderId="35" xfId="0" applyFont="1" applyFill="1" applyBorder="1" applyAlignment="1">
      <alignment vertical="center"/>
    </xf>
    <xf numFmtId="0" fontId="67" fillId="24" borderId="36" xfId="0" applyFont="1" applyFill="1" applyBorder="1" applyAlignment="1">
      <alignment vertical="center"/>
    </xf>
    <xf numFmtId="0" fontId="67" fillId="24" borderId="37" xfId="0" applyFont="1" applyFill="1" applyBorder="1" applyAlignment="1">
      <alignment vertical="center"/>
    </xf>
    <xf numFmtId="4" fontId="30" fillId="0" borderId="29" xfId="0" applyNumberFormat="1" applyFont="1" applyBorder="1" applyAlignment="1">
      <alignment horizontal="center"/>
    </xf>
    <xf numFmtId="4" fontId="30" fillId="0" borderId="16" xfId="0" applyNumberFormat="1" applyFont="1" applyBorder="1" applyAlignment="1">
      <alignment horizontal="center"/>
    </xf>
    <xf numFmtId="0" fontId="157" fillId="0" borderId="0" xfId="0" applyFont="1" applyBorder="1"/>
    <xf numFmtId="164" fontId="32" fillId="0" borderId="60" xfId="35" applyFont="1" applyFill="1" applyBorder="1" applyAlignment="1">
      <alignment horizontal="center"/>
    </xf>
    <xf numFmtId="3" fontId="38" fillId="0" borderId="12" xfId="0" applyNumberFormat="1" applyFont="1" applyFill="1" applyBorder="1"/>
    <xf numFmtId="3" fontId="69" fillId="0" borderId="22" xfId="0" applyNumberFormat="1" applyFont="1" applyFill="1" applyBorder="1" applyAlignment="1">
      <alignment horizontal="center"/>
    </xf>
    <xf numFmtId="3" fontId="99" fillId="0" borderId="22" xfId="0" applyNumberFormat="1" applyFont="1" applyFill="1" applyBorder="1" applyAlignment="1">
      <alignment horizontal="center"/>
    </xf>
    <xf numFmtId="0" fontId="107" fillId="0" borderId="0" xfId="0" applyFont="1"/>
    <xf numFmtId="0" fontId="44" fillId="0" borderId="0" xfId="0" applyFont="1" applyAlignment="1">
      <alignment horizontal="center"/>
    </xf>
    <xf numFmtId="0" fontId="60" fillId="0" borderId="12" xfId="0" applyFont="1" applyBorder="1" applyAlignment="1">
      <alignment horizontal="center"/>
    </xf>
    <xf numFmtId="3" fontId="36" fillId="0" borderId="12" xfId="0" applyNumberFormat="1" applyFont="1" applyFill="1" applyBorder="1" applyAlignment="1">
      <alignment horizontal="center"/>
    </xf>
    <xf numFmtId="166" fontId="0" fillId="0" borderId="12" xfId="1440" applyNumberFormat="1" applyFont="1" applyBorder="1"/>
    <xf numFmtId="0" fontId="38" fillId="0" borderId="0" xfId="0" applyFont="1" applyFill="1" applyAlignment="1">
      <alignment vertical="center"/>
    </xf>
    <xf numFmtId="0" fontId="38" fillId="0" borderId="0" xfId="0" applyFont="1" applyFill="1"/>
    <xf numFmtId="165" fontId="31" fillId="0" borderId="12" xfId="35" applyNumberFormat="1" applyFont="1" applyFill="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40" fillId="24" borderId="0" xfId="0" applyFont="1" applyFill="1"/>
    <xf numFmtId="0" fontId="40" fillId="37" borderId="0" xfId="0" applyFont="1" applyFill="1"/>
    <xf numFmtId="0" fontId="40" fillId="32" borderId="0" xfId="0" applyFont="1" applyFill="1"/>
    <xf numFmtId="14" fontId="115" fillId="0" borderId="0" xfId="0" applyNumberFormat="1" applyFont="1"/>
    <xf numFmtId="165" fontId="115" fillId="24" borderId="12" xfId="35" applyNumberFormat="1" applyFont="1" applyFill="1" applyBorder="1"/>
    <xf numFmtId="3" fontId="115" fillId="24" borderId="12" xfId="0" applyNumberFormat="1" applyFont="1" applyFill="1" applyBorder="1"/>
    <xf numFmtId="171" fontId="115" fillId="24" borderId="12" xfId="35" applyNumberFormat="1" applyFont="1" applyFill="1" applyBorder="1"/>
    <xf numFmtId="43" fontId="115" fillId="24" borderId="12" xfId="35" applyNumberFormat="1" applyFont="1" applyFill="1" applyBorder="1"/>
    <xf numFmtId="166" fontId="115" fillId="24" borderId="54" xfId="35" applyNumberFormat="1" applyFont="1" applyFill="1" applyBorder="1"/>
    <xf numFmtId="0" fontId="115" fillId="0" borderId="0" xfId="0" applyFont="1"/>
    <xf numFmtId="0" fontId="45" fillId="0" borderId="63" xfId="0" applyFont="1" applyBorder="1" applyAlignment="1">
      <alignment horizontal="center"/>
    </xf>
    <xf numFmtId="0" fontId="45" fillId="0" borderId="53" xfId="0" applyFont="1" applyBorder="1" applyAlignment="1">
      <alignment horizontal="center"/>
    </xf>
    <xf numFmtId="0" fontId="45" fillId="0" borderId="64" xfId="0" applyFont="1" applyBorder="1" applyAlignment="1">
      <alignment horizontal="center"/>
    </xf>
    <xf numFmtId="3" fontId="40" fillId="24" borderId="12" xfId="0" applyNumberFormat="1" applyFont="1" applyFill="1" applyBorder="1" applyAlignment="1"/>
    <xf numFmtId="3" fontId="40" fillId="37" borderId="12" xfId="0" applyNumberFormat="1" applyFont="1" applyFill="1" applyBorder="1" applyAlignment="1"/>
    <xf numFmtId="3" fontId="40" fillId="32" borderId="12" xfId="0" applyNumberFormat="1" applyFont="1" applyFill="1" applyBorder="1" applyAlignment="1"/>
    <xf numFmtId="0" fontId="56" fillId="0" borderId="57" xfId="0" applyFont="1" applyFill="1" applyBorder="1"/>
    <xf numFmtId="3" fontId="56" fillId="24" borderId="56" xfId="0" applyNumberFormat="1" applyFont="1" applyFill="1" applyBorder="1"/>
    <xf numFmtId="3" fontId="56" fillId="37" borderId="56" xfId="0" applyNumberFormat="1" applyFont="1" applyFill="1" applyBorder="1"/>
    <xf numFmtId="3" fontId="56" fillId="32" borderId="56" xfId="0" applyNumberFormat="1" applyFont="1" applyFill="1" applyBorder="1"/>
    <xf numFmtId="3" fontId="56" fillId="0" borderId="56" xfId="0" applyNumberFormat="1" applyFont="1" applyBorder="1" applyAlignment="1">
      <alignment horizontal="center"/>
    </xf>
    <xf numFmtId="165" fontId="56" fillId="0" borderId="65" xfId="35" applyNumberFormat="1" applyFont="1" applyBorder="1"/>
    <xf numFmtId="0" fontId="112" fillId="0" borderId="61" xfId="0" applyFont="1" applyFill="1" applyBorder="1" applyAlignment="1">
      <alignment wrapText="1"/>
    </xf>
    <xf numFmtId="3" fontId="40" fillId="24" borderId="10" xfId="0" applyNumberFormat="1" applyFont="1" applyFill="1" applyBorder="1" applyAlignment="1"/>
    <xf numFmtId="3" fontId="40" fillId="37" borderId="10" xfId="0" applyNumberFormat="1" applyFont="1" applyFill="1" applyBorder="1" applyAlignment="1"/>
    <xf numFmtId="3" fontId="40" fillId="32" borderId="10" xfId="0" applyNumberFormat="1" applyFont="1" applyFill="1" applyBorder="1" applyAlignment="1"/>
    <xf numFmtId="17" fontId="40" fillId="0" borderId="57" xfId="0" applyNumberFormat="1" applyFont="1" applyBorder="1" applyAlignment="1">
      <alignment horizontal="left"/>
    </xf>
    <xf numFmtId="17" fontId="40" fillId="0" borderId="57" xfId="0" applyNumberFormat="1" applyFont="1" applyFill="1" applyBorder="1" applyAlignment="1">
      <alignment horizontal="left"/>
    </xf>
    <xf numFmtId="0" fontId="93" fillId="0" borderId="57" xfId="0" applyFont="1" applyFill="1" applyBorder="1" applyAlignment="1">
      <alignment horizontal="left"/>
    </xf>
    <xf numFmtId="0" fontId="150" fillId="0" borderId="0" xfId="0" applyFont="1" applyAlignment="1">
      <alignment horizontal="center"/>
    </xf>
    <xf numFmtId="0" fontId="58" fillId="0" borderId="12" xfId="0" applyFont="1" applyBorder="1" applyAlignment="1">
      <alignment horizontal="center"/>
    </xf>
    <xf numFmtId="0" fontId="60" fillId="0" borderId="0" xfId="0" applyFont="1" applyBorder="1" applyAlignment="1">
      <alignment horizontal="center"/>
    </xf>
    <xf numFmtId="1" fontId="45" fillId="0" borderId="12" xfId="35" applyNumberFormat="1" applyFont="1" applyBorder="1" applyAlignment="1">
      <alignment horizontal="center"/>
    </xf>
    <xf numFmtId="164" fontId="40" fillId="0" borderId="0" xfId="0" applyNumberFormat="1" applyFont="1"/>
    <xf numFmtId="0" fontId="31" fillId="0" borderId="22" xfId="0" applyFont="1" applyBorder="1" applyAlignment="1">
      <alignment horizontal="center" vertical="center"/>
    </xf>
    <xf numFmtId="0" fontId="31" fillId="0" borderId="12"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0" fontId="31" fillId="24" borderId="12" xfId="0" applyFont="1" applyFill="1" applyBorder="1" applyAlignment="1"/>
    <xf numFmtId="0" fontId="60" fillId="24" borderId="12" xfId="0" applyFont="1" applyFill="1" applyBorder="1"/>
    <xf numFmtId="14" fontId="31" fillId="45" borderId="11" xfId="0" applyNumberFormat="1" applyFont="1" applyFill="1" applyBorder="1" applyAlignment="1">
      <alignment horizontal="left"/>
    </xf>
    <xf numFmtId="0" fontId="60" fillId="45" borderId="11" xfId="0" applyFont="1" applyFill="1" applyBorder="1"/>
    <xf numFmtId="165" fontId="33" fillId="45" borderId="12" xfId="35" applyNumberFormat="1" applyFont="1" applyFill="1" applyBorder="1"/>
    <xf numFmtId="0" fontId="32" fillId="0" borderId="10" xfId="0" applyFont="1" applyBorder="1" applyAlignment="1">
      <alignment horizontal="center" vertical="center"/>
    </xf>
    <xf numFmtId="0" fontId="32" fillId="0" borderId="24" xfId="0" applyFont="1" applyBorder="1" applyAlignment="1">
      <alignment horizontal="center" vertical="center"/>
    </xf>
    <xf numFmtId="43" fontId="41" fillId="0" borderId="0" xfId="0" applyNumberFormat="1" applyFont="1"/>
    <xf numFmtId="165" fontId="31" fillId="0" borderId="0" xfId="35" applyNumberFormat="1" applyFont="1" applyBorder="1"/>
    <xf numFmtId="0" fontId="0" fillId="0" borderId="12" xfId="0" applyFill="1" applyBorder="1"/>
    <xf numFmtId="165" fontId="45" fillId="0" borderId="64" xfId="35" applyNumberFormat="1" applyFont="1" applyFill="1" applyBorder="1"/>
    <xf numFmtId="0" fontId="45" fillId="0" borderId="63" xfId="0" applyFont="1" applyFill="1" applyBorder="1"/>
    <xf numFmtId="0" fontId="45" fillId="0" borderId="57" xfId="0" applyFont="1" applyFill="1" applyBorder="1"/>
    <xf numFmtId="165" fontId="45" fillId="0" borderId="64" xfId="35" applyNumberFormat="1" applyFont="1" applyFill="1" applyBorder="1" applyAlignment="1">
      <alignment horizontal="center"/>
    </xf>
    <xf numFmtId="0" fontId="45" fillId="0" borderId="64" xfId="0" applyFont="1" applyFill="1" applyBorder="1" applyAlignment="1">
      <alignment horizontal="center"/>
    </xf>
    <xf numFmtId="165" fontId="45" fillId="0" borderId="53" xfId="35" applyNumberFormat="1" applyFont="1" applyFill="1" applyBorder="1" applyAlignment="1">
      <alignment horizontal="center"/>
    </xf>
    <xf numFmtId="0" fontId="45" fillId="0" borderId="31" xfId="0" applyFont="1" applyFill="1" applyBorder="1"/>
    <xf numFmtId="0" fontId="0" fillId="0" borderId="11" xfId="0" applyFill="1" applyBorder="1"/>
    <xf numFmtId="165" fontId="0" fillId="0" borderId="56" xfId="35" applyNumberFormat="1" applyFont="1" applyFill="1" applyBorder="1"/>
    <xf numFmtId="165" fontId="0" fillId="0" borderId="65" xfId="35" applyNumberFormat="1" applyFont="1" applyFill="1" applyBorder="1"/>
    <xf numFmtId="0" fontId="58" fillId="0" borderId="46" xfId="0" applyFont="1" applyBorder="1"/>
    <xf numFmtId="0" fontId="110" fillId="0" borderId="12" xfId="0" applyFont="1" applyFill="1" applyBorder="1" applyAlignment="1">
      <alignment horizontal="center"/>
    </xf>
    <xf numFmtId="0" fontId="110" fillId="0" borderId="12" xfId="0" applyFont="1" applyBorder="1" applyAlignment="1">
      <alignment horizontal="center"/>
    </xf>
    <xf numFmtId="0" fontId="51" fillId="0" borderId="12" xfId="0" applyFont="1" applyBorder="1" applyAlignment="1">
      <alignment horizontal="center" vertical="center"/>
    </xf>
    <xf numFmtId="165" fontId="58" fillId="0" borderId="56" xfId="35" applyNumberFormat="1" applyFont="1" applyFill="1" applyBorder="1"/>
    <xf numFmtId="0" fontId="30" fillId="24" borderId="0" xfId="0" applyFont="1" applyFill="1" applyAlignment="1">
      <alignment vertical="center"/>
    </xf>
    <xf numFmtId="166" fontId="113" fillId="0" borderId="12" xfId="1440" applyNumberFormat="1" applyFont="1" applyBorder="1"/>
    <xf numFmtId="166" fontId="160" fillId="0" borderId="12" xfId="1440" applyNumberFormat="1" applyFont="1" applyBorder="1"/>
    <xf numFmtId="166" fontId="187" fillId="0" borderId="12" xfId="1440" applyNumberFormat="1" applyFont="1" applyBorder="1"/>
    <xf numFmtId="165" fontId="44" fillId="0" borderId="0" xfId="35" applyNumberFormat="1" applyFont="1" applyBorder="1"/>
    <xf numFmtId="0" fontId="41" fillId="0" borderId="12" xfId="0" applyFont="1" applyBorder="1" applyAlignment="1">
      <alignment horizontal="center"/>
    </xf>
    <xf numFmtId="165" fontId="104" fillId="0" borderId="12" xfId="35" applyNumberFormat="1" applyFont="1" applyFill="1" applyBorder="1" applyAlignment="1">
      <alignment horizontal="center"/>
    </xf>
    <xf numFmtId="0" fontId="44" fillId="0" borderId="0" xfId="0" applyFont="1" applyAlignment="1">
      <alignment horizontal="center"/>
    </xf>
    <xf numFmtId="0" fontId="87" fillId="0" borderId="0" xfId="1449" applyFont="1" applyFill="1" applyBorder="1"/>
    <xf numFmtId="0" fontId="31" fillId="0" borderId="0" xfId="1449" applyFont="1" applyFill="1" applyBorder="1" applyAlignment="1">
      <alignment vertical="center"/>
    </xf>
    <xf numFmtId="0" fontId="9" fillId="0" borderId="0" xfId="1449" applyFill="1" applyBorder="1"/>
    <xf numFmtId="14" fontId="9" fillId="0" borderId="0" xfId="1449" applyNumberFormat="1" applyFill="1" applyBorder="1"/>
    <xf numFmtId="0" fontId="60" fillId="0" borderId="0" xfId="1449" applyFont="1" applyFill="1" applyBorder="1"/>
    <xf numFmtId="0" fontId="189" fillId="0" borderId="0" xfId="0" applyFont="1" applyFill="1" applyBorder="1"/>
    <xf numFmtId="0" fontId="188" fillId="0" borderId="12" xfId="0" applyFont="1" applyBorder="1" applyAlignment="1">
      <alignment vertical="top" wrapText="1"/>
    </xf>
    <xf numFmtId="0" fontId="190" fillId="0" borderId="12" xfId="0" applyFont="1" applyBorder="1" applyAlignment="1">
      <alignment vertical="top" wrapText="1"/>
    </xf>
    <xf numFmtId="165" fontId="188" fillId="0" borderId="12" xfId="35" applyNumberFormat="1" applyFont="1" applyBorder="1" applyAlignment="1">
      <alignment vertical="top" wrapText="1"/>
    </xf>
    <xf numFmtId="0" fontId="191" fillId="0" borderId="0" xfId="1449" applyFont="1" applyFill="1" applyBorder="1"/>
    <xf numFmtId="0" fontId="44" fillId="0" borderId="0" xfId="1449" applyFont="1" applyFill="1" applyBorder="1"/>
    <xf numFmtId="0" fontId="98" fillId="0" borderId="0" xfId="1449" applyFont="1" applyFill="1" applyBorder="1"/>
    <xf numFmtId="0" fontId="98" fillId="0" borderId="0" xfId="0" applyFont="1"/>
    <xf numFmtId="0" fontId="44" fillId="0" borderId="0" xfId="0" applyFont="1"/>
    <xf numFmtId="0" fontId="44" fillId="0" borderId="63" xfId="1449" applyFont="1" applyFill="1" applyBorder="1" applyAlignment="1">
      <alignment horizontal="center"/>
    </xf>
    <xf numFmtId="0" fontId="44" fillId="0" borderId="64" xfId="1449" applyFont="1" applyFill="1" applyBorder="1" applyAlignment="1">
      <alignment horizontal="center"/>
    </xf>
    <xf numFmtId="0" fontId="44" fillId="0" borderId="53" xfId="1449" applyFont="1" applyFill="1" applyBorder="1" applyAlignment="1">
      <alignment horizontal="center"/>
    </xf>
    <xf numFmtId="0" fontId="190" fillId="0" borderId="57" xfId="0" applyFont="1" applyBorder="1" applyAlignment="1">
      <alignment vertical="top" wrapText="1"/>
    </xf>
    <xf numFmtId="165" fontId="40" fillId="0" borderId="56" xfId="35" applyNumberFormat="1" applyFont="1" applyBorder="1"/>
    <xf numFmtId="165" fontId="44" fillId="0" borderId="60" xfId="35" applyNumberFormat="1" applyFont="1" applyBorder="1"/>
    <xf numFmtId="165" fontId="36" fillId="24" borderId="12" xfId="35" applyNumberFormat="1" applyFont="1" applyFill="1" applyBorder="1" applyAlignment="1">
      <alignment vertical="center"/>
    </xf>
    <xf numFmtId="16" fontId="33" fillId="24" borderId="12" xfId="0" applyNumberFormat="1" applyFont="1" applyFill="1" applyBorder="1" applyAlignment="1">
      <alignment vertical="center"/>
    </xf>
    <xf numFmtId="0" fontId="44" fillId="0" borderId="12" xfId="0" applyFont="1" applyBorder="1"/>
    <xf numFmtId="0" fontId="40" fillId="0" borderId="12" xfId="35" applyNumberFormat="1" applyFont="1" applyBorder="1" applyAlignment="1">
      <alignment horizontal="center" vertical="center"/>
    </xf>
    <xf numFmtId="3" fontId="40" fillId="40" borderId="11" xfId="0" applyNumberFormat="1" applyFont="1" applyFill="1" applyBorder="1"/>
    <xf numFmtId="3" fontId="40" fillId="32" borderId="11" xfId="0" applyNumberFormat="1" applyFont="1" applyFill="1" applyBorder="1"/>
    <xf numFmtId="0" fontId="45" fillId="0" borderId="64" xfId="0" applyFont="1" applyBorder="1"/>
    <xf numFmtId="0" fontId="45" fillId="0" borderId="53" xfId="0" applyFont="1" applyBorder="1"/>
    <xf numFmtId="0" fontId="45" fillId="0" borderId="60" xfId="0" applyFont="1" applyBorder="1"/>
    <xf numFmtId="14" fontId="40" fillId="0" borderId="12" xfId="0" applyNumberFormat="1" applyFont="1" applyBorder="1" applyAlignment="1">
      <alignment horizontal="center" vertical="center"/>
    </xf>
    <xf numFmtId="14" fontId="40" fillId="0" borderId="12" xfId="0" applyNumberFormat="1" applyFont="1" applyBorder="1" applyAlignment="1">
      <alignment vertical="center"/>
    </xf>
    <xf numFmtId="0" fontId="9" fillId="0" borderId="12" xfId="0" applyNumberFormat="1" applyFont="1" applyBorder="1" applyAlignment="1">
      <alignment horizontal="left" vertical="top"/>
    </xf>
    <xf numFmtId="165" fontId="52" fillId="27" borderId="11" xfId="35" applyNumberFormat="1" applyFont="1" applyFill="1" applyBorder="1"/>
    <xf numFmtId="0" fontId="193" fillId="0" borderId="0" xfId="0" applyFont="1"/>
    <xf numFmtId="0" fontId="194" fillId="0" borderId="0" xfId="0" applyFont="1"/>
    <xf numFmtId="14" fontId="40" fillId="0" borderId="12" xfId="0" applyNumberFormat="1" applyFont="1" applyBorder="1" applyAlignment="1">
      <alignment horizontal="left" vertical="top"/>
    </xf>
    <xf numFmtId="170" fontId="58" fillId="24" borderId="57" xfId="35" applyNumberFormat="1" applyFont="1" applyFill="1" applyBorder="1" applyAlignment="1"/>
    <xf numFmtId="165" fontId="36" fillId="0" borderId="57" xfId="35" applyNumberFormat="1" applyFont="1" applyFill="1" applyBorder="1" applyAlignment="1">
      <alignment horizontal="center" vertical="center"/>
    </xf>
    <xf numFmtId="0" fontId="33" fillId="0" borderId="57" xfId="0" applyFont="1" applyBorder="1"/>
    <xf numFmtId="0" fontId="42" fillId="0" borderId="53" xfId="0" applyFont="1" applyBorder="1" applyAlignment="1">
      <alignment horizontal="center"/>
    </xf>
    <xf numFmtId="165" fontId="42" fillId="0" borderId="56" xfId="35" applyNumberFormat="1" applyFont="1" applyBorder="1"/>
    <xf numFmtId="3" fontId="195" fillId="30" borderId="47" xfId="0" applyNumberFormat="1" applyFont="1" applyFill="1" applyBorder="1" applyAlignment="1">
      <alignment horizontal="center"/>
    </xf>
    <xf numFmtId="165" fontId="196" fillId="0" borderId="50" xfId="35" applyNumberFormat="1" applyFont="1" applyBorder="1"/>
    <xf numFmtId="165" fontId="42" fillId="0" borderId="46" xfId="35" applyNumberFormat="1" applyFont="1" applyBorder="1"/>
    <xf numFmtId="165" fontId="111" fillId="30" borderId="47" xfId="35" applyNumberFormat="1" applyFont="1" applyFill="1" applyBorder="1"/>
    <xf numFmtId="0" fontId="112" fillId="0" borderId="45" xfId="0" applyFont="1" applyFill="1" applyBorder="1" applyAlignment="1">
      <alignment vertical="center" wrapText="1"/>
    </xf>
    <xf numFmtId="0" fontId="42" fillId="0" borderId="0" xfId="0" applyNumberFormat="1" applyFont="1"/>
    <xf numFmtId="0" fontId="45" fillId="0" borderId="63" xfId="0" applyFont="1" applyBorder="1" applyAlignment="1">
      <alignment horizontal="center"/>
    </xf>
    <xf numFmtId="0" fontId="45" fillId="0" borderId="64" xfId="0" applyFont="1" applyBorder="1" applyAlignment="1">
      <alignment horizontal="center"/>
    </xf>
    <xf numFmtId="0" fontId="45" fillId="0" borderId="12" xfId="0" applyFont="1" applyBorder="1" applyAlignment="1">
      <alignment horizontal="center"/>
    </xf>
    <xf numFmtId="0" fontId="9" fillId="0" borderId="11" xfId="0" applyFont="1" applyBorder="1" applyAlignment="1">
      <alignment horizontal="center" vertical="center"/>
    </xf>
    <xf numFmtId="0" fontId="56" fillId="0" borderId="12" xfId="0" applyFont="1" applyFill="1" applyBorder="1" applyAlignment="1">
      <alignment horizontal="center" vertical="center" wrapText="1"/>
    </xf>
    <xf numFmtId="0" fontId="58" fillId="0" borderId="0" xfId="0" applyFont="1" applyBorder="1" applyAlignment="1">
      <alignment horizontal="center" vertical="center"/>
    </xf>
    <xf numFmtId="0" fontId="45" fillId="0" borderId="0" xfId="0" applyFont="1" applyBorder="1" applyAlignment="1">
      <alignment horizontal="center" vertical="center"/>
    </xf>
    <xf numFmtId="165" fontId="164" fillId="0" borderId="11" xfId="35" applyNumberFormat="1" applyFont="1" applyBorder="1" applyAlignment="1">
      <alignment horizontal="center" vertical="center"/>
    </xf>
    <xf numFmtId="0" fontId="60" fillId="0" borderId="0" xfId="0" applyFont="1" applyBorder="1" applyAlignment="1">
      <alignment horizontal="center" vertical="center"/>
    </xf>
    <xf numFmtId="165" fontId="30" fillId="0" borderId="0" xfId="0" applyNumberFormat="1" applyFont="1" applyAlignment="1">
      <alignment vertical="center"/>
    </xf>
    <xf numFmtId="0" fontId="155" fillId="0" borderId="20" xfId="0" applyFont="1" applyBorder="1" applyAlignment="1"/>
    <xf numFmtId="0" fontId="155" fillId="0" borderId="11" xfId="0" applyFont="1" applyBorder="1" applyAlignment="1">
      <alignment horizontal="center"/>
    </xf>
    <xf numFmtId="0" fontId="198" fillId="0" borderId="12" xfId="35" applyNumberFormat="1" applyFont="1" applyBorder="1" applyAlignment="1">
      <alignment horizontal="center" vertical="center"/>
    </xf>
    <xf numFmtId="0" fontId="199" fillId="0" borderId="12" xfId="0" applyFont="1" applyBorder="1" applyAlignment="1">
      <alignment horizontal="center"/>
    </xf>
    <xf numFmtId="0" fontId="154" fillId="0" borderId="12" xfId="0" applyFont="1" applyBorder="1" applyAlignment="1">
      <alignment horizontal="center"/>
    </xf>
    <xf numFmtId="0" fontId="201" fillId="0" borderId="12" xfId="0" applyFont="1" applyBorder="1" applyAlignment="1">
      <alignment horizontal="center"/>
    </xf>
    <xf numFmtId="0" fontId="197" fillId="0" borderId="12" xfId="0" applyFont="1" applyBorder="1" applyAlignment="1"/>
    <xf numFmtId="0" fontId="202" fillId="0" borderId="12" xfId="0" applyFont="1" applyFill="1" applyBorder="1" applyAlignment="1"/>
    <xf numFmtId="0" fontId="202" fillId="0" borderId="12" xfId="0" applyFont="1" applyFill="1" applyBorder="1" applyAlignment="1">
      <alignment wrapText="1"/>
    </xf>
    <xf numFmtId="0" fontId="153" fillId="0" borderId="17" xfId="0" applyFont="1" applyFill="1" applyBorder="1" applyAlignment="1">
      <alignment wrapText="1"/>
    </xf>
    <xf numFmtId="165" fontId="152" fillId="0" borderId="11" xfId="35" applyNumberFormat="1" applyFont="1" applyBorder="1" applyAlignment="1"/>
    <xf numFmtId="0" fontId="200" fillId="0" borderId="12" xfId="0" applyFont="1" applyBorder="1" applyAlignment="1"/>
    <xf numFmtId="0" fontId="45" fillId="0" borderId="12" xfId="0" applyFont="1" applyBorder="1" applyAlignment="1">
      <alignment horizontal="center" vertical="center"/>
    </xf>
    <xf numFmtId="0" fontId="0" fillId="0" borderId="0" xfId="0" applyBorder="1" applyAlignment="1"/>
    <xf numFmtId="0" fontId="56" fillId="0" borderId="10" xfId="0" applyFont="1" applyBorder="1" applyAlignment="1">
      <alignment horizontal="center" wrapText="1"/>
    </xf>
    <xf numFmtId="0" fontId="56" fillId="0" borderId="12" xfId="0" applyFont="1" applyBorder="1" applyAlignment="1">
      <alignment horizontal="center" vertical="center" wrapText="1"/>
    </xf>
    <xf numFmtId="0" fontId="61" fillId="0" borderId="0" xfId="0" applyFont="1" applyBorder="1" applyAlignment="1">
      <alignment vertical="center"/>
    </xf>
    <xf numFmtId="0" fontId="134" fillId="0" borderId="0" xfId="0" applyFont="1" applyFill="1" applyBorder="1" applyAlignment="1">
      <alignment vertical="center"/>
    </xf>
    <xf numFmtId="0" fontId="51" fillId="0" borderId="0" xfId="0" applyFont="1" applyBorder="1" applyAlignment="1">
      <alignment horizontal="center" vertical="center"/>
    </xf>
    <xf numFmtId="0" fontId="134" fillId="0" borderId="0" xfId="0" applyFont="1" applyFill="1" applyBorder="1" applyAlignment="1">
      <alignment vertical="center" wrapText="1"/>
    </xf>
    <xf numFmtId="0" fontId="164" fillId="0" borderId="12" xfId="35" applyNumberFormat="1" applyFont="1" applyBorder="1" applyAlignment="1">
      <alignment horizontal="center" vertical="center"/>
    </xf>
    <xf numFmtId="0" fontId="58" fillId="0" borderId="12" xfId="0" applyFont="1" applyBorder="1" applyAlignment="1">
      <alignment vertical="center"/>
    </xf>
    <xf numFmtId="0" fontId="203" fillId="0" borderId="12" xfId="0" applyFont="1" applyFill="1" applyBorder="1" applyAlignment="1"/>
    <xf numFmtId="0" fontId="203" fillId="0" borderId="12" xfId="0" applyFont="1" applyFill="1" applyBorder="1" applyAlignment="1">
      <alignment wrapText="1"/>
    </xf>
    <xf numFmtId="0" fontId="56" fillId="0" borderId="12" xfId="35" applyNumberFormat="1" applyFont="1" applyBorder="1" applyAlignment="1">
      <alignment horizontal="center"/>
    </xf>
    <xf numFmtId="0" fontId="56" fillId="0" borderId="12" xfId="35" applyNumberFormat="1" applyFont="1" applyFill="1" applyBorder="1" applyAlignment="1">
      <alignment horizontal="center"/>
    </xf>
    <xf numFmtId="0" fontId="56" fillId="0" borderId="12" xfId="0" applyNumberFormat="1" applyFont="1" applyBorder="1" applyAlignment="1">
      <alignment horizontal="center"/>
    </xf>
    <xf numFmtId="0" fontId="58" fillId="0" borderId="12" xfId="0" applyFont="1" applyBorder="1" applyAlignment="1">
      <alignment horizontal="center" wrapText="1"/>
    </xf>
    <xf numFmtId="0" fontId="45" fillId="0" borderId="12" xfId="0" applyFont="1" applyFill="1" applyBorder="1" applyAlignment="1">
      <alignment horizontal="center" vertical="center" wrapText="1"/>
    </xf>
    <xf numFmtId="0" fontId="56" fillId="0" borderId="0" xfId="35" applyNumberFormat="1" applyFont="1" applyBorder="1" applyAlignment="1">
      <alignment horizontal="center"/>
    </xf>
    <xf numFmtId="0" fontId="56" fillId="0" borderId="0" xfId="35" applyNumberFormat="1" applyFont="1" applyFill="1" applyBorder="1" applyAlignment="1">
      <alignment horizontal="center"/>
    </xf>
    <xf numFmtId="165" fontId="189" fillId="24" borderId="0" xfId="0" applyNumberFormat="1" applyFont="1" applyFill="1"/>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31" fillId="24" borderId="12" xfId="35" applyNumberFormat="1" applyFont="1" applyFill="1" applyBorder="1" applyAlignment="1">
      <alignment horizontal="center" vertical="center"/>
    </xf>
    <xf numFmtId="3" fontId="40" fillId="37" borderId="11" xfId="0" applyNumberFormat="1" applyFont="1" applyFill="1" applyBorder="1"/>
    <xf numFmtId="0" fontId="60" fillId="0" borderId="12" xfId="0" applyNumberFormat="1" applyFont="1" applyBorder="1" applyAlignment="1">
      <alignment horizontal="center" vertical="center" wrapText="1"/>
    </xf>
    <xf numFmtId="165" fontId="38" fillId="24" borderId="12" xfId="0" applyNumberFormat="1" applyFont="1" applyFill="1" applyBorder="1" applyAlignment="1">
      <alignment vertical="center"/>
    </xf>
    <xf numFmtId="3" fontId="37" fillId="0" borderId="12" xfId="35" applyNumberFormat="1" applyFont="1" applyFill="1" applyBorder="1" applyAlignment="1">
      <alignment horizontal="center"/>
    </xf>
    <xf numFmtId="0" fontId="30" fillId="0" borderId="12" xfId="0" applyFont="1" applyFill="1" applyBorder="1" applyAlignment="1">
      <alignment horizontal="left"/>
    </xf>
    <xf numFmtId="3" fontId="30" fillId="0" borderId="12" xfId="0" applyNumberFormat="1" applyFont="1" applyFill="1" applyBorder="1" applyAlignment="1">
      <alignment horizontal="center" vertical="center"/>
    </xf>
    <xf numFmtId="167" fontId="30" fillId="0" borderId="10" xfId="0" applyNumberFormat="1" applyFont="1" applyFill="1" applyBorder="1" applyAlignment="1">
      <alignment horizontal="center" vertical="center" wrapText="1"/>
    </xf>
    <xf numFmtId="0" fontId="30" fillId="27" borderId="10" xfId="0" applyFont="1" applyFill="1" applyBorder="1" applyAlignment="1">
      <alignment horizontal="center"/>
    </xf>
    <xf numFmtId="0" fontId="30" fillId="27" borderId="24" xfId="0" applyFont="1" applyFill="1" applyBorder="1" applyAlignment="1">
      <alignment horizontal="center"/>
    </xf>
    <xf numFmtId="0" fontId="30" fillId="26" borderId="12" xfId="0" applyFont="1" applyFill="1" applyBorder="1"/>
    <xf numFmtId="165" fontId="29" fillId="26" borderId="12" xfId="35" applyNumberFormat="1" applyFont="1" applyFill="1" applyBorder="1"/>
    <xf numFmtId="165" fontId="206" fillId="0" borderId="0" xfId="0" applyNumberFormat="1" applyFont="1" applyBorder="1" applyAlignment="1">
      <alignment horizontal="left" vertical="center" wrapText="1"/>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36" fillId="0" borderId="11" xfId="35" applyNumberFormat="1" applyFont="1" applyFill="1" applyBorder="1" applyAlignment="1">
      <alignment vertical="center"/>
    </xf>
    <xf numFmtId="165" fontId="58" fillId="36" borderId="0" xfId="35" applyNumberFormat="1" applyFont="1" applyFill="1" applyBorder="1"/>
    <xf numFmtId="165" fontId="41" fillId="0" borderId="0" xfId="0" applyNumberFormat="1" applyFont="1" applyFill="1" applyBorder="1"/>
    <xf numFmtId="0" fontId="31" fillId="0" borderId="20" xfId="0" applyFont="1" applyBorder="1" applyAlignment="1">
      <alignment vertical="center"/>
    </xf>
    <xf numFmtId="164" fontId="36" fillId="0" borderId="11" xfId="35" applyFont="1" applyFill="1" applyBorder="1" applyAlignment="1">
      <alignment vertical="center"/>
    </xf>
    <xf numFmtId="165" fontId="36" fillId="0" borderId="20" xfId="35" applyNumberFormat="1" applyFont="1" applyBorder="1" applyAlignment="1">
      <alignment vertical="center"/>
    </xf>
    <xf numFmtId="164" fontId="33" fillId="0" borderId="31" xfId="35" applyFont="1" applyFill="1" applyBorder="1" applyAlignment="1">
      <alignment vertical="center"/>
    </xf>
    <xf numFmtId="165" fontId="33" fillId="0" borderId="11" xfId="35" applyNumberFormat="1" applyFont="1" applyBorder="1" applyAlignment="1">
      <alignment vertical="center"/>
    </xf>
    <xf numFmtId="165" fontId="34" fillId="0" borderId="11" xfId="35" applyNumberFormat="1" applyFont="1" applyBorder="1" applyAlignment="1">
      <alignment vertical="center"/>
    </xf>
    <xf numFmtId="165" fontId="33" fillId="24" borderId="11" xfId="35" applyNumberFormat="1" applyFont="1" applyFill="1" applyBorder="1" applyAlignment="1">
      <alignment horizontal="center" vertical="center"/>
    </xf>
    <xf numFmtId="165" fontId="31" fillId="0" borderId="17" xfId="35" applyNumberFormat="1" applyFont="1" applyBorder="1" applyAlignment="1">
      <alignment vertical="center"/>
    </xf>
    <xf numFmtId="165" fontId="36" fillId="0" borderId="11" xfId="35" applyNumberFormat="1" applyFont="1" applyBorder="1" applyAlignment="1">
      <alignment vertical="center"/>
    </xf>
    <xf numFmtId="164" fontId="31" fillId="0" borderId="45" xfId="35" applyNumberFormat="1" applyFont="1" applyBorder="1" applyAlignment="1">
      <alignment vertical="center"/>
    </xf>
    <xf numFmtId="165" fontId="31" fillId="0" borderId="68" xfId="35" applyNumberFormat="1" applyFont="1" applyBorder="1" applyAlignment="1">
      <alignment vertical="center"/>
    </xf>
    <xf numFmtId="164" fontId="32" fillId="0" borderId="45" xfId="35" applyFont="1" applyBorder="1" applyAlignment="1">
      <alignment vertical="center"/>
    </xf>
    <xf numFmtId="165" fontId="31" fillId="0" borderId="46" xfId="35" applyNumberFormat="1" applyFont="1" applyBorder="1" applyAlignment="1">
      <alignment vertical="center"/>
    </xf>
    <xf numFmtId="165" fontId="31" fillId="0" borderId="67" xfId="35" applyNumberFormat="1" applyFont="1" applyFill="1" applyBorder="1" applyAlignment="1">
      <alignment vertical="center"/>
    </xf>
    <xf numFmtId="165" fontId="31" fillId="0" borderId="46" xfId="35" applyNumberFormat="1" applyFont="1" applyFill="1" applyBorder="1" applyAlignment="1">
      <alignment vertical="center"/>
    </xf>
    <xf numFmtId="165" fontId="36" fillId="0" borderId="46" xfId="35" applyNumberFormat="1" applyFont="1" applyFill="1" applyBorder="1" applyAlignment="1">
      <alignment vertical="center"/>
    </xf>
    <xf numFmtId="165" fontId="31" fillId="0" borderId="47" xfId="35" applyNumberFormat="1" applyFont="1" applyFill="1" applyBorder="1" applyAlignment="1">
      <alignment vertical="center"/>
    </xf>
    <xf numFmtId="0" fontId="33" fillId="0" borderId="63" xfId="0" applyFont="1" applyBorder="1"/>
    <xf numFmtId="0" fontId="33" fillId="0" borderId="64" xfId="0" applyFont="1" applyBorder="1"/>
    <xf numFmtId="164" fontId="33" fillId="0" borderId="53" xfId="35" applyFont="1" applyBorder="1"/>
    <xf numFmtId="164" fontId="33" fillId="0" borderId="56" xfId="35" applyFont="1" applyBorder="1"/>
    <xf numFmtId="165" fontId="33" fillId="0" borderId="56" xfId="35" applyNumberFormat="1" applyFont="1" applyBorder="1"/>
    <xf numFmtId="165" fontId="33" fillId="0" borderId="60" xfId="35" applyNumberFormat="1" applyFont="1" applyBorder="1"/>
    <xf numFmtId="3" fontId="33" fillId="0" borderId="0" xfId="35" applyNumberFormat="1" applyFont="1" applyFill="1" applyBorder="1" applyAlignment="1">
      <alignment horizontal="center" vertical="center"/>
    </xf>
    <xf numFmtId="0" fontId="42" fillId="0" borderId="0" xfId="0" applyFont="1" applyAlignment="1">
      <alignment horizontal="center" vertical="center"/>
    </xf>
    <xf numFmtId="0" fontId="45" fillId="0" borderId="11" xfId="0" applyFont="1" applyBorder="1" applyAlignment="1">
      <alignment horizontal="center"/>
    </xf>
    <xf numFmtId="0" fontId="58" fillId="0" borderId="12" xfId="0" applyFont="1" applyBorder="1" applyAlignment="1">
      <alignment horizontal="center"/>
    </xf>
    <xf numFmtId="169" fontId="45" fillId="0" borderId="12" xfId="0" applyNumberFormat="1" applyFont="1" applyBorder="1"/>
    <xf numFmtId="17" fontId="60" fillId="0" borderId="0" xfId="0" applyNumberFormat="1" applyFont="1"/>
    <xf numFmtId="14" fontId="40" fillId="0" borderId="22" xfId="0" applyNumberFormat="1" applyFont="1" applyBorder="1" applyAlignment="1">
      <alignment horizontal="left" vertical="top"/>
    </xf>
    <xf numFmtId="0" fontId="9" fillId="0" borderId="22" xfId="0" applyNumberFormat="1" applyFont="1" applyBorder="1" applyAlignment="1">
      <alignment horizontal="left" vertical="top"/>
    </xf>
    <xf numFmtId="0" fontId="58" fillId="0" borderId="0" xfId="0" applyFont="1" applyBorder="1" applyAlignment="1">
      <alignment horizontal="center"/>
    </xf>
    <xf numFmtId="14" fontId="40" fillId="0" borderId="0" xfId="0" applyNumberFormat="1" applyFont="1" applyBorder="1" applyAlignment="1">
      <alignment horizontal="left" vertical="top"/>
    </xf>
    <xf numFmtId="0" fontId="9" fillId="0" borderId="0" xfId="0" applyNumberFormat="1" applyFont="1" applyBorder="1" applyAlignment="1">
      <alignment horizontal="left" vertical="top"/>
    </xf>
    <xf numFmtId="0" fontId="40" fillId="0" borderId="0" xfId="35" applyNumberFormat="1" applyFont="1" applyBorder="1" applyAlignment="1">
      <alignment horizontal="center" vertical="center"/>
    </xf>
    <xf numFmtId="0" fontId="40" fillId="0" borderId="15" xfId="35" applyNumberFormat="1" applyFont="1" applyBorder="1" applyAlignment="1">
      <alignment horizontal="center" vertical="center"/>
    </xf>
    <xf numFmtId="0" fontId="40" fillId="0" borderId="10" xfId="35" applyNumberFormat="1" applyFont="1" applyBorder="1" applyAlignment="1">
      <alignment horizontal="center" vertical="center"/>
    </xf>
    <xf numFmtId="0" fontId="58" fillId="0" borderId="10" xfId="35" applyNumberFormat="1" applyFont="1" applyBorder="1" applyAlignment="1">
      <alignment horizontal="center" vertical="center"/>
    </xf>
    <xf numFmtId="165" fontId="60" fillId="0" borderId="10" xfId="0" applyNumberFormat="1" applyFont="1" applyBorder="1"/>
    <xf numFmtId="14" fontId="44" fillId="0" borderId="12" xfId="0" applyNumberFormat="1" applyFont="1" applyBorder="1" applyAlignment="1">
      <alignment horizontal="center" vertical="center" wrapText="1"/>
    </xf>
    <xf numFmtId="165" fontId="32" fillId="0" borderId="45" xfId="35" applyNumberFormat="1" applyFont="1" applyBorder="1" applyAlignment="1">
      <alignment vertical="center"/>
    </xf>
    <xf numFmtId="0" fontId="0" fillId="0" borderId="0" xfId="0" applyNumberFormat="1"/>
    <xf numFmtId="0" fontId="97" fillId="0" borderId="0" xfId="0" applyNumberFormat="1" applyFont="1"/>
    <xf numFmtId="0" fontId="96" fillId="0" borderId="0" xfId="0" applyNumberFormat="1" applyFont="1"/>
    <xf numFmtId="0" fontId="40" fillId="0" borderId="0" xfId="0" applyNumberFormat="1" applyFont="1"/>
    <xf numFmtId="0" fontId="0" fillId="0" borderId="0" xfId="0" applyNumberFormat="1" applyFill="1"/>
    <xf numFmtId="0" fontId="110" fillId="0" borderId="0" xfId="0" applyNumberFormat="1" applyFont="1"/>
    <xf numFmtId="164" fontId="41" fillId="0" borderId="0" xfId="0" applyNumberFormat="1" applyFont="1"/>
    <xf numFmtId="0" fontId="56" fillId="0" borderId="49" xfId="0" applyFont="1" applyFill="1" applyBorder="1"/>
    <xf numFmtId="3" fontId="56" fillId="24" borderId="74" xfId="0" applyNumberFormat="1" applyFont="1" applyFill="1" applyBorder="1"/>
    <xf numFmtId="3" fontId="56" fillId="37" borderId="74" xfId="0" applyNumberFormat="1" applyFont="1" applyFill="1" applyBorder="1"/>
    <xf numFmtId="3" fontId="56" fillId="32" borderId="74" xfId="0" applyNumberFormat="1" applyFont="1" applyFill="1" applyBorder="1"/>
    <xf numFmtId="165" fontId="56" fillId="0" borderId="77" xfId="35" applyNumberFormat="1" applyFont="1" applyBorder="1"/>
    <xf numFmtId="170" fontId="58" fillId="25" borderId="56" xfId="35" applyNumberFormat="1" applyFont="1" applyFill="1" applyBorder="1" applyAlignment="1"/>
    <xf numFmtId="0" fontId="31" fillId="0" borderId="56" xfId="0" applyFont="1" applyBorder="1" applyAlignment="1">
      <alignment horizontal="center" vertical="center"/>
    </xf>
    <xf numFmtId="165" fontId="33" fillId="25" borderId="56" xfId="35" applyNumberFormat="1" applyFont="1" applyFill="1" applyBorder="1" applyAlignment="1">
      <alignment horizontal="center" vertical="center"/>
    </xf>
    <xf numFmtId="165" fontId="33" fillId="0" borderId="56" xfId="35" applyNumberFormat="1" applyFont="1" applyFill="1" applyBorder="1" applyAlignment="1">
      <alignment horizontal="center" vertical="center"/>
    </xf>
    <xf numFmtId="165" fontId="33" fillId="25" borderId="65" xfId="35" applyNumberFormat="1" applyFont="1" applyFill="1" applyBorder="1" applyAlignment="1">
      <alignment horizontal="center" vertical="center"/>
    </xf>
    <xf numFmtId="0" fontId="37" fillId="0" borderId="12" xfId="0" applyNumberFormat="1" applyFont="1" applyFill="1" applyBorder="1" applyAlignment="1">
      <alignment horizontal="center" vertical="top"/>
    </xf>
    <xf numFmtId="0" fontId="37" fillId="0" borderId="12" xfId="35" applyNumberFormat="1" applyFont="1" applyBorder="1" applyAlignment="1">
      <alignment horizontal="center" vertical="top"/>
    </xf>
    <xf numFmtId="0" fontId="37" fillId="0" borderId="12" xfId="35" applyNumberFormat="1" applyFont="1" applyFill="1" applyBorder="1" applyAlignment="1">
      <alignment horizontal="center" vertical="top"/>
    </xf>
    <xf numFmtId="3" fontId="37" fillId="0" borderId="12" xfId="0" applyNumberFormat="1" applyFont="1" applyFill="1" applyBorder="1" applyAlignment="1">
      <alignment horizontal="center" vertical="top"/>
    </xf>
    <xf numFmtId="0" fontId="51" fillId="0" borderId="0" xfId="0" applyFont="1" applyAlignment="1">
      <alignment horizontal="center" vertical="top"/>
    </xf>
    <xf numFmtId="0" fontId="51" fillId="0" borderId="12" xfId="0" applyFont="1" applyBorder="1" applyAlignment="1">
      <alignment horizontal="center" vertical="top"/>
    </xf>
    <xf numFmtId="3" fontId="36" fillId="0" borderId="12" xfId="0" applyNumberFormat="1" applyFont="1" applyFill="1" applyBorder="1" applyAlignment="1">
      <alignment horizontal="center" vertical="top"/>
    </xf>
    <xf numFmtId="16" fontId="32" fillId="0" borderId="12" xfId="0" applyNumberFormat="1" applyFont="1" applyFill="1" applyBorder="1" applyAlignment="1">
      <alignment horizontal="center"/>
    </xf>
    <xf numFmtId="164" fontId="33" fillId="0" borderId="12" xfId="35" applyFont="1" applyFill="1" applyBorder="1" applyProtection="1">
      <protection locked="0"/>
    </xf>
    <xf numFmtId="0" fontId="38" fillId="0" borderId="12" xfId="0" applyFont="1" applyFill="1" applyBorder="1" applyAlignment="1">
      <alignment horizontal="center"/>
    </xf>
    <xf numFmtId="3" fontId="37" fillId="0" borderId="12" xfId="0" applyNumberFormat="1" applyFont="1" applyFill="1" applyBorder="1" applyAlignment="1">
      <alignment horizontal="center"/>
    </xf>
    <xf numFmtId="164" fontId="37" fillId="0" borderId="12" xfId="35" applyFont="1" applyFill="1" applyBorder="1" applyProtection="1">
      <protection locked="0"/>
    </xf>
    <xf numFmtId="165" fontId="33" fillId="0" borderId="12" xfId="35" applyNumberFormat="1" applyFont="1" applyFill="1" applyBorder="1" applyProtection="1">
      <protection locked="0"/>
    </xf>
    <xf numFmtId="164" fontId="30" fillId="0" borderId="12" xfId="35" applyFont="1" applyFill="1" applyBorder="1" applyAlignment="1" applyProtection="1">
      <alignment horizontal="center" vertical="center"/>
      <protection locked="0"/>
    </xf>
    <xf numFmtId="0" fontId="33" fillId="0" borderId="12" xfId="0" applyFont="1" applyFill="1" applyBorder="1" applyAlignment="1" applyProtection="1">
      <alignment horizontal="left" vertical="center"/>
      <protection locked="0"/>
    </xf>
    <xf numFmtId="3" fontId="30" fillId="0" borderId="12" xfId="0" applyNumberFormat="1" applyFont="1" applyFill="1" applyBorder="1" applyProtection="1">
      <protection locked="0"/>
    </xf>
    <xf numFmtId="164" fontId="37" fillId="0" borderId="12" xfId="35" applyFont="1" applyFill="1" applyBorder="1" applyAlignment="1" applyProtection="1">
      <alignment horizontal="center" vertical="center"/>
      <protection locked="0"/>
    </xf>
    <xf numFmtId="165" fontId="51" fillId="31" borderId="0" xfId="35" applyNumberFormat="1" applyFont="1" applyFill="1" applyAlignment="1">
      <alignment horizontal="center"/>
    </xf>
    <xf numFmtId="166" fontId="0" fillId="26" borderId="12" xfId="1440" applyNumberFormat="1" applyFont="1" applyFill="1" applyBorder="1"/>
    <xf numFmtId="165" fontId="32" fillId="26" borderId="12" xfId="35" applyNumberFormat="1" applyFont="1" applyFill="1" applyBorder="1" applyAlignment="1">
      <alignment vertical="center"/>
    </xf>
    <xf numFmtId="49" fontId="51" fillId="0" borderId="0" xfId="0" applyNumberFormat="1" applyFont="1" applyAlignment="1">
      <alignment horizontal="center" vertical="center"/>
    </xf>
    <xf numFmtId="49" fontId="37" fillId="0" borderId="12" xfId="0" applyNumberFormat="1" applyFont="1" applyFill="1" applyBorder="1" applyAlignment="1">
      <alignment horizontal="center" vertical="center"/>
    </xf>
    <xf numFmtId="49" fontId="37" fillId="0" borderId="12" xfId="35" applyNumberFormat="1" applyFont="1" applyFill="1" applyBorder="1" applyAlignment="1">
      <alignment horizontal="center" vertical="center"/>
    </xf>
    <xf numFmtId="49" fontId="37" fillId="0" borderId="24" xfId="0" applyNumberFormat="1" applyFont="1" applyFill="1" applyBorder="1" applyAlignment="1">
      <alignment horizontal="center"/>
    </xf>
    <xf numFmtId="0" fontId="176" fillId="0" borderId="72" xfId="0" applyFont="1" applyBorder="1" applyAlignment="1">
      <alignment wrapText="1"/>
    </xf>
    <xf numFmtId="0" fontId="174" fillId="0" borderId="88" xfId="0" applyFont="1" applyBorder="1" applyAlignment="1">
      <alignment wrapText="1"/>
    </xf>
    <xf numFmtId="0" fontId="178" fillId="0" borderId="12" xfId="0" applyFont="1" applyFill="1" applyBorder="1" applyAlignment="1">
      <alignment wrapText="1"/>
    </xf>
    <xf numFmtId="0" fontId="174" fillId="0" borderId="44" xfId="0" applyFont="1" applyBorder="1" applyAlignment="1">
      <alignment wrapText="1"/>
    </xf>
    <xf numFmtId="0" fontId="9" fillId="0" borderId="44" xfId="0" applyFont="1" applyBorder="1" applyAlignment="1">
      <alignment wrapText="1"/>
    </xf>
    <xf numFmtId="0" fontId="173" fillId="0" borderId="44" xfId="0" applyFont="1" applyBorder="1" applyAlignment="1">
      <alignment wrapText="1"/>
    </xf>
    <xf numFmtId="0" fontId="9" fillId="0" borderId="72" xfId="0" applyFont="1" applyBorder="1" applyAlignment="1">
      <alignment wrapText="1"/>
    </xf>
    <xf numFmtId="0" fontId="9" fillId="0" borderId="12" xfId="0" applyFont="1" applyFill="1" applyBorder="1" applyAlignment="1">
      <alignment wrapText="1"/>
    </xf>
    <xf numFmtId="0" fontId="178" fillId="0" borderId="72" xfId="0" applyFont="1" applyBorder="1" applyAlignment="1">
      <alignment wrapText="1"/>
    </xf>
    <xf numFmtId="0" fontId="178" fillId="0" borderId="43" xfId="0" applyFont="1" applyBorder="1" applyAlignment="1">
      <alignment wrapText="1"/>
    </xf>
    <xf numFmtId="0" fontId="210" fillId="0" borderId="88" xfId="0" applyFont="1" applyBorder="1" applyAlignment="1">
      <alignment horizontal="center" vertical="center" wrapText="1"/>
    </xf>
    <xf numFmtId="0" fontId="41" fillId="0" borderId="12" xfId="0" applyFont="1" applyBorder="1" applyAlignment="1">
      <alignment horizontal="center" vertical="center"/>
    </xf>
    <xf numFmtId="0" fontId="208" fillId="42" borderId="37" xfId="0" applyFont="1" applyFill="1" applyBorder="1" applyAlignment="1">
      <alignment horizontal="center" wrapText="1"/>
    </xf>
    <xf numFmtId="0" fontId="208" fillId="43" borderId="37" xfId="0" applyFont="1" applyFill="1" applyBorder="1" applyAlignment="1">
      <alignment horizontal="center" wrapText="1"/>
    </xf>
    <xf numFmtId="0" fontId="208" fillId="0" borderId="38" xfId="0" applyFont="1" applyBorder="1" applyAlignment="1">
      <alignment horizontal="center" wrapText="1"/>
    </xf>
    <xf numFmtId="0" fontId="177" fillId="0" borderId="88" xfId="0" applyFont="1" applyBorder="1" applyAlignment="1">
      <alignment horizontal="center" wrapText="1"/>
    </xf>
    <xf numFmtId="0" fontId="207" fillId="0" borderId="12" xfId="0" applyFont="1" applyBorder="1" applyAlignment="1">
      <alignment horizontal="left" vertical="center" wrapText="1"/>
    </xf>
    <xf numFmtId="0" fontId="177" fillId="0" borderId="12" xfId="0" applyFont="1" applyBorder="1" applyAlignment="1">
      <alignment horizontal="center" wrapText="1"/>
    </xf>
    <xf numFmtId="0" fontId="178" fillId="0" borderId="12" xfId="0" applyFont="1" applyBorder="1" applyAlignment="1">
      <alignment wrapText="1"/>
    </xf>
    <xf numFmtId="0" fontId="110" fillId="0" borderId="87" xfId="0" applyFont="1" applyBorder="1" applyAlignment="1">
      <alignment wrapText="1"/>
    </xf>
    <xf numFmtId="0" fontId="174" fillId="0" borderId="12" xfId="0" applyFont="1" applyBorder="1" applyAlignment="1">
      <alignment wrapText="1"/>
    </xf>
    <xf numFmtId="0" fontId="178" fillId="24" borderId="72" xfId="0" applyFont="1" applyFill="1" applyBorder="1" applyAlignment="1">
      <alignment wrapText="1"/>
    </xf>
    <xf numFmtId="0" fontId="45" fillId="24" borderId="44" xfId="0" applyFont="1" applyFill="1" applyBorder="1" applyAlignment="1">
      <alignment wrapText="1"/>
    </xf>
    <xf numFmtId="0" fontId="175" fillId="24" borderId="87" xfId="0" applyFont="1" applyFill="1" applyBorder="1" applyAlignment="1">
      <alignment wrapText="1"/>
    </xf>
    <xf numFmtId="0" fontId="172" fillId="24" borderId="0" xfId="0" applyFont="1" applyFill="1"/>
    <xf numFmtId="165" fontId="38" fillId="0" borderId="12" xfId="35" applyNumberFormat="1" applyFont="1" applyFill="1" applyBorder="1" applyAlignment="1">
      <alignment vertical="center"/>
    </xf>
    <xf numFmtId="0" fontId="41" fillId="0" borderId="12" xfId="0" applyFont="1" applyBorder="1" applyAlignment="1">
      <alignment horizontal="left"/>
    </xf>
    <xf numFmtId="0" fontId="211" fillId="0" borderId="0" xfId="0" applyFont="1"/>
    <xf numFmtId="0" fontId="152" fillId="0" borderId="0" xfId="0" applyFont="1"/>
    <xf numFmtId="0" fontId="152" fillId="0" borderId="12" xfId="0" applyFont="1" applyBorder="1" applyAlignment="1">
      <alignment horizontal="center"/>
    </xf>
    <xf numFmtId="0" fontId="39" fillId="0" borderId="0" xfId="0" applyFont="1"/>
    <xf numFmtId="0" fontId="165" fillId="0" borderId="0" xfId="0" applyFont="1"/>
    <xf numFmtId="165" fontId="0" fillId="0" borderId="0" xfId="0" applyNumberFormat="1" applyAlignment="1">
      <alignment horizontal="center"/>
    </xf>
    <xf numFmtId="0" fontId="101" fillId="0" borderId="0" xfId="0" applyFont="1" applyAlignment="1">
      <alignment horizontal="center"/>
    </xf>
    <xf numFmtId="0" fontId="0" fillId="0" borderId="0" xfId="0" applyFill="1" applyAlignment="1">
      <alignment horizontal="center"/>
    </xf>
    <xf numFmtId="0" fontId="0" fillId="0" borderId="0" xfId="0" applyNumberFormat="1" applyAlignment="1">
      <alignment horizontal="center"/>
    </xf>
    <xf numFmtId="0" fontId="97" fillId="0" borderId="0" xfId="0" applyNumberFormat="1" applyFont="1" applyAlignment="1">
      <alignment horizontal="center"/>
    </xf>
    <xf numFmtId="0" fontId="40" fillId="0" borderId="0" xfId="0" applyNumberFormat="1" applyFont="1" applyFill="1" applyAlignment="1">
      <alignment horizontal="center"/>
    </xf>
    <xf numFmtId="0" fontId="0" fillId="0" borderId="0" xfId="0" applyNumberFormat="1" applyFill="1" applyAlignment="1">
      <alignment horizontal="center"/>
    </xf>
    <xf numFmtId="0" fontId="60" fillId="0" borderId="0" xfId="0" applyFont="1" applyAlignment="1">
      <alignment horizontal="center"/>
    </xf>
    <xf numFmtId="0" fontId="146" fillId="0" borderId="0" xfId="0" applyFont="1" applyAlignment="1">
      <alignment horizontal="center"/>
    </xf>
    <xf numFmtId="165" fontId="45" fillId="24" borderId="0" xfId="35" applyNumberFormat="1" applyFont="1" applyFill="1"/>
    <xf numFmtId="3" fontId="33" fillId="0" borderId="12" xfId="0" applyNumberFormat="1" applyFont="1" applyFill="1" applyBorder="1" applyAlignment="1">
      <alignment horizontal="center" vertical="top"/>
    </xf>
    <xf numFmtId="0" fontId="9" fillId="0" borderId="0" xfId="0" applyFont="1" applyAlignment="1">
      <alignment horizontal="center" vertical="top"/>
    </xf>
    <xf numFmtId="0" fontId="134" fillId="0" borderId="12" xfId="0" applyFont="1" applyBorder="1" applyAlignment="1">
      <alignment horizontal="center"/>
    </xf>
    <xf numFmtId="0" fontId="58" fillId="0" borderId="45" xfId="0" applyFont="1" applyFill="1" applyBorder="1"/>
    <xf numFmtId="165" fontId="0" fillId="0" borderId="0" xfId="35" applyNumberFormat="1" applyFont="1" applyFill="1" applyBorder="1"/>
    <xf numFmtId="0" fontId="188" fillId="0" borderId="0" xfId="0" applyFont="1"/>
    <xf numFmtId="0" fontId="152" fillId="0" borderId="38" xfId="0" applyFont="1" applyBorder="1" applyAlignment="1">
      <alignment horizontal="center"/>
    </xf>
    <xf numFmtId="0" fontId="152" fillId="0" borderId="37" xfId="0" applyFont="1" applyBorder="1" applyAlignment="1">
      <alignment horizontal="center"/>
    </xf>
    <xf numFmtId="0" fontId="41" fillId="0" borderId="87" xfId="0" applyFont="1" applyBorder="1" applyAlignment="1">
      <alignment horizontal="center"/>
    </xf>
    <xf numFmtId="0" fontId="41" fillId="0" borderId="44" xfId="0" applyFont="1" applyBorder="1"/>
    <xf numFmtId="0" fontId="41" fillId="0" borderId="44" xfId="0" applyFont="1" applyBorder="1" applyAlignment="1">
      <alignment horizontal="center"/>
    </xf>
    <xf numFmtId="0" fontId="212" fillId="0" borderId="0" xfId="0" applyFont="1"/>
    <xf numFmtId="0" fontId="213" fillId="0" borderId="12" xfId="0" applyFont="1" applyBorder="1" applyAlignment="1">
      <alignment horizontal="center"/>
    </xf>
    <xf numFmtId="165" fontId="110" fillId="0" borderId="0" xfId="35" applyNumberFormat="1" applyFont="1" applyAlignment="1">
      <alignment horizontal="center"/>
    </xf>
    <xf numFmtId="3" fontId="45" fillId="0" borderId="0" xfId="0" applyNumberFormat="1" applyFont="1"/>
    <xf numFmtId="165" fontId="45" fillId="0" borderId="0" xfId="0" applyNumberFormat="1" applyFont="1" applyAlignment="1">
      <alignment horizontal="center"/>
    </xf>
    <xf numFmtId="0" fontId="58" fillId="0" borderId="12" xfId="0" applyFont="1" applyBorder="1" applyAlignment="1">
      <alignment horizontal="center"/>
    </xf>
    <xf numFmtId="0" fontId="58" fillId="0" borderId="12" xfId="35" applyNumberFormat="1" applyFont="1" applyBorder="1" applyAlignment="1">
      <alignment horizontal="center" vertical="center"/>
    </xf>
    <xf numFmtId="165" fontId="31" fillId="0" borderId="12" xfId="35" applyNumberFormat="1" applyFont="1" applyBorder="1" applyAlignment="1">
      <alignment horizontal="center" vertical="center"/>
    </xf>
    <xf numFmtId="0" fontId="40" fillId="0" borderId="21" xfId="0" applyFont="1" applyFill="1" applyBorder="1"/>
    <xf numFmtId="0" fontId="41" fillId="0" borderId="72" xfId="0" applyFont="1" applyBorder="1"/>
    <xf numFmtId="0" fontId="41" fillId="0" borderId="72" xfId="0" applyFont="1" applyBorder="1" applyAlignment="1">
      <alignment horizontal="center"/>
    </xf>
    <xf numFmtId="0" fontId="41" fillId="0" borderId="73" xfId="0" applyFont="1" applyBorder="1" applyAlignment="1">
      <alignment horizontal="center"/>
    </xf>
    <xf numFmtId="0" fontId="87" fillId="0" borderId="0" xfId="1195" applyFont="1" applyFill="1" applyBorder="1"/>
    <xf numFmtId="0" fontId="31" fillId="0" borderId="0" xfId="1195" applyFont="1" applyFill="1" applyBorder="1" applyAlignment="1">
      <alignment vertical="center"/>
    </xf>
    <xf numFmtId="0" fontId="9" fillId="0" borderId="0" xfId="1195" applyFill="1" applyBorder="1"/>
    <xf numFmtId="0" fontId="45" fillId="0" borderId="12" xfId="0" applyFont="1" applyBorder="1" applyAlignment="1">
      <alignment horizontal="center"/>
    </xf>
    <xf numFmtId="0" fontId="45" fillId="0" borderId="64" xfId="0" applyFont="1" applyBorder="1" applyAlignment="1">
      <alignment horizontal="center"/>
    </xf>
    <xf numFmtId="0" fontId="198" fillId="0" borderId="12" xfId="0" applyFont="1" applyBorder="1"/>
    <xf numFmtId="0" fontId="198" fillId="0" borderId="57" xfId="0" applyFont="1" applyBorder="1"/>
    <xf numFmtId="0" fontId="198" fillId="0" borderId="61" xfId="0" applyFont="1" applyBorder="1"/>
    <xf numFmtId="0" fontId="198" fillId="0" borderId="62" xfId="0" applyFont="1" applyBorder="1"/>
    <xf numFmtId="0" fontId="45" fillId="0" borderId="62" xfId="0" applyFont="1" applyBorder="1" applyAlignment="1">
      <alignment horizontal="center"/>
    </xf>
    <xf numFmtId="0" fontId="198" fillId="24" borderId="62" xfId="0" applyFont="1" applyFill="1" applyBorder="1"/>
    <xf numFmtId="0" fontId="45" fillId="0" borderId="90" xfId="0" applyFont="1" applyBorder="1" applyAlignment="1">
      <alignment horizontal="center"/>
    </xf>
    <xf numFmtId="165" fontId="45" fillId="0" borderId="10" xfId="35" applyNumberFormat="1" applyFont="1" applyBorder="1"/>
    <xf numFmtId="165" fontId="58" fillId="24" borderId="69" xfId="35" applyNumberFormat="1" applyFont="1" applyFill="1" applyBorder="1"/>
    <xf numFmtId="0" fontId="41" fillId="0" borderId="0" xfId="0" applyFont="1" applyBorder="1" applyAlignment="1">
      <alignment horizontal="center"/>
    </xf>
    <xf numFmtId="165" fontId="56" fillId="0" borderId="22" xfId="35" applyNumberFormat="1" applyFont="1" applyBorder="1" applyAlignment="1">
      <alignment horizontal="center" vertical="center"/>
    </xf>
    <xf numFmtId="0" fontId="41" fillId="0" borderId="0" xfId="0" applyFont="1" applyBorder="1" applyAlignment="1">
      <alignment horizontal="left"/>
    </xf>
    <xf numFmtId="165" fontId="30" fillId="0" borderId="12" xfId="35" applyNumberFormat="1" applyFont="1" applyFill="1" applyBorder="1" applyAlignment="1">
      <alignment horizontal="center"/>
    </xf>
    <xf numFmtId="165" fontId="30" fillId="32" borderId="12" xfId="35" applyNumberFormat="1" applyFont="1" applyFill="1" applyBorder="1" applyAlignment="1">
      <alignment horizontal="center"/>
    </xf>
    <xf numFmtId="165" fontId="30" fillId="0" borderId="0" xfId="35" applyNumberFormat="1" applyFont="1" applyFill="1" applyBorder="1" applyAlignment="1">
      <alignment horizontal="center"/>
    </xf>
    <xf numFmtId="165" fontId="56" fillId="0" borderId="22" xfId="35" applyNumberFormat="1" applyFont="1" applyBorder="1" applyAlignment="1">
      <alignment horizontal="center" vertical="center"/>
    </xf>
    <xf numFmtId="14" fontId="41" fillId="0" borderId="12" xfId="0" applyNumberFormat="1" applyFont="1" applyBorder="1" applyAlignment="1">
      <alignment horizontal="center"/>
    </xf>
    <xf numFmtId="9" fontId="0" fillId="0" borderId="0" xfId="1418" applyFont="1"/>
    <xf numFmtId="0" fontId="45" fillId="0" borderId="12" xfId="1418" applyNumberFormat="1" applyFont="1" applyBorder="1" applyAlignment="1">
      <alignment horizontal="right"/>
    </xf>
    <xf numFmtId="0" fontId="45" fillId="0" borderId="12" xfId="1418" applyNumberFormat="1" applyFont="1" applyBorder="1" applyAlignment="1">
      <alignment horizontal="left"/>
    </xf>
    <xf numFmtId="49" fontId="45" fillId="0" borderId="12" xfId="1418" applyNumberFormat="1" applyFont="1" applyBorder="1" applyAlignment="1">
      <alignment horizontal="right"/>
    </xf>
    <xf numFmtId="49" fontId="97" fillId="0" borderId="12" xfId="1418" applyNumberFormat="1" applyFont="1" applyBorder="1" applyAlignment="1">
      <alignment horizontal="right"/>
    </xf>
    <xf numFmtId="0" fontId="56" fillId="0" borderId="12" xfId="0" applyFont="1" applyBorder="1" applyAlignment="1">
      <alignment horizontal="center"/>
    </xf>
    <xf numFmtId="0" fontId="56" fillId="0" borderId="12" xfId="0" applyFont="1" applyFill="1" applyBorder="1" applyAlignment="1">
      <alignment horizontal="center"/>
    </xf>
    <xf numFmtId="3" fontId="9" fillId="0" borderId="12" xfId="0" applyNumberFormat="1" applyFont="1" applyBorder="1"/>
    <xf numFmtId="0" fontId="40" fillId="0" borderId="0" xfId="0" applyFont="1" applyBorder="1"/>
    <xf numFmtId="0" fontId="58" fillId="0" borderId="63" xfId="0" applyFont="1" applyBorder="1" applyAlignment="1">
      <alignment horizontal="center"/>
    </xf>
    <xf numFmtId="0" fontId="58" fillId="0" borderId="64" xfId="0" applyFont="1" applyBorder="1" applyAlignment="1">
      <alignment horizontal="center"/>
    </xf>
    <xf numFmtId="0" fontId="58" fillId="0" borderId="53" xfId="0" applyFont="1" applyBorder="1" applyAlignment="1">
      <alignment horizontal="center"/>
    </xf>
    <xf numFmtId="0" fontId="58" fillId="0" borderId="61" xfId="0" applyFont="1" applyBorder="1" applyAlignment="1">
      <alignment wrapText="1"/>
    </xf>
    <xf numFmtId="0" fontId="58" fillId="0" borderId="60" xfId="0" applyFont="1" applyBorder="1"/>
    <xf numFmtId="3" fontId="58" fillId="0" borderId="62" xfId="0" applyNumberFormat="1" applyFont="1" applyBorder="1" applyAlignment="1">
      <alignment horizont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214" fillId="0" borderId="0" xfId="0" applyFont="1" applyFill="1"/>
    <xf numFmtId="165" fontId="29" fillId="0" borderId="12" xfId="35" applyNumberFormat="1" applyFont="1" applyFill="1" applyBorder="1" applyAlignment="1">
      <alignment vertical="center"/>
    </xf>
    <xf numFmtId="0" fontId="56" fillId="0" borderId="12" xfId="0" applyFont="1" applyBorder="1" applyAlignment="1">
      <alignment horizontal="center"/>
    </xf>
    <xf numFmtId="0" fontId="56" fillId="0" borderId="0" xfId="0" applyFont="1" applyAlignment="1">
      <alignment horizontal="center"/>
    </xf>
    <xf numFmtId="0" fontId="38" fillId="20" borderId="12" xfId="0" applyFont="1" applyFill="1" applyBorder="1" applyAlignment="1">
      <alignment horizontal="center" vertical="center"/>
    </xf>
    <xf numFmtId="0" fontId="31" fillId="20" borderId="56" xfId="0" applyFont="1" applyFill="1" applyBorder="1" applyAlignment="1">
      <alignment horizontal="center" vertical="center"/>
    </xf>
    <xf numFmtId="0" fontId="56" fillId="0" borderId="0" xfId="0" applyFont="1" applyFill="1" applyAlignment="1">
      <alignment horizontal="center"/>
    </xf>
    <xf numFmtId="165" fontId="129" fillId="0" borderId="79" xfId="35" applyNumberFormat="1" applyFont="1" applyFill="1" applyBorder="1" applyAlignment="1">
      <alignment horizontal="center"/>
    </xf>
    <xf numFmtId="165" fontId="129" fillId="32" borderId="79" xfId="35" applyNumberFormat="1" applyFont="1" applyFill="1" applyBorder="1" applyAlignment="1">
      <alignment horizontal="center"/>
    </xf>
    <xf numFmtId="165" fontId="56" fillId="0" borderId="0" xfId="35" applyNumberFormat="1" applyFont="1" applyFill="1" applyBorder="1" applyAlignment="1">
      <alignment horizontal="center" vertical="center"/>
    </xf>
    <xf numFmtId="0" fontId="56" fillId="0" borderId="0" xfId="35" applyNumberFormat="1" applyFont="1" applyFill="1" applyBorder="1" applyAlignment="1">
      <alignment horizontal="center" vertical="center"/>
    </xf>
    <xf numFmtId="165" fontId="150" fillId="0" borderId="0" xfId="35" applyNumberFormat="1" applyFont="1" applyFill="1" applyBorder="1" applyAlignment="1">
      <alignment horizontal="center"/>
    </xf>
    <xf numFmtId="0" fontId="45" fillId="0" borderId="12" xfId="0" applyFont="1" applyBorder="1" applyAlignment="1">
      <alignment horizontal="center"/>
    </xf>
    <xf numFmtId="165" fontId="0" fillId="0" borderId="12" xfId="35" applyNumberFormat="1" applyFon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45" fillId="0" borderId="0" xfId="0" applyFont="1" applyAlignment="1">
      <alignment wrapText="1"/>
    </xf>
    <xf numFmtId="165" fontId="56" fillId="24" borderId="12" xfId="35" applyNumberFormat="1" applyFont="1" applyFill="1" applyBorder="1" applyAlignment="1">
      <alignment horizontal="center"/>
    </xf>
    <xf numFmtId="14" fontId="9" fillId="0" borderId="12" xfId="0" applyNumberFormat="1" applyFont="1" applyBorder="1" applyAlignment="1">
      <alignment horizontal="center"/>
    </xf>
    <xf numFmtId="14" fontId="149" fillId="0" borderId="12" xfId="0" applyNumberFormat="1" applyFont="1" applyBorder="1"/>
    <xf numFmtId="0" fontId="0" fillId="24" borderId="0" xfId="0" applyFill="1" applyAlignment="1">
      <alignment horizontal="center"/>
    </xf>
    <xf numFmtId="165" fontId="126" fillId="47" borderId="0" xfId="0" applyNumberFormat="1" applyFont="1" applyFill="1" applyAlignment="1">
      <alignment horizontal="center"/>
    </xf>
    <xf numFmtId="0" fontId="9" fillId="0" borderId="18" xfId="0" applyFont="1" applyBorder="1" applyAlignment="1"/>
    <xf numFmtId="0" fontId="9" fillId="0" borderId="57" xfId="0" applyFont="1" applyBorder="1" applyAlignment="1">
      <alignment horizontal="center"/>
    </xf>
    <xf numFmtId="165" fontId="9" fillId="0" borderId="56" xfId="35" applyNumberFormat="1" applyFont="1" applyBorder="1" applyAlignment="1">
      <alignment horizontal="center"/>
    </xf>
    <xf numFmtId="0" fontId="58" fillId="0" borderId="0" xfId="0" applyFont="1" applyAlignment="1"/>
    <xf numFmtId="0" fontId="45" fillId="47" borderId="63" xfId="0" applyFont="1" applyFill="1" applyBorder="1" applyAlignment="1">
      <alignment horizontal="center"/>
    </xf>
    <xf numFmtId="165" fontId="45" fillId="47" borderId="56" xfId="35" applyNumberFormat="1" applyFont="1" applyFill="1" applyBorder="1"/>
    <xf numFmtId="165" fontId="45" fillId="47" borderId="53" xfId="35" applyNumberFormat="1" applyFont="1" applyFill="1" applyBorder="1" applyAlignment="1">
      <alignment horizontal="center"/>
    </xf>
    <xf numFmtId="0" fontId="45" fillId="47" borderId="57" xfId="0" applyFont="1" applyFill="1" applyBorder="1" applyAlignment="1">
      <alignment horizontal="left"/>
    </xf>
    <xf numFmtId="165" fontId="97" fillId="0" borderId="56" xfId="35" applyNumberFormat="1" applyFont="1" applyBorder="1"/>
    <xf numFmtId="165" fontId="110" fillId="0" borderId="56" xfId="35" applyNumberFormat="1" applyFont="1" applyBorder="1"/>
    <xf numFmtId="0" fontId="97" fillId="0" borderId="57" xfId="0" applyFont="1" applyBorder="1"/>
    <xf numFmtId="0" fontId="45" fillId="0" borderId="61" xfId="0" applyFont="1" applyBorder="1" applyAlignment="1">
      <alignment wrapText="1"/>
    </xf>
    <xf numFmtId="165" fontId="111" fillId="46" borderId="60" xfId="35" applyNumberFormat="1" applyFont="1" applyFill="1" applyBorder="1"/>
    <xf numFmtId="165" fontId="51" fillId="24" borderId="0" xfId="0" applyNumberFormat="1" applyFont="1" applyFill="1" applyBorder="1"/>
    <xf numFmtId="0" fontId="36" fillId="0" borderId="12" xfId="0" applyFont="1" applyBorder="1" applyAlignment="1">
      <alignment horizontal="center"/>
    </xf>
    <xf numFmtId="0" fontId="41" fillId="0" borderId="0" xfId="0" applyFont="1" applyAlignment="1">
      <alignment horizontal="center"/>
    </xf>
    <xf numFmtId="0" fontId="36" fillId="0" borderId="57" xfId="0" applyFont="1" applyBorder="1" applyAlignment="1">
      <alignment horizontal="center" vertical="center"/>
    </xf>
    <xf numFmtId="0" fontId="36" fillId="0" borderId="0" xfId="0" applyFont="1" applyAlignment="1">
      <alignment horizontal="center"/>
    </xf>
    <xf numFmtId="0" fontId="36" fillId="0" borderId="57" xfId="0" applyFont="1" applyBorder="1"/>
    <xf numFmtId="0" fontId="36" fillId="0" borderId="56" xfId="0" applyFont="1" applyBorder="1"/>
    <xf numFmtId="0" fontId="36" fillId="0" borderId="61" xfId="0" applyFont="1" applyBorder="1"/>
    <xf numFmtId="0" fontId="36" fillId="0" borderId="62" xfId="0" applyFont="1" applyBorder="1"/>
    <xf numFmtId="0" fontId="36" fillId="0" borderId="60" xfId="0" applyFont="1" applyBorder="1"/>
    <xf numFmtId="0" fontId="31" fillId="24" borderId="12" xfId="0" applyFont="1" applyFill="1" applyBorder="1" applyAlignment="1">
      <alignment horizontal="center"/>
    </xf>
    <xf numFmtId="165" fontId="51" fillId="0" borderId="0" xfId="35" applyNumberFormat="1" applyFont="1"/>
    <xf numFmtId="164" fontId="69" fillId="0" borderId="0" xfId="35" applyFont="1" applyFill="1" applyBorder="1"/>
    <xf numFmtId="0" fontId="40" fillId="0" borderId="0" xfId="0" applyFont="1" applyAlignment="1">
      <alignment horizontal="center"/>
    </xf>
    <xf numFmtId="165" fontId="33" fillId="26" borderId="12" xfId="35" applyNumberFormat="1" applyFont="1" applyFill="1" applyBorder="1" applyAlignment="1">
      <alignment horizontal="center" vertical="center"/>
    </xf>
    <xf numFmtId="0" fontId="45" fillId="0" borderId="38" xfId="0" applyFont="1" applyBorder="1" applyAlignment="1">
      <alignment horizontal="center"/>
    </xf>
    <xf numFmtId="0" fontId="102" fillId="0" borderId="38" xfId="0" applyFont="1" applyBorder="1" applyAlignment="1">
      <alignment horizontal="center"/>
    </xf>
    <xf numFmtId="0" fontId="45" fillId="0" borderId="64" xfId="0" applyFont="1" applyBorder="1" applyAlignment="1">
      <alignment horizontal="center"/>
    </xf>
    <xf numFmtId="164" fontId="41" fillId="0" borderId="0" xfId="35" applyFont="1"/>
    <xf numFmtId="49" fontId="41" fillId="0" borderId="0" xfId="0" applyNumberFormat="1" applyFont="1"/>
    <xf numFmtId="49" fontId="41" fillId="0" borderId="12" xfId="0" applyNumberFormat="1" applyFont="1" applyBorder="1"/>
    <xf numFmtId="0" fontId="41" fillId="0" borderId="63" xfId="0" applyFont="1" applyBorder="1" applyAlignment="1">
      <alignment horizontal="center"/>
    </xf>
    <xf numFmtId="0" fontId="41" fillId="0" borderId="64" xfId="0" applyFont="1" applyBorder="1" applyAlignment="1">
      <alignment horizontal="center"/>
    </xf>
    <xf numFmtId="165" fontId="41" fillId="0" borderId="64" xfId="35" applyNumberFormat="1" applyFont="1" applyBorder="1" applyAlignment="1">
      <alignment horizontal="center"/>
    </xf>
    <xf numFmtId="0" fontId="41" fillId="0" borderId="53" xfId="0" applyFont="1" applyBorder="1" applyAlignment="1">
      <alignment horizontal="center"/>
    </xf>
    <xf numFmtId="0" fontId="41" fillId="0" borderId="57" xfId="0" applyFont="1" applyBorder="1"/>
    <xf numFmtId="0" fontId="41" fillId="0" borderId="56" xfId="0" applyFont="1" applyBorder="1"/>
    <xf numFmtId="0" fontId="41" fillId="0" borderId="61" xfId="0" applyFont="1" applyBorder="1" applyAlignment="1"/>
    <xf numFmtId="165" fontId="41" fillId="0" borderId="62" xfId="35" applyNumberFormat="1" applyFont="1" applyBorder="1" applyAlignment="1"/>
    <xf numFmtId="49" fontId="41" fillId="0" borderId="62" xfId="0" applyNumberFormat="1" applyFont="1" applyBorder="1"/>
    <xf numFmtId="0" fontId="41" fillId="0" borderId="60" xfId="0" applyFont="1" applyBorder="1"/>
    <xf numFmtId="166" fontId="45" fillId="0" borderId="12" xfId="1440" applyNumberFormat="1" applyFont="1" applyBorder="1"/>
    <xf numFmtId="166" fontId="56" fillId="0" borderId="12" xfId="1440" applyNumberFormat="1" applyFont="1" applyBorder="1"/>
    <xf numFmtId="0" fontId="31" fillId="34" borderId="12" xfId="0" applyFont="1" applyFill="1" applyBorder="1" applyAlignment="1"/>
    <xf numFmtId="165" fontId="34" fillId="34" borderId="12" xfId="35" applyNumberFormat="1" applyFont="1" applyFill="1" applyBorder="1" applyAlignment="1">
      <alignment vertical="center"/>
    </xf>
    <xf numFmtId="165" fontId="33" fillId="34" borderId="12" xfId="35" applyNumberFormat="1" applyFont="1" applyFill="1" applyBorder="1"/>
    <xf numFmtId="0" fontId="31" fillId="34" borderId="22" xfId="0" applyFont="1" applyFill="1" applyBorder="1" applyAlignment="1"/>
    <xf numFmtId="0" fontId="38" fillId="0" borderId="12" xfId="0" applyNumberFormat="1" applyFont="1" applyBorder="1" applyAlignment="1">
      <alignment horizontal="right"/>
    </xf>
    <xf numFmtId="0" fontId="38" fillId="34" borderId="12" xfId="35" applyNumberFormat="1" applyFont="1" applyFill="1" applyBorder="1" applyAlignment="1">
      <alignment horizontal="right" vertical="center"/>
    </xf>
    <xf numFmtId="0" fontId="38" fillId="34" borderId="12" xfId="35" applyNumberFormat="1" applyFont="1" applyFill="1" applyBorder="1" applyAlignment="1">
      <alignment horizontal="right"/>
    </xf>
    <xf numFmtId="0" fontId="38" fillId="40" borderId="12" xfId="35" applyNumberFormat="1" applyFont="1" applyFill="1" applyBorder="1" applyAlignment="1">
      <alignment horizontal="right"/>
    </xf>
    <xf numFmtId="0" fontId="38" fillId="24" borderId="12" xfId="0" applyNumberFormat="1" applyFont="1" applyFill="1" applyBorder="1" applyAlignment="1">
      <alignment horizontal="right"/>
    </xf>
    <xf numFmtId="0" fontId="38" fillId="45" borderId="11" xfId="0" applyNumberFormat="1" applyFont="1" applyFill="1" applyBorder="1" applyAlignment="1">
      <alignment horizontal="right"/>
    </xf>
    <xf numFmtId="0" fontId="37" fillId="45" borderId="12" xfId="35" applyNumberFormat="1" applyFont="1" applyFill="1" applyBorder="1" applyAlignment="1">
      <alignment horizontal="right"/>
    </xf>
    <xf numFmtId="0" fontId="38" fillId="0" borderId="24" xfId="0" applyNumberFormat="1" applyFont="1" applyBorder="1" applyAlignment="1">
      <alignment horizontal="right"/>
    </xf>
    <xf numFmtId="14" fontId="31" fillId="34" borderId="12" xfId="0" applyNumberFormat="1" applyFont="1" applyFill="1" applyBorder="1" applyAlignment="1">
      <alignment horizontal="left"/>
    </xf>
    <xf numFmtId="0" fontId="38" fillId="34" borderId="22" xfId="0" applyFont="1" applyFill="1" applyBorder="1" applyAlignment="1"/>
    <xf numFmtId="0" fontId="56" fillId="34" borderId="12" xfId="0" applyNumberFormat="1" applyFont="1" applyFill="1" applyBorder="1" applyAlignment="1">
      <alignment horizontal="right"/>
    </xf>
    <xf numFmtId="0" fontId="58" fillId="40" borderId="22" xfId="0" applyFont="1" applyFill="1" applyBorder="1"/>
    <xf numFmtId="14" fontId="41" fillId="0" borderId="0" xfId="0" applyNumberFormat="1" applyFont="1"/>
    <xf numFmtId="16" fontId="33" fillId="34" borderId="12" xfId="0" applyNumberFormat="1" applyFont="1" applyFill="1" applyBorder="1" applyAlignment="1">
      <alignment vertical="center"/>
    </xf>
    <xf numFmtId="165" fontId="33" fillId="34" borderId="12" xfId="35" applyNumberFormat="1" applyFont="1" applyFill="1" applyBorder="1" applyAlignment="1">
      <alignment vertical="center"/>
    </xf>
    <xf numFmtId="164" fontId="33" fillId="34" borderId="12" xfId="35" applyFont="1" applyFill="1" applyBorder="1" applyAlignment="1">
      <alignment vertical="center"/>
    </xf>
    <xf numFmtId="165" fontId="32" fillId="34" borderId="12" xfId="35" applyNumberFormat="1" applyFont="1" applyFill="1" applyBorder="1" applyAlignment="1">
      <alignment vertical="center"/>
    </xf>
    <xf numFmtId="164" fontId="36" fillId="34" borderId="12" xfId="35" applyFont="1" applyFill="1" applyBorder="1" applyAlignment="1">
      <alignment vertical="center"/>
    </xf>
    <xf numFmtId="165" fontId="36" fillId="34" borderId="12" xfId="35" applyNumberFormat="1" applyFont="1" applyFill="1" applyBorder="1" applyAlignment="1">
      <alignment vertical="center"/>
    </xf>
    <xf numFmtId="165" fontId="31" fillId="34" borderId="12" xfId="35" applyNumberFormat="1" applyFont="1" applyFill="1" applyBorder="1" applyAlignment="1">
      <alignment vertical="center"/>
    </xf>
    <xf numFmtId="0" fontId="41" fillId="34" borderId="0" xfId="0" applyFont="1" applyFill="1"/>
    <xf numFmtId="0" fontId="40" fillId="34" borderId="0" xfId="0" applyFont="1" applyFill="1"/>
    <xf numFmtId="165" fontId="36" fillId="34" borderId="12" xfId="35" applyNumberFormat="1" applyFont="1" applyFill="1" applyBorder="1"/>
    <xf numFmtId="165" fontId="38" fillId="34" borderId="12" xfId="35" applyNumberFormat="1" applyFont="1" applyFill="1" applyBorder="1" applyAlignment="1">
      <alignment vertical="center"/>
    </xf>
    <xf numFmtId="165" fontId="40" fillId="0" borderId="0" xfId="0" applyNumberFormat="1" applyFont="1" applyFill="1"/>
    <xf numFmtId="166" fontId="51" fillId="0" borderId="12" xfId="1440" applyNumberFormat="1" applyFont="1" applyBorder="1"/>
    <xf numFmtId="165" fontId="58" fillId="0" borderId="12" xfId="35" applyNumberFormat="1" applyFont="1" applyBorder="1" applyAlignment="1">
      <alignment horizontal="right"/>
    </xf>
    <xf numFmtId="165" fontId="58" fillId="34" borderId="11" xfId="35" applyNumberFormat="1" applyFont="1" applyFill="1" applyBorder="1" applyAlignment="1">
      <alignment horizontal="right"/>
    </xf>
    <xf numFmtId="165" fontId="58" fillId="34" borderId="22" xfId="35" applyNumberFormat="1" applyFont="1" applyFill="1" applyBorder="1" applyAlignment="1">
      <alignment horizontal="right"/>
    </xf>
    <xf numFmtId="165" fontId="0" fillId="34" borderId="12" xfId="35" applyNumberFormat="1" applyFont="1" applyFill="1" applyBorder="1"/>
    <xf numFmtId="165" fontId="33" fillId="0" borderId="0" xfId="0" applyNumberFormat="1" applyFont="1" applyAlignment="1">
      <alignment vertical="center"/>
    </xf>
    <xf numFmtId="165" fontId="33" fillId="24" borderId="0" xfId="35" applyNumberFormat="1" applyFont="1" applyFill="1"/>
    <xf numFmtId="165" fontId="31" fillId="0" borderId="24" xfId="35" applyNumberFormat="1" applyFont="1" applyFill="1" applyBorder="1" applyAlignment="1">
      <alignment vertical="center"/>
    </xf>
    <xf numFmtId="43" fontId="40" fillId="0" borderId="0" xfId="0" applyNumberFormat="1" applyFont="1"/>
    <xf numFmtId="3" fontId="56" fillId="0" borderId="0" xfId="35" applyNumberFormat="1" applyFont="1" applyFill="1" applyBorder="1" applyAlignment="1">
      <alignment horizontal="center" vertical="center"/>
    </xf>
    <xf numFmtId="0" fontId="172" fillId="0" borderId="12" xfId="0" applyFont="1" applyBorder="1" applyAlignment="1">
      <alignment wrapText="1"/>
    </xf>
    <xf numFmtId="0" fontId="110" fillId="0" borderId="12" xfId="0" applyFont="1" applyBorder="1" applyAlignment="1">
      <alignment wrapText="1"/>
    </xf>
    <xf numFmtId="0" fontId="217" fillId="0" borderId="12" xfId="0" applyFont="1" applyBorder="1" applyAlignment="1">
      <alignment horizontal="center" vertical="center" wrapText="1"/>
    </xf>
    <xf numFmtId="0" fontId="51" fillId="0" borderId="12" xfId="0" applyFont="1" applyBorder="1" applyAlignment="1">
      <alignment wrapText="1"/>
    </xf>
    <xf numFmtId="0" fontId="173" fillId="0" borderId="12" xfId="0" applyFont="1" applyBorder="1" applyAlignment="1">
      <alignment wrapText="1"/>
    </xf>
    <xf numFmtId="0" fontId="209" fillId="0" borderId="0" xfId="0" applyFont="1" applyBorder="1" applyAlignment="1">
      <alignment wrapText="1"/>
    </xf>
    <xf numFmtId="0" fontId="84" fillId="0" borderId="12" xfId="0" applyFont="1" applyFill="1" applyBorder="1" applyAlignment="1">
      <alignment wrapText="1"/>
    </xf>
    <xf numFmtId="0" fontId="209" fillId="0" borderId="10" xfId="0" applyFont="1" applyBorder="1" applyAlignment="1">
      <alignment horizontal="left" vertical="center" wrapText="1"/>
    </xf>
    <xf numFmtId="0" fontId="209" fillId="0" borderId="43" xfId="0" applyFont="1" applyBorder="1" applyAlignment="1">
      <alignment wrapText="1"/>
    </xf>
    <xf numFmtId="0" fontId="84" fillId="0" borderId="20" xfId="0" applyFont="1" applyBorder="1" applyAlignment="1">
      <alignment wrapText="1"/>
    </xf>
    <xf numFmtId="0" fontId="84" fillId="0" borderId="10" xfId="0" applyFont="1" applyBorder="1" applyAlignment="1">
      <alignment wrapText="1"/>
    </xf>
    <xf numFmtId="0" fontId="84" fillId="0" borderId="15" xfId="0" applyFont="1" applyBorder="1" applyAlignment="1">
      <alignment wrapText="1"/>
    </xf>
    <xf numFmtId="0" fontId="218" fillId="0" borderId="12" xfId="0" applyFont="1" applyBorder="1" applyAlignment="1">
      <alignment wrapText="1"/>
    </xf>
    <xf numFmtId="0" fontId="219" fillId="0" borderId="12" xfId="0" applyFont="1" applyBorder="1" applyAlignment="1">
      <alignment wrapText="1"/>
    </xf>
    <xf numFmtId="0" fontId="37" fillId="0" borderId="12" xfId="0" applyFont="1" applyFill="1" applyBorder="1" applyAlignment="1">
      <alignment horizontal="left"/>
    </xf>
    <xf numFmtId="165" fontId="56" fillId="0" borderId="22" xfId="35" applyNumberFormat="1" applyFont="1" applyBorder="1" applyAlignment="1">
      <alignment horizontal="center" vertical="center"/>
    </xf>
    <xf numFmtId="0" fontId="51" fillId="40" borderId="22" xfId="0" applyNumberFormat="1" applyFont="1" applyFill="1" applyBorder="1"/>
    <xf numFmtId="3" fontId="216" fillId="0" borderId="0" xfId="37" applyNumberFormat="1" applyFont="1" applyFill="1" applyBorder="1" applyProtection="1">
      <protection locked="0"/>
    </xf>
    <xf numFmtId="3" fontId="6" fillId="0" borderId="0" xfId="123" applyNumberFormat="1" applyFont="1" applyFill="1" applyBorder="1" applyAlignment="1" applyProtection="1">
      <alignment horizontal="left"/>
      <protection locked="0"/>
    </xf>
    <xf numFmtId="0" fontId="58" fillId="0" borderId="0" xfId="0" applyFont="1" applyAlignment="1">
      <alignment horizontal="center"/>
    </xf>
    <xf numFmtId="165" fontId="0" fillId="0" borderId="62" xfId="35" applyNumberFormat="1" applyFont="1" applyBorder="1"/>
    <xf numFmtId="165" fontId="58" fillId="0" borderId="0" xfId="35" applyNumberFormat="1" applyFont="1"/>
    <xf numFmtId="0" fontId="58" fillId="0" borderId="51" xfId="0" applyFont="1" applyBorder="1" applyAlignment="1">
      <alignment horizontal="center"/>
    </xf>
    <xf numFmtId="0" fontId="0" fillId="0" borderId="55" xfId="0" applyBorder="1"/>
    <xf numFmtId="165" fontId="58" fillId="0" borderId="57" xfId="35" applyNumberFormat="1" applyFont="1" applyBorder="1"/>
    <xf numFmtId="165" fontId="58" fillId="0" borderId="61" xfId="35" applyNumberFormat="1" applyFont="1" applyBorder="1"/>
    <xf numFmtId="165" fontId="0" fillId="0" borderId="60" xfId="35" applyNumberFormat="1" applyFont="1" applyBorder="1"/>
    <xf numFmtId="165" fontId="0" fillId="0" borderId="57" xfId="35" applyNumberFormat="1" applyFont="1" applyBorder="1"/>
    <xf numFmtId="165" fontId="0" fillId="0" borderId="61" xfId="35" applyNumberFormat="1" applyFont="1" applyBorder="1"/>
    <xf numFmtId="0" fontId="58" fillId="0" borderId="89" xfId="0" applyFont="1" applyBorder="1" applyAlignment="1">
      <alignment horizontal="center"/>
    </xf>
    <xf numFmtId="165" fontId="0" fillId="0" borderId="84" xfId="35" applyNumberFormat="1" applyFont="1" applyBorder="1"/>
    <xf numFmtId="165" fontId="0" fillId="0" borderId="86" xfId="35" applyNumberFormat="1" applyFont="1" applyBorder="1"/>
    <xf numFmtId="164" fontId="40" fillId="24" borderId="0" xfId="35" applyFont="1" applyFill="1"/>
    <xf numFmtId="0" fontId="33" fillId="0" borderId="61" xfId="0" applyFont="1" applyBorder="1"/>
    <xf numFmtId="165" fontId="0" fillId="0" borderId="37" xfId="0" applyNumberFormat="1" applyBorder="1"/>
    <xf numFmtId="0" fontId="0" fillId="0" borderId="22" xfId="0" applyBorder="1"/>
    <xf numFmtId="0" fontId="0" fillId="0" borderId="22" xfId="0" applyBorder="1"/>
    <xf numFmtId="0" fontId="41" fillId="0" borderId="45" xfId="0" applyFont="1" applyBorder="1"/>
    <xf numFmtId="0" fontId="41" fillId="0" borderId="46" xfId="0" applyFont="1" applyBorder="1"/>
    <xf numFmtId="0" fontId="0" fillId="0" borderId="33" xfId="0" applyBorder="1"/>
    <xf numFmtId="0" fontId="0" fillId="0" borderId="54" xfId="0" applyBorder="1"/>
    <xf numFmtId="0" fontId="41" fillId="0" borderId="47" xfId="0" applyFont="1" applyBorder="1" applyAlignment="1">
      <alignment horizontal="center"/>
    </xf>
    <xf numFmtId="0" fontId="44" fillId="0" borderId="18" xfId="0" applyFont="1" applyBorder="1"/>
    <xf numFmtId="0" fontId="58" fillId="0" borderId="61" xfId="0" applyFont="1" applyBorder="1"/>
    <xf numFmtId="0" fontId="44" fillId="0" borderId="0" xfId="0" applyFont="1" applyFill="1" applyBorder="1"/>
    <xf numFmtId="0" fontId="41" fillId="0" borderId="0" xfId="0" applyFont="1" applyFill="1" applyBorder="1" applyAlignment="1">
      <alignment horizontal="center"/>
    </xf>
    <xf numFmtId="0" fontId="0" fillId="0" borderId="0" xfId="0" applyFill="1" applyBorder="1" applyAlignment="1">
      <alignment horizontal="center"/>
    </xf>
    <xf numFmtId="0" fontId="45" fillId="0" borderId="40" xfId="0" applyFont="1" applyBorder="1"/>
    <xf numFmtId="0" fontId="41" fillId="0" borderId="73" xfId="0" applyFont="1" applyBorder="1"/>
    <xf numFmtId="0" fontId="58" fillId="0" borderId="73" xfId="0" applyFont="1" applyBorder="1"/>
    <xf numFmtId="0" fontId="44" fillId="0" borderId="73" xfId="0" applyFont="1" applyBorder="1"/>
    <xf numFmtId="0" fontId="44" fillId="0" borderId="93" xfId="0" applyFont="1" applyBorder="1"/>
    <xf numFmtId="0" fontId="58" fillId="0" borderId="72" xfId="0" applyFont="1" applyBorder="1"/>
    <xf numFmtId="0" fontId="45" fillId="0" borderId="72" xfId="0" applyFont="1" applyBorder="1" applyAlignment="1">
      <alignment horizontal="center"/>
    </xf>
    <xf numFmtId="0" fontId="65" fillId="0" borderId="73" xfId="0" applyFont="1" applyBorder="1" applyAlignment="1">
      <alignment vertical="center"/>
    </xf>
    <xf numFmtId="0" fontId="65" fillId="0" borderId="0" xfId="0" applyFont="1" applyBorder="1" applyAlignment="1">
      <alignment vertical="center"/>
    </xf>
    <xf numFmtId="0" fontId="65" fillId="0" borderId="72" xfId="0" applyFont="1" applyBorder="1" applyAlignment="1">
      <alignment horizontal="right" vertical="center"/>
    </xf>
    <xf numFmtId="0" fontId="45" fillId="0" borderId="0" xfId="0" applyFont="1" applyBorder="1" applyAlignment="1">
      <alignment vertical="top"/>
    </xf>
    <xf numFmtId="0" fontId="220" fillId="0" borderId="0" xfId="0" applyFont="1" applyBorder="1" applyAlignment="1">
      <alignment vertical="center"/>
    </xf>
    <xf numFmtId="0" fontId="65" fillId="0" borderId="0" xfId="0" applyFont="1" applyBorder="1" applyAlignment="1">
      <alignment horizontal="right" vertical="center"/>
    </xf>
    <xf numFmtId="0" fontId="45" fillId="0" borderId="72" xfId="0" applyFont="1" applyBorder="1"/>
    <xf numFmtId="0" fontId="65" fillId="0" borderId="0" xfId="0" applyFont="1" applyBorder="1" applyAlignment="1">
      <alignment horizontal="center" vertical="center"/>
    </xf>
    <xf numFmtId="0" fontId="65" fillId="0" borderId="0" xfId="0" applyFont="1" applyBorder="1" applyAlignment="1">
      <alignment horizontal="left" vertical="center"/>
    </xf>
    <xf numFmtId="0" fontId="45" fillId="0" borderId="0" xfId="0" applyFont="1" applyFill="1" applyBorder="1"/>
    <xf numFmtId="0" fontId="58" fillId="0" borderId="0" xfId="0" applyFont="1" applyFill="1" applyBorder="1"/>
    <xf numFmtId="0" fontId="45" fillId="0" borderId="0" xfId="0" applyFont="1" applyFill="1" applyBorder="1" applyAlignment="1">
      <alignment horizontal="center"/>
    </xf>
    <xf numFmtId="0" fontId="45" fillId="0" borderId="78" xfId="0" applyFont="1" applyFill="1" applyBorder="1"/>
    <xf numFmtId="0" fontId="41" fillId="0" borderId="78" xfId="0" applyFont="1" applyFill="1" applyBorder="1"/>
    <xf numFmtId="0" fontId="0" fillId="0" borderId="78" xfId="0" applyFill="1" applyBorder="1"/>
    <xf numFmtId="0" fontId="44" fillId="0" borderId="78" xfId="0" applyFont="1" applyFill="1" applyBorder="1"/>
    <xf numFmtId="0" fontId="58" fillId="0" borderId="78" xfId="0" applyFont="1" applyFill="1" applyBorder="1"/>
    <xf numFmtId="0" fontId="45" fillId="0" borderId="78" xfId="0" applyFont="1" applyFill="1" applyBorder="1" applyAlignment="1">
      <alignment horizontal="center"/>
    </xf>
    <xf numFmtId="0" fontId="0" fillId="0" borderId="78" xfId="0" applyFill="1" applyBorder="1" applyAlignment="1">
      <alignment horizontal="center"/>
    </xf>
    <xf numFmtId="0" fontId="41" fillId="0" borderId="78" xfId="0" applyFont="1" applyFill="1" applyBorder="1" applyAlignment="1">
      <alignment horizontal="center"/>
    </xf>
    <xf numFmtId="0" fontId="0" fillId="0" borderId="78" xfId="0" applyBorder="1"/>
    <xf numFmtId="0" fontId="65" fillId="0" borderId="78" xfId="0" applyFont="1" applyBorder="1" applyAlignment="1">
      <alignment horizontal="right" vertical="center"/>
    </xf>
    <xf numFmtId="14" fontId="45" fillId="0" borderId="41" xfId="0" applyNumberFormat="1" applyFont="1" applyBorder="1"/>
    <xf numFmtId="0" fontId="65" fillId="0" borderId="40" xfId="0" applyFont="1" applyBorder="1"/>
    <xf numFmtId="0" fontId="38" fillId="0" borderId="39" xfId="0" applyFont="1" applyBorder="1"/>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34" fillId="0" borderId="12" xfId="35" applyNumberFormat="1" applyFont="1" applyBorder="1" applyAlignment="1">
      <alignment vertical="center" wrapText="1"/>
    </xf>
    <xf numFmtId="17" fontId="33" fillId="0" borderId="0" xfId="0" applyNumberFormat="1" applyFont="1"/>
    <xf numFmtId="0" fontId="51" fillId="0" borderId="0" xfId="0" applyFont="1" applyFill="1" applyBorder="1" applyAlignment="1"/>
    <xf numFmtId="165" fontId="95" fillId="0" borderId="0" xfId="35" applyNumberFormat="1" applyFont="1"/>
    <xf numFmtId="171" fontId="95" fillId="0" borderId="0" xfId="35" applyNumberFormat="1" applyFont="1"/>
    <xf numFmtId="171" fontId="41" fillId="0" borderId="0" xfId="35" applyNumberFormat="1" applyFont="1"/>
    <xf numFmtId="171" fontId="41" fillId="0" borderId="0" xfId="0" applyNumberFormat="1" applyFont="1"/>
    <xf numFmtId="166" fontId="41" fillId="0" borderId="0" xfId="0" applyNumberFormat="1" applyFont="1"/>
    <xf numFmtId="3" fontId="69" fillId="0" borderId="0" xfId="0" applyNumberFormat="1" applyFont="1" applyFill="1" applyBorder="1" applyAlignment="1">
      <alignment horizontal="center"/>
    </xf>
    <xf numFmtId="3" fontId="99" fillId="0" borderId="0" xfId="0" applyNumberFormat="1" applyFont="1" applyFill="1" applyBorder="1" applyAlignment="1">
      <alignment horizontal="center"/>
    </xf>
    <xf numFmtId="0" fontId="51" fillId="0" borderId="12" xfId="0" applyFont="1" applyBorder="1" applyAlignment="1">
      <alignment horizontal="center"/>
    </xf>
    <xf numFmtId="164" fontId="58" fillId="0" borderId="0" xfId="35" applyFont="1"/>
    <xf numFmtId="0" fontId="171" fillId="0" borderId="0" xfId="0" applyFont="1" applyAlignment="1">
      <alignment horizontal="left"/>
    </xf>
    <xf numFmtId="0" fontId="0" fillId="0" borderId="0" xfId="0" applyAlignment="1">
      <alignment horizontal="left"/>
    </xf>
    <xf numFmtId="0" fontId="89" fillId="0" borderId="0" xfId="0" applyFont="1" applyAlignment="1">
      <alignment horizontal="left"/>
    </xf>
    <xf numFmtId="0" fontId="51" fillId="0" borderId="0" xfId="0" applyFont="1" applyAlignment="1">
      <alignment horizontal="left"/>
    </xf>
    <xf numFmtId="0" fontId="83" fillId="0" borderId="0" xfId="0" applyFont="1" applyAlignment="1">
      <alignment horizontal="left"/>
    </xf>
    <xf numFmtId="0" fontId="56" fillId="0" borderId="0" xfId="0" applyFont="1" applyFill="1" applyAlignment="1">
      <alignment horizontal="left"/>
    </xf>
    <xf numFmtId="0" fontId="56" fillId="0" borderId="16" xfId="0" applyNumberFormat="1" applyFont="1" applyFill="1" applyBorder="1" applyAlignment="1">
      <alignment horizontal="left"/>
    </xf>
    <xf numFmtId="0" fontId="150" fillId="0" borderId="0" xfId="0" applyFont="1" applyAlignment="1">
      <alignment horizontal="left"/>
    </xf>
    <xf numFmtId="0" fontId="222" fillId="24" borderId="10" xfId="0" applyFont="1" applyFill="1" applyBorder="1"/>
    <xf numFmtId="3" fontId="34" fillId="0" borderId="0" xfId="0" applyNumberFormat="1" applyFont="1" applyFill="1" applyBorder="1"/>
    <xf numFmtId="165" fontId="223" fillId="0" borderId="12" xfId="35" applyNumberFormat="1" applyFont="1" applyBorder="1" applyAlignment="1">
      <alignment vertical="center"/>
    </xf>
    <xf numFmtId="165" fontId="60" fillId="24" borderId="0" xfId="35" applyNumberFormat="1" applyFont="1" applyFill="1" applyAlignment="1">
      <alignment horizontal="center"/>
    </xf>
    <xf numFmtId="0" fontId="56" fillId="31" borderId="0" xfId="0" applyFont="1" applyFill="1" applyBorder="1" applyAlignment="1">
      <alignment vertical="center"/>
    </xf>
    <xf numFmtId="0" fontId="31" fillId="0" borderId="12" xfId="0" applyFont="1" applyBorder="1" applyAlignment="1">
      <alignment horizontal="center" vertical="center"/>
    </xf>
    <xf numFmtId="166" fontId="0" fillId="0" borderId="0" xfId="1663" applyNumberFormat="1" applyFont="1"/>
    <xf numFmtId="172" fontId="40" fillId="0" borderId="0" xfId="0" applyNumberFormat="1" applyFont="1"/>
    <xf numFmtId="0" fontId="41" fillId="36" borderId="0" xfId="0" applyFont="1" applyFill="1"/>
    <xf numFmtId="171" fontId="95" fillId="36" borderId="0" xfId="35" applyNumberFormat="1" applyFont="1" applyFill="1"/>
    <xf numFmtId="171" fontId="41" fillId="36" borderId="0" xfId="35" applyNumberFormat="1" applyFont="1" applyFill="1"/>
    <xf numFmtId="171" fontId="95" fillId="24" borderId="0" xfId="35" applyNumberFormat="1" applyFont="1" applyFill="1"/>
    <xf numFmtId="171" fontId="41" fillId="24" borderId="0" xfId="35" applyNumberFormat="1" applyFont="1" applyFill="1"/>
    <xf numFmtId="165" fontId="41" fillId="36" borderId="0" xfId="35" applyNumberFormat="1" applyFont="1" applyFill="1"/>
    <xf numFmtId="165" fontId="41" fillId="24" borderId="0" xfId="35" applyNumberFormat="1" applyFont="1" applyFill="1"/>
    <xf numFmtId="165" fontId="41" fillId="36" borderId="0" xfId="0" applyNumberFormat="1" applyFont="1" applyFill="1"/>
    <xf numFmtId="164" fontId="51" fillId="0" borderId="0" xfId="35" applyFont="1"/>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149" fillId="0" borderId="0" xfId="0" applyFont="1" applyBorder="1"/>
    <xf numFmtId="165" fontId="38" fillId="0" borderId="0" xfId="1663" applyNumberFormat="1" applyFont="1" applyFill="1" applyBorder="1" applyAlignment="1">
      <alignment vertical="center"/>
    </xf>
    <xf numFmtId="166" fontId="149" fillId="0" borderId="0" xfId="1663" applyNumberFormat="1" applyFont="1" applyBorder="1"/>
    <xf numFmtId="0" fontId="168" fillId="0" borderId="0" xfId="0" applyFont="1"/>
    <xf numFmtId="17" fontId="168" fillId="0" borderId="0" xfId="0" applyNumberFormat="1" applyFont="1"/>
    <xf numFmtId="166" fontId="149" fillId="0" borderId="12" xfId="1663" applyNumberFormat="1" applyFont="1" applyBorder="1" applyAlignment="1">
      <alignment horizontal="center"/>
    </xf>
    <xf numFmtId="166" fontId="0" fillId="0" borderId="12" xfId="1663" applyNumberFormat="1" applyFont="1" applyBorder="1" applyAlignment="1">
      <alignment horizontal="center"/>
    </xf>
    <xf numFmtId="166" fontId="149" fillId="0" borderId="12" xfId="1663" applyNumberFormat="1" applyFont="1" applyBorder="1"/>
    <xf numFmtId="166" fontId="0" fillId="0" borderId="12" xfId="1663" applyNumberFormat="1" applyFont="1" applyBorder="1"/>
    <xf numFmtId="166" fontId="0" fillId="0" borderId="12" xfId="1663" applyNumberFormat="1" applyFont="1" applyFill="1" applyBorder="1"/>
    <xf numFmtId="166" fontId="224" fillId="34" borderId="12" xfId="1663" applyNumberFormat="1" applyFont="1" applyFill="1" applyBorder="1"/>
    <xf numFmtId="166" fontId="187" fillId="34" borderId="12" xfId="1663" applyNumberFormat="1" applyFont="1" applyFill="1" applyBorder="1"/>
    <xf numFmtId="166" fontId="0" fillId="34" borderId="12" xfId="1663" applyNumberFormat="1" applyFont="1" applyFill="1" applyBorder="1"/>
    <xf numFmtId="166" fontId="149" fillId="34" borderId="12" xfId="1663" applyNumberFormat="1" applyFont="1" applyFill="1" applyBorder="1"/>
    <xf numFmtId="166" fontId="0" fillId="34" borderId="0" xfId="1663" applyNumberFormat="1" applyFont="1" applyFill="1"/>
    <xf numFmtId="165" fontId="38" fillId="0" borderId="12" xfId="1663" applyNumberFormat="1" applyFont="1" applyFill="1" applyBorder="1" applyAlignment="1">
      <alignment vertical="center"/>
    </xf>
    <xf numFmtId="0" fontId="149" fillId="34" borderId="12" xfId="0" applyFont="1" applyFill="1" applyBorder="1"/>
    <xf numFmtId="0" fontId="0" fillId="34" borderId="12" xfId="0" applyFill="1" applyBorder="1"/>
    <xf numFmtId="165" fontId="38" fillId="34" borderId="12" xfId="1663" applyNumberFormat="1" applyFont="1" applyFill="1" applyBorder="1" applyAlignment="1">
      <alignment vertical="center"/>
    </xf>
    <xf numFmtId="166" fontId="6" fillId="0" borderId="12" xfId="1663" applyNumberFormat="1" applyFont="1" applyBorder="1"/>
    <xf numFmtId="166" fontId="225" fillId="0" borderId="12" xfId="1663" applyNumberFormat="1" applyFont="1" applyBorder="1"/>
    <xf numFmtId="166" fontId="149" fillId="48" borderId="12" xfId="1663" applyNumberFormat="1" applyFont="1" applyFill="1" applyBorder="1"/>
    <xf numFmtId="166" fontId="92" fillId="0" borderId="12" xfId="1663" applyNumberFormat="1" applyFont="1" applyBorder="1"/>
    <xf numFmtId="166" fontId="113" fillId="0" borderId="12" xfId="1663" applyNumberFormat="1" applyFont="1" applyBorder="1"/>
    <xf numFmtId="166" fontId="224" fillId="0" borderId="12" xfId="1663" applyNumberFormat="1" applyFont="1" applyBorder="1"/>
    <xf numFmtId="166" fontId="187" fillId="0" borderId="12" xfId="1663" applyNumberFormat="1" applyFont="1" applyBorder="1"/>
    <xf numFmtId="166" fontId="221" fillId="0" borderId="12" xfId="1663" applyNumberFormat="1" applyFont="1" applyBorder="1"/>
    <xf numFmtId="166" fontId="149" fillId="24" borderId="12" xfId="1663" applyNumberFormat="1" applyFont="1" applyFill="1" applyBorder="1"/>
    <xf numFmtId="0" fontId="113" fillId="0" borderId="0" xfId="0" applyFont="1" applyFill="1" applyBorder="1"/>
    <xf numFmtId="166" fontId="92" fillId="34" borderId="12" xfId="1663" applyNumberFormat="1" applyFont="1" applyFill="1" applyBorder="1"/>
    <xf numFmtId="166" fontId="113" fillId="0" borderId="12" xfId="1663" applyNumberFormat="1" applyFont="1" applyFill="1" applyBorder="1"/>
    <xf numFmtId="166" fontId="113" fillId="0" borderId="12" xfId="0" applyNumberFormat="1" applyFont="1" applyFill="1" applyBorder="1"/>
    <xf numFmtId="0" fontId="113" fillId="0" borderId="0" xfId="0" applyFont="1" applyFill="1"/>
    <xf numFmtId="166" fontId="0" fillId="0" borderId="0" xfId="1663" applyNumberFormat="1" applyFont="1" applyBorder="1"/>
    <xf numFmtId="166" fontId="149" fillId="0" borderId="0" xfId="0" applyNumberFormat="1" applyFont="1"/>
    <xf numFmtId="166" fontId="149" fillId="48" borderId="0" xfId="0" applyNumberFormat="1" applyFont="1" applyFill="1"/>
    <xf numFmtId="165" fontId="171" fillId="0" borderId="0" xfId="35" applyNumberFormat="1" applyFont="1" applyBorder="1"/>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51" fillId="0" borderId="0" xfId="0" applyFont="1" applyFill="1" applyAlignment="1">
      <alignment horizontal="center"/>
    </xf>
    <xf numFmtId="165" fontId="51" fillId="0" borderId="0" xfId="0" applyNumberFormat="1" applyFont="1" applyFill="1" applyAlignment="1">
      <alignment horizontal="center"/>
    </xf>
    <xf numFmtId="0" fontId="60" fillId="0" borderId="18" xfId="0" applyFont="1" applyBorder="1"/>
    <xf numFmtId="165" fontId="40" fillId="0" borderId="0" xfId="35" applyNumberFormat="1" applyFont="1" applyFill="1"/>
    <xf numFmtId="165" fontId="32" fillId="24" borderId="12" xfId="35" applyNumberFormat="1" applyFont="1" applyFill="1" applyBorder="1"/>
    <xf numFmtId="165" fontId="60" fillId="0" borderId="0" xfId="35" applyNumberFormat="1" applyFont="1"/>
    <xf numFmtId="0" fontId="29" fillId="0" borderId="10" xfId="0" applyFont="1" applyFill="1" applyBorder="1" applyAlignment="1">
      <alignment horizontal="center"/>
    </xf>
    <xf numFmtId="165" fontId="31" fillId="26" borderId="12" xfId="35" applyNumberFormat="1" applyFont="1" applyFill="1" applyBorder="1"/>
    <xf numFmtId="0" fontId="45" fillId="0" borderId="12" xfId="0" applyFont="1" applyBorder="1" applyAlignment="1">
      <alignment horizontal="center"/>
    </xf>
    <xf numFmtId="0" fontId="45" fillId="0" borderId="12" xfId="0" applyFont="1" applyBorder="1" applyAlignment="1">
      <alignment vertical="center"/>
    </xf>
    <xf numFmtId="0" fontId="45" fillId="0" borderId="10" xfId="0" applyFont="1" applyBorder="1" applyAlignment="1"/>
    <xf numFmtId="0" fontId="95" fillId="0" borderId="12" xfId="0" applyNumberFormat="1" applyFont="1" applyBorder="1" applyAlignment="1">
      <alignment horizontal="center"/>
    </xf>
    <xf numFmtId="0" fontId="95" fillId="0" borderId="12" xfId="0" applyNumberFormat="1" applyFont="1" applyFill="1" applyBorder="1" applyAlignment="1">
      <alignment horizontal="center"/>
    </xf>
    <xf numFmtId="0" fontId="61" fillId="0" borderId="12" xfId="0" applyNumberFormat="1" applyFont="1" applyBorder="1" applyAlignment="1">
      <alignment horizontal="center"/>
    </xf>
    <xf numFmtId="14" fontId="61" fillId="0" borderId="42" xfId="0" applyNumberFormat="1" applyFont="1" applyBorder="1" applyAlignment="1">
      <alignment horizontal="center"/>
    </xf>
    <xf numFmtId="170" fontId="45" fillId="0" borderId="12" xfId="35" applyNumberFormat="1" applyFont="1" applyBorder="1" applyAlignment="1">
      <alignment vertical="center"/>
    </xf>
    <xf numFmtId="49" fontId="226" fillId="0" borderId="12" xfId="0" applyNumberFormat="1"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40" fillId="0" borderId="0" xfId="0" applyFont="1" applyBorder="1" applyAlignment="1">
      <alignment vertical="center"/>
    </xf>
    <xf numFmtId="169" fontId="37" fillId="0" borderId="0" xfId="0" applyNumberFormat="1" applyFont="1" applyBorder="1" applyAlignment="1">
      <alignment vertical="center"/>
    </xf>
    <xf numFmtId="164" fontId="33" fillId="0" borderId="0" xfId="0" applyNumberFormat="1" applyFont="1"/>
    <xf numFmtId="0" fontId="60" fillId="0" borderId="0" xfId="0" applyFont="1" applyFill="1" applyAlignment="1">
      <alignment horizontal="left"/>
    </xf>
    <xf numFmtId="0" fontId="98" fillId="0" borderId="0" xfId="0" applyFont="1" applyAlignment="1">
      <alignment horizontal="center"/>
    </xf>
    <xf numFmtId="0" fontId="51" fillId="0" borderId="0" xfId="0" applyFont="1" applyBorder="1" applyAlignment="1">
      <alignment vertical="top"/>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6" fontId="149" fillId="0" borderId="12" xfId="1663" applyNumberFormat="1" applyFont="1" applyFill="1" applyBorder="1"/>
    <xf numFmtId="0" fontId="9" fillId="0" borderId="0" xfId="0" applyNumberFormat="1" applyFont="1" applyFill="1" applyAlignment="1">
      <alignment horizontal="center"/>
    </xf>
    <xf numFmtId="16" fontId="40" fillId="0" borderId="12" xfId="0" applyNumberFormat="1" applyFont="1" applyBorder="1"/>
    <xf numFmtId="165" fontId="40" fillId="0" borderId="12" xfId="35" applyNumberFormat="1" applyFont="1" applyBorder="1" applyAlignment="1">
      <alignment vertical="center" wrapText="1"/>
    </xf>
    <xf numFmtId="170" fontId="40" fillId="0" borderId="53" xfId="35" applyNumberFormat="1" applyFont="1" applyBorder="1"/>
    <xf numFmtId="170" fontId="40" fillId="0" borderId="56" xfId="35" applyNumberFormat="1" applyFont="1" applyBorder="1"/>
    <xf numFmtId="165" fontId="40" fillId="0" borderId="12" xfId="35" quotePrefix="1" applyNumberFormat="1" applyFont="1" applyBorder="1" applyAlignment="1">
      <alignment vertical="center" wrapText="1"/>
    </xf>
    <xf numFmtId="165" fontId="40" fillId="0" borderId="24" xfId="35" applyNumberFormat="1" applyFont="1" applyBorder="1" applyAlignment="1">
      <alignment vertical="center" wrapText="1"/>
    </xf>
    <xf numFmtId="165" fontId="40" fillId="0" borderId="12" xfId="35" applyNumberFormat="1" applyFont="1" applyBorder="1" applyAlignment="1">
      <alignment vertical="center"/>
    </xf>
    <xf numFmtId="165" fontId="32" fillId="20" borderId="12" xfId="35" applyNumberFormat="1" applyFont="1" applyFill="1" applyBorder="1"/>
    <xf numFmtId="165" fontId="40" fillId="0" borderId="12" xfId="35" applyNumberFormat="1" applyFont="1" applyBorder="1"/>
    <xf numFmtId="179" fontId="33" fillId="0" borderId="12" xfId="35" applyNumberFormat="1" applyFont="1" applyBorder="1" applyAlignment="1">
      <alignment vertical="center"/>
    </xf>
    <xf numFmtId="180" fontId="9" fillId="0" borderId="0" xfId="0" applyNumberFormat="1" applyFont="1"/>
    <xf numFmtId="165" fontId="97" fillId="0" borderId="0" xfId="35" applyNumberFormat="1" applyFont="1" applyAlignment="1">
      <alignment horizontal="center"/>
    </xf>
    <xf numFmtId="3" fontId="67" fillId="0" borderId="66" xfId="0" applyNumberFormat="1" applyFont="1" applyBorder="1" applyAlignment="1">
      <alignment horizontal="left"/>
    </xf>
    <xf numFmtId="3" fontId="67" fillId="0" borderId="17" xfId="0" applyNumberFormat="1" applyFont="1" applyBorder="1" applyAlignment="1">
      <alignment horizontal="left"/>
    </xf>
    <xf numFmtId="3" fontId="67" fillId="0" borderId="65" xfId="0" applyNumberFormat="1" applyFont="1" applyBorder="1" applyAlignment="1">
      <alignment horizontal="center"/>
    </xf>
    <xf numFmtId="165" fontId="40" fillId="0" borderId="65" xfId="35" applyNumberFormat="1" applyFont="1" applyBorder="1" applyAlignment="1">
      <alignment horizont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4" fontId="33" fillId="0" borderId="12" xfId="35" applyNumberFormat="1" applyFont="1" applyFill="1" applyBorder="1" applyAlignment="1">
      <alignment vertical="center"/>
    </xf>
    <xf numFmtId="165" fontId="30" fillId="0" borderId="12" xfId="35" applyNumberFormat="1" applyFont="1" applyBorder="1" applyAlignment="1">
      <alignment vertical="center"/>
    </xf>
    <xf numFmtId="0" fontId="45" fillId="0" borderId="37" xfId="0" applyFont="1" applyBorder="1" applyAlignment="1">
      <alignment horizontal="center"/>
    </xf>
    <xf numFmtId="0" fontId="9" fillId="0" borderId="44" xfId="0" applyFont="1" applyBorder="1"/>
    <xf numFmtId="0" fontId="173" fillId="0" borderId="44" xfId="0" applyFont="1" applyBorder="1"/>
    <xf numFmtId="0" fontId="172" fillId="0" borderId="44" xfId="0" applyFont="1" applyBorder="1"/>
    <xf numFmtId="0" fontId="188" fillId="0" borderId="44" xfId="0" applyFont="1" applyBorder="1"/>
    <xf numFmtId="0" fontId="173" fillId="0" borderId="44" xfId="0" applyNumberFormat="1" applyFont="1" applyBorder="1" applyAlignment="1">
      <alignment horizontal="center" vertical="top"/>
    </xf>
    <xf numFmtId="0" fontId="172" fillId="0" borderId="44" xfId="0" applyNumberFormat="1" applyFont="1" applyBorder="1" applyAlignment="1">
      <alignment horizontal="center" vertical="top"/>
    </xf>
    <xf numFmtId="0" fontId="9" fillId="0" borderId="44" xfId="0" applyNumberFormat="1" applyFont="1" applyBorder="1" applyAlignment="1">
      <alignment horizontal="center"/>
    </xf>
    <xf numFmtId="0" fontId="9" fillId="0" borderId="44" xfId="0" applyFont="1" applyBorder="1" applyAlignment="1">
      <alignment horizont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40" fillId="0" borderId="22" xfId="35" applyNumberFormat="1" applyFont="1" applyFill="1" applyBorder="1"/>
    <xf numFmtId="0" fontId="208" fillId="0" borderId="0" xfId="0" applyFont="1" applyAlignment="1">
      <alignment horizontal="center"/>
    </xf>
    <xf numFmtId="0" fontId="229" fillId="0" borderId="0" xfId="0" applyFont="1" applyAlignment="1">
      <alignment horizontal="center"/>
    </xf>
    <xf numFmtId="0" fontId="228" fillId="0" borderId="0" xfId="0" applyFont="1" applyAlignment="1">
      <alignment horizontal="center"/>
    </xf>
    <xf numFmtId="0" fontId="208" fillId="0" borderId="0" xfId="0" applyFont="1" applyFill="1" applyAlignment="1">
      <alignment horizontal="center"/>
    </xf>
    <xf numFmtId="165" fontId="56" fillId="0" borderId="22" xfId="35" applyNumberFormat="1"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9" fillId="24" borderId="0" xfId="0" applyNumberFormat="1" applyFont="1" applyFill="1"/>
    <xf numFmtId="0" fontId="56" fillId="0" borderId="0" xfId="0" applyFont="1" applyBorder="1"/>
    <xf numFmtId="170" fontId="98" fillId="0" borderId="0" xfId="2126" applyNumberFormat="1" applyFont="1" applyBorder="1"/>
    <xf numFmtId="0" fontId="35" fillId="0" borderId="12" xfId="35" applyNumberFormat="1" applyFont="1" applyFill="1" applyBorder="1" applyAlignment="1">
      <alignment horizontal="left" vertical="top"/>
    </xf>
    <xf numFmtId="0" fontId="221" fillId="0" borderId="12" xfId="35" applyNumberFormat="1" applyFont="1" applyBorder="1" applyAlignment="1">
      <alignment horizontal="left" vertical="top"/>
    </xf>
    <xf numFmtId="0" fontId="30" fillId="0" borderId="24" xfId="0" applyFont="1" applyFill="1" applyBorder="1" applyAlignment="1">
      <alignment horizontal="left"/>
    </xf>
    <xf numFmtId="0" fontId="31" fillId="0" borderId="12" xfId="0" applyFont="1" applyBorder="1" applyAlignment="1">
      <alignment horizontal="center" vertical="center"/>
    </xf>
    <xf numFmtId="0" fontId="31" fillId="24" borderId="12" xfId="0" applyFont="1" applyFill="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43" fontId="41" fillId="0" borderId="0" xfId="0" applyNumberFormat="1" applyFont="1" applyFill="1" applyBorder="1"/>
    <xf numFmtId="164" fontId="32" fillId="0" borderId="0" xfId="35" applyFont="1" applyBorder="1" applyAlignment="1">
      <alignment vertical="center"/>
    </xf>
    <xf numFmtId="164" fontId="33" fillId="0" borderId="0" xfId="35" applyFont="1" applyBorder="1" applyAlignment="1">
      <alignment vertical="center"/>
    </xf>
    <xf numFmtId="171" fontId="33" fillId="0" borderId="12" xfId="35" applyNumberFormat="1" applyFont="1" applyBorder="1" applyAlignment="1">
      <alignment vertical="center"/>
    </xf>
    <xf numFmtId="171" fontId="33" fillId="0" borderId="12" xfId="35" applyNumberFormat="1" applyFont="1" applyBorder="1" applyAlignment="1">
      <alignment horizontal="left" vertical="top"/>
    </xf>
    <xf numFmtId="171" fontId="33" fillId="0" borderId="12" xfId="35" applyNumberFormat="1" applyFont="1" applyFill="1" applyBorder="1" applyAlignment="1">
      <alignment horizontal="left" vertical="top"/>
    </xf>
    <xf numFmtId="0" fontId="101" fillId="0" borderId="0" xfId="0" applyFont="1" applyBorder="1"/>
    <xf numFmtId="165" fontId="98" fillId="0" borderId="0" xfId="35" applyNumberFormat="1" applyFont="1" applyBorder="1"/>
    <xf numFmtId="0" fontId="44" fillId="0" borderId="0" xfId="0" applyFont="1" applyBorder="1"/>
    <xf numFmtId="164" fontId="41" fillId="0" borderId="0" xfId="35" applyFont="1" applyBorder="1"/>
    <xf numFmtId="0" fontId="0" fillId="0" borderId="0" xfId="0" applyNumberFormat="1" applyBorder="1"/>
    <xf numFmtId="0" fontId="0" fillId="0" borderId="0" xfId="0" applyNumberFormat="1" applyFill="1" applyBorder="1"/>
    <xf numFmtId="0" fontId="101" fillId="31" borderId="0" xfId="0" applyFont="1" applyFill="1" applyBorder="1"/>
    <xf numFmtId="0" fontId="157" fillId="31" borderId="0" xfId="0" applyFont="1" applyFill="1" applyBorder="1"/>
    <xf numFmtId="0" fontId="230" fillId="31" borderId="0" xfId="0" applyFont="1" applyFill="1" applyBorder="1"/>
    <xf numFmtId="0" fontId="146" fillId="0" borderId="0" xfId="0" applyFont="1" applyBorder="1"/>
    <xf numFmtId="170" fontId="150" fillId="31" borderId="0" xfId="0" applyNumberFormat="1" applyFont="1" applyFill="1" applyBorder="1" applyAlignment="1">
      <alignment horizontal="center" vertical="center"/>
    </xf>
    <xf numFmtId="0" fontId="45" fillId="0" borderId="12" xfId="0" applyFont="1" applyBorder="1" applyAlignment="1">
      <alignment horizontal="center"/>
    </xf>
    <xf numFmtId="0" fontId="0" fillId="0" borderId="62" xfId="0" applyBorder="1" applyAlignment="1">
      <alignment horizontal="center"/>
    </xf>
    <xf numFmtId="0" fontId="29" fillId="34" borderId="22" xfId="0" applyFont="1" applyFill="1" applyBorder="1" applyAlignment="1"/>
    <xf numFmtId="0" fontId="29" fillId="34" borderId="22" xfId="0" applyNumberFormat="1" applyFont="1" applyFill="1" applyBorder="1" applyAlignment="1">
      <alignment horizontal="left"/>
    </xf>
    <xf numFmtId="0" fontId="45" fillId="31" borderId="0" xfId="0" applyNumberFormat="1" applyFont="1" applyFill="1" applyBorder="1" applyAlignment="1">
      <alignment horizontal="center"/>
    </xf>
    <xf numFmtId="0" fontId="95" fillId="0" borderId="0" xfId="0" applyFont="1" applyFill="1" applyBorder="1" applyAlignment="1">
      <alignment horizontal="left"/>
    </xf>
    <xf numFmtId="0" fontId="56" fillId="0" borderId="0" xfId="0" applyFont="1" applyFill="1" applyBorder="1" applyAlignment="1">
      <alignment horizontal="center"/>
    </xf>
    <xf numFmtId="0" fontId="95" fillId="0" borderId="0" xfId="0" applyFont="1" applyFill="1" applyBorder="1" applyAlignment="1">
      <alignment horizontal="left" wrapText="1"/>
    </xf>
    <xf numFmtId="0" fontId="198" fillId="0" borderId="0" xfId="0" applyFont="1" applyFill="1" applyAlignment="1">
      <alignment horizontal="left"/>
    </xf>
    <xf numFmtId="0" fontId="144" fillId="0" borderId="0" xfId="0" applyFont="1" applyFill="1" applyAlignment="1">
      <alignment horizontal="center"/>
    </xf>
    <xf numFmtId="0" fontId="231" fillId="0" borderId="0" xfId="0" applyFont="1"/>
    <xf numFmtId="0" fontId="231" fillId="0" borderId="0" xfId="0" applyFont="1" applyAlignment="1">
      <alignment horizontal="center"/>
    </xf>
    <xf numFmtId="0" fontId="231" fillId="0" borderId="0" xfId="0" applyFont="1" applyBorder="1"/>
    <xf numFmtId="0" fontId="200" fillId="0" borderId="0" xfId="0" applyFont="1" applyBorder="1"/>
    <xf numFmtId="0" fontId="232" fillId="31" borderId="0" xfId="0" applyFont="1" applyFill="1" applyBorder="1"/>
    <xf numFmtId="0" fontId="198" fillId="0" borderId="0" xfId="0" applyFont="1" applyAlignment="1">
      <alignment horizontal="left"/>
    </xf>
    <xf numFmtId="0" fontId="144" fillId="0" borderId="0" xfId="0" applyFont="1" applyAlignment="1">
      <alignment horizontal="center"/>
    </xf>
    <xf numFmtId="0" fontId="231" fillId="0" borderId="0" xfId="0" applyFont="1" applyAlignment="1">
      <alignment horizontal="left"/>
    </xf>
    <xf numFmtId="165" fontId="200" fillId="0" borderId="0" xfId="35" applyNumberFormat="1" applyFont="1" applyAlignment="1">
      <alignment horizontal="center"/>
    </xf>
    <xf numFmtId="0" fontId="233" fillId="31" borderId="0" xfId="0" applyFont="1" applyFill="1" applyBorder="1"/>
    <xf numFmtId="165" fontId="51" fillId="0" borderId="0" xfId="0" applyNumberFormat="1" applyFont="1" applyFill="1"/>
    <xf numFmtId="169" fontId="162" fillId="0" borderId="0" xfId="0" applyNumberFormat="1" applyFont="1" applyBorder="1" applyAlignment="1">
      <alignment vertical="center"/>
    </xf>
    <xf numFmtId="0" fontId="210" fillId="0" borderId="0" xfId="0" applyFont="1" applyFill="1" applyBorder="1" applyAlignment="1">
      <alignment horizontal="left"/>
    </xf>
    <xf numFmtId="0" fontId="32" fillId="0" borderId="10" xfId="0" applyFont="1" applyBorder="1" applyAlignment="1">
      <alignment horizontal="center" vertical="center"/>
    </xf>
    <xf numFmtId="0" fontId="32" fillId="0" borderId="24" xfId="0" applyFont="1" applyBorder="1" applyAlignment="1">
      <alignment horizontal="center" vertical="center"/>
    </xf>
    <xf numFmtId="165" fontId="234" fillId="0" borderId="0" xfId="35" applyNumberFormat="1" applyFont="1" applyAlignment="1">
      <alignment horizontal="center"/>
    </xf>
    <xf numFmtId="0" fontId="235" fillId="0" borderId="0" xfId="0" applyFont="1" applyBorder="1"/>
    <xf numFmtId="3" fontId="31" fillId="34" borderId="12" xfId="0" applyNumberFormat="1" applyFont="1" applyFill="1" applyBorder="1" applyAlignment="1">
      <alignment horizontal="left"/>
    </xf>
    <xf numFmtId="0" fontId="217" fillId="0" borderId="38" xfId="0" applyFont="1" applyBorder="1" applyAlignment="1">
      <alignment horizontal="center"/>
    </xf>
    <xf numFmtId="0" fontId="217" fillId="0" borderId="37" xfId="0" applyFont="1" applyBorder="1" applyAlignment="1">
      <alignment horizontal="center"/>
    </xf>
    <xf numFmtId="0" fontId="229" fillId="49" borderId="87" xfId="0" applyFont="1" applyFill="1" applyBorder="1"/>
    <xf numFmtId="0" fontId="229" fillId="49" borderId="44" xfId="0" applyFont="1" applyFill="1" applyBorder="1" applyAlignment="1">
      <alignment horizontal="center"/>
    </xf>
    <xf numFmtId="0" fontId="208" fillId="49" borderId="44" xfId="0" applyFont="1" applyFill="1" applyBorder="1" applyAlignment="1">
      <alignment horizontal="center"/>
    </xf>
    <xf numFmtId="0" fontId="229" fillId="0" borderId="87" xfId="0" applyFont="1" applyBorder="1"/>
    <xf numFmtId="0" fontId="229" fillId="0" borderId="44" xfId="0" applyFont="1" applyBorder="1" applyAlignment="1">
      <alignment horizontal="center"/>
    </xf>
    <xf numFmtId="0" fontId="208" fillId="0" borderId="44" xfId="0" applyFont="1" applyBorder="1" applyAlignment="1">
      <alignment horizontal="center"/>
    </xf>
    <xf numFmtId="164" fontId="31" fillId="0" borderId="0" xfId="35" applyFont="1"/>
    <xf numFmtId="49" fontId="33" fillId="0" borderId="0" xfId="35" applyNumberFormat="1" applyFont="1" applyBorder="1"/>
    <xf numFmtId="170" fontId="9" fillId="0" borderId="12" xfId="35" applyNumberFormat="1" applyFont="1" applyBorder="1" applyAlignment="1">
      <alignment horizontal="center"/>
    </xf>
    <xf numFmtId="0" fontId="237" fillId="0" borderId="0" xfId="0" applyFont="1" applyFill="1" applyBorder="1" applyAlignment="1">
      <alignment horizontal="left"/>
    </xf>
    <xf numFmtId="0" fontId="212" fillId="0" borderId="0" xfId="0" applyFont="1" applyFill="1" applyBorder="1" applyAlignment="1">
      <alignment horizontal="left"/>
    </xf>
    <xf numFmtId="0" fontId="238" fillId="0" borderId="0" xfId="0" applyNumberFormat="1" applyFont="1" applyFill="1" applyAlignment="1">
      <alignment horizontal="left"/>
    </xf>
    <xf numFmtId="0" fontId="217" fillId="0" borderId="87" xfId="0" applyFont="1" applyBorder="1" applyAlignment="1">
      <alignment horizontal="center"/>
    </xf>
    <xf numFmtId="0" fontId="217" fillId="0" borderId="44" xfId="0" applyFont="1" applyBorder="1" applyAlignment="1">
      <alignment horizontal="center"/>
    </xf>
    <xf numFmtId="0" fontId="45" fillId="31" borderId="0" xfId="0" applyNumberFormat="1" applyFont="1" applyFill="1" applyBorder="1" applyAlignment="1">
      <alignment horizontal="left"/>
    </xf>
    <xf numFmtId="0" fontId="0" fillId="31" borderId="0" xfId="0" applyFill="1" applyAlignment="1">
      <alignment horizontal="left"/>
    </xf>
    <xf numFmtId="0" fontId="211" fillId="31" borderId="0" xfId="0" applyFont="1" applyFill="1" applyAlignment="1">
      <alignment horizontal="center"/>
    </xf>
    <xf numFmtId="3" fontId="47" fillId="0" borderId="12" xfId="35" applyNumberFormat="1" applyFont="1" applyBorder="1" applyAlignment="1"/>
    <xf numFmtId="3" fontId="47" fillId="0" borderId="12" xfId="0" applyNumberFormat="1" applyFont="1" applyBorder="1" applyAlignment="1"/>
    <xf numFmtId="165" fontId="56" fillId="24" borderId="0" xfId="35" applyNumberFormat="1" applyFont="1" applyFill="1" applyAlignment="1">
      <alignment horizontal="center"/>
    </xf>
    <xf numFmtId="170" fontId="56" fillId="0" borderId="0" xfId="35" applyNumberFormat="1" applyFont="1" applyFill="1" applyAlignment="1">
      <alignment horizontal="center"/>
    </xf>
    <xf numFmtId="165" fontId="143" fillId="31" borderId="0" xfId="35" applyNumberFormat="1" applyFont="1" applyFill="1" applyAlignment="1">
      <alignment horizontal="center"/>
    </xf>
    <xf numFmtId="165" fontId="184" fillId="0" borderId="0" xfId="35" applyNumberFormat="1" applyFont="1" applyFill="1" applyAlignment="1">
      <alignment horizontal="center" vertical="center"/>
    </xf>
    <xf numFmtId="165" fontId="56" fillId="0" borderId="0" xfId="35" applyNumberFormat="1" applyFont="1" applyFill="1" applyBorder="1" applyAlignment="1">
      <alignment horizontal="center"/>
    </xf>
    <xf numFmtId="165" fontId="144" fillId="0" borderId="16" xfId="35" applyNumberFormat="1" applyFont="1" applyFill="1" applyBorder="1" applyAlignment="1">
      <alignment horizontal="center"/>
    </xf>
    <xf numFmtId="165" fontId="144" fillId="0" borderId="0" xfId="35" applyNumberFormat="1" applyFont="1" applyFill="1" applyBorder="1" applyAlignment="1">
      <alignment horizontal="center"/>
    </xf>
    <xf numFmtId="165" fontId="110" fillId="24" borderId="12" xfId="35" applyNumberFormat="1" applyFont="1" applyFill="1" applyBorder="1" applyAlignment="1">
      <alignment horizontal="center"/>
    </xf>
    <xf numFmtId="165" fontId="137" fillId="31" borderId="12" xfId="35" applyNumberFormat="1" applyFont="1" applyFill="1" applyBorder="1" applyAlignment="1"/>
    <xf numFmtId="165" fontId="137" fillId="0" borderId="12" xfId="35" applyNumberFormat="1" applyFont="1" applyBorder="1" applyAlignment="1"/>
    <xf numFmtId="0" fontId="229" fillId="0" borderId="87" xfId="0" applyFont="1" applyFill="1" applyBorder="1"/>
    <xf numFmtId="0" fontId="229" fillId="0" borderId="44" xfId="0" applyFont="1" applyFill="1" applyBorder="1" applyAlignment="1">
      <alignment horizontal="center"/>
    </xf>
    <xf numFmtId="0" fontId="208" fillId="0" borderId="44" xfId="0" applyFont="1" applyFill="1" applyBorder="1" applyAlignment="1">
      <alignment horizontal="center"/>
    </xf>
    <xf numFmtId="0" fontId="240" fillId="0" borderId="0" xfId="0" applyFont="1" applyFill="1" applyBorder="1" applyAlignment="1">
      <alignment horizontal="left"/>
    </xf>
    <xf numFmtId="0" fontId="165" fillId="0" borderId="0" xfId="0" applyFont="1" applyBorder="1"/>
    <xf numFmtId="0" fontId="236" fillId="0" borderId="0" xfId="0" applyFont="1" applyBorder="1"/>
    <xf numFmtId="0" fontId="97" fillId="0" borderId="0" xfId="0" applyFont="1" applyBorder="1"/>
    <xf numFmtId="165" fontId="40" fillId="0" borderId="0" xfId="35" applyNumberFormat="1" applyFont="1" applyAlignment="1">
      <alignment horizontal="center" vertical="top"/>
    </xf>
    <xf numFmtId="0" fontId="31" fillId="24" borderId="12" xfId="0" applyFont="1" applyFill="1" applyBorder="1" applyAlignment="1">
      <alignment horizontal="center" vertical="center"/>
    </xf>
    <xf numFmtId="0" fontId="32" fillId="0" borderId="22" xfId="0" applyFont="1" applyBorder="1" applyAlignment="1">
      <alignment horizontal="center" vertical="center"/>
    </xf>
    <xf numFmtId="0" fontId="31" fillId="0" borderId="12" xfId="0" applyFont="1" applyBorder="1" applyAlignment="1">
      <alignment horizontal="center" vertical="center"/>
    </xf>
    <xf numFmtId="0" fontId="32" fillId="0" borderId="12"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165" fontId="33" fillId="0" borderId="65" xfId="35" applyNumberFormat="1" applyFont="1" applyFill="1" applyBorder="1" applyAlignment="1">
      <alignment horizontal="center" vertical="center"/>
    </xf>
    <xf numFmtId="164" fontId="31" fillId="0" borderId="94" xfId="35" applyNumberFormat="1" applyFont="1" applyBorder="1" applyAlignment="1">
      <alignment vertical="center"/>
    </xf>
    <xf numFmtId="165" fontId="31" fillId="0" borderId="107" xfId="35" applyNumberFormat="1" applyFont="1" applyBorder="1" applyAlignment="1">
      <alignment vertical="center"/>
    </xf>
    <xf numFmtId="164" fontId="32" fillId="0" borderId="94" xfId="35" applyFont="1" applyBorder="1" applyAlignment="1">
      <alignment vertical="center"/>
    </xf>
    <xf numFmtId="165" fontId="32" fillId="0" borderId="94" xfId="35" applyNumberFormat="1" applyFont="1" applyBorder="1" applyAlignment="1">
      <alignment vertical="center"/>
    </xf>
    <xf numFmtId="165" fontId="31" fillId="0" borderId="83" xfId="35" applyNumberFormat="1" applyFont="1" applyBorder="1" applyAlignment="1">
      <alignment vertical="center"/>
    </xf>
    <xf numFmtId="165" fontId="33" fillId="25" borderId="78" xfId="35" applyNumberFormat="1" applyFont="1" applyFill="1" applyBorder="1" applyAlignment="1">
      <alignment horizontal="center" vertical="center"/>
    </xf>
    <xf numFmtId="165" fontId="31" fillId="0" borderId="75" xfId="35" applyNumberFormat="1" applyFont="1" applyFill="1" applyBorder="1" applyAlignment="1">
      <alignment vertical="center"/>
    </xf>
    <xf numFmtId="165" fontId="31" fillId="0" borderId="83" xfId="35" applyNumberFormat="1" applyFont="1" applyFill="1" applyBorder="1" applyAlignment="1">
      <alignment vertical="center"/>
    </xf>
    <xf numFmtId="165" fontId="36" fillId="0" borderId="83" xfId="35" applyNumberFormat="1" applyFont="1" applyFill="1" applyBorder="1" applyAlignment="1">
      <alignment vertical="center"/>
    </xf>
    <xf numFmtId="16" fontId="32" fillId="0" borderId="12" xfId="0" applyNumberFormat="1" applyFont="1" applyFill="1" applyBorder="1" applyAlignment="1">
      <alignment vertical="center"/>
    </xf>
    <xf numFmtId="164" fontId="32" fillId="0" borderId="12" xfId="35" applyFont="1" applyFill="1" applyBorder="1" applyAlignment="1">
      <alignment vertical="center"/>
    </xf>
    <xf numFmtId="0" fontId="60" fillId="0" borderId="12" xfId="0" applyFont="1" applyFill="1" applyBorder="1"/>
    <xf numFmtId="164" fontId="60" fillId="0" borderId="12" xfId="0" applyNumberFormat="1" applyFont="1" applyFill="1" applyBorder="1"/>
    <xf numFmtId="165" fontId="56" fillId="0" borderId="12" xfId="0" applyNumberFormat="1" applyFont="1" applyFill="1" applyBorder="1"/>
    <xf numFmtId="165" fontId="60" fillId="0" borderId="12" xfId="0" applyNumberFormat="1" applyFont="1" applyFill="1" applyBorder="1"/>
    <xf numFmtId="165" fontId="32" fillId="32" borderId="12" xfId="35" applyNumberFormat="1" applyFont="1" applyFill="1" applyBorder="1" applyAlignment="1">
      <alignment horizontal="center" vertical="center"/>
    </xf>
    <xf numFmtId="165" fontId="58" fillId="32" borderId="12" xfId="0" applyNumberFormat="1" applyFont="1" applyFill="1" applyBorder="1"/>
    <xf numFmtId="165" fontId="60" fillId="32" borderId="12" xfId="0" applyNumberFormat="1" applyFont="1" applyFill="1" applyBorder="1"/>
    <xf numFmtId="166" fontId="92" fillId="0" borderId="12" xfId="1663" applyNumberFormat="1" applyFont="1" applyFill="1" applyBorder="1"/>
    <xf numFmtId="165" fontId="159" fillId="0" borderId="12" xfId="35" applyNumberFormat="1" applyFont="1" applyFill="1" applyBorder="1"/>
    <xf numFmtId="165" fontId="0" fillId="0" borderId="0" xfId="0" applyNumberFormat="1" applyFill="1" applyBorder="1"/>
    <xf numFmtId="0" fontId="36" fillId="31" borderId="12" xfId="0" applyFont="1" applyFill="1" applyBorder="1" applyAlignment="1">
      <alignment horizontal="center"/>
    </xf>
    <xf numFmtId="3" fontId="33" fillId="31" borderId="12" xfId="35" applyNumberFormat="1" applyFont="1" applyFill="1" applyBorder="1" applyAlignment="1">
      <alignment horizontal="center" vertical="center"/>
    </xf>
    <xf numFmtId="0" fontId="36" fillId="31" borderId="12" xfId="0" applyFont="1" applyFill="1" applyBorder="1"/>
    <xf numFmtId="49" fontId="37" fillId="31" borderId="24" xfId="0" applyNumberFormat="1" applyFont="1" applyFill="1" applyBorder="1" applyAlignment="1">
      <alignment vertical="center"/>
    </xf>
    <xf numFmtId="0" fontId="36" fillId="31" borderId="24" xfId="0" applyFont="1" applyFill="1" applyBorder="1"/>
    <xf numFmtId="166" fontId="149" fillId="31" borderId="12" xfId="1663" applyNumberFormat="1" applyFont="1" applyFill="1" applyBorder="1"/>
    <xf numFmtId="0" fontId="208" fillId="0" borderId="0" xfId="0" applyFont="1" applyAlignment="1">
      <alignment horizontal="center"/>
    </xf>
    <xf numFmtId="0" fontId="89" fillId="0" borderId="0" xfId="35" applyNumberFormat="1" applyFont="1" applyAlignment="1">
      <alignment horizontal="center"/>
    </xf>
    <xf numFmtId="3" fontId="208" fillId="0" borderId="0" xfId="0" applyNumberFormat="1" applyFont="1" applyFill="1" applyBorder="1" applyAlignment="1">
      <alignment horizontal="center"/>
    </xf>
    <xf numFmtId="0" fontId="188" fillId="0" borderId="0" xfId="0" applyFont="1" applyFill="1" applyAlignment="1">
      <alignment horizontal="center"/>
    </xf>
    <xf numFmtId="3" fontId="228" fillId="0" borderId="0" xfId="0" applyNumberFormat="1" applyFont="1" applyFill="1" applyBorder="1" applyAlignment="1">
      <alignment horizontal="center"/>
    </xf>
    <xf numFmtId="164" fontId="84" fillId="0" borderId="0" xfId="35" applyFont="1" applyFill="1" applyBorder="1" applyAlignment="1">
      <alignment horizontal="center"/>
    </xf>
    <xf numFmtId="0" fontId="188" fillId="0" borderId="0" xfId="0" applyFont="1" applyAlignment="1">
      <alignment horizontal="center"/>
    </xf>
    <xf numFmtId="0" fontId="89" fillId="0" borderId="0" xfId="0" applyFont="1" applyAlignment="1">
      <alignment horizontal="center"/>
    </xf>
    <xf numFmtId="0" fontId="9" fillId="0" borderId="0" xfId="0" applyFont="1" applyAlignment="1">
      <alignment horizontal="left"/>
    </xf>
    <xf numFmtId="165" fontId="9" fillId="0" borderId="0" xfId="35" applyNumberFormat="1" applyFont="1" applyAlignment="1">
      <alignment horizontal="center"/>
    </xf>
    <xf numFmtId="0" fontId="32" fillId="0" borderId="0" xfId="0" applyFont="1" applyFill="1" applyBorder="1" applyAlignment="1"/>
    <xf numFmtId="165" fontId="75" fillId="0" borderId="0" xfId="35" applyNumberFormat="1" applyFont="1" applyAlignment="1">
      <alignment horizontal="left"/>
    </xf>
    <xf numFmtId="165" fontId="97" fillId="0" borderId="0" xfId="35" applyNumberFormat="1" applyFont="1" applyBorder="1"/>
    <xf numFmtId="0" fontId="102" fillId="0" borderId="0" xfId="0" applyNumberFormat="1" applyFont="1" applyFill="1" applyAlignment="1">
      <alignment horizontal="left"/>
    </xf>
    <xf numFmtId="0" fontId="56" fillId="0" borderId="0" xfId="0" applyNumberFormat="1" applyFont="1" applyFill="1" applyAlignment="1">
      <alignment horizontal="left"/>
    </xf>
    <xf numFmtId="165" fontId="33" fillId="0" borderId="11" xfId="35" applyNumberFormat="1" applyFont="1" applyFill="1" applyBorder="1" applyAlignment="1">
      <alignment vertical="center"/>
    </xf>
    <xf numFmtId="165" fontId="148" fillId="0" borderId="11" xfId="35" applyNumberFormat="1" applyFont="1" applyFill="1" applyBorder="1" applyAlignment="1">
      <alignment vertical="center"/>
    </xf>
    <xf numFmtId="0" fontId="41" fillId="0" borderId="0" xfId="0" applyFont="1" applyBorder="1" applyAlignment="1">
      <alignment wrapText="1"/>
    </xf>
    <xf numFmtId="3" fontId="41" fillId="0" borderId="0" xfId="0" applyNumberFormat="1" applyFont="1" applyAlignment="1">
      <alignment horizontal="center"/>
    </xf>
    <xf numFmtId="0" fontId="45" fillId="31" borderId="0" xfId="0" applyNumberFormat="1" applyFont="1" applyFill="1" applyBorder="1" applyAlignment="1">
      <alignment horizontal="left" wrapText="1"/>
    </xf>
    <xf numFmtId="165" fontId="53" fillId="0" borderId="12" xfId="35" applyNumberFormat="1" applyFont="1" applyBorder="1" applyAlignment="1"/>
    <xf numFmtId="165" fontId="137" fillId="0" borderId="12" xfId="35" applyNumberFormat="1" applyFont="1" applyBorder="1" applyAlignment="1">
      <alignment horizontal="center"/>
    </xf>
    <xf numFmtId="0" fontId="243" fillId="0" borderId="0" xfId="0" applyFont="1" applyAlignment="1"/>
    <xf numFmtId="0" fontId="152" fillId="0" borderId="0" xfId="0" applyFont="1" applyAlignment="1"/>
    <xf numFmtId="165" fontId="51" fillId="32" borderId="22" xfId="35" applyNumberFormat="1" applyFont="1" applyFill="1" applyBorder="1"/>
    <xf numFmtId="0" fontId="45" fillId="0" borderId="0" xfId="0" applyNumberFormat="1" applyFont="1" applyAlignment="1">
      <alignment horizontal="center"/>
    </xf>
    <xf numFmtId="0" fontId="97" fillId="0" borderId="0" xfId="0" applyFont="1" applyAlignment="1">
      <alignment horizontal="left"/>
    </xf>
    <xf numFmtId="165" fontId="31" fillId="32" borderId="12" xfId="35" applyNumberFormat="1" applyFont="1" applyFill="1" applyBorder="1" applyAlignment="1">
      <alignment vertical="center"/>
    </xf>
    <xf numFmtId="0" fontId="244" fillId="0" borderId="0" xfId="0" applyFont="1"/>
    <xf numFmtId="165" fontId="9" fillId="0" borderId="0" xfId="35" applyNumberFormat="1" applyFont="1" applyFill="1" applyAlignment="1">
      <alignment horizontal="center"/>
    </xf>
    <xf numFmtId="0" fontId="89" fillId="0" borderId="0" xfId="0" applyFont="1" applyFill="1" applyAlignment="1">
      <alignment horizontal="left"/>
    </xf>
    <xf numFmtId="165" fontId="143" fillId="0" borderId="0" xfId="35" applyNumberFormat="1" applyFont="1" applyFill="1" applyAlignment="1">
      <alignment horizontal="center"/>
    </xf>
    <xf numFmtId="0" fontId="143" fillId="0" borderId="0" xfId="0" applyFont="1" applyFill="1" applyAlignment="1">
      <alignment horizontal="center"/>
    </xf>
    <xf numFmtId="0" fontId="51" fillId="0" borderId="0" xfId="0" applyFont="1" applyFill="1" applyAlignment="1">
      <alignment horizontal="left"/>
    </xf>
    <xf numFmtId="3" fontId="51" fillId="0" borderId="0" xfId="35" applyNumberFormat="1" applyFont="1" applyFill="1" applyAlignment="1">
      <alignment horizontal="center"/>
    </xf>
    <xf numFmtId="0" fontId="51" fillId="0" borderId="0" xfId="35" applyNumberFormat="1" applyFont="1" applyFill="1" applyBorder="1" applyAlignment="1">
      <alignment horizontal="center" vertical="center"/>
    </xf>
    <xf numFmtId="3" fontId="58" fillId="0" borderId="38" xfId="35" applyNumberFormat="1" applyFont="1" applyFill="1" applyBorder="1" applyAlignment="1">
      <alignment horizontal="center"/>
    </xf>
    <xf numFmtId="3" fontId="56" fillId="0" borderId="0" xfId="35" applyNumberFormat="1" applyFont="1" applyFill="1" applyBorder="1" applyAlignment="1">
      <alignment horizontal="center"/>
    </xf>
    <xf numFmtId="0" fontId="45" fillId="0" borderId="0" xfId="0" applyFont="1" applyFill="1" applyAlignment="1">
      <alignment horizontal="left"/>
    </xf>
    <xf numFmtId="4" fontId="0" fillId="0" borderId="0" xfId="35" applyNumberFormat="1" applyFont="1" applyFill="1" applyAlignment="1">
      <alignment horizontal="center"/>
    </xf>
    <xf numFmtId="165" fontId="56" fillId="0" borderId="0" xfId="35" applyNumberFormat="1" applyFont="1" applyFill="1" applyAlignment="1">
      <alignment horizontal="center"/>
    </xf>
    <xf numFmtId="165" fontId="56" fillId="0" borderId="38" xfId="35" applyNumberFormat="1" applyFont="1" applyFill="1" applyBorder="1" applyAlignment="1">
      <alignment horizontal="center"/>
    </xf>
    <xf numFmtId="0" fontId="40" fillId="0" borderId="0" xfId="0" applyFont="1" applyFill="1" applyAlignment="1">
      <alignment horizontal="left"/>
    </xf>
    <xf numFmtId="165" fontId="58" fillId="0" borderId="0" xfId="35" applyNumberFormat="1" applyFont="1" applyFill="1" applyAlignment="1">
      <alignment horizontal="center"/>
    </xf>
    <xf numFmtId="0" fontId="44" fillId="0" borderId="0" xfId="0" applyFont="1" applyFill="1" applyAlignment="1">
      <alignment horizontal="left"/>
    </xf>
    <xf numFmtId="165" fontId="44" fillId="0" borderId="0" xfId="35" applyNumberFormat="1" applyFont="1" applyFill="1" applyAlignment="1">
      <alignment horizontal="center"/>
    </xf>
    <xf numFmtId="0" fontId="9" fillId="0" borderId="0" xfId="0" applyFont="1" applyFill="1" applyAlignment="1">
      <alignment horizontal="left"/>
    </xf>
    <xf numFmtId="165" fontId="241" fillId="0" borderId="0" xfId="35" applyNumberFormat="1" applyFont="1" applyFill="1" applyAlignment="1">
      <alignment horizontal="center"/>
    </xf>
    <xf numFmtId="0" fontId="107" fillId="0" borderId="0" xfId="0" applyNumberFormat="1" applyFont="1" applyFill="1" applyAlignment="1">
      <alignment horizontal="left"/>
    </xf>
    <xf numFmtId="0" fontId="242" fillId="0" borderId="0" xfId="0" applyNumberFormat="1" applyFont="1" applyFill="1" applyAlignment="1">
      <alignment horizontal="center"/>
    </xf>
    <xf numFmtId="0" fontId="107" fillId="0" borderId="0" xfId="35" applyNumberFormat="1" applyFont="1" applyFill="1" applyAlignment="1">
      <alignment horizontal="center"/>
    </xf>
    <xf numFmtId="0" fontId="89" fillId="0" borderId="16" xfId="0" applyNumberFormat="1" applyFont="1" applyFill="1" applyBorder="1" applyAlignment="1">
      <alignment horizontal="center"/>
    </xf>
    <xf numFmtId="165" fontId="56" fillId="0" borderId="16" xfId="35" applyNumberFormat="1" applyFont="1" applyFill="1" applyBorder="1" applyAlignment="1">
      <alignment horizontal="center" vertical="top"/>
    </xf>
    <xf numFmtId="165" fontId="158" fillId="0" borderId="0" xfId="35" applyNumberFormat="1" applyFont="1" applyFill="1" applyAlignment="1">
      <alignment horizontal="center"/>
    </xf>
    <xf numFmtId="165" fontId="227" fillId="0" borderId="0" xfId="35" applyNumberFormat="1" applyFont="1" applyFill="1" applyAlignment="1">
      <alignment horizontal="center"/>
    </xf>
    <xf numFmtId="0" fontId="95" fillId="0" borderId="0" xfId="0" applyFont="1" applyFill="1" applyAlignment="1">
      <alignment horizontal="left"/>
    </xf>
    <xf numFmtId="3" fontId="227" fillId="0" borderId="0" xfId="35" applyNumberFormat="1" applyFont="1" applyFill="1" applyAlignment="1">
      <alignment horizontal="left"/>
    </xf>
    <xf numFmtId="3" fontId="245" fillId="0" borderId="0" xfId="35" applyNumberFormat="1" applyFont="1" applyFill="1" applyAlignment="1">
      <alignment horizontal="left"/>
    </xf>
    <xf numFmtId="0" fontId="171" fillId="0" borderId="0" xfId="0" applyFont="1" applyFill="1" applyAlignment="1">
      <alignment horizontal="left"/>
    </xf>
    <xf numFmtId="170" fontId="227" fillId="0" borderId="0" xfId="35" applyNumberFormat="1" applyFont="1" applyFill="1" applyAlignment="1">
      <alignment horizontal="left"/>
    </xf>
    <xf numFmtId="0" fontId="45" fillId="0" borderId="0" xfId="0" applyNumberFormat="1" applyFont="1" applyFill="1" applyBorder="1" applyAlignment="1">
      <alignment horizontal="center"/>
    </xf>
    <xf numFmtId="165" fontId="128" fillId="24" borderId="79" xfId="35" applyNumberFormat="1" applyFont="1" applyFill="1" applyBorder="1"/>
    <xf numFmtId="165" fontId="9" fillId="0" borderId="12" xfId="35" applyNumberFormat="1" applyFont="1" applyFill="1" applyBorder="1" applyAlignment="1">
      <alignment horizontal="center"/>
    </xf>
    <xf numFmtId="0" fontId="31" fillId="24" borderId="12" xfId="0" applyFont="1" applyFill="1" applyBorder="1" applyAlignment="1">
      <alignment horizontal="center" vertical="center"/>
    </xf>
    <xf numFmtId="0" fontId="31" fillId="0" borderId="12" xfId="0" applyFont="1" applyBorder="1" applyAlignment="1">
      <alignment horizontal="center" vertical="center"/>
    </xf>
    <xf numFmtId="0" fontId="31" fillId="0" borderId="24"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165" fontId="246" fillId="0" borderId="12" xfId="35" applyNumberFormat="1" applyFont="1" applyFill="1" applyBorder="1" applyAlignment="1">
      <alignment vertical="center"/>
    </xf>
    <xf numFmtId="165" fontId="246" fillId="0" borderId="12" xfId="35" applyNumberFormat="1" applyFont="1" applyFill="1" applyBorder="1"/>
    <xf numFmtId="0" fontId="56" fillId="0" borderId="0" xfId="0" applyFont="1" applyAlignment="1">
      <alignment horizontal="center"/>
    </xf>
    <xf numFmtId="0" fontId="32" fillId="34" borderId="12" xfId="0" applyFont="1" applyFill="1" applyBorder="1" applyAlignment="1">
      <alignment vertical="center"/>
    </xf>
    <xf numFmtId="165" fontId="40" fillId="34" borderId="12" xfId="35" applyNumberFormat="1" applyFont="1" applyFill="1" applyBorder="1"/>
    <xf numFmtId="165" fontId="40" fillId="34" borderId="56" xfId="35" applyNumberFormat="1" applyFont="1" applyFill="1" applyBorder="1"/>
    <xf numFmtId="49" fontId="45" fillId="0" borderId="21" xfId="0" applyNumberFormat="1" applyFont="1" applyBorder="1" applyAlignment="1">
      <alignment horizontal="center"/>
    </xf>
    <xf numFmtId="165" fontId="45" fillId="0" borderId="21" xfId="35" applyNumberFormat="1" applyFont="1" applyBorder="1" applyAlignment="1">
      <alignment horizontal="center"/>
    </xf>
    <xf numFmtId="165" fontId="44" fillId="0" borderId="12" xfId="35" applyNumberFormat="1" applyFont="1" applyBorder="1" applyAlignment="1">
      <alignment horizontal="center"/>
    </xf>
    <xf numFmtId="174" fontId="227" fillId="0" borderId="0" xfId="35" applyNumberFormat="1" applyFont="1" applyFill="1" applyAlignment="1">
      <alignment horizontal="left"/>
    </xf>
    <xf numFmtId="165" fontId="95" fillId="0" borderId="0" xfId="0" applyNumberFormat="1" applyFont="1"/>
    <xf numFmtId="0" fontId="162" fillId="20" borderId="12" xfId="0" applyFont="1" applyFill="1" applyBorder="1" applyAlignment="1">
      <alignment horizontal="center" vertical="center"/>
    </xf>
    <xf numFmtId="16" fontId="162" fillId="0" borderId="11" xfId="0" applyNumberFormat="1" applyFont="1" applyFill="1" applyBorder="1" applyAlignment="1">
      <alignment horizontal="center" vertical="center"/>
    </xf>
    <xf numFmtId="0" fontId="162" fillId="0" borderId="11" xfId="0" applyNumberFormat="1" applyFont="1" applyFill="1" applyBorder="1" applyAlignment="1">
      <alignment horizontal="left" vertical="center"/>
    </xf>
    <xf numFmtId="167" fontId="162" fillId="0" borderId="12" xfId="0" applyNumberFormat="1" applyFont="1" applyFill="1" applyBorder="1" applyAlignment="1">
      <alignment horizontal="center" vertical="center" wrapText="1"/>
    </xf>
    <xf numFmtId="174" fontId="162" fillId="0" borderId="12" xfId="35" applyNumberFormat="1" applyFont="1" applyFill="1" applyBorder="1" applyAlignment="1">
      <alignment vertical="center"/>
    </xf>
    <xf numFmtId="0" fontId="162" fillId="0" borderId="13" xfId="0" applyFont="1" applyFill="1" applyBorder="1" applyAlignment="1">
      <alignment horizontal="center" vertical="center"/>
    </xf>
    <xf numFmtId="0" fontId="162" fillId="0" borderId="0" xfId="0" applyFont="1" applyFill="1" applyBorder="1" applyAlignment="1">
      <alignment horizontal="center" vertical="center"/>
    </xf>
    <xf numFmtId="0" fontId="162" fillId="0" borderId="19" xfId="0" applyFont="1" applyFill="1" applyBorder="1" applyAlignment="1">
      <alignment horizontal="center" vertical="center"/>
    </xf>
    <xf numFmtId="0" fontId="162" fillId="0" borderId="11" xfId="0" applyFont="1" applyFill="1" applyBorder="1" applyAlignment="1">
      <alignment horizontal="center"/>
    </xf>
    <xf numFmtId="0" fontId="162" fillId="0" borderId="12" xfId="0" applyFont="1" applyFill="1" applyBorder="1" applyAlignment="1">
      <alignment horizontal="center"/>
    </xf>
    <xf numFmtId="16" fontId="162" fillId="0" borderId="10" xfId="0" applyNumberFormat="1" applyFont="1" applyFill="1" applyBorder="1" applyAlignment="1">
      <alignment horizontal="center"/>
    </xf>
    <xf numFmtId="0" fontId="162" fillId="0" borderId="12" xfId="0" applyFont="1" applyFill="1" applyBorder="1" applyAlignment="1">
      <alignment horizontal="left"/>
    </xf>
    <xf numFmtId="3" fontId="162" fillId="0" borderId="12" xfId="0" applyNumberFormat="1" applyFont="1" applyFill="1" applyBorder="1" applyAlignment="1">
      <alignment horizontal="center" vertical="center"/>
    </xf>
    <xf numFmtId="0" fontId="217" fillId="0" borderId="0" xfId="0" applyFont="1" applyBorder="1" applyAlignment="1">
      <alignment horizontal="center"/>
    </xf>
    <xf numFmtId="164" fontId="52" fillId="0" borderId="0" xfId="35" applyFont="1" applyBorder="1"/>
    <xf numFmtId="170" fontId="71" fillId="0" borderId="80" xfId="35" applyNumberFormat="1" applyFont="1" applyBorder="1" applyAlignment="1">
      <alignment horizontal="right"/>
    </xf>
    <xf numFmtId="170" fontId="71" fillId="22" borderId="80" xfId="35" applyNumberFormat="1" applyFont="1" applyFill="1" applyBorder="1" applyAlignment="1">
      <alignment horizontal="right"/>
    </xf>
    <xf numFmtId="170" fontId="71" fillId="0" borderId="80" xfId="35" applyNumberFormat="1" applyFont="1" applyFill="1" applyBorder="1" applyAlignment="1">
      <alignment horizontal="right"/>
    </xf>
    <xf numFmtId="3" fontId="54" fillId="0" borderId="108" xfId="0" applyNumberFormat="1" applyFont="1" applyBorder="1" applyAlignment="1">
      <alignment horizontal="center"/>
    </xf>
    <xf numFmtId="0" fontId="52" fillId="0" borderId="16" xfId="0" applyFont="1" applyBorder="1"/>
    <xf numFmtId="164" fontId="52" fillId="0" borderId="16" xfId="35" applyFont="1" applyBorder="1"/>
    <xf numFmtId="0" fontId="9" fillId="0" borderId="16" xfId="0" applyFont="1" applyBorder="1"/>
    <xf numFmtId="166" fontId="9" fillId="0" borderId="0" xfId="0" applyNumberFormat="1" applyFont="1" applyBorder="1"/>
    <xf numFmtId="0" fontId="9" fillId="0" borderId="109" xfId="0" applyFont="1" applyBorder="1"/>
    <xf numFmtId="0" fontId="9" fillId="0" borderId="23" xfId="0" applyFont="1" applyBorder="1"/>
    <xf numFmtId="0" fontId="52" fillId="0" borderId="109" xfId="0" applyFont="1" applyBorder="1" applyAlignment="1">
      <alignment horizontal="center"/>
    </xf>
    <xf numFmtId="164" fontId="62" fillId="0" borderId="109" xfId="35" applyFont="1" applyBorder="1"/>
    <xf numFmtId="164" fontId="63" fillId="0" borderId="109" xfId="35" applyFont="1" applyBorder="1"/>
    <xf numFmtId="0" fontId="52" fillId="0" borderId="109" xfId="0" applyFont="1" applyFill="1" applyBorder="1" applyAlignment="1"/>
    <xf numFmtId="166" fontId="30" fillId="0" borderId="23" xfId="0" applyNumberFormat="1" applyFont="1" applyBorder="1"/>
    <xf numFmtId="170" fontId="52" fillId="0" borderId="109" xfId="0" applyNumberFormat="1" applyFont="1" applyFill="1" applyBorder="1" applyAlignment="1"/>
    <xf numFmtId="0" fontId="9" fillId="0" borderId="30" xfId="0" applyFont="1" applyBorder="1"/>
    <xf numFmtId="165" fontId="9" fillId="0" borderId="10" xfId="35" applyNumberFormat="1" applyFont="1" applyFill="1" applyBorder="1" applyAlignment="1">
      <alignment horizontal="center"/>
    </xf>
    <xf numFmtId="165" fontId="52" fillId="0" borderId="81" xfId="35" applyNumberFormat="1" applyFont="1" applyBorder="1" applyAlignment="1">
      <alignment horizontal="center" vertical="center"/>
    </xf>
    <xf numFmtId="165" fontId="52" fillId="0" borderId="79" xfId="35" applyNumberFormat="1" applyFont="1" applyBorder="1" applyAlignment="1">
      <alignment horizontal="center" vertical="center"/>
    </xf>
    <xf numFmtId="165" fontId="52" fillId="0" borderId="81" xfId="35" applyNumberFormat="1" applyFont="1" applyBorder="1"/>
    <xf numFmtId="165" fontId="52" fillId="0" borderId="79" xfId="35" applyNumberFormat="1" applyFont="1" applyBorder="1"/>
    <xf numFmtId="164" fontId="36" fillId="0" borderId="0" xfId="35" applyFont="1"/>
    <xf numFmtId="165" fontId="0" fillId="0" borderId="0" xfId="0" applyNumberFormat="1" applyFill="1" applyAlignment="1">
      <alignment horizontal="center"/>
    </xf>
    <xf numFmtId="0" fontId="128" fillId="0" borderId="0" xfId="0" applyFont="1"/>
    <xf numFmtId="0" fontId="45" fillId="0" borderId="12" xfId="0" applyFont="1" applyBorder="1" applyAlignment="1">
      <alignment horizontal="center"/>
    </xf>
    <xf numFmtId="0" fontId="56" fillId="0" borderId="12" xfId="0" applyFont="1" applyBorder="1" applyAlignment="1">
      <alignment horizontal="center" wrapText="1"/>
    </xf>
    <xf numFmtId="167" fontId="0" fillId="0" borderId="12" xfId="0" applyNumberFormat="1" applyBorder="1" applyAlignment="1">
      <alignment horizontal="center"/>
    </xf>
    <xf numFmtId="165" fontId="0" fillId="0" borderId="12" xfId="35" applyNumberFormat="1" applyFont="1" applyFill="1" applyBorder="1"/>
    <xf numFmtId="17" fontId="45" fillId="0" borderId="12" xfId="0" applyNumberFormat="1" applyFont="1" applyBorder="1" applyAlignment="1">
      <alignment horizontal="left"/>
    </xf>
    <xf numFmtId="0" fontId="45" fillId="0" borderId="12" xfId="0" applyFont="1" applyBorder="1" applyAlignment="1">
      <alignment horizontal="left"/>
    </xf>
    <xf numFmtId="17" fontId="45" fillId="0" borderId="12" xfId="0" applyNumberFormat="1" applyFont="1" applyFill="1" applyBorder="1" applyAlignment="1">
      <alignment horizontal="left"/>
    </xf>
    <xf numFmtId="0" fontId="45" fillId="0" borderId="12" xfId="0" applyFont="1" applyFill="1" applyBorder="1" applyAlignment="1">
      <alignment horizontal="left"/>
    </xf>
    <xf numFmtId="167" fontId="45" fillId="0" borderId="12" xfId="0" applyNumberFormat="1" applyFont="1" applyBorder="1" applyAlignment="1">
      <alignment horizontal="left"/>
    </xf>
    <xf numFmtId="15" fontId="45" fillId="0" borderId="12" xfId="0" applyNumberFormat="1" applyFont="1" applyBorder="1" applyAlignment="1">
      <alignment horizontal="left"/>
    </xf>
    <xf numFmtId="0" fontId="247" fillId="0" borderId="0" xfId="0" applyFont="1" applyAlignment="1">
      <alignment horizontal="center"/>
    </xf>
    <xf numFmtId="167" fontId="45" fillId="0" borderId="12" xfId="0" applyNumberFormat="1" applyFont="1" applyFill="1" applyBorder="1" applyAlignment="1">
      <alignment horizontal="left"/>
    </xf>
    <xf numFmtId="0" fontId="45" fillId="0" borderId="12" xfId="0" applyFont="1" applyFill="1" applyBorder="1" applyAlignment="1">
      <alignment wrapText="1"/>
    </xf>
    <xf numFmtId="3" fontId="9" fillId="0" borderId="0" xfId="0" applyNumberFormat="1" applyFont="1" applyFill="1"/>
    <xf numFmtId="178" fontId="33" fillId="0" borderId="12" xfId="0" applyNumberFormat="1" applyFont="1" applyBorder="1" applyAlignment="1">
      <alignment vertical="center"/>
    </xf>
    <xf numFmtId="167" fontId="33" fillId="0" borderId="12" xfId="0" applyNumberFormat="1" applyFont="1" applyBorder="1" applyAlignment="1">
      <alignment horizontal="right" vertical="center"/>
    </xf>
    <xf numFmtId="165" fontId="9" fillId="0" borderId="0" xfId="35" applyNumberFormat="1" applyFont="1" applyFill="1" applyBorder="1" applyAlignment="1">
      <alignment horizontal="center"/>
    </xf>
    <xf numFmtId="165" fontId="98" fillId="32" borderId="0" xfId="35" applyNumberFormat="1" applyFont="1" applyFill="1" applyBorder="1"/>
    <xf numFmtId="165" fontId="0" fillId="0" borderId="0" xfId="0" applyNumberFormat="1" applyBorder="1" applyAlignment="1">
      <alignment horizontal="center"/>
    </xf>
    <xf numFmtId="165" fontId="98" fillId="24" borderId="0" xfId="35" applyNumberFormat="1" applyFont="1" applyFill="1" applyBorder="1"/>
    <xf numFmtId="165" fontId="98" fillId="0" borderId="0" xfId="35" applyNumberFormat="1" applyFont="1" applyFill="1" applyBorder="1"/>
    <xf numFmtId="0" fontId="33" fillId="0" borderId="13" xfId="0" applyFont="1" applyFill="1" applyBorder="1" applyAlignment="1">
      <alignment vertical="center"/>
    </xf>
    <xf numFmtId="165" fontId="44" fillId="24" borderId="0" xfId="35" applyNumberFormat="1" applyFont="1" applyFill="1" applyAlignment="1">
      <alignment horizontal="center"/>
    </xf>
    <xf numFmtId="170" fontId="58" fillId="0" borderId="0" xfId="35" applyNumberFormat="1" applyFont="1" applyFill="1" applyAlignment="1">
      <alignment horizontal="right"/>
    </xf>
    <xf numFmtId="165" fontId="58" fillId="0" borderId="0" xfId="35" applyNumberFormat="1" applyFont="1" applyBorder="1" applyAlignment="1">
      <alignment horizontal="right"/>
    </xf>
    <xf numFmtId="165" fontId="60" fillId="0" borderId="0" xfId="35" applyNumberFormat="1" applyFont="1" applyBorder="1" applyAlignment="1">
      <alignment horizontal="right"/>
    </xf>
    <xf numFmtId="3" fontId="58" fillId="0" borderId="38" xfId="35" applyNumberFormat="1" applyFont="1" applyFill="1" applyBorder="1" applyAlignment="1">
      <alignment horizontal="right"/>
    </xf>
    <xf numFmtId="165" fontId="98" fillId="0" borderId="0" xfId="35" applyNumberFormat="1" applyFont="1" applyFill="1" applyAlignment="1">
      <alignment horizontal="center"/>
    </xf>
    <xf numFmtId="0" fontId="44" fillId="0" borderId="12" xfId="0" applyFont="1" applyBorder="1" applyAlignment="1">
      <alignment horizontal="center"/>
    </xf>
    <xf numFmtId="0" fontId="56" fillId="0" borderId="36" xfId="0" applyFont="1" applyBorder="1" applyAlignment="1">
      <alignment horizontal="center"/>
    </xf>
    <xf numFmtId="0" fontId="37" fillId="0" borderId="0" xfId="0" applyFont="1"/>
    <xf numFmtId="0" fontId="248" fillId="0" borderId="44" xfId="0" applyFont="1" applyBorder="1" applyAlignment="1">
      <alignment horizontal="center" vertical="center"/>
    </xf>
    <xf numFmtId="0" fontId="248" fillId="0" borderId="72" xfId="0" applyFont="1" applyBorder="1" applyAlignment="1">
      <alignment horizontal="center" vertical="center"/>
    </xf>
    <xf numFmtId="0" fontId="248" fillId="0" borderId="72" xfId="0" applyFont="1" applyBorder="1" applyAlignment="1">
      <alignment vertical="center"/>
    </xf>
    <xf numFmtId="0" fontId="248" fillId="0" borderId="12" xfId="0" applyFont="1" applyBorder="1" applyAlignment="1">
      <alignment horizontal="center" vertical="center"/>
    </xf>
    <xf numFmtId="0" fontId="248" fillId="0" borderId="43" xfId="0" applyFont="1" applyBorder="1" applyAlignment="1">
      <alignment horizontal="center" vertical="center"/>
    </xf>
    <xf numFmtId="0" fontId="30" fillId="0" borderId="0" xfId="0" applyNumberFormat="1" applyFont="1"/>
    <xf numFmtId="0" fontId="30" fillId="0" borderId="0" xfId="0" applyNumberFormat="1" applyFont="1" applyFill="1"/>
    <xf numFmtId="0" fontId="249" fillId="0" borderId="0" xfId="0" applyFont="1"/>
    <xf numFmtId="0" fontId="250" fillId="0" borderId="0" xfId="0" applyFont="1"/>
    <xf numFmtId="0" fontId="251" fillId="0" borderId="0" xfId="0" applyFont="1"/>
    <xf numFmtId="0" fontId="249" fillId="31" borderId="0" xfId="0" applyFont="1" applyFill="1" applyBorder="1"/>
    <xf numFmtId="0" fontId="36" fillId="0" borderId="87" xfId="0" applyFont="1" applyBorder="1" applyAlignment="1">
      <alignment horizontal="center" vertical="center"/>
    </xf>
    <xf numFmtId="0" fontId="36" fillId="0" borderId="44" xfId="0" applyFont="1" applyBorder="1" applyAlignment="1">
      <alignment horizontal="center" vertical="center"/>
    </xf>
    <xf numFmtId="0" fontId="248" fillId="0" borderId="42" xfId="0" applyFont="1" applyBorder="1" applyAlignment="1">
      <alignment horizontal="center" vertical="center"/>
    </xf>
    <xf numFmtId="0" fontId="248" fillId="0" borderId="35" xfId="0" applyFont="1" applyBorder="1" applyAlignment="1">
      <alignment vertical="center"/>
    </xf>
    <xf numFmtId="0" fontId="248" fillId="0" borderId="36" xfId="0" applyFont="1" applyBorder="1" applyAlignment="1">
      <alignment vertical="center"/>
    </xf>
    <xf numFmtId="169" fontId="248" fillId="0" borderId="72" xfId="0" applyNumberFormat="1" applyFont="1" applyBorder="1" applyAlignment="1">
      <alignment horizontal="center" vertical="center"/>
    </xf>
    <xf numFmtId="169" fontId="248" fillId="0" borderId="37" xfId="0" applyNumberFormat="1" applyFont="1" applyBorder="1" applyAlignment="1">
      <alignment horizontal="center" vertical="center"/>
    </xf>
    <xf numFmtId="169" fontId="248" fillId="0" borderId="44" xfId="0" applyNumberFormat="1" applyFont="1" applyBorder="1" applyAlignment="1">
      <alignment horizontal="center" vertical="center"/>
    </xf>
    <xf numFmtId="169" fontId="248" fillId="0" borderId="87" xfId="0" applyNumberFormat="1" applyFont="1" applyBorder="1" applyAlignment="1">
      <alignment horizontal="right" vertical="center"/>
    </xf>
    <xf numFmtId="169" fontId="214" fillId="0" borderId="44" xfId="0" applyNumberFormat="1" applyFont="1" applyBorder="1" applyAlignment="1">
      <alignment horizontal="center" vertical="center"/>
    </xf>
    <xf numFmtId="169" fontId="248" fillId="24" borderId="37" xfId="0" applyNumberFormat="1" applyFont="1" applyFill="1" applyBorder="1" applyAlignment="1">
      <alignment horizontal="center" vertical="center"/>
    </xf>
    <xf numFmtId="169" fontId="214" fillId="54" borderId="44" xfId="0" applyNumberFormat="1" applyFont="1" applyFill="1" applyBorder="1" applyAlignment="1">
      <alignment horizontal="center" vertical="center"/>
    </xf>
    <xf numFmtId="169" fontId="248" fillId="0" borderId="12" xfId="0" applyNumberFormat="1" applyFont="1" applyBorder="1" applyAlignment="1">
      <alignment horizontal="center" vertical="center"/>
    </xf>
    <xf numFmtId="169" fontId="248" fillId="0" borderId="12" xfId="0" applyNumberFormat="1" applyFont="1" applyBorder="1" applyAlignment="1">
      <alignment vertical="center"/>
    </xf>
    <xf numFmtId="165" fontId="58" fillId="0" borderId="14" xfId="35" applyNumberFormat="1" applyFont="1" applyBorder="1" applyAlignment="1">
      <alignment horizontal="center"/>
    </xf>
    <xf numFmtId="49" fontId="45" fillId="0" borderId="22" xfId="0" applyNumberFormat="1" applyFont="1" applyBorder="1" applyAlignment="1">
      <alignment horizontal="center"/>
    </xf>
    <xf numFmtId="0" fontId="56" fillId="0" borderId="11" xfId="0" applyFont="1" applyBorder="1" applyAlignment="1">
      <alignment horizontal="center"/>
    </xf>
    <xf numFmtId="0" fontId="44" fillId="0" borderId="22" xfId="0" applyFont="1" applyBorder="1" applyAlignment="1">
      <alignment horizontal="center"/>
    </xf>
    <xf numFmtId="49" fontId="45" fillId="0" borderId="62" xfId="0" applyNumberFormat="1" applyFont="1" applyBorder="1" applyAlignment="1">
      <alignment horizontal="center"/>
    </xf>
    <xf numFmtId="0" fontId="44" fillId="0" borderId="10" xfId="0" applyFont="1" applyBorder="1" applyAlignment="1">
      <alignment horizontal="center"/>
    </xf>
    <xf numFmtId="165" fontId="58" fillId="0" borderId="37" xfId="35" applyNumberFormat="1" applyFont="1" applyBorder="1" applyAlignment="1">
      <alignment horizontal="center"/>
    </xf>
    <xf numFmtId="165" fontId="44" fillId="34" borderId="24" xfId="35" applyNumberFormat="1" applyFont="1" applyFill="1" applyBorder="1" applyAlignment="1">
      <alignment horizontal="center"/>
    </xf>
    <xf numFmtId="165" fontId="45" fillId="0" borderId="62" xfId="35" applyNumberFormat="1" applyFont="1" applyBorder="1" applyAlignment="1">
      <alignment horizontal="center"/>
    </xf>
    <xf numFmtId="0" fontId="215" fillId="0" borderId="0" xfId="0" applyFont="1" applyBorder="1" applyAlignment="1">
      <alignment vertical="center"/>
    </xf>
    <xf numFmtId="0" fontId="0" fillId="0" borderId="13" xfId="0" applyBorder="1"/>
    <xf numFmtId="169" fontId="256" fillId="0" borderId="0" xfId="0" applyNumberFormat="1" applyFont="1" applyBorder="1" applyAlignment="1">
      <alignment vertical="center"/>
    </xf>
    <xf numFmtId="0" fontId="140" fillId="0" borderId="0" xfId="0" applyFont="1"/>
    <xf numFmtId="0" fontId="58" fillId="0" borderId="12" xfId="0" applyFont="1" applyBorder="1" applyAlignment="1">
      <alignment horizontal="center"/>
    </xf>
    <xf numFmtId="14" fontId="184" fillId="0" borderId="12" xfId="0" applyNumberFormat="1" applyFont="1" applyBorder="1" applyAlignment="1">
      <alignment horizontal="left" vertical="center"/>
    </xf>
    <xf numFmtId="0" fontId="58" fillId="0" borderId="0" xfId="0" applyFont="1" applyAlignment="1">
      <alignment horizontal="left"/>
    </xf>
    <xf numFmtId="0" fontId="95" fillId="0" borderId="12" xfId="0" applyFont="1" applyBorder="1"/>
    <xf numFmtId="0" fontId="194" fillId="0" borderId="12" xfId="0" applyFont="1" applyBorder="1"/>
    <xf numFmtId="0" fontId="95" fillId="0" borderId="0" xfId="0" applyFont="1" applyAlignment="1">
      <alignment horizontal="right"/>
    </xf>
    <xf numFmtId="14" fontId="95" fillId="0" borderId="0" xfId="0" applyNumberFormat="1" applyFont="1" applyAlignment="1">
      <alignment horizontal="left"/>
    </xf>
    <xf numFmtId="3" fontId="95" fillId="0" borderId="12" xfId="0" applyNumberFormat="1" applyFont="1" applyBorder="1"/>
    <xf numFmtId="0" fontId="32" fillId="24" borderId="0" xfId="0" applyFont="1" applyFill="1"/>
    <xf numFmtId="0" fontId="33" fillId="24" borderId="0" xfId="0" applyFont="1" applyFill="1"/>
    <xf numFmtId="0" fontId="32" fillId="0" borderId="12" xfId="0" applyFont="1" applyBorder="1" applyAlignment="1">
      <alignment wrapText="1"/>
    </xf>
    <xf numFmtId="14" fontId="33" fillId="0" borderId="12" xfId="0" applyNumberFormat="1" applyFont="1" applyBorder="1"/>
    <xf numFmtId="0" fontId="32" fillId="0" borderId="12" xfId="0" applyFont="1" applyBorder="1" applyAlignment="1">
      <alignment horizontal="center" wrapText="1"/>
    </xf>
    <xf numFmtId="0" fontId="162" fillId="20" borderId="11" xfId="0" applyFont="1" applyFill="1" applyBorder="1" applyAlignment="1">
      <alignment horizontal="center" vertical="center"/>
    </xf>
    <xf numFmtId="16" fontId="162" fillId="0" borderId="63" xfId="0" applyNumberFormat="1" applyFont="1" applyFill="1" applyBorder="1" applyAlignment="1">
      <alignment horizontal="center" vertical="center"/>
    </xf>
    <xf numFmtId="3" fontId="162" fillId="0" borderId="53" xfId="0" applyNumberFormat="1" applyFont="1" applyFill="1" applyBorder="1" applyAlignment="1">
      <alignment vertical="center"/>
    </xf>
    <xf numFmtId="3" fontId="162" fillId="0" borderId="56" xfId="0" applyNumberFormat="1" applyFont="1" applyFill="1" applyBorder="1" applyAlignment="1">
      <alignment vertical="center"/>
    </xf>
    <xf numFmtId="3" fontId="162" fillId="0" borderId="56" xfId="0" applyNumberFormat="1" applyFont="1" applyFill="1" applyBorder="1" applyAlignment="1">
      <alignment horizontal="right" vertical="center"/>
    </xf>
    <xf numFmtId="170" fontId="162" fillId="0" borderId="56" xfId="35" applyNumberFormat="1" applyFont="1" applyFill="1" applyBorder="1" applyAlignment="1">
      <alignment vertical="center"/>
    </xf>
    <xf numFmtId="3" fontId="162" fillId="0" borderId="56" xfId="35" applyNumberFormat="1" applyFont="1" applyFill="1" applyBorder="1" applyAlignment="1">
      <alignment vertical="center"/>
    </xf>
    <xf numFmtId="0" fontId="162" fillId="0" borderId="56" xfId="35" applyNumberFormat="1" applyFont="1" applyFill="1" applyBorder="1" applyAlignment="1">
      <alignment vertical="center"/>
    </xf>
    <xf numFmtId="174" fontId="162" fillId="0" borderId="56" xfId="35" applyNumberFormat="1" applyFont="1" applyFill="1" applyBorder="1" applyAlignment="1">
      <alignment vertical="center"/>
    </xf>
    <xf numFmtId="0" fontId="36" fillId="0" borderId="61" xfId="0" applyFont="1" applyFill="1" applyBorder="1"/>
    <xf numFmtId="3" fontId="31" fillId="0" borderId="60" xfId="0" applyNumberFormat="1" applyFont="1" applyFill="1" applyBorder="1"/>
    <xf numFmtId="0" fontId="54" fillId="0" borderId="81" xfId="0" applyFont="1" applyBorder="1" applyAlignment="1"/>
    <xf numFmtId="3" fontId="96" fillId="0" borderId="0" xfId="0" applyNumberFormat="1" applyFont="1" applyAlignment="1">
      <alignment horizontal="center"/>
    </xf>
    <xf numFmtId="0" fontId="96" fillId="0" borderId="0" xfId="0" applyFont="1" applyAlignment="1">
      <alignment horizontal="center"/>
    </xf>
    <xf numFmtId="165" fontId="128" fillId="32" borderId="79" xfId="35" applyNumberFormat="1" applyFont="1" applyFill="1" applyBorder="1" applyAlignment="1">
      <alignment horizontal="center"/>
    </xf>
    <xf numFmtId="0" fontId="256" fillId="0" borderId="38" xfId="0" applyFont="1" applyBorder="1" applyAlignment="1">
      <alignment horizontal="center" vertical="center"/>
    </xf>
    <xf numFmtId="0" fontId="256" fillId="0" borderId="37" xfId="0" applyFont="1" applyBorder="1" applyAlignment="1">
      <alignment horizontal="center" vertical="center"/>
    </xf>
    <xf numFmtId="0" fontId="256" fillId="0" borderId="72" xfId="0" applyFont="1" applyBorder="1" applyAlignment="1">
      <alignment horizontal="center" vertical="center" wrapText="1"/>
    </xf>
    <xf numFmtId="0" fontId="256" fillId="0" borderId="0" xfId="0" applyFont="1" applyAlignment="1">
      <alignment horizontal="center" vertical="center"/>
    </xf>
    <xf numFmtId="169" fontId="248" fillId="0" borderId="12" xfId="0" applyNumberFormat="1" applyFont="1" applyBorder="1" applyAlignment="1">
      <alignment horizontal="left" vertical="center"/>
    </xf>
    <xf numFmtId="169" fontId="36" fillId="0" borderId="12" xfId="0" applyNumberFormat="1" applyFont="1" applyBorder="1"/>
    <xf numFmtId="0" fontId="36" fillId="0" borderId="116" xfId="0" applyFont="1" applyFill="1" applyBorder="1" applyAlignment="1">
      <alignment horizontal="center" vertical="center"/>
    </xf>
    <xf numFmtId="0" fontId="248" fillId="0" borderId="37" xfId="0" applyFont="1" applyBorder="1" applyAlignment="1">
      <alignment horizontal="center" vertical="center"/>
    </xf>
    <xf numFmtId="0" fontId="260" fillId="31" borderId="40" xfId="0" applyFont="1" applyFill="1" applyBorder="1" applyAlignment="1">
      <alignment vertical="center"/>
    </xf>
    <xf numFmtId="0" fontId="248" fillId="0" borderId="40" xfId="0" applyFont="1" applyBorder="1" applyAlignment="1">
      <alignment vertical="center"/>
    </xf>
    <xf numFmtId="165" fontId="162" fillId="0" borderId="56" xfId="35" applyNumberFormat="1" applyFont="1" applyFill="1" applyBorder="1" applyAlignment="1">
      <alignment vertical="center"/>
    </xf>
    <xf numFmtId="169" fontId="31" fillId="0" borderId="12" xfId="0" applyNumberFormat="1" applyFont="1" applyBorder="1"/>
    <xf numFmtId="165" fontId="162" fillId="0" borderId="11" xfId="35" applyNumberFormat="1" applyFont="1" applyFill="1" applyBorder="1" applyAlignment="1">
      <alignment vertical="center"/>
    </xf>
    <xf numFmtId="165" fontId="162" fillId="0" borderId="12" xfId="35" applyNumberFormat="1" applyFont="1" applyFill="1" applyBorder="1" applyAlignment="1">
      <alignment vertical="center"/>
    </xf>
    <xf numFmtId="165" fontId="162" fillId="0" borderId="24" xfId="35" applyNumberFormat="1" applyFont="1" applyFill="1" applyBorder="1" applyAlignment="1">
      <alignment horizontal="right" vertical="center"/>
    </xf>
    <xf numFmtId="165" fontId="162" fillId="0" borderId="12" xfId="35" applyNumberFormat="1" applyFont="1" applyFill="1" applyBorder="1" applyAlignment="1">
      <alignment horizontal="right" vertical="center"/>
    </xf>
    <xf numFmtId="14" fontId="0" fillId="0" borderId="12" xfId="0" applyNumberFormat="1" applyBorder="1"/>
    <xf numFmtId="0" fontId="33" fillId="0" borderId="12" xfId="0" applyFont="1" applyBorder="1" applyAlignment="1">
      <alignment horizontal="left"/>
    </xf>
    <xf numFmtId="0" fontId="262" fillId="0" borderId="0" xfId="0" applyFont="1"/>
    <xf numFmtId="0" fontId="104" fillId="0" borderId="12" xfId="0" applyNumberFormat="1" applyFont="1" applyFill="1" applyBorder="1" applyAlignment="1">
      <alignment horizontal="center"/>
    </xf>
    <xf numFmtId="170" fontId="51" fillId="0" borderId="12" xfId="35" applyNumberFormat="1" applyFont="1" applyBorder="1" applyAlignment="1">
      <alignment horizontal="left"/>
    </xf>
    <xf numFmtId="165" fontId="77" fillId="31" borderId="12" xfId="35" applyNumberFormat="1" applyFont="1" applyFill="1" applyBorder="1" applyAlignment="1" applyProtection="1">
      <alignment horizontal="center" vertical="center"/>
      <protection locked="0"/>
    </xf>
    <xf numFmtId="3" fontId="248" fillId="0" borderId="12" xfId="35" applyNumberFormat="1" applyFont="1" applyBorder="1" applyAlignment="1">
      <alignment horizontal="center" vertical="top"/>
    </xf>
    <xf numFmtId="0" fontId="255" fillId="0" borderId="0" xfId="0" applyFont="1" applyBorder="1" applyAlignment="1">
      <alignment vertical="center"/>
    </xf>
    <xf numFmtId="14" fontId="33" fillId="61" borderId="12" xfId="0" applyNumberFormat="1" applyFont="1" applyFill="1" applyBorder="1"/>
    <xf numFmtId="0" fontId="33" fillId="61" borderId="12" xfId="0" applyFont="1" applyFill="1" applyBorder="1"/>
    <xf numFmtId="165" fontId="33" fillId="61" borderId="12" xfId="35" applyNumberFormat="1" applyFont="1" applyFill="1" applyBorder="1"/>
    <xf numFmtId="169" fontId="37" fillId="0" borderId="12" xfId="0" applyNumberFormat="1" applyFont="1" applyBorder="1" applyAlignment="1"/>
    <xf numFmtId="169" fontId="95" fillId="0" borderId="12" xfId="35" applyNumberFormat="1" applyFont="1" applyBorder="1" applyAlignment="1"/>
    <xf numFmtId="169" fontId="37" fillId="0" borderId="22" xfId="0" applyNumberFormat="1" applyFont="1" applyBorder="1" applyAlignment="1">
      <alignment vertical="center"/>
    </xf>
    <xf numFmtId="0" fontId="256" fillId="0" borderId="72" xfId="0" applyFont="1" applyBorder="1" applyAlignment="1">
      <alignment horizontal="center" vertical="center"/>
    </xf>
    <xf numFmtId="0" fontId="268" fillId="0" borderId="40" xfId="0" applyFont="1" applyBorder="1" applyAlignment="1">
      <alignment vertical="center"/>
    </xf>
    <xf numFmtId="0" fontId="9" fillId="0" borderId="0" xfId="1195" applyNumberFormat="1" applyFill="1" applyBorder="1" applyAlignment="1">
      <alignment horizontal="center" vertical="center"/>
    </xf>
    <xf numFmtId="0" fontId="211" fillId="0" borderId="0" xfId="1195" applyNumberFormat="1" applyFont="1" applyFill="1" applyBorder="1" applyAlignment="1">
      <alignment horizontal="center" vertical="center"/>
    </xf>
    <xf numFmtId="0" fontId="60" fillId="0" borderId="0" xfId="1195" applyNumberFormat="1" applyFont="1" applyFill="1" applyBorder="1" applyAlignment="1">
      <alignment horizontal="center" vertical="center"/>
    </xf>
    <xf numFmtId="0" fontId="45" fillId="0" borderId="0" xfId="1195" applyNumberFormat="1" applyFont="1" applyFill="1" applyBorder="1" applyAlignment="1">
      <alignment horizontal="center" vertical="center"/>
    </xf>
    <xf numFmtId="0" fontId="0" fillId="0" borderId="0" xfId="0" applyNumberFormat="1" applyFill="1" applyBorder="1" applyAlignment="1">
      <alignment horizontal="center" vertical="center"/>
    </xf>
    <xf numFmtId="0" fontId="56" fillId="0" borderId="12" xfId="1195" applyNumberFormat="1" applyFont="1" applyFill="1" applyBorder="1" applyAlignment="1">
      <alignment horizontal="center" vertical="center"/>
    </xf>
    <xf numFmtId="0" fontId="56" fillId="0" borderId="12" xfId="2126" applyNumberFormat="1" applyFont="1" applyFill="1" applyBorder="1" applyAlignment="1">
      <alignment horizontal="center" vertical="center"/>
    </xf>
    <xf numFmtId="0" fontId="42" fillId="0" borderId="12" xfId="2126" applyNumberFormat="1" applyFont="1" applyFill="1" applyBorder="1" applyAlignment="1">
      <alignment horizontal="center" vertical="center"/>
    </xf>
    <xf numFmtId="166" fontId="58" fillId="0" borderId="12" xfId="35" applyNumberFormat="1" applyFont="1" applyFill="1" applyBorder="1" applyAlignment="1">
      <alignment horizontal="center" vertical="center"/>
    </xf>
    <xf numFmtId="166" fontId="149" fillId="0" borderId="12" xfId="35" applyNumberFormat="1" applyFont="1" applyFill="1" applyBorder="1" applyAlignment="1">
      <alignment horizontal="center" vertical="center"/>
    </xf>
    <xf numFmtId="166" fontId="134" fillId="0" borderId="12" xfId="35" applyNumberFormat="1" applyFont="1" applyFill="1" applyBorder="1" applyAlignment="1">
      <alignment horizontal="center" vertical="center"/>
    </xf>
    <xf numFmtId="166" fontId="136" fillId="0" borderId="12" xfId="35" applyNumberFormat="1" applyFont="1" applyFill="1" applyBorder="1" applyAlignment="1">
      <alignment horizontal="center" vertical="center"/>
    </xf>
    <xf numFmtId="166" fontId="134" fillId="24" borderId="12" xfId="35" applyNumberFormat="1" applyFont="1" applyFill="1" applyBorder="1" applyAlignment="1">
      <alignment horizontal="center" vertical="center"/>
    </xf>
    <xf numFmtId="0" fontId="264" fillId="0" borderId="0" xfId="0" applyFont="1" applyBorder="1" applyAlignment="1">
      <alignment vertical="center"/>
    </xf>
    <xf numFmtId="3" fontId="261" fillId="53" borderId="122" xfId="0" applyNumberFormat="1" applyFont="1" applyFill="1" applyBorder="1" applyAlignment="1">
      <alignment vertical="center"/>
    </xf>
    <xf numFmtId="3" fontId="36" fillId="0" borderId="0" xfId="0" applyNumberFormat="1" applyFont="1" applyAlignment="1"/>
    <xf numFmtId="0" fontId="33" fillId="0" borderId="0" xfId="0" applyFont="1" applyAlignment="1"/>
    <xf numFmtId="0" fontId="87" fillId="0" borderId="0" xfId="1195" applyNumberFormat="1" applyFont="1" applyFill="1" applyBorder="1" applyAlignment="1">
      <alignment horizontal="center" vertical="center"/>
    </xf>
    <xf numFmtId="0" fontId="9" fillId="0" borderId="0" xfId="1195" applyNumberFormat="1" applyFill="1" applyBorder="1" applyAlignment="1">
      <alignment horizontal="left" vertical="center"/>
    </xf>
    <xf numFmtId="0" fontId="56" fillId="0" borderId="0" xfId="2137" applyNumberFormat="1" applyFont="1" applyFill="1" applyBorder="1" applyAlignment="1">
      <alignment horizontal="center" vertical="center"/>
    </xf>
    <xf numFmtId="14" fontId="0" fillId="0" borderId="0" xfId="0" applyNumberFormat="1" applyFill="1" applyBorder="1" applyAlignment="1">
      <alignment horizontal="center" vertical="center"/>
    </xf>
    <xf numFmtId="14" fontId="51" fillId="0" borderId="12" xfId="1195" applyNumberFormat="1" applyFont="1" applyFill="1" applyBorder="1" applyAlignment="1">
      <alignment horizontal="center" vertical="center"/>
    </xf>
    <xf numFmtId="0" fontId="0" fillId="0" borderId="12" xfId="0" applyNumberFormat="1" applyFill="1" applyBorder="1" applyAlignment="1">
      <alignment horizontal="center" vertical="center"/>
    </xf>
    <xf numFmtId="0" fontId="271" fillId="0" borderId="12" xfId="0" applyNumberFormat="1" applyFont="1" applyFill="1" applyBorder="1" applyAlignment="1">
      <alignment horizontal="center" vertical="center"/>
    </xf>
    <xf numFmtId="0" fontId="51" fillId="0" borderId="12" xfId="1195" applyNumberFormat="1" applyFont="1" applyFill="1" applyBorder="1" applyAlignment="1">
      <alignment horizontal="center" vertical="center"/>
    </xf>
    <xf numFmtId="0" fontId="272" fillId="0" borderId="12" xfId="35" applyNumberFormat="1" applyFont="1" applyFill="1" applyBorder="1" applyAlignment="1">
      <alignment horizontal="center" vertical="center"/>
    </xf>
    <xf numFmtId="0" fontId="51" fillId="0" borderId="12" xfId="2126" applyNumberFormat="1" applyFont="1" applyFill="1" applyBorder="1" applyAlignment="1">
      <alignment horizontal="center" vertical="center"/>
    </xf>
    <xf numFmtId="166" fontId="32" fillId="0" borderId="12" xfId="35" applyNumberFormat="1" applyFont="1" applyFill="1" applyBorder="1" applyAlignment="1">
      <alignment horizontal="center" vertical="center"/>
    </xf>
    <xf numFmtId="166" fontId="136" fillId="24" borderId="12" xfId="35" applyNumberFormat="1" applyFont="1" applyFill="1" applyBorder="1" applyAlignment="1">
      <alignment horizontal="center" vertical="center"/>
    </xf>
    <xf numFmtId="0" fontId="60" fillId="0" borderId="11" xfId="0" applyFont="1" applyBorder="1" applyAlignment="1">
      <alignment horizontal="center" vertical="center"/>
    </xf>
    <xf numFmtId="0" fontId="45" fillId="0" borderId="12" xfId="0" applyFont="1" applyBorder="1" applyAlignment="1">
      <alignment horizontal="center"/>
    </xf>
    <xf numFmtId="0" fontId="214" fillId="52" borderId="42" xfId="0" applyFont="1" applyFill="1" applyBorder="1" applyAlignment="1">
      <alignment horizontal="left" vertical="center"/>
    </xf>
    <xf numFmtId="0" fontId="214" fillId="52" borderId="43" xfId="0" applyFont="1" applyFill="1" applyBorder="1" applyAlignment="1">
      <alignment horizontal="left" vertical="center"/>
    </xf>
    <xf numFmtId="0" fontId="214" fillId="52" borderId="106" xfId="0" applyFont="1" applyFill="1" applyBorder="1" applyAlignment="1">
      <alignment horizontal="left" vertical="center"/>
    </xf>
    <xf numFmtId="2" fontId="272" fillId="0" borderId="12" xfId="35" applyNumberFormat="1" applyFont="1" applyFill="1" applyBorder="1" applyAlignment="1">
      <alignment horizontal="center" vertical="center"/>
    </xf>
    <xf numFmtId="14" fontId="9" fillId="0" borderId="12" xfId="1195" applyNumberFormat="1" applyFont="1" applyFill="1" applyBorder="1" applyAlignment="1">
      <alignment horizontal="center" vertical="center"/>
    </xf>
    <xf numFmtId="0" fontId="9" fillId="0" borderId="12" xfId="0" applyNumberFormat="1" applyFont="1" applyFill="1" applyBorder="1" applyAlignment="1">
      <alignment horizontal="center" vertical="center"/>
    </xf>
    <xf numFmtId="0" fontId="270" fillId="0" borderId="12" xfId="0" applyNumberFormat="1" applyFont="1" applyFill="1" applyBorder="1" applyAlignment="1">
      <alignment horizontal="center" vertical="center"/>
    </xf>
    <xf numFmtId="164" fontId="38" fillId="0" borderId="12" xfId="35" applyFont="1" applyBorder="1"/>
    <xf numFmtId="165" fontId="32" fillId="0" borderId="12" xfId="0" applyNumberFormat="1" applyFont="1" applyBorder="1"/>
    <xf numFmtId="164" fontId="32" fillId="0" borderId="12" xfId="35" applyFont="1" applyBorder="1"/>
    <xf numFmtId="164" fontId="29" fillId="0" borderId="12" xfId="35" applyFont="1" applyBorder="1"/>
    <xf numFmtId="0" fontId="32" fillId="0" borderId="10" xfId="0" applyFont="1" applyFill="1" applyBorder="1" applyAlignment="1">
      <alignment horizontal="center"/>
    </xf>
    <xf numFmtId="0" fontId="32" fillId="0" borderId="29" xfId="0" applyFont="1" applyFill="1" applyBorder="1" applyAlignment="1">
      <alignment horizontal="center"/>
    </xf>
    <xf numFmtId="0" fontId="32" fillId="0" borderId="24" xfId="0" applyFont="1" applyFill="1" applyBorder="1" applyAlignment="1">
      <alignment horizontal="center"/>
    </xf>
    <xf numFmtId="14" fontId="274" fillId="61" borderId="12" xfId="0" applyNumberFormat="1" applyFont="1" applyFill="1" applyBorder="1"/>
    <xf numFmtId="0" fontId="274" fillId="61" borderId="12" xfId="0" applyFont="1" applyFill="1" applyBorder="1"/>
    <xf numFmtId="165" fontId="274" fillId="61" borderId="12" xfId="35" applyNumberFormat="1" applyFont="1" applyFill="1" applyBorder="1"/>
    <xf numFmtId="170" fontId="31" fillId="0" borderId="0" xfId="35" applyNumberFormat="1" applyFont="1" applyBorder="1" applyAlignment="1">
      <alignment horizontal="left"/>
    </xf>
    <xf numFmtId="170" fontId="214" fillId="51" borderId="44" xfId="35" applyNumberFormat="1" applyFont="1" applyFill="1" applyBorder="1" applyAlignment="1">
      <alignment horizontal="center" vertical="center"/>
    </xf>
    <xf numFmtId="0" fontId="270" fillId="0" borderId="0" xfId="0" applyFont="1" applyBorder="1"/>
    <xf numFmtId="0" fontId="177" fillId="0" borderId="44" xfId="0" applyFont="1" applyBorder="1" applyAlignment="1"/>
    <xf numFmtId="0" fontId="174" fillId="0" borderId="72" xfId="0" applyFont="1" applyBorder="1" applyAlignment="1"/>
    <xf numFmtId="0" fontId="9" fillId="0" borderId="12" xfId="0" applyFont="1" applyBorder="1" applyAlignment="1"/>
    <xf numFmtId="0" fontId="174" fillId="0" borderId="12" xfId="0" applyFont="1" applyBorder="1" applyAlignment="1"/>
    <xf numFmtId="0" fontId="178" fillId="0" borderId="43" xfId="0" applyFont="1" applyBorder="1" applyAlignment="1"/>
    <xf numFmtId="0" fontId="190" fillId="0" borderId="50" xfId="0" applyFont="1" applyBorder="1" applyAlignment="1">
      <alignment vertical="center"/>
    </xf>
    <xf numFmtId="0" fontId="190" fillId="0" borderId="101" xfId="0" applyFont="1" applyBorder="1" applyAlignment="1">
      <alignment vertical="center"/>
    </xf>
    <xf numFmtId="165" fontId="33" fillId="0" borderId="0" xfId="35" applyNumberFormat="1" applyFont="1" applyFill="1" applyBorder="1"/>
    <xf numFmtId="165" fontId="54" fillId="41" borderId="12" xfId="35" applyNumberFormat="1" applyFont="1" applyFill="1" applyBorder="1"/>
    <xf numFmtId="0" fontId="248" fillId="0" borderId="0" xfId="0" applyFont="1" applyBorder="1" applyAlignment="1">
      <alignment vertical="center"/>
    </xf>
    <xf numFmtId="0" fontId="52" fillId="0" borderId="109" xfId="0" applyFont="1" applyFill="1" applyBorder="1" applyAlignment="1">
      <alignment horizontal="center"/>
    </xf>
    <xf numFmtId="165" fontId="275" fillId="0" borderId="12" xfId="35" applyNumberFormat="1" applyFont="1" applyFill="1" applyBorder="1" applyAlignment="1">
      <alignment horizontal="left"/>
    </xf>
    <xf numFmtId="165" fontId="276" fillId="0" borderId="12" xfId="35" applyNumberFormat="1" applyFont="1" applyFill="1" applyBorder="1" applyAlignment="1" applyProtection="1">
      <alignment horizontal="center" vertical="center"/>
      <protection locked="0"/>
    </xf>
    <xf numFmtId="165" fontId="276" fillId="31" borderId="12" xfId="35" applyNumberFormat="1" applyFont="1" applyFill="1" applyBorder="1" applyAlignment="1" applyProtection="1">
      <alignment horizontal="center" vertical="center"/>
      <protection locked="0"/>
    </xf>
    <xf numFmtId="0" fontId="215" fillId="0" borderId="122" xfId="0" applyFont="1" applyFill="1" applyBorder="1" applyAlignment="1">
      <alignment horizontal="center" vertical="center"/>
    </xf>
    <xf numFmtId="3" fontId="261" fillId="0" borderId="122" xfId="0" applyNumberFormat="1" applyFont="1" applyFill="1" applyBorder="1" applyAlignment="1">
      <alignment horizontal="center" vertical="center"/>
    </xf>
    <xf numFmtId="164" fontId="277" fillId="0" borderId="85" xfId="35" applyFont="1" applyFill="1" applyBorder="1"/>
    <xf numFmtId="164" fontId="277" fillId="0" borderId="18" xfId="35" applyFont="1" applyFill="1" applyBorder="1"/>
    <xf numFmtId="166" fontId="277" fillId="0" borderId="85" xfId="35" applyNumberFormat="1" applyFont="1" applyFill="1" applyBorder="1"/>
    <xf numFmtId="166" fontId="277" fillId="0" borderId="22" xfId="35" applyNumberFormat="1" applyFont="1" applyFill="1" applyBorder="1"/>
    <xf numFmtId="166" fontId="278" fillId="0" borderId="84" xfId="35" applyNumberFormat="1" applyFont="1" applyFill="1" applyBorder="1"/>
    <xf numFmtId="165" fontId="254" fillId="51" borderId="39" xfId="0" applyNumberFormat="1" applyFont="1" applyFill="1" applyBorder="1" applyAlignment="1">
      <alignment vertical="center"/>
    </xf>
    <xf numFmtId="165" fontId="254" fillId="51" borderId="40" xfId="0" applyNumberFormat="1" applyFont="1" applyFill="1" applyBorder="1" applyAlignment="1">
      <alignment vertical="center"/>
    </xf>
    <xf numFmtId="165" fontId="254" fillId="51" borderId="111" xfId="0" applyNumberFormat="1" applyFont="1" applyFill="1" applyBorder="1" applyAlignment="1">
      <alignment vertical="center"/>
    </xf>
    <xf numFmtId="165" fontId="254" fillId="51" borderId="114" xfId="0" applyNumberFormat="1" applyFont="1" applyFill="1" applyBorder="1" applyAlignment="1">
      <alignment vertical="center"/>
    </xf>
    <xf numFmtId="166" fontId="33" fillId="0" borderId="13" xfId="0" applyNumberFormat="1" applyFont="1" applyFill="1" applyBorder="1" applyAlignment="1">
      <alignment vertical="center"/>
    </xf>
    <xf numFmtId="165" fontId="132" fillId="0" borderId="12" xfId="35" applyNumberFormat="1" applyFont="1" applyBorder="1"/>
    <xf numFmtId="14" fontId="279" fillId="61" borderId="12" xfId="0" applyNumberFormat="1" applyFont="1" applyFill="1" applyBorder="1"/>
    <xf numFmtId="0" fontId="279" fillId="61" borderId="12" xfId="0" applyFont="1" applyFill="1" applyBorder="1"/>
    <xf numFmtId="165" fontId="279" fillId="61" borderId="12" xfId="35" applyNumberFormat="1" applyFont="1" applyFill="1" applyBorder="1"/>
    <xf numFmtId="0" fontId="260" fillId="54" borderId="40" xfId="0" applyFont="1" applyFill="1" applyBorder="1" applyAlignment="1">
      <alignment vertical="center"/>
    </xf>
    <xf numFmtId="0" fontId="45" fillId="0" borderId="11" xfId="0" applyFont="1" applyBorder="1"/>
    <xf numFmtId="165" fontId="141" fillId="0" borderId="0" xfId="0" applyNumberFormat="1" applyFont="1" applyBorder="1"/>
    <xf numFmtId="3" fontId="141" fillId="0" borderId="0" xfId="0" applyNumberFormat="1" applyFont="1" applyBorder="1"/>
    <xf numFmtId="14" fontId="132" fillId="61" borderId="12" xfId="0" applyNumberFormat="1" applyFont="1" applyFill="1" applyBorder="1"/>
    <xf numFmtId="0" fontId="132" fillId="61" borderId="12" xfId="0" applyFont="1" applyFill="1" applyBorder="1"/>
    <xf numFmtId="165" fontId="132" fillId="61" borderId="12" xfId="35" applyNumberFormat="1" applyFont="1" applyFill="1" applyBorder="1"/>
    <xf numFmtId="0" fontId="54" fillId="0" borderId="81" xfId="0" applyFont="1" applyBorder="1" applyAlignment="1">
      <alignment horizontal="center"/>
    </xf>
    <xf numFmtId="0" fontId="54" fillId="0" borderId="123" xfId="0" applyFont="1" applyBorder="1" applyAlignment="1">
      <alignment horizontal="center"/>
    </xf>
    <xf numFmtId="0" fontId="54" fillId="0" borderId="124" xfId="0" applyFont="1" applyBorder="1" applyAlignment="1">
      <alignment horizontal="center"/>
    </xf>
    <xf numFmtId="0" fontId="54" fillId="0" borderId="125" xfId="0" applyFont="1" applyBorder="1" applyAlignment="1">
      <alignment horizontal="center" vertical="center"/>
    </xf>
    <xf numFmtId="0" fontId="54" fillId="0" borderId="79" xfId="0" applyFont="1" applyBorder="1" applyAlignment="1">
      <alignment horizontal="center" vertical="center"/>
    </xf>
    <xf numFmtId="0" fontId="54" fillId="0" borderId="108" xfId="0" applyFont="1" applyBorder="1" applyAlignment="1">
      <alignment horizontal="center" vertical="center"/>
    </xf>
    <xf numFmtId="0" fontId="54" fillId="0" borderId="81" xfId="0" applyFont="1" applyBorder="1" applyAlignment="1">
      <alignment horizontal="center" vertical="center"/>
    </xf>
    <xf numFmtId="0" fontId="54" fillId="0" borderId="30" xfId="0" applyFont="1" applyBorder="1" applyAlignment="1">
      <alignment horizontal="center" vertical="center"/>
    </xf>
    <xf numFmtId="170" fontId="71" fillId="0" borderId="79" xfId="35" applyNumberFormat="1" applyFont="1" applyFill="1" applyBorder="1" applyAlignment="1">
      <alignment horizontal="right"/>
    </xf>
    <xf numFmtId="170" fontId="71" fillId="0" borderId="79" xfId="35" applyNumberFormat="1" applyFont="1" applyBorder="1" applyAlignment="1">
      <alignment horizontal="right"/>
    </xf>
    <xf numFmtId="170" fontId="71" fillId="22" borderId="79" xfId="35" applyNumberFormat="1" applyFont="1" applyFill="1" applyBorder="1" applyAlignment="1">
      <alignment horizontal="right"/>
    </xf>
    <xf numFmtId="0" fontId="9" fillId="0" borderId="110" xfId="0" applyFont="1" applyBorder="1"/>
    <xf numFmtId="0" fontId="214" fillId="0" borderId="0" xfId="0" applyFont="1"/>
    <xf numFmtId="0" fontId="254" fillId="0" borderId="0" xfId="0" applyFont="1"/>
    <xf numFmtId="169" fontId="254" fillId="0" borderId="0" xfId="0" applyNumberFormat="1" applyFont="1"/>
    <xf numFmtId="3" fontId="214" fillId="0" borderId="0" xfId="0" applyNumberFormat="1" applyFont="1"/>
    <xf numFmtId="166" fontId="140" fillId="24" borderId="12" xfId="0" applyNumberFormat="1" applyFont="1" applyFill="1" applyBorder="1" applyAlignment="1">
      <alignment vertical="center"/>
    </xf>
    <xf numFmtId="0" fontId="30" fillId="31" borderId="12" xfId="0" applyFont="1" applyFill="1" applyBorder="1" applyAlignment="1">
      <alignment vertical="center"/>
    </xf>
    <xf numFmtId="3" fontId="30" fillId="31" borderId="12" xfId="0" applyNumberFormat="1" applyFont="1" applyFill="1" applyBorder="1" applyAlignment="1">
      <alignment vertical="center"/>
    </xf>
    <xf numFmtId="3" fontId="30" fillId="0" borderId="12" xfId="0" applyNumberFormat="1" applyFont="1" applyFill="1" applyBorder="1" applyAlignment="1">
      <alignment vertical="center"/>
    </xf>
    <xf numFmtId="0" fontId="282" fillId="24" borderId="12" xfId="0" applyFont="1" applyFill="1" applyBorder="1" applyAlignment="1">
      <alignment vertical="center"/>
    </xf>
    <xf numFmtId="0" fontId="162" fillId="31" borderId="12" xfId="0" applyFont="1" applyFill="1" applyBorder="1" applyAlignment="1">
      <alignment vertical="center"/>
    </xf>
    <xf numFmtId="0" fontId="162" fillId="0" borderId="12" xfId="0" applyFont="1" applyFill="1" applyBorder="1" applyAlignment="1">
      <alignment vertical="center"/>
    </xf>
    <xf numFmtId="0" fontId="282" fillId="31" borderId="12" xfId="0" applyFont="1" applyFill="1" applyBorder="1" applyAlignment="1">
      <alignment vertical="center"/>
    </xf>
    <xf numFmtId="0" fontId="159" fillId="0" borderId="12" xfId="0" applyFont="1" applyFill="1" applyBorder="1" applyAlignment="1">
      <alignment horizontal="right" vertical="center"/>
    </xf>
    <xf numFmtId="165" fontId="40" fillId="0" borderId="0" xfId="35" applyNumberFormat="1" applyFont="1" applyBorder="1"/>
    <xf numFmtId="170" fontId="281" fillId="30" borderId="12" xfId="0" applyNumberFormat="1" applyFont="1" applyFill="1" applyBorder="1" applyAlignment="1">
      <alignment horizontal="right" vertical="center"/>
    </xf>
    <xf numFmtId="165" fontId="38" fillId="0" borderId="0" xfId="35" applyNumberFormat="1" applyFont="1" applyBorder="1"/>
    <xf numFmtId="0" fontId="40" fillId="0" borderId="11" xfId="0" applyFont="1" applyBorder="1" applyAlignment="1">
      <alignment horizontal="center"/>
    </xf>
    <xf numFmtId="0" fontId="40" fillId="0" borderId="21" xfId="0" applyFont="1" applyBorder="1" applyAlignment="1">
      <alignment horizontal="center"/>
    </xf>
    <xf numFmtId="0" fontId="40" fillId="0" borderId="22" xfId="0" applyFont="1" applyBorder="1" applyAlignment="1">
      <alignment horizontal="center"/>
    </xf>
    <xf numFmtId="16" fontId="33" fillId="0" borderId="12" xfId="0" applyNumberFormat="1" applyFont="1" applyFill="1" applyBorder="1" applyAlignment="1">
      <alignment horizontal="center"/>
    </xf>
    <xf numFmtId="0" fontId="33" fillId="0" borderId="12" xfId="35" applyNumberFormat="1" applyFont="1" applyFill="1" applyBorder="1" applyAlignment="1">
      <alignment horizontal="left"/>
    </xf>
    <xf numFmtId="165" fontId="37" fillId="0" borderId="12" xfId="35" applyNumberFormat="1" applyFont="1" applyFill="1" applyBorder="1" applyAlignment="1"/>
    <xf numFmtId="3" fontId="29" fillId="0" borderId="12" xfId="0" applyNumberFormat="1" applyFont="1" applyFill="1" applyBorder="1"/>
    <xf numFmtId="16" fontId="9" fillId="0" borderId="0" xfId="0" applyNumberFormat="1" applyFont="1" applyFill="1"/>
    <xf numFmtId="16" fontId="30" fillId="0" borderId="12" xfId="0" applyNumberFormat="1" applyFont="1" applyFill="1" applyBorder="1"/>
    <xf numFmtId="3" fontId="30" fillId="0" borderId="12" xfId="0" applyNumberFormat="1" applyFont="1" applyFill="1" applyBorder="1"/>
    <xf numFmtId="3" fontId="140" fillId="0" borderId="12" xfId="0" applyNumberFormat="1" applyFont="1" applyFill="1" applyBorder="1"/>
    <xf numFmtId="165" fontId="38" fillId="0" borderId="12" xfId="35" applyNumberFormat="1" applyFont="1" applyFill="1" applyBorder="1" applyAlignment="1">
      <alignment horizontal="center"/>
    </xf>
    <xf numFmtId="3" fontId="30" fillId="31" borderId="12" xfId="0" applyNumberFormat="1" applyFont="1" applyFill="1" applyBorder="1" applyAlignment="1">
      <alignment horizontal="center"/>
    </xf>
    <xf numFmtId="0" fontId="29" fillId="31" borderId="10" xfId="0" applyFont="1" applyFill="1" applyBorder="1" applyAlignment="1">
      <alignment horizontal="center"/>
    </xf>
    <xf numFmtId="3" fontId="37" fillId="31" borderId="12" xfId="0" applyNumberFormat="1" applyFont="1" applyFill="1" applyBorder="1" applyAlignment="1">
      <alignment horizontal="left"/>
    </xf>
    <xf numFmtId="0" fontId="38" fillId="31" borderId="12" xfId="0" applyFont="1" applyFill="1" applyBorder="1" applyAlignment="1">
      <alignment horizontal="center"/>
    </xf>
    <xf numFmtId="3" fontId="37" fillId="31" borderId="12" xfId="0" applyNumberFormat="1" applyFont="1" applyFill="1" applyBorder="1" applyAlignment="1">
      <alignment horizontal="center"/>
    </xf>
    <xf numFmtId="3" fontId="77" fillId="31" borderId="12" xfId="0" applyNumberFormat="1" applyFont="1" applyFill="1" applyBorder="1" applyAlignment="1">
      <alignment horizontal="center"/>
    </xf>
    <xf numFmtId="0" fontId="9" fillId="31" borderId="0" xfId="0" applyFont="1" applyFill="1" applyBorder="1" applyAlignment="1"/>
    <xf numFmtId="0" fontId="37" fillId="31" borderId="12" xfId="0" applyFont="1" applyFill="1" applyBorder="1" applyAlignment="1">
      <alignment horizontal="left"/>
    </xf>
    <xf numFmtId="164" fontId="30" fillId="31" borderId="10" xfId="35" applyFont="1" applyFill="1" applyBorder="1" applyProtection="1">
      <protection locked="0"/>
    </xf>
    <xf numFmtId="164" fontId="30" fillId="31" borderId="12" xfId="35" applyFont="1" applyFill="1" applyBorder="1" applyProtection="1">
      <protection locked="0"/>
    </xf>
    <xf numFmtId="3" fontId="77" fillId="31" borderId="12" xfId="35" applyNumberFormat="1" applyFont="1" applyFill="1" applyBorder="1" applyAlignment="1" applyProtection="1">
      <alignment horizontal="center"/>
      <protection locked="0"/>
    </xf>
    <xf numFmtId="164" fontId="33" fillId="31" borderId="24" xfId="35" applyFont="1" applyFill="1" applyBorder="1" applyProtection="1">
      <protection locked="0"/>
    </xf>
    <xf numFmtId="165" fontId="276" fillId="31" borderId="24" xfId="35" applyNumberFormat="1" applyFont="1" applyFill="1" applyBorder="1" applyAlignment="1" applyProtection="1">
      <alignment horizontal="center" vertical="center"/>
      <protection locked="0"/>
    </xf>
    <xf numFmtId="164" fontId="33" fillId="31" borderId="12" xfId="35" applyFont="1" applyFill="1" applyBorder="1" applyAlignment="1" applyProtection="1">
      <alignment horizontal="left" vertical="center"/>
      <protection locked="0"/>
    </xf>
    <xf numFmtId="3" fontId="77" fillId="31" borderId="12" xfId="35" applyNumberFormat="1" applyFont="1" applyFill="1" applyBorder="1" applyAlignment="1" applyProtection="1">
      <alignment horizontal="center" vertical="center"/>
      <protection locked="0"/>
    </xf>
    <xf numFmtId="0" fontId="33" fillId="31" borderId="12" xfId="0" applyFont="1" applyFill="1" applyBorder="1" applyAlignment="1">
      <alignment horizontal="left"/>
    </xf>
    <xf numFmtId="164" fontId="37" fillId="31" borderId="12" xfId="35" applyFont="1" applyFill="1" applyBorder="1" applyAlignment="1" applyProtection="1">
      <alignment horizontal="left" vertical="center"/>
      <protection locked="0"/>
    </xf>
    <xf numFmtId="165" fontId="224" fillId="31" borderId="12" xfId="35" applyNumberFormat="1" applyFont="1" applyFill="1" applyBorder="1" applyAlignment="1">
      <alignment horizontal="left"/>
    </xf>
    <xf numFmtId="3" fontId="30" fillId="31" borderId="12" xfId="0" applyNumberFormat="1" applyFont="1" applyFill="1" applyBorder="1" applyAlignment="1" applyProtection="1">
      <alignment horizontal="center" vertical="center"/>
      <protection locked="0"/>
    </xf>
    <xf numFmtId="0" fontId="92" fillId="31" borderId="12" xfId="0" applyFont="1" applyFill="1" applyBorder="1" applyAlignment="1">
      <alignment horizontal="left"/>
    </xf>
    <xf numFmtId="165" fontId="224" fillId="31" borderId="12" xfId="35" applyNumberFormat="1" applyFont="1" applyFill="1" applyBorder="1" applyAlignment="1">
      <alignment horizontal="center"/>
    </xf>
    <xf numFmtId="3" fontId="30" fillId="31" borderId="10" xfId="0" applyNumberFormat="1" applyFont="1" applyFill="1" applyBorder="1" applyProtection="1">
      <protection locked="0"/>
    </xf>
    <xf numFmtId="43" fontId="9" fillId="31" borderId="0" xfId="0" applyNumberFormat="1" applyFont="1" applyFill="1" applyBorder="1" applyAlignment="1"/>
    <xf numFmtId="166" fontId="56" fillId="31" borderId="12" xfId="1663" applyNumberFormat="1" applyFont="1" applyFill="1" applyBorder="1" applyAlignment="1"/>
    <xf numFmtId="165" fontId="159" fillId="31" borderId="24" xfId="35" applyNumberFormat="1" applyFont="1" applyFill="1" applyBorder="1" applyAlignment="1" applyProtection="1">
      <alignment horizontal="center" vertical="center"/>
      <protection locked="0"/>
    </xf>
    <xf numFmtId="0" fontId="90" fillId="31" borderId="12" xfId="0" applyFont="1" applyFill="1" applyBorder="1" applyAlignment="1">
      <alignment horizontal="left"/>
    </xf>
    <xf numFmtId="166" fontId="45" fillId="31" borderId="12" xfId="1663" applyNumberFormat="1" applyFont="1" applyFill="1" applyBorder="1" applyAlignment="1"/>
    <xf numFmtId="0" fontId="37" fillId="31" borderId="12" xfId="35" applyNumberFormat="1" applyFont="1" applyFill="1" applyBorder="1" applyAlignment="1" applyProtection="1">
      <alignment horizontal="center" vertical="center"/>
      <protection locked="0"/>
    </xf>
    <xf numFmtId="0" fontId="33" fillId="31" borderId="12" xfId="35" applyNumberFormat="1" applyFont="1" applyFill="1" applyBorder="1" applyAlignment="1" applyProtection="1">
      <alignment horizontal="center" vertical="center"/>
      <protection locked="0"/>
    </xf>
    <xf numFmtId="3" fontId="33" fillId="31" borderId="12" xfId="0" applyNumberFormat="1" applyFont="1" applyFill="1" applyBorder="1" applyAlignment="1">
      <alignment horizontal="center"/>
    </xf>
    <xf numFmtId="3" fontId="239" fillId="31" borderId="12" xfId="0" applyNumberFormat="1" applyFont="1" applyFill="1" applyBorder="1" applyAlignment="1">
      <alignment horizontal="left"/>
    </xf>
    <xf numFmtId="165" fontId="37" fillId="31" borderId="12" xfId="35" applyNumberFormat="1" applyFont="1" applyFill="1" applyBorder="1" applyAlignment="1" applyProtection="1">
      <alignment horizontal="center" vertical="center"/>
      <protection locked="0"/>
    </xf>
    <xf numFmtId="0" fontId="32" fillId="31" borderId="12" xfId="0" applyFont="1" applyFill="1" applyBorder="1" applyAlignment="1" applyProtection="1">
      <alignment horizontal="left" vertical="center"/>
      <protection locked="0"/>
    </xf>
    <xf numFmtId="174" fontId="77" fillId="31" borderId="12" xfId="0" applyNumberFormat="1" applyFont="1" applyFill="1" applyBorder="1" applyAlignment="1" applyProtection="1">
      <alignment horizontal="center" vertical="center"/>
      <protection locked="0"/>
    </xf>
    <xf numFmtId="3" fontId="37" fillId="31" borderId="12" xfId="0" applyNumberFormat="1" applyFont="1" applyFill="1" applyBorder="1" applyAlignment="1" applyProtection="1">
      <alignment horizontal="center" vertical="center"/>
      <protection locked="0"/>
    </xf>
    <xf numFmtId="165" fontId="283" fillId="0" borderId="0" xfId="0" applyNumberFormat="1" applyFont="1"/>
    <xf numFmtId="164" fontId="61" fillId="0" borderId="0" xfId="35" applyFont="1" applyBorder="1"/>
    <xf numFmtId="170" fontId="9" fillId="0" borderId="0" xfId="0" applyNumberFormat="1" applyFont="1" applyBorder="1"/>
    <xf numFmtId="164" fontId="128" fillId="0" borderId="0" xfId="35" applyFont="1" applyBorder="1"/>
    <xf numFmtId="169" fontId="37" fillId="0" borderId="12" xfId="0" applyNumberFormat="1" applyFont="1" applyBorder="1" applyAlignment="1">
      <alignment vertical="center"/>
    </xf>
    <xf numFmtId="0" fontId="9" fillId="0" borderId="0" xfId="0" applyFont="1" applyBorder="1"/>
    <xf numFmtId="3" fontId="36" fillId="0" borderId="44" xfId="0" applyNumberFormat="1" applyFont="1" applyBorder="1" applyAlignment="1">
      <alignment horizontal="center" vertical="center"/>
    </xf>
    <xf numFmtId="0" fontId="255" fillId="0" borderId="73" xfId="0" applyFont="1" applyBorder="1" applyAlignment="1">
      <alignment horizontal="left" vertical="center" wrapText="1"/>
    </xf>
    <xf numFmtId="0" fontId="255" fillId="0" borderId="0" xfId="0" applyFont="1" applyBorder="1" applyAlignment="1">
      <alignment horizontal="left" vertical="center" wrapText="1"/>
    </xf>
    <xf numFmtId="0" fontId="255" fillId="0" borderId="72" xfId="0" applyFont="1" applyBorder="1" applyAlignment="1">
      <alignment horizontal="left" vertical="center" wrapText="1"/>
    </xf>
    <xf numFmtId="3" fontId="248" fillId="0" borderId="35" xfId="0" applyNumberFormat="1" applyFont="1" applyBorder="1" applyAlignment="1">
      <alignment horizontal="center" vertical="center"/>
    </xf>
    <xf numFmtId="3" fontId="248" fillId="0" borderId="105" xfId="0" applyNumberFormat="1" applyFont="1" applyBorder="1" applyAlignment="1">
      <alignment horizontal="center" vertical="center"/>
    </xf>
    <xf numFmtId="0" fontId="248" fillId="54" borderId="44" xfId="0" applyFont="1" applyFill="1" applyBorder="1" applyAlignment="1">
      <alignment horizontal="left" vertical="center" wrapText="1"/>
    </xf>
    <xf numFmtId="0" fontId="42" fillId="0" borderId="72" xfId="0" applyFont="1" applyBorder="1" applyAlignment="1">
      <alignment horizontal="left" vertical="center" wrapText="1"/>
    </xf>
    <xf numFmtId="0" fontId="248" fillId="0" borderId="35" xfId="0" applyFont="1" applyBorder="1" applyAlignment="1">
      <alignment horizontal="center" vertical="center"/>
    </xf>
    <xf numFmtId="0" fontId="248" fillId="0" borderId="105" xfId="0" applyFont="1" applyBorder="1" applyAlignment="1">
      <alignment horizontal="center" vertical="center"/>
    </xf>
    <xf numFmtId="0" fontId="252" fillId="0" borderId="40" xfId="0" applyFont="1" applyBorder="1" applyAlignment="1">
      <alignment vertical="center"/>
    </xf>
    <xf numFmtId="0" fontId="31" fillId="0" borderId="112" xfId="0" applyFont="1" applyBorder="1" applyAlignment="1">
      <alignment horizontal="left" vertical="center" wrapText="1"/>
    </xf>
    <xf numFmtId="0" fontId="31" fillId="0" borderId="111" xfId="0" applyFont="1" applyBorder="1" applyAlignment="1">
      <alignment horizontal="left" vertical="center" wrapText="1"/>
    </xf>
    <xf numFmtId="0" fontId="31" fillId="0" borderId="114" xfId="0" applyFont="1" applyBorder="1" applyAlignment="1">
      <alignment horizontal="left" vertical="center" wrapText="1"/>
    </xf>
    <xf numFmtId="0" fontId="31" fillId="0" borderId="104" xfId="0" applyFont="1" applyBorder="1" applyAlignment="1">
      <alignment horizontal="left" vertical="center" wrapText="1"/>
    </xf>
    <xf numFmtId="0" fontId="248" fillId="52" borderId="120" xfId="0" applyFont="1" applyFill="1" applyBorder="1" applyAlignment="1">
      <alignment horizontal="center" vertical="center"/>
    </xf>
    <xf numFmtId="0" fontId="248" fillId="52" borderId="119" xfId="0" applyFont="1" applyFill="1" applyBorder="1" applyAlignment="1">
      <alignment horizontal="center" vertical="center"/>
    </xf>
    <xf numFmtId="0" fontId="255" fillId="0" borderId="40" xfId="0" applyFont="1" applyBorder="1" applyAlignment="1">
      <alignment vertical="center"/>
    </xf>
    <xf numFmtId="0" fontId="255" fillId="0" borderId="113" xfId="0" applyFont="1" applyBorder="1" applyAlignment="1">
      <alignment vertical="center"/>
    </xf>
    <xf numFmtId="0" fontId="257" fillId="0" borderId="73" xfId="0" applyFont="1" applyBorder="1" applyAlignment="1">
      <alignment horizontal="left" vertical="center" wrapText="1"/>
    </xf>
    <xf numFmtId="0" fontId="257" fillId="0" borderId="0" xfId="0" applyFont="1" applyBorder="1" applyAlignment="1">
      <alignment horizontal="left" vertical="center" wrapText="1"/>
    </xf>
    <xf numFmtId="0" fontId="257" fillId="0" borderId="112" xfId="0" applyFont="1" applyBorder="1" applyAlignment="1">
      <alignment horizontal="left" vertical="center" wrapText="1"/>
    </xf>
    <xf numFmtId="0" fontId="257" fillId="0" borderId="111" xfId="0" applyFont="1" applyBorder="1" applyAlignment="1">
      <alignment horizontal="left" vertical="center" wrapText="1"/>
    </xf>
    <xf numFmtId="0" fontId="257" fillId="0" borderId="114" xfId="0" applyFont="1" applyBorder="1" applyAlignment="1">
      <alignment horizontal="left" vertical="center" wrapText="1"/>
    </xf>
    <xf numFmtId="0" fontId="257" fillId="0" borderId="104" xfId="0" applyFont="1" applyBorder="1" applyAlignment="1">
      <alignment horizontal="left" vertical="center" wrapText="1"/>
    </xf>
    <xf numFmtId="0" fontId="30" fillId="0" borderId="0" xfId="0" applyFont="1" applyAlignment="1">
      <alignment horizontal="center"/>
    </xf>
    <xf numFmtId="165" fontId="44" fillId="0" borderId="54" xfId="2280" applyNumberFormat="1" applyFont="1" applyBorder="1" applyAlignment="1">
      <alignment horizontal="center"/>
    </xf>
    <xf numFmtId="165" fontId="263" fillId="0" borderId="56" xfId="35" applyNumberFormat="1" applyFont="1" applyBorder="1" applyAlignment="1">
      <alignment horizontal="center"/>
    </xf>
    <xf numFmtId="0" fontId="256" fillId="0" borderId="88" xfId="0" applyFont="1" applyBorder="1" applyAlignment="1">
      <alignment horizontal="center" vertical="center"/>
    </xf>
    <xf numFmtId="169" fontId="60" fillId="0" borderId="12" xfId="0" applyNumberFormat="1" applyFont="1" applyBorder="1" applyAlignment="1">
      <alignment horizontal="center"/>
    </xf>
    <xf numFmtId="169" fontId="41" fillId="0" borderId="12" xfId="0" applyNumberFormat="1" applyFont="1" applyBorder="1" applyAlignment="1">
      <alignment horizontal="center" vertical="center"/>
    </xf>
    <xf numFmtId="169" fontId="256" fillId="24" borderId="0" xfId="0" applyNumberFormat="1" applyFont="1" applyFill="1" applyBorder="1" applyAlignment="1">
      <alignment horizontal="center" vertical="center"/>
    </xf>
    <xf numFmtId="165" fontId="215" fillId="0" borderId="56" xfId="35" applyNumberFormat="1" applyFont="1" applyFill="1" applyBorder="1" applyAlignment="1">
      <alignment horizontal="center"/>
    </xf>
    <xf numFmtId="165" fontId="254" fillId="51" borderId="113" xfId="0" applyNumberFormat="1" applyFont="1" applyFill="1" applyBorder="1" applyAlignment="1">
      <alignment horizontal="center" vertical="center"/>
    </xf>
    <xf numFmtId="165" fontId="254" fillId="51" borderId="104" xfId="0" applyNumberFormat="1" applyFont="1" applyFill="1" applyBorder="1" applyAlignment="1">
      <alignment horizontal="center" vertical="center"/>
    </xf>
    <xf numFmtId="3" fontId="261" fillId="0" borderId="102" xfId="0" applyNumberFormat="1" applyFont="1" applyFill="1" applyBorder="1" applyAlignment="1">
      <alignment horizontal="center" vertical="center"/>
    </xf>
    <xf numFmtId="0" fontId="260" fillId="31" borderId="40" xfId="0" applyFont="1" applyFill="1" applyBorder="1" applyAlignment="1">
      <alignment horizontal="center" vertical="center"/>
    </xf>
    <xf numFmtId="0" fontId="255" fillId="0" borderId="0" xfId="0" applyFont="1" applyBorder="1" applyAlignment="1">
      <alignment horizontal="center" vertical="center" wrapText="1"/>
    </xf>
    <xf numFmtId="0" fontId="260" fillId="54" borderId="40" xfId="0" applyFont="1" applyFill="1" applyBorder="1" applyAlignment="1">
      <alignment horizontal="center" vertical="center"/>
    </xf>
    <xf numFmtId="0" fontId="42" fillId="0" borderId="0" xfId="0" applyFont="1" applyBorder="1" applyAlignment="1">
      <alignment horizontal="center" vertical="center" wrapText="1"/>
    </xf>
    <xf numFmtId="0" fontId="269" fillId="0" borderId="40" xfId="0" applyFont="1" applyBorder="1" applyAlignment="1">
      <alignment horizontal="center" vertical="center"/>
    </xf>
    <xf numFmtId="0" fontId="196" fillId="0" borderId="0" xfId="0" applyFont="1" applyBorder="1" applyAlignment="1">
      <alignment horizontal="center" vertical="center"/>
    </xf>
    <xf numFmtId="0" fontId="254" fillId="0" borderId="0" xfId="0" applyFont="1" applyBorder="1" applyAlignment="1">
      <alignment horizontal="center" vertical="center"/>
    </xf>
    <xf numFmtId="0" fontId="214" fillId="52" borderId="43" xfId="0" applyFont="1" applyFill="1" applyBorder="1" applyAlignment="1">
      <alignment horizontal="center" vertical="center"/>
    </xf>
    <xf numFmtId="0" fontId="248" fillId="0" borderId="36" xfId="0" applyFont="1" applyBorder="1" applyAlignment="1">
      <alignment horizontal="center" vertical="center"/>
    </xf>
    <xf numFmtId="3" fontId="248" fillId="0" borderId="36" xfId="0" applyNumberFormat="1" applyFont="1" applyBorder="1" applyAlignment="1">
      <alignment horizontal="center" vertical="center"/>
    </xf>
    <xf numFmtId="0" fontId="252" fillId="0" borderId="40" xfId="0" applyFont="1" applyBorder="1" applyAlignment="1">
      <alignment horizontal="center" vertical="center"/>
    </xf>
    <xf numFmtId="0" fontId="31" fillId="0" borderId="114" xfId="0" applyFont="1" applyBorder="1" applyAlignment="1">
      <alignment horizontal="center" vertical="center" wrapText="1"/>
    </xf>
    <xf numFmtId="0" fontId="255" fillId="0" borderId="40" xfId="0" applyFont="1" applyBorder="1" applyAlignment="1">
      <alignment horizontal="center" vertical="center"/>
    </xf>
    <xf numFmtId="0" fontId="257" fillId="0" borderId="0" xfId="0" applyFont="1" applyBorder="1" applyAlignment="1">
      <alignment horizontal="center" vertical="center" wrapText="1"/>
    </xf>
    <xf numFmtId="0" fontId="257" fillId="0" borderId="114" xfId="0" applyFont="1" applyBorder="1" applyAlignment="1">
      <alignment horizontal="center" vertical="center" wrapText="1"/>
    </xf>
    <xf numFmtId="0" fontId="30" fillId="0" borderId="0" xfId="0" applyFont="1" applyBorder="1" applyAlignment="1">
      <alignment horizontal="center"/>
    </xf>
    <xf numFmtId="0" fontId="30" fillId="0" borderId="0" xfId="0" applyFont="1" applyAlignment="1">
      <alignment horizontal="left"/>
    </xf>
    <xf numFmtId="0" fontId="256" fillId="0" borderId="35" xfId="0" applyFont="1" applyBorder="1" applyAlignment="1">
      <alignment horizontal="left" vertical="center"/>
    </xf>
    <xf numFmtId="0" fontId="248" fillId="0" borderId="42" xfId="0" applyFont="1" applyBorder="1" applyAlignment="1">
      <alignment horizontal="left" vertical="center"/>
    </xf>
    <xf numFmtId="0" fontId="248" fillId="0" borderId="87" xfId="0" applyFont="1" applyBorder="1" applyAlignment="1">
      <alignment horizontal="left" vertical="center"/>
    </xf>
    <xf numFmtId="0" fontId="248" fillId="50" borderId="87" xfId="0" applyFont="1" applyFill="1" applyBorder="1" applyAlignment="1">
      <alignment horizontal="left" vertical="center"/>
    </xf>
    <xf numFmtId="0" fontId="256" fillId="0" borderId="88" xfId="0" applyFont="1" applyBorder="1" applyAlignment="1">
      <alignment horizontal="left" vertical="center"/>
    </xf>
    <xf numFmtId="0" fontId="31" fillId="0" borderId="12" xfId="0" applyFont="1" applyBorder="1" applyAlignment="1">
      <alignment horizontal="left"/>
    </xf>
    <xf numFmtId="0" fontId="248" fillId="0" borderId="12" xfId="0" applyFont="1" applyBorder="1" applyAlignment="1">
      <alignment horizontal="left" vertical="center"/>
    </xf>
    <xf numFmtId="0" fontId="215" fillId="0" borderId="121" xfId="0" applyFont="1" applyBorder="1" applyAlignment="1">
      <alignment horizontal="left" vertical="center"/>
    </xf>
    <xf numFmtId="0" fontId="36" fillId="0" borderId="115" xfId="0" applyFont="1" applyFill="1" applyBorder="1" applyAlignment="1">
      <alignment horizontal="left" vertical="center"/>
    </xf>
    <xf numFmtId="0" fontId="248" fillId="55" borderId="87" xfId="0" applyFont="1" applyFill="1" applyBorder="1" applyAlignment="1">
      <alignment horizontal="left" vertical="center"/>
    </xf>
    <xf numFmtId="0" fontId="255" fillId="0" borderId="38" xfId="0" applyFont="1" applyBorder="1" applyAlignment="1">
      <alignment horizontal="left" vertical="center"/>
    </xf>
    <xf numFmtId="0" fontId="248" fillId="57" borderId="87" xfId="0" applyFont="1" applyFill="1" applyBorder="1" applyAlignment="1">
      <alignment horizontal="left" vertical="center"/>
    </xf>
    <xf numFmtId="0" fontId="248" fillId="57" borderId="88" xfId="0" applyFont="1" applyFill="1" applyBorder="1" applyAlignment="1">
      <alignment horizontal="left" vertical="center"/>
    </xf>
    <xf numFmtId="0" fontId="248" fillId="57" borderId="38" xfId="0" applyFont="1" applyFill="1" applyBorder="1" applyAlignment="1">
      <alignment horizontal="left" vertical="center"/>
    </xf>
    <xf numFmtId="0" fontId="248" fillId="36" borderId="87" xfId="0" applyFont="1" applyFill="1" applyBorder="1" applyAlignment="1">
      <alignment horizontal="left" vertical="center"/>
    </xf>
    <xf numFmtId="0" fontId="252" fillId="54" borderId="39" xfId="0" applyFont="1" applyFill="1" applyBorder="1" applyAlignment="1">
      <alignment horizontal="left" vertical="center"/>
    </xf>
    <xf numFmtId="0" fontId="248" fillId="52" borderId="35" xfId="0" applyFont="1" applyFill="1" applyBorder="1" applyAlignment="1">
      <alignment horizontal="left" vertical="center"/>
    </xf>
    <xf numFmtId="0" fontId="248" fillId="58" borderId="42" xfId="0" applyFont="1" applyFill="1" applyBorder="1" applyAlignment="1">
      <alignment horizontal="left" vertical="center"/>
    </xf>
    <xf numFmtId="0" fontId="248" fillId="58" borderId="73" xfId="0" applyFont="1" applyFill="1" applyBorder="1" applyAlignment="1">
      <alignment horizontal="left" vertical="center"/>
    </xf>
    <xf numFmtId="0" fontId="248" fillId="0" borderId="73" xfId="0" applyFont="1" applyBorder="1" applyAlignment="1">
      <alignment horizontal="left" vertical="center"/>
    </xf>
    <xf numFmtId="0" fontId="268" fillId="0" borderId="39" xfId="0" applyFont="1" applyBorder="1" applyAlignment="1">
      <alignment horizontal="left" vertical="center"/>
    </xf>
    <xf numFmtId="0" fontId="31" fillId="0" borderId="73" xfId="0" applyFont="1" applyBorder="1" applyAlignment="1">
      <alignment horizontal="left" vertical="center"/>
    </xf>
    <xf numFmtId="0" fontId="248" fillId="0" borderId="0" xfId="0" applyFont="1" applyAlignment="1">
      <alignment horizontal="left" vertical="center"/>
    </xf>
    <xf numFmtId="0" fontId="31" fillId="0" borderId="0" xfId="0" applyFont="1" applyAlignment="1">
      <alignment horizontal="left" vertical="center"/>
    </xf>
    <xf numFmtId="0" fontId="252" fillId="0" borderId="39" xfId="0" applyFont="1" applyBorder="1" applyAlignment="1">
      <alignment horizontal="left" vertical="center"/>
    </xf>
    <xf numFmtId="0" fontId="248" fillId="52" borderId="118" xfId="0" applyFont="1" applyFill="1" applyBorder="1" applyAlignment="1">
      <alignment horizontal="left" vertical="center"/>
    </xf>
    <xf numFmtId="0" fontId="255" fillId="0" borderId="39" xfId="0" applyFont="1" applyBorder="1" applyAlignment="1">
      <alignment horizontal="left" vertical="center"/>
    </xf>
    <xf numFmtId="169" fontId="248" fillId="0" borderId="35" xfId="0" applyNumberFormat="1" applyFont="1" applyBorder="1" applyAlignment="1">
      <alignment horizontal="center" vertical="center"/>
    </xf>
    <xf numFmtId="169" fontId="248" fillId="0" borderId="105" xfId="0" applyNumberFormat="1" applyFont="1" applyBorder="1" applyAlignment="1">
      <alignment horizontal="center" vertical="center"/>
    </xf>
    <xf numFmtId="182" fontId="248" fillId="0" borderId="35" xfId="0" applyNumberFormat="1" applyFont="1" applyBorder="1" applyAlignment="1">
      <alignment horizontal="center" vertical="center"/>
    </xf>
    <xf numFmtId="182" fontId="248" fillId="0" borderId="105" xfId="0" applyNumberFormat="1" applyFont="1" applyBorder="1" applyAlignment="1">
      <alignment horizontal="center" vertical="center"/>
    </xf>
    <xf numFmtId="181" fontId="248" fillId="0" borderId="35" xfId="0" applyNumberFormat="1" applyFont="1" applyBorder="1" applyAlignment="1">
      <alignment horizontal="center" vertical="center"/>
    </xf>
    <xf numFmtId="181" fontId="248" fillId="0" borderId="105" xfId="0" applyNumberFormat="1" applyFont="1" applyBorder="1" applyAlignment="1">
      <alignment horizontal="center" vertical="center"/>
    </xf>
    <xf numFmtId="0" fontId="248" fillId="0" borderId="0" xfId="0" applyFont="1" applyAlignment="1">
      <alignment vertical="center"/>
    </xf>
    <xf numFmtId="0" fontId="42" fillId="0" borderId="0" xfId="0" applyFont="1" applyBorder="1" applyAlignment="1">
      <alignment horizontal="left" vertical="center" wrapText="1"/>
    </xf>
    <xf numFmtId="0" fontId="259" fillId="54" borderId="115" xfId="0" applyFont="1" applyFill="1" applyBorder="1" applyAlignment="1">
      <alignment horizontal="center" vertical="center"/>
    </xf>
    <xf numFmtId="0" fontId="259" fillId="54" borderId="116" xfId="0" applyFont="1" applyFill="1" applyBorder="1" applyAlignment="1">
      <alignment horizontal="center" vertical="center"/>
    </xf>
    <xf numFmtId="0" fontId="259" fillId="54" borderId="117" xfId="0" applyFont="1" applyFill="1" applyBorder="1" applyAlignment="1">
      <alignment horizontal="center" vertical="center"/>
    </xf>
    <xf numFmtId="0" fontId="248" fillId="52" borderId="121" xfId="0" applyFont="1" applyFill="1" applyBorder="1" applyAlignment="1">
      <alignment horizontal="center" vertical="center"/>
    </xf>
    <xf numFmtId="0" fontId="248" fillId="52" borderId="122" xfId="0" applyFont="1" applyFill="1" applyBorder="1" applyAlignment="1">
      <alignment horizontal="center" vertical="center"/>
    </xf>
    <xf numFmtId="0" fontId="248" fillId="52" borderId="102" xfId="0" applyFont="1" applyFill="1" applyBorder="1" applyAlignment="1">
      <alignment horizontal="center" vertical="center"/>
    </xf>
    <xf numFmtId="0" fontId="248" fillId="52" borderId="35" xfId="0" applyFont="1" applyFill="1" applyBorder="1" applyAlignment="1">
      <alignment horizontal="center" vertical="center"/>
    </xf>
    <xf numFmtId="0" fontId="248" fillId="52" borderId="36" xfId="0" applyFont="1" applyFill="1" applyBorder="1" applyAlignment="1">
      <alignment horizontal="center" vertical="center"/>
    </xf>
    <xf numFmtId="0" fontId="248" fillId="52" borderId="37" xfId="0" applyFont="1" applyFill="1" applyBorder="1" applyAlignment="1">
      <alignment horizontal="center" vertical="center"/>
    </xf>
    <xf numFmtId="0" fontId="248" fillId="0" borderId="48" xfId="0" applyFont="1" applyBorder="1" applyAlignment="1">
      <alignment horizontal="center" vertical="center"/>
    </xf>
    <xf numFmtId="0" fontId="248" fillId="0" borderId="87" xfId="0" applyFont="1" applyBorder="1" applyAlignment="1">
      <alignment horizontal="center" vertical="center"/>
    </xf>
    <xf numFmtId="0" fontId="248" fillId="56" borderId="48" xfId="0" applyFont="1" applyFill="1" applyBorder="1" applyAlignment="1">
      <alignment horizontal="left" vertical="center"/>
    </xf>
    <xf numFmtId="0" fontId="248" fillId="56" borderId="100" xfId="0" applyFont="1" applyFill="1" applyBorder="1" applyAlignment="1">
      <alignment horizontal="left" vertical="center"/>
    </xf>
    <xf numFmtId="3" fontId="36" fillId="0" borderId="122" xfId="0" applyNumberFormat="1" applyFont="1" applyFill="1" applyBorder="1" applyAlignment="1">
      <alignment horizontal="center" vertical="center"/>
    </xf>
    <xf numFmtId="3" fontId="36" fillId="0" borderId="102" xfId="0" applyNumberFormat="1" applyFont="1" applyFill="1" applyBorder="1" applyAlignment="1">
      <alignment horizontal="center" vertical="center"/>
    </xf>
    <xf numFmtId="0" fontId="36" fillId="0" borderId="43" xfId="0" applyFont="1" applyBorder="1" applyAlignment="1">
      <alignment horizontal="center" vertical="center"/>
    </xf>
    <xf numFmtId="0" fontId="248" fillId="0" borderId="48" xfId="0" applyFont="1" applyBorder="1" applyAlignment="1">
      <alignment horizontal="left" vertical="center"/>
    </xf>
    <xf numFmtId="0" fontId="259" fillId="52" borderId="39" xfId="0" applyFont="1" applyFill="1" applyBorder="1" applyAlignment="1">
      <alignment horizontal="center" vertical="center"/>
    </xf>
    <xf numFmtId="0" fontId="259" fillId="52" borderId="40" xfId="0" applyFont="1" applyFill="1" applyBorder="1" applyAlignment="1">
      <alignment horizontal="center" vertical="center"/>
    </xf>
    <xf numFmtId="0" fontId="259" fillId="52" borderId="111" xfId="0" applyFont="1" applyFill="1" applyBorder="1" applyAlignment="1">
      <alignment horizontal="center" vertical="center"/>
    </xf>
    <xf numFmtId="0" fontId="259" fillId="52" borderId="114" xfId="0" applyFont="1" applyFill="1" applyBorder="1" applyAlignment="1">
      <alignment horizontal="center" vertical="center"/>
    </xf>
    <xf numFmtId="0" fontId="259" fillId="52" borderId="73" xfId="0" applyFont="1" applyFill="1" applyBorder="1" applyAlignment="1">
      <alignment horizontal="center" vertical="center"/>
    </xf>
    <xf numFmtId="0" fontId="259" fillId="52" borderId="0" xfId="0" applyFont="1" applyFill="1" applyBorder="1" applyAlignment="1">
      <alignment horizontal="center" vertical="center"/>
    </xf>
    <xf numFmtId="0" fontId="259" fillId="52" borderId="112" xfId="0" applyFont="1" applyFill="1" applyBorder="1" applyAlignment="1">
      <alignment horizontal="center" vertical="center"/>
    </xf>
    <xf numFmtId="0" fontId="256" fillId="0" borderId="48" xfId="0" applyFont="1" applyBorder="1" applyAlignment="1">
      <alignment horizontal="left" vertical="center"/>
    </xf>
    <xf numFmtId="0" fontId="256" fillId="0" borderId="100" xfId="0" applyFont="1" applyBorder="1" applyAlignment="1">
      <alignment horizontal="left" vertical="center"/>
    </xf>
    <xf numFmtId="0" fontId="215" fillId="0" borderId="121" xfId="0" applyFont="1" applyBorder="1" applyAlignment="1">
      <alignment horizontal="center" vertical="center"/>
    </xf>
    <xf numFmtId="0" fontId="215" fillId="0" borderId="122" xfId="0" applyFont="1" applyBorder="1" applyAlignment="1">
      <alignment horizontal="center" vertical="center"/>
    </xf>
    <xf numFmtId="3" fontId="261" fillId="53" borderId="102" xfId="0" applyNumberFormat="1" applyFont="1" applyFill="1" applyBorder="1" applyAlignment="1">
      <alignment horizontal="center" vertical="center"/>
    </xf>
    <xf numFmtId="3" fontId="261" fillId="53" borderId="102" xfId="0" applyNumberFormat="1" applyFont="1" applyFill="1" applyBorder="1" applyAlignment="1">
      <alignment horizontal="right"/>
    </xf>
    <xf numFmtId="0" fontId="60" fillId="0" borderId="11" xfId="0" applyFont="1" applyBorder="1" applyAlignment="1">
      <alignment horizontal="center"/>
    </xf>
    <xf numFmtId="0" fontId="60" fillId="0" borderId="22" xfId="0" applyFont="1" applyBorder="1" applyAlignment="1">
      <alignment horizontal="center"/>
    </xf>
    <xf numFmtId="0" fontId="60" fillId="0" borderId="22" xfId="0" applyFont="1" applyBorder="1" applyAlignment="1">
      <alignment horizontal="center" vertical="center"/>
    </xf>
    <xf numFmtId="0" fontId="60" fillId="0" borderId="12" xfId="0" applyFont="1" applyBorder="1" applyAlignment="1">
      <alignment horizontal="center" vertical="center"/>
    </xf>
    <xf numFmtId="0" fontId="0" fillId="61" borderId="0" xfId="0" applyFill="1"/>
    <xf numFmtId="0" fontId="274" fillId="31" borderId="12" xfId="0" applyFont="1" applyFill="1" applyBorder="1" applyAlignment="1">
      <alignment horizontal="left"/>
    </xf>
    <xf numFmtId="3" fontId="206" fillId="31" borderId="12" xfId="35" applyNumberFormat="1" applyFont="1" applyFill="1" applyBorder="1" applyAlignment="1" applyProtection="1">
      <alignment horizontal="center" vertical="center"/>
      <protection locked="0"/>
    </xf>
    <xf numFmtId="164" fontId="274" fillId="31" borderId="24" xfId="35" applyFont="1" applyFill="1" applyBorder="1" applyProtection="1">
      <protection locked="0"/>
    </xf>
    <xf numFmtId="164" fontId="206" fillId="31" borderId="10" xfId="35" applyFont="1" applyFill="1" applyBorder="1" applyProtection="1">
      <protection locked="0"/>
    </xf>
    <xf numFmtId="165" fontId="226" fillId="31" borderId="24" xfId="35" applyNumberFormat="1" applyFont="1" applyFill="1" applyBorder="1" applyAlignment="1" applyProtection="1">
      <alignment horizontal="center" vertical="center"/>
      <protection locked="0"/>
    </xf>
    <xf numFmtId="3" fontId="206" fillId="31" borderId="12" xfId="0" applyNumberFormat="1" applyFont="1" applyFill="1" applyBorder="1" applyAlignment="1">
      <alignment horizontal="center"/>
    </xf>
    <xf numFmtId="3" fontId="206" fillId="31" borderId="24" xfId="0" applyNumberFormat="1" applyFont="1" applyFill="1" applyBorder="1" applyAlignment="1">
      <alignment horizontal="center"/>
    </xf>
    <xf numFmtId="164" fontId="274" fillId="31" borderId="12" xfId="35" applyFont="1" applyFill="1" applyBorder="1" applyProtection="1">
      <protection locked="0"/>
    </xf>
    <xf numFmtId="0" fontId="286" fillId="31" borderId="10" xfId="0" applyFont="1" applyFill="1" applyBorder="1" applyAlignment="1">
      <alignment horizontal="center"/>
    </xf>
    <xf numFmtId="0" fontId="287" fillId="31" borderId="12" xfId="0" applyFont="1" applyFill="1" applyBorder="1" applyAlignment="1">
      <alignment horizontal="left"/>
    </xf>
    <xf numFmtId="165" fontId="287" fillId="31" borderId="24" xfId="35" applyNumberFormat="1" applyFont="1" applyFill="1" applyBorder="1" applyAlignment="1" applyProtection="1">
      <alignment vertical="center"/>
      <protection locked="0"/>
    </xf>
    <xf numFmtId="3" fontId="206" fillId="31" borderId="24" xfId="35" applyNumberFormat="1" applyFont="1" applyFill="1" applyBorder="1" applyAlignment="1" applyProtection="1">
      <alignment horizontal="center" vertical="center"/>
      <protection locked="0"/>
    </xf>
    <xf numFmtId="165" fontId="287" fillId="31" borderId="24" xfId="35" applyNumberFormat="1" applyFont="1" applyFill="1" applyBorder="1" applyAlignment="1" applyProtection="1">
      <alignment horizontal="center" vertical="center"/>
      <protection locked="0"/>
    </xf>
    <xf numFmtId="0" fontId="288" fillId="0" borderId="0" xfId="0" applyFont="1" applyAlignment="1">
      <alignment horizontal="left"/>
    </xf>
    <xf numFmtId="3" fontId="33" fillId="34" borderId="12" xfId="35" applyNumberFormat="1" applyFont="1" applyFill="1" applyBorder="1" applyAlignment="1">
      <alignment horizontal="center" vertical="center"/>
    </xf>
    <xf numFmtId="3" fontId="37" fillId="34" borderId="12" xfId="0" applyNumberFormat="1" applyFont="1" applyFill="1" applyBorder="1" applyAlignment="1">
      <alignment horizontal="center"/>
    </xf>
    <xf numFmtId="3" fontId="37" fillId="34" borderId="12" xfId="0" applyNumberFormat="1" applyFont="1" applyFill="1" applyBorder="1" applyAlignment="1">
      <alignment horizontal="center" vertical="center"/>
    </xf>
    <xf numFmtId="3" fontId="37" fillId="34" borderId="12" xfId="35" applyNumberFormat="1" applyFont="1" applyFill="1" applyBorder="1" applyAlignment="1">
      <alignment horizontal="center"/>
    </xf>
    <xf numFmtId="0" fontId="275" fillId="31" borderId="12" xfId="0" applyFont="1" applyFill="1" applyBorder="1" applyAlignment="1">
      <alignment horizontal="left"/>
    </xf>
    <xf numFmtId="0" fontId="39" fillId="0" borderId="0" xfId="0" applyFont="1" applyAlignment="1">
      <alignment horizontal="left"/>
    </xf>
    <xf numFmtId="164" fontId="276" fillId="31" borderId="12" xfId="35" applyFont="1" applyFill="1" applyBorder="1" applyAlignment="1" applyProtection="1">
      <alignment horizontal="center" vertical="center"/>
      <protection locked="0"/>
    </xf>
    <xf numFmtId="169" fontId="96" fillId="24" borderId="0" xfId="0" applyNumberFormat="1" applyFont="1" applyFill="1"/>
    <xf numFmtId="165" fontId="275" fillId="31" borderId="24" xfId="35" applyNumberFormat="1" applyFont="1" applyFill="1" applyBorder="1" applyAlignment="1">
      <alignment horizontal="center"/>
    </xf>
    <xf numFmtId="3" fontId="275" fillId="31" borderId="24" xfId="0" applyNumberFormat="1" applyFont="1" applyFill="1" applyBorder="1" applyAlignment="1">
      <alignment horizontal="center"/>
    </xf>
    <xf numFmtId="3" fontId="226" fillId="31" borderId="12" xfId="0" applyNumberFormat="1" applyFont="1" applyFill="1" applyBorder="1" applyAlignment="1">
      <alignment horizontal="center"/>
    </xf>
    <xf numFmtId="0" fontId="196" fillId="0" borderId="72" xfId="0" applyFont="1" applyBorder="1" applyAlignment="1">
      <alignment horizontal="left" vertical="center" wrapText="1"/>
    </xf>
    <xf numFmtId="14" fontId="58" fillId="0" borderId="22" xfId="0" applyNumberFormat="1" applyFont="1" applyBorder="1" applyAlignment="1">
      <alignment horizontal="center" vertical="center"/>
    </xf>
    <xf numFmtId="3" fontId="38" fillId="31" borderId="10" xfId="0" applyNumberFormat="1" applyFont="1" applyFill="1" applyBorder="1" applyProtection="1">
      <protection locked="0"/>
    </xf>
    <xf numFmtId="0" fontId="290" fillId="0" borderId="87" xfId="0" applyFont="1" applyBorder="1" applyAlignment="1">
      <alignment horizontal="left" vertical="center"/>
    </xf>
    <xf numFmtId="170" fontId="52" fillId="0" borderId="109" xfId="0" applyNumberFormat="1" applyFont="1" applyBorder="1"/>
    <xf numFmtId="4" fontId="30" fillId="0" borderId="0" xfId="0" applyNumberFormat="1" applyFont="1" applyFill="1" applyBorder="1" applyAlignment="1">
      <alignment horizontal="center"/>
    </xf>
    <xf numFmtId="0" fontId="248" fillId="0" borderId="0" xfId="0" applyFont="1" applyBorder="1" applyAlignment="1">
      <alignment horizontal="center" vertical="center"/>
    </xf>
    <xf numFmtId="169" fontId="248" fillId="0" borderId="41" xfId="0" applyNumberFormat="1" applyFont="1" applyBorder="1" applyAlignment="1">
      <alignment horizontal="center" vertical="center"/>
    </xf>
    <xf numFmtId="165" fontId="280" fillId="59" borderId="12" xfId="35" applyNumberFormat="1" applyFont="1" applyFill="1" applyBorder="1"/>
    <xf numFmtId="0" fontId="58" fillId="0" borderId="0" xfId="0" applyFont="1" applyBorder="1" applyAlignment="1">
      <alignment horizontal="center" vertical="center"/>
    </xf>
    <xf numFmtId="0" fontId="58" fillId="0" borderId="12" xfId="0" applyFont="1" applyBorder="1" applyAlignment="1">
      <alignment horizontal="center"/>
    </xf>
    <xf numFmtId="0" fontId="9" fillId="0" borderId="13" xfId="0" applyFont="1" applyBorder="1"/>
    <xf numFmtId="0" fontId="9" fillId="0" borderId="15" xfId="0" applyFont="1" applyBorder="1"/>
    <xf numFmtId="0" fontId="9" fillId="0" borderId="18" xfId="0" applyFont="1" applyBorder="1"/>
    <xf numFmtId="0" fontId="45" fillId="0" borderId="18" xfId="0" applyFont="1" applyBorder="1"/>
    <xf numFmtId="0" fontId="45" fillId="0" borderId="22" xfId="0" applyFont="1" applyBorder="1"/>
    <xf numFmtId="0" fontId="9" fillId="0" borderId="22" xfId="0" applyFont="1" applyBorder="1"/>
    <xf numFmtId="0" fontId="139" fillId="0" borderId="12" xfId="0" applyFont="1" applyBorder="1" applyAlignment="1">
      <alignment vertical="center" wrapText="1"/>
    </xf>
    <xf numFmtId="0" fontId="39" fillId="0" borderId="0" xfId="0" applyFont="1" applyBorder="1" applyAlignment="1">
      <alignment horizontal="left"/>
    </xf>
    <xf numFmtId="170" fontId="41" fillId="0" borderId="53" xfId="2126" applyNumberFormat="1" applyFont="1" applyBorder="1"/>
    <xf numFmtId="165" fontId="214" fillId="0" borderId="0" xfId="1418" applyNumberFormat="1" applyFont="1"/>
    <xf numFmtId="0" fontId="56" fillId="0" borderId="13" xfId="0" applyFont="1" applyBorder="1"/>
    <xf numFmtId="0" fontId="58" fillId="0" borderId="14" xfId="0" applyFont="1" applyBorder="1"/>
    <xf numFmtId="0" fontId="58" fillId="0" borderId="21" xfId="0" applyFont="1" applyBorder="1"/>
    <xf numFmtId="0" fontId="58" fillId="0" borderId="13" xfId="0" applyFont="1" applyBorder="1"/>
    <xf numFmtId="0" fontId="60" fillId="0" borderId="52" xfId="0" applyFont="1" applyBorder="1" applyAlignment="1"/>
    <xf numFmtId="165" fontId="280" fillId="0" borderId="12" xfId="35" applyNumberFormat="1" applyFont="1" applyBorder="1"/>
    <xf numFmtId="165" fontId="33" fillId="40" borderId="12" xfId="35" applyNumberFormat="1" applyFont="1" applyFill="1" applyBorder="1"/>
    <xf numFmtId="14" fontId="33" fillId="37" borderId="12" xfId="0" applyNumberFormat="1" applyFont="1" applyFill="1" applyBorder="1"/>
    <xf numFmtId="0" fontId="33" fillId="37" borderId="12" xfId="0" applyFont="1" applyFill="1" applyBorder="1"/>
    <xf numFmtId="165" fontId="33" fillId="37" borderId="12" xfId="35" applyNumberFormat="1" applyFont="1" applyFill="1" applyBorder="1"/>
    <xf numFmtId="0" fontId="291" fillId="0" borderId="39" xfId="0" applyFont="1" applyBorder="1" applyAlignment="1">
      <alignment horizontal="left" vertical="center"/>
    </xf>
    <xf numFmtId="0" fontId="294" fillId="0" borderId="73" xfId="0" applyFont="1" applyBorder="1" applyAlignment="1">
      <alignment horizontal="left" vertical="center"/>
    </xf>
    <xf numFmtId="14" fontId="33" fillId="0" borderId="12" xfId="0" applyNumberFormat="1" applyFont="1" applyFill="1" applyBorder="1"/>
    <xf numFmtId="0" fontId="33" fillId="0" borderId="12" xfId="0" applyFont="1" applyFill="1" applyBorder="1"/>
    <xf numFmtId="165" fontId="33" fillId="60" borderId="12" xfId="35" applyNumberFormat="1" applyFont="1" applyFill="1" applyBorder="1"/>
    <xf numFmtId="164" fontId="30" fillId="0" borderId="29" xfId="35" applyFont="1" applyBorder="1" applyAlignment="1">
      <alignment horizontal="center"/>
    </xf>
    <xf numFmtId="0" fontId="298" fillId="0" borderId="0" xfId="0" applyFont="1" applyBorder="1" applyAlignment="1">
      <alignment vertical="center"/>
    </xf>
    <xf numFmtId="2" fontId="104" fillId="0" borderId="12" xfId="0" applyNumberFormat="1" applyFont="1" applyFill="1" applyBorder="1" applyAlignment="1">
      <alignment horizontal="center"/>
    </xf>
    <xf numFmtId="14" fontId="33" fillId="40" borderId="12" xfId="0" applyNumberFormat="1" applyFont="1" applyFill="1" applyBorder="1"/>
    <xf numFmtId="0" fontId="33" fillId="40" borderId="12" xfId="0" applyFont="1" applyFill="1" applyBorder="1"/>
    <xf numFmtId="165" fontId="254" fillId="31" borderId="24" xfId="35" applyNumberFormat="1" applyFont="1" applyFill="1" applyBorder="1" applyAlignment="1" applyProtection="1">
      <alignment horizontal="center" vertical="center"/>
      <protection locked="0"/>
    </xf>
    <xf numFmtId="165" fontId="196" fillId="31" borderId="12" xfId="35" applyNumberFormat="1" applyFont="1" applyFill="1" applyBorder="1" applyAlignment="1" applyProtection="1">
      <alignment horizontal="center" vertical="center"/>
      <protection locked="0"/>
    </xf>
    <xf numFmtId="3" fontId="44" fillId="0" borderId="56" xfId="35" applyNumberFormat="1" applyFont="1" applyBorder="1"/>
    <xf numFmtId="0" fontId="33" fillId="0" borderId="10" xfId="0" applyFont="1" applyBorder="1"/>
    <xf numFmtId="165" fontId="33" fillId="0" borderId="10" xfId="35" applyNumberFormat="1" applyFont="1" applyBorder="1"/>
    <xf numFmtId="3" fontId="44" fillId="0" borderId="10" xfId="35" applyNumberFormat="1" applyFont="1" applyBorder="1"/>
    <xf numFmtId="3" fontId="58" fillId="0" borderId="56" xfId="35" applyNumberFormat="1" applyFont="1" applyBorder="1"/>
    <xf numFmtId="3" fontId="58" fillId="0" borderId="10" xfId="35" applyNumberFormat="1" applyFont="1" applyBorder="1"/>
    <xf numFmtId="3" fontId="44" fillId="40" borderId="10" xfId="35" applyNumberFormat="1" applyFont="1" applyFill="1" applyBorder="1"/>
    <xf numFmtId="0" fontId="188" fillId="0" borderId="87" xfId="0" applyFont="1" applyBorder="1" applyAlignment="1">
      <alignment horizontal="center" vertical="center" wrapText="1"/>
    </xf>
    <xf numFmtId="0" fontId="188" fillId="0" borderId="44" xfId="0" applyFont="1" applyBorder="1" applyAlignment="1">
      <alignment horizontal="center" vertical="center" wrapText="1"/>
    </xf>
    <xf numFmtId="0" fontId="81" fillId="0" borderId="38" xfId="0" applyFont="1" applyBorder="1" applyAlignment="1">
      <alignment horizontal="center" vertical="center" wrapText="1"/>
    </xf>
    <xf numFmtId="0" fontId="190" fillId="0" borderId="37" xfId="0" applyFont="1" applyBorder="1" applyAlignment="1">
      <alignment horizontal="center" vertical="center" wrapText="1"/>
    </xf>
    <xf numFmtId="0" fontId="190" fillId="0" borderId="87" xfId="0" applyFont="1" applyBorder="1" applyAlignment="1">
      <alignment horizontal="center" vertical="center" wrapText="1"/>
    </xf>
    <xf numFmtId="3" fontId="299" fillId="31" borderId="12" xfId="0" applyNumberFormat="1" applyFont="1" applyFill="1" applyBorder="1" applyAlignment="1">
      <alignment horizontal="left"/>
    </xf>
    <xf numFmtId="0" fontId="96" fillId="0" borderId="0" xfId="0" applyFont="1" applyBorder="1"/>
    <xf numFmtId="165" fontId="58" fillId="0" borderId="0" xfId="0" applyNumberFormat="1" applyFont="1" applyBorder="1"/>
    <xf numFmtId="3" fontId="44" fillId="0" borderId="12" xfId="35" applyNumberFormat="1" applyFont="1" applyBorder="1"/>
    <xf numFmtId="3" fontId="44" fillId="40" borderId="12" xfId="35" applyNumberFormat="1" applyFont="1" applyFill="1" applyBorder="1"/>
    <xf numFmtId="0" fontId="300" fillId="0" borderId="0" xfId="0" applyFont="1" applyBorder="1" applyAlignment="1">
      <alignment vertical="center" wrapText="1"/>
    </xf>
    <xf numFmtId="0" fontId="300" fillId="0" borderId="112" xfId="0" applyFont="1" applyBorder="1" applyAlignment="1">
      <alignment vertical="center" wrapText="1"/>
    </xf>
    <xf numFmtId="0" fontId="301" fillId="0" borderId="73" xfId="0" applyFont="1" applyBorder="1" applyAlignment="1">
      <alignment horizontal="left" vertical="center" wrapText="1"/>
    </xf>
    <xf numFmtId="14" fontId="56" fillId="0" borderId="12" xfId="1195" applyNumberFormat="1" applyFont="1" applyFill="1" applyBorder="1" applyAlignment="1">
      <alignment horizontal="center" vertical="center"/>
    </xf>
    <xf numFmtId="0" fontId="295" fillId="0" borderId="12" xfId="2126" applyNumberFormat="1" applyFont="1" applyFill="1" applyBorder="1" applyAlignment="1">
      <alignment horizontal="center" vertical="center"/>
    </xf>
    <xf numFmtId="166" fontId="295" fillId="31" borderId="12" xfId="35" applyNumberFormat="1" applyFont="1" applyFill="1" applyBorder="1" applyAlignment="1">
      <alignment horizontal="center" vertical="center"/>
    </xf>
    <xf numFmtId="166" fontId="32" fillId="31" borderId="12" xfId="35" applyNumberFormat="1" applyFont="1" applyFill="1" applyBorder="1" applyAlignment="1">
      <alignment horizontal="center" vertical="center"/>
    </xf>
    <xf numFmtId="166" fontId="138" fillId="0" borderId="12" xfId="35" applyNumberFormat="1" applyFont="1" applyFill="1" applyBorder="1" applyAlignment="1">
      <alignment horizontal="center" vertical="center"/>
    </xf>
    <xf numFmtId="166" fontId="138" fillId="24" borderId="12" xfId="35" applyNumberFormat="1" applyFont="1" applyFill="1" applyBorder="1" applyAlignment="1">
      <alignment horizontal="center" vertical="center"/>
    </xf>
    <xf numFmtId="0" fontId="205" fillId="0" borderId="0" xfId="0" applyFont="1" applyBorder="1" applyAlignment="1">
      <alignment horizontal="left" vertical="center"/>
    </xf>
    <xf numFmtId="0" fontId="205" fillId="0" borderId="0" xfId="0" applyFont="1" applyBorder="1" applyAlignment="1">
      <alignment vertical="center"/>
    </xf>
    <xf numFmtId="3" fontId="297" fillId="53" borderId="122" xfId="0" applyNumberFormat="1" applyFont="1" applyFill="1" applyBorder="1" applyAlignment="1">
      <alignment horizontal="right" vertical="center" wrapText="1"/>
    </xf>
    <xf numFmtId="0" fontId="165" fillId="0" borderId="62" xfId="0" applyFont="1" applyBorder="1" applyAlignment="1">
      <alignment horizontal="center"/>
    </xf>
    <xf numFmtId="0" fontId="165" fillId="0" borderId="60" xfId="0" applyFont="1" applyBorder="1" applyAlignment="1">
      <alignment horizontal="center"/>
    </xf>
    <xf numFmtId="0" fontId="165" fillId="0" borderId="0" xfId="0" applyFont="1" applyAlignment="1">
      <alignment horizontal="center"/>
    </xf>
    <xf numFmtId="0" fontId="32" fillId="0" borderId="39" xfId="0" applyFont="1" applyBorder="1"/>
    <xf numFmtId="0" fontId="56" fillId="0" borderId="41" xfId="0" applyFont="1" applyBorder="1"/>
    <xf numFmtId="0" fontId="32" fillId="0" borderId="73" xfId="0" applyFont="1" applyBorder="1"/>
    <xf numFmtId="0" fontId="56" fillId="0" borderId="72" xfId="0" applyFont="1" applyBorder="1"/>
    <xf numFmtId="0" fontId="32" fillId="0" borderId="42" xfId="0" applyFont="1" applyBorder="1"/>
    <xf numFmtId="0" fontId="165" fillId="0" borderId="41" xfId="0" applyFont="1" applyBorder="1"/>
    <xf numFmtId="0" fontId="58" fillId="0" borderId="44" xfId="0" applyFont="1" applyBorder="1"/>
    <xf numFmtId="0" fontId="95" fillId="0" borderId="0" xfId="0" applyFont="1" applyAlignment="1">
      <alignment horizontal="center"/>
    </xf>
    <xf numFmtId="0" fontId="302" fillId="0" borderId="0" xfId="0" applyFont="1" applyAlignment="1">
      <alignment horizontal="center"/>
    </xf>
    <xf numFmtId="0" fontId="304" fillId="0" borderId="0" xfId="0" applyFont="1" applyAlignment="1">
      <alignment horizontal="center"/>
    </xf>
    <xf numFmtId="0" fontId="165" fillId="0" borderId="62" xfId="0" applyFont="1" applyBorder="1" applyAlignment="1">
      <alignment horizontal="center" vertical="center"/>
    </xf>
    <xf numFmtId="165" fontId="165" fillId="0" borderId="62" xfId="35" applyNumberFormat="1" applyFont="1" applyBorder="1" applyAlignment="1">
      <alignment horizontal="center" vertical="center"/>
    </xf>
    <xf numFmtId="0" fontId="264" fillId="0" borderId="73" xfId="0" applyFont="1" applyBorder="1" applyAlignment="1">
      <alignment horizontal="left" vertical="center"/>
    </xf>
    <xf numFmtId="165" fontId="110" fillId="0" borderId="0" xfId="0" applyNumberFormat="1" applyFont="1"/>
    <xf numFmtId="0" fontId="56" fillId="0" borderId="0" xfId="0" applyFont="1" applyAlignment="1">
      <alignment horizontal="center"/>
    </xf>
    <xf numFmtId="14" fontId="280" fillId="61" borderId="12" xfId="0" applyNumberFormat="1" applyFont="1" applyFill="1" applyBorder="1"/>
    <xf numFmtId="3" fontId="171" fillId="61" borderId="12" xfId="35" applyNumberFormat="1" applyFont="1" applyFill="1" applyBorder="1"/>
    <xf numFmtId="165" fontId="280" fillId="61" borderId="12" xfId="35" applyNumberFormat="1" applyFont="1" applyFill="1" applyBorder="1"/>
    <xf numFmtId="165" fontId="36" fillId="0" borderId="0" xfId="35" applyNumberFormat="1" applyFont="1" applyFill="1"/>
    <xf numFmtId="3" fontId="36" fillId="0" borderId="0" xfId="0" applyNumberFormat="1" applyFont="1" applyFill="1" applyBorder="1"/>
    <xf numFmtId="3" fontId="41" fillId="0" borderId="0" xfId="0" applyNumberFormat="1" applyFont="1" applyFill="1" applyBorder="1"/>
    <xf numFmtId="0" fontId="183" fillId="0" borderId="12" xfId="35" applyNumberFormat="1" applyFont="1" applyFill="1" applyBorder="1" applyAlignment="1">
      <alignment horizontal="center" vertical="center"/>
    </xf>
    <xf numFmtId="0" fontId="45" fillId="0" borderId="12" xfId="0" applyNumberFormat="1" applyFont="1" applyFill="1" applyBorder="1" applyAlignment="1">
      <alignment horizontal="center" vertical="center"/>
    </xf>
    <xf numFmtId="0" fontId="184" fillId="0" borderId="12" xfId="0" applyNumberFormat="1" applyFont="1" applyFill="1" applyBorder="1" applyAlignment="1">
      <alignment horizontal="center" vertical="center"/>
    </xf>
    <xf numFmtId="166" fontId="305" fillId="0" borderId="12" xfId="35" applyNumberFormat="1" applyFont="1" applyFill="1" applyBorder="1" applyAlignment="1">
      <alignment horizontal="center" vertical="center"/>
    </xf>
    <xf numFmtId="183" fontId="307" fillId="0" borderId="0" xfId="2287" applyNumberFormat="1" applyFont="1" applyFill="1" applyBorder="1" applyAlignment="1" applyProtection="1">
      <alignment horizontal="right" vertical="top"/>
    </xf>
    <xf numFmtId="3" fontId="44" fillId="61" borderId="12" xfId="35" applyNumberFormat="1" applyFont="1" applyFill="1" applyBorder="1"/>
    <xf numFmtId="3" fontId="249" fillId="31" borderId="12" xfId="0" applyNumberFormat="1" applyFont="1" applyFill="1" applyBorder="1" applyAlignment="1" applyProtection="1">
      <alignment horizontal="center" vertical="center"/>
      <protection locked="0"/>
    </xf>
    <xf numFmtId="3" fontId="280" fillId="31" borderId="12" xfId="0" applyNumberFormat="1" applyFont="1" applyFill="1" applyBorder="1" applyAlignment="1" applyProtection="1">
      <alignment horizontal="center" vertical="center"/>
      <protection locked="0"/>
    </xf>
    <xf numFmtId="0" fontId="287" fillId="0" borderId="0" xfId="0" applyFont="1"/>
    <xf numFmtId="0" fontId="310" fillId="0" borderId="0" xfId="1195" applyFont="1" applyFill="1"/>
    <xf numFmtId="0" fontId="31" fillId="0" borderId="0" xfId="1195" applyFont="1" applyFill="1" applyAlignment="1">
      <alignment vertical="center"/>
    </xf>
    <xf numFmtId="0" fontId="32" fillId="0" borderId="0" xfId="1195" applyFont="1" applyFill="1" applyAlignment="1">
      <alignment vertical="center"/>
    </xf>
    <xf numFmtId="0" fontId="170" fillId="0" borderId="0" xfId="1195" applyFont="1" applyFill="1"/>
    <xf numFmtId="0" fontId="30" fillId="0" borderId="0" xfId="1195" applyFont="1"/>
    <xf numFmtId="0" fontId="31" fillId="0" borderId="0" xfId="1195" applyFont="1"/>
    <xf numFmtId="0" fontId="33" fillId="0" borderId="0" xfId="1195" applyFont="1"/>
    <xf numFmtId="0" fontId="295" fillId="0" borderId="0" xfId="1195" applyFont="1" applyFill="1" applyAlignment="1">
      <alignment vertical="center"/>
    </xf>
    <xf numFmtId="0" fontId="274" fillId="0" borderId="0" xfId="0" applyFont="1"/>
    <xf numFmtId="0" fontId="289" fillId="0" borderId="12" xfId="1195" applyFont="1" applyBorder="1" applyAlignment="1">
      <alignment vertical="center" wrapText="1"/>
    </xf>
    <xf numFmtId="0" fontId="31" fillId="0" borderId="12" xfId="1195" applyFont="1" applyBorder="1" applyAlignment="1">
      <alignment horizontal="left" vertical="center" wrapText="1"/>
    </xf>
    <xf numFmtId="0" fontId="159" fillId="0" borderId="12" xfId="1195" applyFont="1" applyBorder="1" applyAlignment="1">
      <alignment vertical="center" wrapText="1"/>
    </xf>
    <xf numFmtId="0" fontId="289" fillId="0" borderId="22" xfId="1195" applyFont="1" applyBorder="1" applyAlignment="1">
      <alignment horizontal="left" vertical="center" wrapText="1"/>
    </xf>
    <xf numFmtId="0" fontId="289" fillId="0" borderId="12" xfId="1195" applyFont="1" applyBorder="1" applyAlignment="1">
      <alignment horizontal="left" vertical="center" wrapText="1"/>
    </xf>
    <xf numFmtId="0" fontId="289" fillId="0" borderId="22" xfId="1195" applyFont="1" applyBorder="1" applyAlignment="1">
      <alignment vertical="center" wrapText="1"/>
    </xf>
    <xf numFmtId="0" fontId="32" fillId="0" borderId="12" xfId="1195" applyFont="1" applyBorder="1" applyAlignment="1">
      <alignment vertical="center" wrapText="1"/>
    </xf>
    <xf numFmtId="0" fontId="289" fillId="0" borderId="12" xfId="1195" applyFont="1" applyBorder="1"/>
    <xf numFmtId="0" fontId="31" fillId="0" borderId="12" xfId="1195" applyFont="1" applyBorder="1" applyAlignment="1">
      <alignment vertical="center" wrapText="1"/>
    </xf>
    <xf numFmtId="0" fontId="226" fillId="0" borderId="12" xfId="1195" applyFont="1" applyBorder="1"/>
    <xf numFmtId="0" fontId="31" fillId="0" borderId="12" xfId="1195" applyFont="1" applyBorder="1"/>
    <xf numFmtId="0" fontId="39" fillId="0" borderId="12" xfId="1195" applyFont="1" applyBorder="1"/>
    <xf numFmtId="0" fontId="226" fillId="0" borderId="0" xfId="0" applyFont="1"/>
    <xf numFmtId="0" fontId="295" fillId="0" borderId="0" xfId="0" applyFont="1"/>
    <xf numFmtId="0" fontId="289" fillId="0" borderId="0" xfId="1195" applyFont="1" applyFill="1" applyBorder="1" applyAlignment="1">
      <alignment vertical="center"/>
    </xf>
    <xf numFmtId="0" fontId="288" fillId="0" borderId="12" xfId="1195" applyFont="1" applyBorder="1" applyAlignment="1">
      <alignment horizontal="center" vertical="center"/>
    </xf>
    <xf numFmtId="0" fontId="288" fillId="0" borderId="12" xfId="0" applyFont="1" applyBorder="1" applyAlignment="1">
      <alignment horizontal="center" vertical="center"/>
    </xf>
    <xf numFmtId="0" fontId="300" fillId="0" borderId="73" xfId="0" applyFont="1" applyBorder="1" applyAlignment="1">
      <alignment horizontal="right" vertical="center"/>
    </xf>
    <xf numFmtId="0" fontId="262" fillId="0" borderId="12" xfId="1195" applyFont="1" applyBorder="1" applyAlignment="1">
      <alignment vertical="center" wrapText="1"/>
    </xf>
    <xf numFmtId="0" fontId="42" fillId="0" borderId="12" xfId="1195" applyFont="1" applyBorder="1" applyAlignment="1">
      <alignment vertical="center" wrapText="1"/>
    </xf>
    <xf numFmtId="0" fontId="32" fillId="0" borderId="12" xfId="1195" applyFont="1" applyBorder="1"/>
    <xf numFmtId="0" fontId="312" fillId="0" borderId="12" xfId="0" applyFont="1" applyFill="1" applyBorder="1" applyAlignment="1">
      <alignment horizontal="center"/>
    </xf>
    <xf numFmtId="0" fontId="313" fillId="0" borderId="73" xfId="0" applyFont="1" applyBorder="1" applyAlignment="1">
      <alignment horizontal="left" vertical="center"/>
    </xf>
    <xf numFmtId="170" fontId="60" fillId="0" borderId="53" xfId="0" applyNumberFormat="1" applyFont="1" applyBorder="1" applyAlignment="1">
      <alignment horizontal="center" vertical="center"/>
    </xf>
    <xf numFmtId="165" fontId="0" fillId="31" borderId="0" xfId="0" applyNumberFormat="1" applyFill="1"/>
    <xf numFmtId="165" fontId="51" fillId="0" borderId="0" xfId="35" applyNumberFormat="1" applyFont="1" applyAlignment="1">
      <alignment horizontal="center" vertical="center"/>
    </xf>
    <xf numFmtId="165" fontId="0" fillId="0" borderId="0" xfId="0" applyNumberFormat="1" applyFill="1"/>
    <xf numFmtId="0" fontId="294" fillId="0" borderId="0" xfId="0" applyFont="1"/>
    <xf numFmtId="0" fontId="248" fillId="0" borderId="88" xfId="0" applyFont="1" applyBorder="1" applyAlignment="1">
      <alignment horizontal="left" vertical="center"/>
    </xf>
    <xf numFmtId="0" fontId="315" fillId="0" borderId="33" xfId="0" applyFont="1" applyBorder="1"/>
    <xf numFmtId="0" fontId="39" fillId="0" borderId="22" xfId="0" applyFont="1" applyBorder="1" applyAlignment="1">
      <alignment horizontal="center" vertical="center"/>
    </xf>
    <xf numFmtId="0" fontId="39" fillId="0" borderId="54" xfId="0" applyFont="1" applyBorder="1" applyAlignment="1">
      <alignment horizontal="center" vertical="center"/>
    </xf>
    <xf numFmtId="0" fontId="292" fillId="0" borderId="0" xfId="0" applyFont="1" applyBorder="1"/>
    <xf numFmtId="0" fontId="316" fillId="0" borderId="0" xfId="0" applyFont="1"/>
    <xf numFmtId="3" fontId="42" fillId="0" borderId="12" xfId="35" applyNumberFormat="1" applyFont="1" applyBorder="1" applyAlignment="1">
      <alignment horizontal="center" vertical="top"/>
    </xf>
    <xf numFmtId="0" fontId="313" fillId="0" borderId="0" xfId="0" applyFont="1" applyAlignment="1">
      <alignment horizontal="left"/>
    </xf>
    <xf numFmtId="3" fontId="214" fillId="31" borderId="12" xfId="0" applyNumberFormat="1" applyFont="1" applyFill="1" applyBorder="1" applyAlignment="1">
      <alignment horizontal="center"/>
    </xf>
    <xf numFmtId="3" fontId="214" fillId="31" borderId="12" xfId="35" applyNumberFormat="1" applyFont="1" applyFill="1" applyBorder="1" applyAlignment="1" applyProtection="1">
      <alignment horizontal="center" vertical="center"/>
      <protection locked="0"/>
    </xf>
    <xf numFmtId="183" fontId="95" fillId="0" borderId="22" xfId="2281" applyNumberFormat="1" applyFont="1" applyFill="1" applyBorder="1" applyAlignment="1" applyProtection="1">
      <alignment horizontal="right" vertical="top"/>
    </xf>
    <xf numFmtId="165" fontId="97" fillId="0" borderId="0" xfId="0" applyNumberFormat="1" applyFont="1"/>
    <xf numFmtId="0" fontId="97" fillId="0" borderId="0" xfId="0" applyFont="1"/>
    <xf numFmtId="3" fontId="254" fillId="31" borderId="12" xfId="0" applyNumberFormat="1" applyFont="1" applyFill="1" applyBorder="1" applyAlignment="1" applyProtection="1">
      <alignment horizontal="center" vertical="center"/>
      <protection locked="0"/>
    </xf>
    <xf numFmtId="165" fontId="301" fillId="31" borderId="24" xfId="35" applyNumberFormat="1" applyFont="1" applyFill="1" applyBorder="1" applyAlignment="1" applyProtection="1">
      <alignment horizontal="center" vertical="center"/>
      <protection locked="0"/>
    </xf>
    <xf numFmtId="165" fontId="142" fillId="0" borderId="0" xfId="0" applyNumberFormat="1" applyFont="1" applyBorder="1" applyAlignment="1">
      <alignment vertical="top" wrapText="1"/>
    </xf>
    <xf numFmtId="164" fontId="0" fillId="0" borderId="0" xfId="35" applyFont="1"/>
    <xf numFmtId="0" fontId="317" fillId="0" borderId="0" xfId="0" applyFont="1" applyBorder="1" applyAlignment="1">
      <alignment horizontal="left" vertical="center" wrapText="1"/>
    </xf>
    <xf numFmtId="165" fontId="44" fillId="0" borderId="0" xfId="0" applyNumberFormat="1" applyFont="1"/>
    <xf numFmtId="165" fontId="110" fillId="31" borderId="24" xfId="35" applyNumberFormat="1" applyFont="1" applyFill="1" applyBorder="1"/>
    <xf numFmtId="165" fontId="101" fillId="0" borderId="0" xfId="0" applyNumberFormat="1" applyFont="1"/>
    <xf numFmtId="0" fontId="165" fillId="0" borderId="33" xfId="0" applyFont="1" applyBorder="1"/>
    <xf numFmtId="165" fontId="256" fillId="0" borderId="19" xfId="35" applyNumberFormat="1" applyFont="1" applyBorder="1" applyAlignment="1">
      <alignment horizontal="center" vertical="center"/>
    </xf>
    <xf numFmtId="165" fontId="0" fillId="24" borderId="0" xfId="0" applyNumberFormat="1" applyFill="1"/>
    <xf numFmtId="0" fontId="0" fillId="0" borderId="0" xfId="0"/>
    <xf numFmtId="0" fontId="60" fillId="0" borderId="61" xfId="0" applyFont="1" applyBorder="1" applyAlignment="1">
      <alignment horizontal="center" vertical="center"/>
    </xf>
    <xf numFmtId="0" fontId="319" fillId="0" borderId="0" xfId="0" applyFont="1" applyAlignment="1">
      <alignment horizontal="left"/>
    </xf>
    <xf numFmtId="0" fontId="303" fillId="0" borderId="0" xfId="0" applyFont="1" applyAlignment="1"/>
    <xf numFmtId="165" fontId="33" fillId="0" borderId="13" xfId="0" applyNumberFormat="1" applyFont="1" applyFill="1" applyBorder="1" applyAlignment="1">
      <alignment vertical="center"/>
    </xf>
    <xf numFmtId="183" fontId="95" fillId="0" borderId="22" xfId="2281" applyNumberFormat="1" applyFont="1" applyFill="1" applyBorder="1" applyAlignment="1" applyProtection="1">
      <alignment horizontal="right" vertical="top"/>
    </xf>
    <xf numFmtId="3" fontId="44" fillId="34" borderId="12" xfId="35" applyNumberFormat="1" applyFont="1" applyFill="1" applyBorder="1"/>
    <xf numFmtId="0" fontId="0" fillId="0" borderId="22" xfId="0" applyBorder="1"/>
    <xf numFmtId="183" fontId="95" fillId="0" borderId="22" xfId="2281" applyNumberFormat="1" applyFont="1" applyFill="1" applyBorder="1" applyAlignment="1" applyProtection="1">
      <alignment horizontal="right" vertical="top"/>
    </xf>
    <xf numFmtId="3" fontId="0" fillId="0" borderId="12" xfId="0" applyNumberFormat="1" applyBorder="1"/>
    <xf numFmtId="4" fontId="0" fillId="0" borderId="12" xfId="0" applyNumberFormat="1" applyBorder="1"/>
    <xf numFmtId="14" fontId="0" fillId="0" borderId="22" xfId="0" applyNumberFormat="1" applyBorder="1"/>
    <xf numFmtId="3" fontId="0" fillId="0" borderId="22" xfId="0" applyNumberFormat="1" applyBorder="1"/>
    <xf numFmtId="14" fontId="45" fillId="0" borderId="45" xfId="0" applyNumberFormat="1" applyFont="1" applyBorder="1" applyAlignment="1">
      <alignment horizontal="center" wrapText="1"/>
    </xf>
    <xf numFmtId="0" fontId="45" fillId="0" borderId="46" xfId="0" applyFont="1" applyBorder="1" applyAlignment="1">
      <alignment horizontal="center" wrapText="1"/>
    </xf>
    <xf numFmtId="4" fontId="45" fillId="0" borderId="46" xfId="0" applyNumberFormat="1" applyFont="1" applyBorder="1" applyAlignment="1">
      <alignment horizontal="center" wrapText="1"/>
    </xf>
    <xf numFmtId="3" fontId="45" fillId="0" borderId="47" xfId="0" applyNumberFormat="1" applyFont="1" applyBorder="1" applyAlignment="1">
      <alignment horizontal="center" wrapText="1"/>
    </xf>
    <xf numFmtId="165" fontId="9" fillId="31" borderId="0" xfId="0" applyNumberFormat="1" applyFont="1" applyFill="1"/>
    <xf numFmtId="183" fontId="95" fillId="0" borderId="22" xfId="2281" applyNumberFormat="1" applyFont="1" applyFill="1" applyBorder="1" applyAlignment="1" applyProtection="1">
      <alignment horizontal="right" vertical="top"/>
    </xf>
    <xf numFmtId="165" fontId="0" fillId="32" borderId="0" xfId="0" applyNumberFormat="1" applyFill="1"/>
    <xf numFmtId="165" fontId="9" fillId="32" borderId="0" xfId="0" applyNumberFormat="1" applyFont="1" applyFill="1"/>
    <xf numFmtId="184" fontId="9" fillId="0" borderId="22" xfId="2281" applyNumberFormat="1" applyFont="1" applyFill="1" applyBorder="1" applyAlignment="1" applyProtection="1">
      <alignment horizontal="right" vertical="top"/>
    </xf>
    <xf numFmtId="183" fontId="61" fillId="0" borderId="22" xfId="2281" applyNumberFormat="1" applyFont="1" applyFill="1" applyBorder="1" applyAlignment="1" applyProtection="1">
      <alignment horizontal="right" vertical="top"/>
    </xf>
    <xf numFmtId="0" fontId="45" fillId="0" borderId="87" xfId="0" applyFont="1" applyBorder="1" applyAlignment="1">
      <alignment horizontal="center" vertical="center"/>
    </xf>
    <xf numFmtId="0" fontId="45" fillId="0" borderId="43" xfId="0" applyFont="1" applyBorder="1" applyAlignment="1">
      <alignment horizontal="center" vertical="center"/>
    </xf>
    <xf numFmtId="0" fontId="45" fillId="0" borderId="44" xfId="0" applyFont="1" applyBorder="1" applyAlignment="1">
      <alignment horizontal="center" vertical="center"/>
    </xf>
    <xf numFmtId="0" fontId="45" fillId="0" borderId="38" xfId="0" applyFont="1" applyBorder="1" applyAlignment="1">
      <alignment horizontal="center" vertical="center"/>
    </xf>
    <xf numFmtId="0" fontId="45" fillId="0" borderId="37" xfId="0" applyFont="1" applyBorder="1" applyAlignment="1">
      <alignment horizontal="center" vertical="center"/>
    </xf>
    <xf numFmtId="14" fontId="9" fillId="0" borderId="87" xfId="0" applyNumberFormat="1" applyFont="1" applyBorder="1" applyAlignment="1">
      <alignment horizontal="right" vertical="center"/>
    </xf>
    <xf numFmtId="14" fontId="9" fillId="0" borderId="44" xfId="0" applyNumberFormat="1" applyFont="1" applyBorder="1" applyAlignment="1">
      <alignment horizontal="right" vertical="center"/>
    </xf>
    <xf numFmtId="0" fontId="9" fillId="0" borderId="87" xfId="0" applyFont="1" applyBorder="1" applyAlignment="1">
      <alignment vertical="center"/>
    </xf>
    <xf numFmtId="0" fontId="9" fillId="0" borderId="44" xfId="0" applyFont="1" applyBorder="1" applyAlignment="1">
      <alignment vertical="center"/>
    </xf>
    <xf numFmtId="0" fontId="45" fillId="0" borderId="36" xfId="0" applyFont="1" applyBorder="1" applyAlignment="1">
      <alignment horizontal="center" vertical="center"/>
    </xf>
    <xf numFmtId="14" fontId="0" fillId="0" borderId="38" xfId="0" applyNumberFormat="1" applyBorder="1" applyAlignment="1">
      <alignment horizontal="center"/>
    </xf>
    <xf numFmtId="0" fontId="45" fillId="0" borderId="49" xfId="0" applyFont="1" applyBorder="1" applyAlignment="1">
      <alignment horizontal="center"/>
    </xf>
    <xf numFmtId="3" fontId="42" fillId="0" borderId="12" xfId="35" applyNumberFormat="1" applyFont="1" applyBorder="1" applyAlignment="1">
      <alignment horizontal="left" vertical="top"/>
    </xf>
    <xf numFmtId="0" fontId="58" fillId="0" borderId="22" xfId="0" applyFont="1" applyBorder="1" applyAlignment="1">
      <alignment horizontal="left" vertical="center"/>
    </xf>
    <xf numFmtId="0" fontId="56" fillId="0" borderId="12" xfId="0" applyFont="1" applyBorder="1" applyAlignment="1">
      <alignment horizontal="center" vertical="center"/>
    </xf>
    <xf numFmtId="0" fontId="256" fillId="0" borderId="0" xfId="0" applyFont="1" applyBorder="1" applyAlignment="1">
      <alignment vertical="center"/>
    </xf>
    <xf numFmtId="0" fontId="320" fillId="0" borderId="73" xfId="0" applyFont="1" applyBorder="1" applyAlignment="1">
      <alignment horizontal="left" vertical="center"/>
    </xf>
    <xf numFmtId="165" fontId="0" fillId="36" borderId="0" xfId="0" applyNumberFormat="1" applyFill="1"/>
    <xf numFmtId="0" fontId="196" fillId="0" borderId="0" xfId="0" applyFont="1" applyBorder="1" applyAlignment="1">
      <alignment horizontal="left" vertical="center"/>
    </xf>
    <xf numFmtId="0" fontId="204" fillId="0" borderId="87" xfId="0" applyFont="1" applyBorder="1" applyAlignment="1">
      <alignment horizontal="left" vertical="center"/>
    </xf>
    <xf numFmtId="3" fontId="44" fillId="24" borderId="12" xfId="35" applyNumberFormat="1" applyFont="1" applyFill="1" applyBorder="1"/>
    <xf numFmtId="3" fontId="44" fillId="0" borderId="12" xfId="35" applyNumberFormat="1" applyFont="1" applyFill="1" applyBorder="1"/>
    <xf numFmtId="165" fontId="159" fillId="0" borderId="12" xfId="35" applyNumberFormat="1" applyFont="1" applyBorder="1"/>
    <xf numFmtId="165" fontId="33" fillId="36" borderId="12" xfId="35" applyNumberFormat="1" applyFont="1" applyFill="1" applyBorder="1"/>
    <xf numFmtId="3" fontId="44" fillId="36" borderId="12" xfId="35" applyNumberFormat="1" applyFont="1" applyFill="1" applyBorder="1"/>
    <xf numFmtId="170" fontId="98" fillId="0" borderId="0" xfId="35" applyNumberFormat="1" applyFont="1" applyFill="1" applyBorder="1"/>
    <xf numFmtId="166" fontId="135" fillId="0" borderId="0" xfId="35" applyNumberFormat="1" applyFont="1" applyFill="1" applyBorder="1" applyAlignment="1">
      <alignment horizontal="left"/>
    </xf>
    <xf numFmtId="165" fontId="0" fillId="61" borderId="0" xfId="0" applyNumberFormat="1" applyFill="1"/>
    <xf numFmtId="165" fontId="56" fillId="0" borderId="0" xfId="35" applyNumberFormat="1" applyFont="1"/>
    <xf numFmtId="0" fontId="289" fillId="0" borderId="12" xfId="1195" applyFont="1" applyBorder="1" applyAlignment="1">
      <alignment horizontal="left" vertical="center" wrapText="1"/>
    </xf>
    <xf numFmtId="0" fontId="288" fillId="0" borderId="12" xfId="1195" applyFont="1" applyBorder="1" applyAlignment="1">
      <alignment vertical="center" wrapText="1"/>
    </xf>
    <xf numFmtId="0" fontId="262" fillId="0" borderId="12" xfId="0" applyFont="1" applyBorder="1" applyAlignment="1">
      <alignment horizontal="left" vertical="center"/>
    </xf>
    <xf numFmtId="0" fontId="311" fillId="0" borderId="38" xfId="1195" applyFont="1" applyFill="1" applyBorder="1" applyAlignment="1">
      <alignment vertical="center"/>
    </xf>
    <xf numFmtId="0" fontId="0" fillId="0" borderId="0" xfId="0" applyAlignment="1">
      <alignment horizontal="right"/>
    </xf>
    <xf numFmtId="14" fontId="0" fillId="0" borderId="12" xfId="0" applyNumberFormat="1" applyBorder="1" applyAlignment="1">
      <alignment horizontal="right"/>
    </xf>
    <xf numFmtId="14" fontId="0" fillId="0" borderId="0" xfId="0" applyNumberFormat="1" applyAlignment="1">
      <alignment horizontal="right"/>
    </xf>
    <xf numFmtId="165" fontId="40" fillId="0" borderId="12" xfId="35" applyNumberFormat="1" applyFont="1" applyFill="1" applyBorder="1"/>
    <xf numFmtId="0" fontId="0" fillId="0" borderId="22" xfId="0" applyBorder="1"/>
    <xf numFmtId="14" fontId="40" fillId="0" borderId="0" xfId="0" applyNumberFormat="1" applyFont="1" applyAlignment="1">
      <alignment horizontal="center"/>
    </xf>
    <xf numFmtId="14" fontId="9" fillId="0" borderId="10" xfId="0" applyNumberFormat="1" applyFont="1" applyBorder="1" applyAlignment="1">
      <alignment horizontal="right"/>
    </xf>
    <xf numFmtId="14" fontId="0" fillId="0" borderId="10" xfId="0" applyNumberFormat="1" applyBorder="1" applyAlignment="1">
      <alignment horizontal="right"/>
    </xf>
    <xf numFmtId="165" fontId="51" fillId="0" borderId="22" xfId="35" applyNumberFormat="1" applyFont="1" applyBorder="1"/>
    <xf numFmtId="165" fontId="45" fillId="0" borderId="12" xfId="0" applyNumberFormat="1" applyFont="1" applyBorder="1"/>
    <xf numFmtId="165" fontId="51" fillId="0" borderId="12" xfId="0" applyNumberFormat="1" applyFont="1" applyBorder="1"/>
    <xf numFmtId="165" fontId="51" fillId="0" borderId="11" xfId="0" applyNumberFormat="1" applyFont="1" applyBorder="1"/>
    <xf numFmtId="165" fontId="40" fillId="0" borderId="22" xfId="35" applyNumberFormat="1" applyFont="1" applyBorder="1"/>
    <xf numFmtId="165" fontId="0" fillId="0" borderId="22" xfId="0" applyNumberFormat="1" applyBorder="1"/>
    <xf numFmtId="0" fontId="44" fillId="0" borderId="0" xfId="0" applyFont="1" applyAlignment="1"/>
    <xf numFmtId="165" fontId="51" fillId="0" borderId="11" xfId="35" applyNumberFormat="1" applyFont="1" applyBorder="1"/>
    <xf numFmtId="0" fontId="0" fillId="0" borderId="37" xfId="0" applyBorder="1"/>
    <xf numFmtId="14" fontId="0" fillId="0" borderId="11" xfId="0" applyNumberFormat="1" applyBorder="1" applyAlignment="1">
      <alignment horizontal="right"/>
    </xf>
    <xf numFmtId="14" fontId="0" fillId="0" borderId="20" xfId="0" applyNumberFormat="1" applyBorder="1" applyAlignment="1">
      <alignment horizontal="right"/>
    </xf>
    <xf numFmtId="165" fontId="40" fillId="0" borderId="11" xfId="35" applyNumberFormat="1" applyFont="1" applyBorder="1"/>
    <xf numFmtId="14" fontId="0" fillId="0" borderId="15" xfId="0" applyNumberFormat="1" applyBorder="1" applyAlignment="1">
      <alignment horizontal="right"/>
    </xf>
    <xf numFmtId="165" fontId="51" fillId="0" borderId="22" xfId="0" applyNumberFormat="1" applyFont="1" applyBorder="1"/>
    <xf numFmtId="0" fontId="58" fillId="0" borderId="35" xfId="0" applyFont="1" applyBorder="1" applyAlignment="1">
      <alignment horizontal="right"/>
    </xf>
    <xf numFmtId="165" fontId="58" fillId="0" borderId="46" xfId="35" applyNumberFormat="1" applyFont="1" applyBorder="1"/>
    <xf numFmtId="165" fontId="0" fillId="0" borderId="11" xfId="0" applyNumberFormat="1" applyBorder="1"/>
    <xf numFmtId="14" fontId="58" fillId="0" borderId="36" xfId="0" applyNumberFormat="1" applyFont="1" applyBorder="1" applyAlignment="1">
      <alignment horizontal="center"/>
    </xf>
    <xf numFmtId="14" fontId="40" fillId="0" borderId="36" xfId="0" applyNumberFormat="1" applyFont="1" applyBorder="1" applyAlignment="1">
      <alignment horizontal="center"/>
    </xf>
    <xf numFmtId="165" fontId="40" fillId="0" borderId="46" xfId="35" applyNumberFormat="1" applyFont="1" applyBorder="1"/>
    <xf numFmtId="14" fontId="9" fillId="0" borderId="15" xfId="0" applyNumberFormat="1" applyFont="1" applyBorder="1" applyAlignment="1">
      <alignment horizontal="right"/>
    </xf>
    <xf numFmtId="0" fontId="60" fillId="0" borderId="12" xfId="0" applyFont="1" applyBorder="1" applyAlignment="1">
      <alignment horizontal="right"/>
    </xf>
    <xf numFmtId="165" fontId="60" fillId="0" borderId="12" xfId="35" applyNumberFormat="1" applyFont="1" applyBorder="1"/>
    <xf numFmtId="14" fontId="45" fillId="0" borderId="10" xfId="0" applyNumberFormat="1" applyFont="1" applyBorder="1" applyAlignment="1">
      <alignment horizontal="right"/>
    </xf>
    <xf numFmtId="165" fontId="126" fillId="30" borderId="46" xfId="0" applyNumberFormat="1" applyFont="1" applyFill="1" applyBorder="1"/>
    <xf numFmtId="0" fontId="126" fillId="30" borderId="47" xfId="0" applyFont="1" applyFill="1" applyBorder="1" applyAlignment="1">
      <alignment horizontal="center"/>
    </xf>
    <xf numFmtId="165" fontId="60" fillId="0" borderId="46" xfId="35" applyNumberFormat="1" applyFont="1" applyBorder="1"/>
    <xf numFmtId="165" fontId="58" fillId="0" borderId="46" xfId="0" applyNumberFormat="1" applyFont="1" applyBorder="1"/>
    <xf numFmtId="0" fontId="58" fillId="0" borderId="47" xfId="0" applyFont="1" applyBorder="1"/>
    <xf numFmtId="14" fontId="40" fillId="0" borderId="68" xfId="0" applyNumberFormat="1" applyFont="1" applyBorder="1" applyAlignment="1">
      <alignment horizontal="right"/>
    </xf>
    <xf numFmtId="165" fontId="40" fillId="0" borderId="46" xfId="0" applyNumberFormat="1" applyFont="1" applyBorder="1"/>
    <xf numFmtId="0" fontId="58" fillId="0" borderId="10" xfId="0" applyFont="1" applyBorder="1" applyAlignment="1">
      <alignment horizontal="right"/>
    </xf>
    <xf numFmtId="14" fontId="58" fillId="0" borderId="29" xfId="0" applyNumberFormat="1" applyFont="1" applyBorder="1" applyAlignment="1">
      <alignment horizontal="center"/>
    </xf>
    <xf numFmtId="165" fontId="98" fillId="0" borderId="85" xfId="35" applyNumberFormat="1" applyFont="1" applyBorder="1"/>
    <xf numFmtId="165" fontId="51" fillId="0" borderId="21" xfId="35" applyNumberFormat="1" applyFont="1" applyBorder="1"/>
    <xf numFmtId="165" fontId="226" fillId="0" borderId="12" xfId="35" applyNumberFormat="1" applyFont="1" applyBorder="1" applyAlignment="1">
      <alignment horizontal="center" vertical="center"/>
    </xf>
    <xf numFmtId="37" fontId="226" fillId="0" borderId="12" xfId="35" applyNumberFormat="1" applyFont="1" applyBorder="1" applyAlignment="1">
      <alignment horizontal="center" vertical="center"/>
    </xf>
    <xf numFmtId="0" fontId="42" fillId="0" borderId="0" xfId="0" applyFont="1" applyBorder="1" applyAlignment="1">
      <alignment horizontal="left" vertical="center"/>
    </xf>
    <xf numFmtId="0" fontId="44" fillId="0" borderId="33" xfId="0" applyFont="1" applyBorder="1"/>
    <xf numFmtId="0" fontId="326" fillId="0" borderId="0" xfId="0" applyFont="1" applyBorder="1" applyAlignment="1">
      <alignment horizontal="left" vertical="center"/>
    </xf>
    <xf numFmtId="0" fontId="167" fillId="63" borderId="45" xfId="0" applyFont="1" applyFill="1" applyBorder="1" applyAlignment="1">
      <alignment horizontal="center"/>
    </xf>
    <xf numFmtId="0" fontId="327" fillId="0" borderId="12" xfId="0" applyFont="1" applyFill="1" applyBorder="1"/>
    <xf numFmtId="0" fontId="327" fillId="0" borderId="12" xfId="0" applyFont="1" applyFill="1" applyBorder="1" applyAlignment="1"/>
    <xf numFmtId="186" fontId="91" fillId="0" borderId="12" xfId="35" applyNumberFormat="1" applyFont="1" applyFill="1" applyBorder="1"/>
    <xf numFmtId="166" fontId="91" fillId="0" borderId="12" xfId="35" applyNumberFormat="1" applyFont="1" applyFill="1" applyBorder="1"/>
    <xf numFmtId="0" fontId="167" fillId="0" borderId="12" xfId="0" applyFont="1" applyFill="1" applyBorder="1"/>
    <xf numFmtId="0" fontId="327" fillId="41" borderId="12" xfId="0" applyFont="1" applyFill="1" applyBorder="1"/>
    <xf numFmtId="0" fontId="327" fillId="41" borderId="12" xfId="0" applyFont="1" applyFill="1" applyBorder="1" applyAlignment="1"/>
    <xf numFmtId="166" fontId="327" fillId="0" borderId="12" xfId="35" applyNumberFormat="1" applyFont="1" applyFill="1" applyBorder="1"/>
    <xf numFmtId="0" fontId="328" fillId="0" borderId="12" xfId="0" applyFont="1" applyFill="1" applyBorder="1" applyAlignment="1"/>
    <xf numFmtId="190" fontId="328" fillId="0" borderId="12" xfId="0" applyNumberFormat="1" applyFont="1" applyFill="1" applyBorder="1" applyAlignment="1"/>
    <xf numFmtId="166" fontId="328" fillId="0" borderId="12" xfId="35" applyNumberFormat="1" applyFont="1" applyFill="1" applyBorder="1" applyAlignment="1"/>
    <xf numFmtId="0" fontId="327" fillId="0" borderId="66" xfId="0" applyFont="1" applyFill="1" applyBorder="1" applyAlignment="1"/>
    <xf numFmtId="0" fontId="327" fillId="0" borderId="16" xfId="0" applyFont="1" applyFill="1" applyBorder="1" applyAlignment="1"/>
    <xf numFmtId="0" fontId="327" fillId="0" borderId="12" xfId="0" applyFont="1" applyBorder="1"/>
    <xf numFmtId="166" fontId="167" fillId="31" borderId="12" xfId="35" applyNumberFormat="1" applyFont="1" applyFill="1" applyBorder="1"/>
    <xf numFmtId="0" fontId="221" fillId="63" borderId="46" xfId="0" applyFont="1" applyFill="1" applyBorder="1" applyAlignment="1">
      <alignment wrapText="1"/>
    </xf>
    <xf numFmtId="2" fontId="225" fillId="63" borderId="21" xfId="0" applyNumberFormat="1" applyFont="1" applyFill="1" applyBorder="1"/>
    <xf numFmtId="2" fontId="221" fillId="63" borderId="46" xfId="0" applyNumberFormat="1" applyFont="1" applyFill="1" applyBorder="1"/>
    <xf numFmtId="0" fontId="167" fillId="0" borderId="22" xfId="0" applyFont="1" applyFill="1" applyBorder="1"/>
    <xf numFmtId="0" fontId="167" fillId="0" borderId="22" xfId="0" applyFont="1" applyFill="1" applyBorder="1" applyAlignment="1"/>
    <xf numFmtId="0" fontId="167" fillId="0" borderId="12" xfId="0" applyFont="1" applyFill="1" applyBorder="1" applyAlignment="1"/>
    <xf numFmtId="0" fontId="167" fillId="0" borderId="0" xfId="0" applyFont="1"/>
    <xf numFmtId="0" fontId="216" fillId="63" borderId="10" xfId="0" applyFont="1" applyFill="1" applyBorder="1"/>
    <xf numFmtId="186" fontId="167" fillId="0" borderId="22" xfId="35" applyNumberFormat="1" applyFont="1" applyFill="1" applyBorder="1"/>
    <xf numFmtId="166" fontId="167" fillId="0" borderId="22" xfId="35" applyNumberFormat="1" applyFont="1" applyFill="1" applyBorder="1"/>
    <xf numFmtId="186" fontId="167" fillId="0" borderId="12" xfId="35" applyNumberFormat="1" applyFont="1" applyFill="1" applyBorder="1"/>
    <xf numFmtId="166" fontId="167" fillId="0" borderId="12" xfId="35" applyNumberFormat="1" applyFont="1" applyFill="1" applyBorder="1"/>
    <xf numFmtId="186" fontId="167" fillId="0" borderId="22" xfId="35" quotePrefix="1" applyNumberFormat="1" applyFont="1" applyFill="1" applyBorder="1"/>
    <xf numFmtId="169" fontId="139" fillId="0" borderId="129" xfId="0" applyNumberFormat="1" applyFont="1" applyFill="1" applyBorder="1" applyProtection="1"/>
    <xf numFmtId="188" fontId="167" fillId="0" borderId="12" xfId="0" applyNumberFormat="1" applyFont="1" applyFill="1" applyBorder="1"/>
    <xf numFmtId="189" fontId="167" fillId="0" borderId="12" xfId="35" applyNumberFormat="1" applyFont="1" applyFill="1" applyBorder="1"/>
    <xf numFmtId="1" fontId="167" fillId="0" borderId="12" xfId="35" applyNumberFormat="1" applyFont="1" applyFill="1" applyBorder="1" applyAlignment="1">
      <alignment horizontal="center"/>
    </xf>
    <xf numFmtId="164" fontId="167" fillId="0" borderId="12" xfId="35" applyFont="1" applyFill="1" applyBorder="1"/>
    <xf numFmtId="180" fontId="167" fillId="0" borderId="12" xfId="0" applyNumberFormat="1" applyFont="1" applyFill="1" applyBorder="1"/>
    <xf numFmtId="175" fontId="167" fillId="0" borderId="12" xfId="0" applyNumberFormat="1" applyFont="1" applyFill="1" applyBorder="1"/>
    <xf numFmtId="165" fontId="139" fillId="0" borderId="12" xfId="338" applyNumberFormat="1" applyFont="1" applyBorder="1"/>
    <xf numFmtId="166" fontId="238" fillId="0" borderId="12" xfId="35" applyNumberFormat="1" applyFont="1" applyBorder="1"/>
    <xf numFmtId="0" fontId="56" fillId="0" borderId="0" xfId="0" applyFont="1" applyAlignment="1">
      <alignment horizontal="center"/>
    </xf>
    <xf numFmtId="0" fontId="97" fillId="0" borderId="12" xfId="0" applyFont="1" applyBorder="1"/>
    <xf numFmtId="0" fontId="45" fillId="41" borderId="12" xfId="0" applyFont="1" applyFill="1" applyBorder="1"/>
    <xf numFmtId="0" fontId="97" fillId="41" borderId="12" xfId="0" applyFont="1" applyFill="1" applyBorder="1"/>
    <xf numFmtId="0" fontId="97" fillId="41" borderId="10" xfId="0" applyFont="1" applyFill="1" applyBorder="1"/>
    <xf numFmtId="0" fontId="45" fillId="41" borderId="10" xfId="0" applyFont="1" applyFill="1" applyBorder="1"/>
    <xf numFmtId="0" fontId="45" fillId="41" borderId="24" xfId="0" applyFont="1" applyFill="1" applyBorder="1"/>
    <xf numFmtId="0" fontId="45" fillId="41" borderId="11" xfId="0" applyFont="1" applyFill="1" applyBorder="1"/>
    <xf numFmtId="0" fontId="45" fillId="41" borderId="64" xfId="0" applyFont="1" applyFill="1" applyBorder="1"/>
    <xf numFmtId="0" fontId="45" fillId="41" borderId="62" xfId="0" applyFont="1" applyFill="1" applyBorder="1"/>
    <xf numFmtId="0" fontId="45" fillId="0" borderId="62" xfId="0" applyFont="1" applyBorder="1"/>
    <xf numFmtId="0" fontId="45" fillId="59" borderId="21" xfId="0" applyFont="1" applyFill="1" applyBorder="1"/>
    <xf numFmtId="0" fontId="45" fillId="41" borderId="21" xfId="0" applyFont="1" applyFill="1" applyBorder="1"/>
    <xf numFmtId="0" fontId="97" fillId="41" borderId="64" xfId="0" applyFont="1" applyFill="1" applyBorder="1"/>
    <xf numFmtId="0" fontId="45" fillId="0" borderId="56" xfId="0" applyFont="1" applyBorder="1"/>
    <xf numFmtId="0" fontId="97" fillId="41" borderId="62" xfId="0" applyFont="1" applyFill="1" applyBorder="1"/>
    <xf numFmtId="0" fontId="97" fillId="41" borderId="90" xfId="0" applyFont="1" applyFill="1" applyBorder="1"/>
    <xf numFmtId="0" fontId="45" fillId="41" borderId="52" xfId="0" applyFont="1" applyFill="1" applyBorder="1"/>
    <xf numFmtId="0" fontId="45" fillId="41" borderId="69" xfId="0" applyFont="1" applyFill="1" applyBorder="1"/>
    <xf numFmtId="0" fontId="45" fillId="41" borderId="59" xfId="0" applyFont="1" applyFill="1" applyBorder="1"/>
    <xf numFmtId="0" fontId="56" fillId="41" borderId="12" xfId="0" applyFont="1" applyFill="1" applyBorder="1" applyAlignment="1">
      <alignment horizontal="center"/>
    </xf>
    <xf numFmtId="169" fontId="256" fillId="0" borderId="12" xfId="0" applyNumberFormat="1" applyFont="1" applyBorder="1" applyAlignment="1">
      <alignment horizontal="center" vertical="center"/>
    </xf>
    <xf numFmtId="0" fontId="291" fillId="0" borderId="0" xfId="0" applyFont="1" applyBorder="1" applyAlignment="1">
      <alignment horizontal="left" vertical="center"/>
    </xf>
    <xf numFmtId="181" fontId="248" fillId="0" borderId="0" xfId="0" applyNumberFormat="1" applyFont="1" applyBorder="1" applyAlignment="1">
      <alignment horizontal="center" vertical="center"/>
    </xf>
    <xf numFmtId="181" fontId="248" fillId="0" borderId="113" xfId="0" applyNumberFormat="1" applyFont="1" applyBorder="1" applyAlignment="1">
      <alignment horizontal="center" vertical="center"/>
    </xf>
    <xf numFmtId="0" fontId="300" fillId="0" borderId="0" xfId="0" applyFont="1" applyBorder="1" applyAlignment="1">
      <alignment horizontal="left" vertical="center"/>
    </xf>
    <xf numFmtId="0" fontId="214" fillId="0" borderId="0" xfId="0" applyFont="1" applyBorder="1" applyAlignment="1">
      <alignment vertical="center"/>
    </xf>
    <xf numFmtId="14" fontId="45" fillId="0" borderId="11" xfId="0" applyNumberFormat="1" applyFont="1" applyBorder="1" applyAlignment="1">
      <alignment horizontal="right"/>
    </xf>
    <xf numFmtId="165" fontId="56" fillId="0" borderId="21" xfId="35" applyNumberFormat="1" applyFont="1" applyBorder="1"/>
    <xf numFmtId="165" fontId="42" fillId="0" borderId="12" xfId="35" applyNumberFormat="1" applyFont="1" applyFill="1" applyBorder="1" applyAlignment="1"/>
    <xf numFmtId="165" fontId="196" fillId="31" borderId="24" xfId="35" applyNumberFormat="1" applyFont="1" applyFill="1" applyBorder="1" applyAlignment="1" applyProtection="1">
      <alignment horizontal="center" vertical="center"/>
      <protection locked="0"/>
    </xf>
    <xf numFmtId="165" fontId="204" fillId="0" borderId="37" xfId="35" applyNumberFormat="1" applyFont="1" applyBorder="1" applyAlignment="1">
      <alignment horizontal="center" vertical="center"/>
    </xf>
    <xf numFmtId="3" fontId="98" fillId="0" borderId="56" xfId="35" applyNumberFormat="1" applyFont="1" applyBorder="1" applyAlignment="1">
      <alignment horizontal="right"/>
    </xf>
    <xf numFmtId="165" fontId="44" fillId="0" borderId="54" xfId="2280" applyNumberFormat="1" applyFont="1" applyBorder="1" applyAlignment="1"/>
    <xf numFmtId="170" fontId="292" fillId="51" borderId="44" xfId="35" applyNumberFormat="1" applyFont="1" applyFill="1" applyBorder="1" applyAlignment="1">
      <alignment horizontal="right" vertical="center"/>
    </xf>
    <xf numFmtId="0" fontId="329" fillId="0" borderId="0" xfId="0" applyFont="1"/>
    <xf numFmtId="0" fontId="329" fillId="0" borderId="0" xfId="0" applyFont="1" applyAlignment="1">
      <alignment vertical="center" wrapText="1"/>
    </xf>
    <xf numFmtId="0" fontId="332" fillId="0" borderId="87" xfId="0" applyFont="1" applyBorder="1" applyAlignment="1">
      <alignment horizontal="center" vertical="center"/>
    </xf>
    <xf numFmtId="0" fontId="332" fillId="0" borderId="44" xfId="0" applyFont="1" applyBorder="1" applyAlignment="1">
      <alignment horizontal="center" vertical="center"/>
    </xf>
    <xf numFmtId="0" fontId="333" fillId="0" borderId="87" xfId="0" applyFont="1" applyBorder="1" applyAlignment="1">
      <alignment horizontal="center" vertical="center"/>
    </xf>
    <xf numFmtId="0" fontId="334" fillId="0" borderId="44" xfId="0" applyFont="1" applyBorder="1" applyAlignment="1">
      <alignment horizontal="center" vertical="center"/>
    </xf>
    <xf numFmtId="0" fontId="335" fillId="0" borderId="44" xfId="0" applyFont="1" applyBorder="1" applyAlignment="1">
      <alignment horizontal="center" vertical="center"/>
    </xf>
    <xf numFmtId="165" fontId="293" fillId="51" borderId="71" xfId="35" applyNumberFormat="1" applyFont="1" applyFill="1" applyBorder="1" applyAlignment="1">
      <alignment horizontal="center" vertical="center"/>
    </xf>
    <xf numFmtId="165" fontId="293" fillId="51" borderId="39" xfId="35" applyNumberFormat="1" applyFont="1" applyFill="1" applyBorder="1" applyAlignment="1">
      <alignment horizontal="center" vertical="center"/>
    </xf>
    <xf numFmtId="165" fontId="293" fillId="51" borderId="40" xfId="35" applyNumberFormat="1" applyFont="1" applyFill="1" applyBorder="1" applyAlignment="1">
      <alignment horizontal="center" vertical="center"/>
    </xf>
    <xf numFmtId="165" fontId="293" fillId="51" borderId="113" xfId="35" applyNumberFormat="1" applyFont="1" applyFill="1" applyBorder="1" applyAlignment="1">
      <alignment horizontal="center" vertical="center"/>
    </xf>
    <xf numFmtId="0" fontId="248" fillId="54" borderId="73" xfId="0" applyFont="1" applyFill="1" applyBorder="1" applyAlignment="1">
      <alignment horizontal="left" vertical="top" wrapText="1"/>
    </xf>
    <xf numFmtId="0" fontId="248" fillId="54" borderId="0" xfId="0" applyFont="1" applyFill="1" applyBorder="1" applyAlignment="1">
      <alignment horizontal="left" vertical="top" wrapText="1"/>
    </xf>
    <xf numFmtId="0" fontId="289" fillId="0" borderId="14" xfId="0" applyFont="1" applyBorder="1" applyAlignment="1">
      <alignment horizontal="left" vertical="center" wrapText="1"/>
    </xf>
    <xf numFmtId="0" fontId="314" fillId="52" borderId="35" xfId="0" applyFont="1" applyFill="1" applyBorder="1" applyAlignment="1">
      <alignment horizontal="center" vertical="center"/>
    </xf>
    <xf numFmtId="0" fontId="314" fillId="52" borderId="36" xfId="0" applyFont="1" applyFill="1" applyBorder="1" applyAlignment="1">
      <alignment horizontal="center" vertical="center"/>
    </xf>
    <xf numFmtId="0" fontId="314" fillId="52" borderId="37" xfId="0" applyFont="1" applyFill="1" applyBorder="1" applyAlignment="1">
      <alignment horizontal="center" vertical="center"/>
    </xf>
    <xf numFmtId="0" fontId="165" fillId="0" borderId="19" xfId="0" applyFont="1" applyBorder="1"/>
    <xf numFmtId="0" fontId="338" fillId="0" borderId="0" xfId="0" applyFont="1" applyBorder="1" applyAlignment="1">
      <alignment horizontal="left" vertical="center"/>
    </xf>
    <xf numFmtId="0" fontId="163" fillId="0" borderId="0" xfId="0" applyFont="1" applyBorder="1" applyAlignment="1">
      <alignment vertical="center"/>
    </xf>
    <xf numFmtId="181" fontId="163" fillId="0" borderId="0" xfId="0" applyNumberFormat="1" applyFont="1" applyBorder="1" applyAlignment="1">
      <alignment horizontal="center" vertical="center"/>
    </xf>
    <xf numFmtId="0" fontId="163" fillId="0" borderId="0" xfId="0" applyFont="1" applyBorder="1" applyAlignment="1">
      <alignment horizontal="center" vertical="center"/>
    </xf>
    <xf numFmtId="169" fontId="163" fillId="0" borderId="41" xfId="0" applyNumberFormat="1" applyFont="1" applyBorder="1" applyAlignment="1">
      <alignment horizontal="center" vertical="center"/>
    </xf>
    <xf numFmtId="0" fontId="286" fillId="0" borderId="0" xfId="0" applyFont="1"/>
    <xf numFmtId="165" fontId="293" fillId="51" borderId="42" xfId="35" applyNumberFormat="1" applyFont="1" applyFill="1" applyBorder="1" applyAlignment="1">
      <alignment horizontal="center" vertical="center"/>
    </xf>
    <xf numFmtId="165" fontId="293" fillId="51" borderId="43" xfId="35" applyNumberFormat="1" applyFont="1" applyFill="1" applyBorder="1" applyAlignment="1">
      <alignment horizontal="center" vertical="center"/>
    </xf>
    <xf numFmtId="165" fontId="293" fillId="51" borderId="106" xfId="35" applyNumberFormat="1" applyFont="1" applyFill="1" applyBorder="1" applyAlignment="1">
      <alignment horizontal="center" vertical="center"/>
    </xf>
    <xf numFmtId="165" fontId="274" fillId="31" borderId="12" xfId="35" applyNumberFormat="1" applyFont="1" applyFill="1" applyBorder="1"/>
    <xf numFmtId="165" fontId="293" fillId="51" borderId="58" xfId="35" applyNumberFormat="1" applyFont="1" applyFill="1" applyBorder="1" applyAlignment="1">
      <alignment horizontal="right" vertical="center"/>
    </xf>
    <xf numFmtId="0" fontId="44" fillId="0" borderId="33" xfId="0" applyFont="1" applyBorder="1"/>
    <xf numFmtId="0" fontId="313" fillId="0" borderId="0" xfId="0" applyFont="1" applyBorder="1" applyAlignment="1">
      <alignment horizontal="left" vertical="center"/>
    </xf>
    <xf numFmtId="0" fontId="311" fillId="50" borderId="128" xfId="0" applyFont="1" applyFill="1" applyBorder="1" applyAlignment="1">
      <alignment horizontal="center" vertical="center" wrapText="1"/>
    </xf>
    <xf numFmtId="0" fontId="322" fillId="57" borderId="128" xfId="0" applyFont="1" applyFill="1" applyBorder="1" applyAlignment="1">
      <alignment horizontal="center" vertical="center" wrapText="1"/>
    </xf>
    <xf numFmtId="0" fontId="289" fillId="0" borderId="12" xfId="1195" applyFont="1" applyBorder="1" applyAlignment="1">
      <alignment horizontal="left" vertical="center" wrapText="1"/>
    </xf>
    <xf numFmtId="0" fontId="311" fillId="0" borderId="48" xfId="0" applyFont="1" applyBorder="1" applyAlignment="1">
      <alignment horizontal="center" vertical="center"/>
    </xf>
    <xf numFmtId="0" fontId="322" fillId="0" borderId="126" xfId="0" applyFont="1" applyBorder="1" applyAlignment="1">
      <alignment horizontal="center" vertical="center"/>
    </xf>
    <xf numFmtId="0" fontId="289" fillId="0" borderId="22" xfId="1195" applyFont="1" applyBorder="1" applyAlignment="1">
      <alignment horizontal="left" vertical="center" wrapText="1"/>
    </xf>
    <xf numFmtId="0" fontId="311" fillId="0" borderId="0" xfId="1195" applyFont="1" applyFill="1" applyBorder="1" applyAlignment="1">
      <alignment vertical="center"/>
    </xf>
    <xf numFmtId="0" fontId="311" fillId="0" borderId="0" xfId="0" applyFont="1" applyFill="1" applyBorder="1" applyAlignment="1">
      <alignment horizontal="center" vertical="center" wrapText="1"/>
    </xf>
    <xf numFmtId="0" fontId="322" fillId="0" borderId="0" xfId="0" applyFont="1" applyFill="1" applyBorder="1" applyAlignment="1">
      <alignment horizontal="center" vertical="center" wrapText="1"/>
    </xf>
    <xf numFmtId="0" fontId="322" fillId="0" borderId="0" xfId="0" applyFont="1" applyBorder="1" applyAlignment="1">
      <alignment horizontal="left" vertical="center"/>
    </xf>
    <xf numFmtId="0" fontId="311" fillId="50" borderId="128" xfId="0" applyFont="1" applyFill="1" applyBorder="1" applyAlignment="1">
      <alignment horizontal="center" vertical="center" wrapText="1"/>
    </xf>
    <xf numFmtId="0" fontId="311" fillId="0" borderId="12" xfId="1195" applyFont="1" applyBorder="1" applyAlignment="1">
      <alignment horizontal="center" vertical="center"/>
    </xf>
    <xf numFmtId="0" fontId="289" fillId="0" borderId="11" xfId="1195" applyFont="1" applyBorder="1" applyAlignment="1">
      <alignment horizontal="left" vertical="center" wrapText="1"/>
    </xf>
    <xf numFmtId="0" fontId="311" fillId="0" borderId="0" xfId="0" applyFont="1" applyFill="1" applyBorder="1" applyAlignment="1">
      <alignment horizontal="left" vertical="center" wrapText="1"/>
    </xf>
    <xf numFmtId="0" fontId="289" fillId="0" borderId="0" xfId="0" applyFont="1" applyFill="1" applyBorder="1" applyAlignment="1">
      <alignment horizontal="left" vertical="center" wrapText="1"/>
    </xf>
    <xf numFmtId="0" fontId="288" fillId="0" borderId="0" xfId="0" applyFont="1" applyFill="1" applyBorder="1" applyAlignment="1">
      <alignment horizontal="left" vertical="center" wrapText="1"/>
    </xf>
    <xf numFmtId="0" fontId="262" fillId="0" borderId="0" xfId="0" applyFont="1" applyFill="1" applyBorder="1" applyAlignment="1">
      <alignment horizontal="left" vertical="center" wrapText="1"/>
    </xf>
    <xf numFmtId="0" fontId="311" fillId="0" borderId="18" xfId="0" applyFont="1" applyFill="1" applyBorder="1" applyAlignment="1">
      <alignment horizontal="left" vertical="center" wrapText="1"/>
    </xf>
    <xf numFmtId="0" fontId="262" fillId="0" borderId="12" xfId="1195" applyFont="1" applyBorder="1"/>
    <xf numFmtId="0" fontId="322" fillId="0" borderId="48" xfId="0" applyFont="1" applyBorder="1" applyAlignment="1">
      <alignment horizontal="center" vertical="center"/>
    </xf>
    <xf numFmtId="0" fontId="322" fillId="50" borderId="117" xfId="0" applyFont="1" applyFill="1" applyBorder="1" applyAlignment="1">
      <alignment horizontal="center" vertical="center" wrapText="1"/>
    </xf>
    <xf numFmtId="0" fontId="340" fillId="0" borderId="87" xfId="0" applyFont="1" applyBorder="1" applyAlignment="1">
      <alignment vertical="center" wrapText="1"/>
    </xf>
    <xf numFmtId="0" fontId="31" fillId="0" borderId="44" xfId="0" applyFont="1" applyBorder="1" applyAlignment="1">
      <alignment vertical="center" wrapText="1"/>
    </xf>
    <xf numFmtId="0" fontId="340" fillId="0" borderId="72" xfId="0" applyFont="1" applyBorder="1" applyAlignment="1">
      <alignment vertical="center" wrapText="1"/>
    </xf>
    <xf numFmtId="0" fontId="340" fillId="0" borderId="44" xfId="0" applyFont="1" applyBorder="1" applyAlignment="1">
      <alignment vertical="center" wrapText="1"/>
    </xf>
    <xf numFmtId="0" fontId="340" fillId="0" borderId="41" xfId="0" applyFont="1" applyBorder="1" applyAlignment="1">
      <alignment vertical="center" wrapText="1"/>
    </xf>
    <xf numFmtId="0" fontId="340" fillId="0" borderId="44" xfId="0" applyFont="1" applyBorder="1" applyAlignment="1">
      <alignment vertical="center"/>
    </xf>
    <xf numFmtId="0" fontId="256" fillId="0" borderId="44" xfId="0" applyFont="1" applyBorder="1" applyAlignment="1">
      <alignment vertical="center"/>
    </xf>
    <xf numFmtId="0" fontId="322" fillId="0" borderId="87" xfId="0" applyFont="1" applyBorder="1" applyAlignment="1">
      <alignment horizontal="center" vertical="center"/>
    </xf>
    <xf numFmtId="0" fontId="205" fillId="0" borderId="87" xfId="0" applyFont="1" applyBorder="1" applyAlignment="1">
      <alignment horizontal="center" vertical="center"/>
    </xf>
    <xf numFmtId="0" fontId="322" fillId="0" borderId="12" xfId="0" applyFont="1" applyBorder="1" applyAlignment="1">
      <alignment vertical="center"/>
    </xf>
    <xf numFmtId="0" fontId="256" fillId="0" borderId="12" xfId="0" applyFont="1" applyBorder="1" applyAlignment="1">
      <alignment vertical="center" wrapText="1"/>
    </xf>
    <xf numFmtId="0" fontId="205" fillId="0" borderId="12" xfId="0" applyFont="1" applyBorder="1" applyAlignment="1">
      <alignment vertical="center" wrapText="1"/>
    </xf>
    <xf numFmtId="0" fontId="329" fillId="0" borderId="12" xfId="0" applyFont="1" applyBorder="1" applyAlignment="1">
      <alignment vertical="center" wrapText="1"/>
    </xf>
    <xf numFmtId="0" fontId="341" fillId="0" borderId="117" xfId="0" applyFont="1" applyBorder="1" applyAlignment="1">
      <alignment horizontal="center" vertical="center"/>
    </xf>
    <xf numFmtId="0" fontId="256" fillId="0" borderId="12" xfId="0" applyFont="1" applyBorder="1" applyAlignment="1">
      <alignment horizontal="center" vertical="center" wrapText="1"/>
    </xf>
    <xf numFmtId="0" fontId="31" fillId="0" borderId="11" xfId="0" applyFont="1" applyBorder="1" applyAlignment="1">
      <alignment horizontal="center" vertical="center"/>
    </xf>
    <xf numFmtId="0" fontId="31" fillId="0" borderId="22" xfId="0" applyFont="1" applyBorder="1" applyAlignment="1">
      <alignment horizontal="center" vertical="center"/>
    </xf>
    <xf numFmtId="0" fontId="31" fillId="20" borderId="57" xfId="0" applyFont="1" applyFill="1" applyBorder="1" applyAlignment="1">
      <alignment horizontal="center" vertical="center"/>
    </xf>
    <xf numFmtId="0" fontId="31" fillId="20" borderId="12" xfId="0" applyFont="1" applyFill="1" applyBorder="1" applyAlignment="1">
      <alignment horizontal="center" vertical="center"/>
    </xf>
    <xf numFmtId="0" fontId="31" fillId="24" borderId="57" xfId="0" applyFont="1" applyFill="1" applyBorder="1" applyAlignment="1">
      <alignment horizontal="center" vertical="center"/>
    </xf>
    <xf numFmtId="0" fontId="31" fillId="24" borderId="12" xfId="0" applyFont="1" applyFill="1" applyBorder="1" applyAlignment="1">
      <alignment horizontal="center" vertical="center"/>
    </xf>
    <xf numFmtId="0" fontId="33" fillId="0" borderId="58" xfId="0" applyFont="1" applyFill="1" applyBorder="1" applyAlignment="1">
      <alignment horizontal="left"/>
    </xf>
    <xf numFmtId="0" fontId="33" fillId="0" borderId="71" xfId="0" applyFont="1" applyFill="1" applyBorder="1" applyAlignment="1">
      <alignment horizontal="left"/>
    </xf>
    <xf numFmtId="0" fontId="33" fillId="0" borderId="59" xfId="0" applyFont="1" applyFill="1" applyBorder="1" applyAlignment="1">
      <alignment horizontal="left"/>
    </xf>
    <xf numFmtId="0" fontId="32" fillId="0" borderId="11" xfId="0" applyFont="1" applyBorder="1" applyAlignment="1">
      <alignment horizontal="center" vertical="center"/>
    </xf>
    <xf numFmtId="0" fontId="32" fillId="0" borderId="22" xfId="0" applyFont="1" applyBorder="1" applyAlignment="1">
      <alignment horizontal="center" vertical="center"/>
    </xf>
    <xf numFmtId="0" fontId="60" fillId="25" borderId="63" xfId="0" applyFont="1" applyFill="1" applyBorder="1" applyAlignment="1">
      <alignment horizontal="center"/>
    </xf>
    <xf numFmtId="0" fontId="60" fillId="25" borderId="64" xfId="0" applyFont="1" applyFill="1" applyBorder="1" applyAlignment="1">
      <alignment horizontal="center"/>
    </xf>
    <xf numFmtId="0" fontId="60" fillId="25" borderId="53" xfId="0" applyFont="1" applyFill="1" applyBorder="1" applyAlignment="1">
      <alignment horizontal="center"/>
    </xf>
    <xf numFmtId="0" fontId="60" fillId="24" borderId="63" xfId="0" applyFont="1" applyFill="1" applyBorder="1" applyAlignment="1">
      <alignment horizontal="center"/>
    </xf>
    <xf numFmtId="0" fontId="60" fillId="24" borderId="64" xfId="0" applyFont="1" applyFill="1" applyBorder="1" applyAlignment="1">
      <alignment horizontal="center"/>
    </xf>
    <xf numFmtId="0" fontId="31" fillId="0" borderId="57" xfId="0" applyFont="1" applyBorder="1" applyAlignment="1">
      <alignment horizontal="center" vertical="center"/>
    </xf>
    <xf numFmtId="0" fontId="31" fillId="0" borderId="12" xfId="0" applyFont="1" applyBorder="1" applyAlignment="1">
      <alignment horizontal="center" vertical="center"/>
    </xf>
    <xf numFmtId="0" fontId="31" fillId="0" borderId="17" xfId="0" applyFont="1" applyBorder="1" applyAlignment="1">
      <alignment horizontal="center" vertical="center"/>
    </xf>
    <xf numFmtId="0" fontId="31" fillId="0" borderId="19" xfId="0" applyFont="1" applyBorder="1" applyAlignment="1">
      <alignment horizontal="center" vertical="center"/>
    </xf>
    <xf numFmtId="0" fontId="31" fillId="24" borderId="0" xfId="0" applyFont="1" applyFill="1" applyAlignment="1">
      <alignment horizontal="center" vertical="center"/>
    </xf>
    <xf numFmtId="0" fontId="56" fillId="0" borderId="0" xfId="0" applyFont="1" applyAlignment="1">
      <alignment horizontal="center"/>
    </xf>
    <xf numFmtId="0" fontId="186" fillId="0" borderId="0" xfId="0" applyNumberFormat="1" applyFont="1" applyFill="1" applyAlignment="1">
      <alignment horizontal="left" wrapText="1"/>
    </xf>
    <xf numFmtId="0" fontId="208" fillId="0" borderId="0" xfId="0" applyFont="1" applyBorder="1" applyAlignment="1">
      <alignment horizontal="center"/>
    </xf>
    <xf numFmtId="0" fontId="183" fillId="0" borderId="0" xfId="0" applyFont="1" applyAlignment="1">
      <alignment horizontal="center" vertical="top"/>
    </xf>
    <xf numFmtId="165" fontId="60" fillId="0" borderId="0" xfId="35" applyNumberFormat="1" applyFont="1" applyFill="1" applyAlignment="1">
      <alignment horizontal="center"/>
    </xf>
    <xf numFmtId="0" fontId="39" fillId="24" borderId="35" xfId="0" applyFont="1" applyFill="1" applyBorder="1" applyAlignment="1">
      <alignment horizontal="center" vertical="center"/>
    </xf>
    <xf numFmtId="0" fontId="39" fillId="24" borderId="36" xfId="0" applyFont="1" applyFill="1" applyBorder="1" applyAlignment="1">
      <alignment horizontal="center" vertical="center"/>
    </xf>
    <xf numFmtId="0" fontId="39" fillId="24" borderId="37" xfId="0" applyFont="1" applyFill="1" applyBorder="1" applyAlignment="1">
      <alignment horizontal="center" vertical="center"/>
    </xf>
    <xf numFmtId="0" fontId="29" fillId="0" borderId="35" xfId="0" applyFont="1" applyFill="1" applyBorder="1" applyAlignment="1">
      <alignment horizontal="center"/>
    </xf>
    <xf numFmtId="0" fontId="29" fillId="0" borderId="36" xfId="0" applyFont="1" applyFill="1" applyBorder="1" applyAlignment="1">
      <alignment horizontal="center"/>
    </xf>
    <xf numFmtId="0" fontId="29" fillId="0" borderId="37" xfId="0" applyFont="1" applyFill="1" applyBorder="1" applyAlignment="1">
      <alignment horizontal="center"/>
    </xf>
    <xf numFmtId="0" fontId="32" fillId="0" borderId="12" xfId="0" applyFont="1" applyFill="1" applyBorder="1" applyAlignment="1">
      <alignment horizontal="center"/>
    </xf>
    <xf numFmtId="0" fontId="33" fillId="0" borderId="12" xfId="0" applyFont="1" applyFill="1" applyBorder="1" applyAlignment="1">
      <alignment horizontal="center"/>
    </xf>
    <xf numFmtId="0" fontId="289" fillId="0" borderId="73" xfId="0" applyFont="1" applyBorder="1" applyAlignment="1">
      <alignment horizontal="left" vertical="center" wrapText="1"/>
    </xf>
    <xf numFmtId="0" fontId="289" fillId="0" borderId="0" xfId="0" applyFont="1" applyBorder="1" applyAlignment="1">
      <alignment horizontal="left" vertical="center" wrapText="1"/>
    </xf>
    <xf numFmtId="0" fontId="32" fillId="0" borderId="10" xfId="0" applyFont="1" applyBorder="1" applyAlignment="1">
      <alignment horizontal="center"/>
    </xf>
    <xf numFmtId="0" fontId="32" fillId="0" borderId="29" xfId="0" applyFont="1" applyBorder="1" applyAlignment="1">
      <alignment horizontal="center"/>
    </xf>
    <xf numFmtId="0" fontId="32" fillId="0" borderId="24" xfId="0" applyFont="1" applyBorder="1" applyAlignment="1">
      <alignment horizontal="center"/>
    </xf>
    <xf numFmtId="0" fontId="68" fillId="24" borderId="39" xfId="0" applyFont="1" applyFill="1" applyBorder="1" applyAlignment="1">
      <alignment horizontal="center"/>
    </xf>
    <xf numFmtId="0" fontId="68" fillId="24" borderId="40" xfId="0" applyFont="1" applyFill="1" applyBorder="1" applyAlignment="1">
      <alignment horizontal="center"/>
    </xf>
    <xf numFmtId="0" fontId="68" fillId="24" borderId="41" xfId="0" applyFont="1" applyFill="1" applyBorder="1" applyAlignment="1">
      <alignment horizontal="center"/>
    </xf>
    <xf numFmtId="0" fontId="38" fillId="0" borderId="12" xfId="0" applyFont="1" applyBorder="1" applyAlignment="1">
      <alignment horizontal="center"/>
    </xf>
    <xf numFmtId="0" fontId="41" fillId="0" borderId="0" xfId="0" applyFont="1" applyAlignment="1">
      <alignment horizontal="left" vertical="top" wrapText="1"/>
    </xf>
    <xf numFmtId="0" fontId="31" fillId="24" borderId="10" xfId="0" applyFont="1" applyFill="1" applyBorder="1" applyAlignment="1">
      <alignment horizontal="center" vertical="center"/>
    </xf>
    <xf numFmtId="0" fontId="31" fillId="24" borderId="29" xfId="0" applyFont="1" applyFill="1" applyBorder="1" applyAlignment="1">
      <alignment horizontal="center" vertical="center"/>
    </xf>
    <xf numFmtId="0" fontId="31" fillId="24" borderId="24" xfId="0" applyFont="1" applyFill="1" applyBorder="1" applyAlignment="1">
      <alignment horizontal="center" vertical="center"/>
    </xf>
    <xf numFmtId="0" fontId="31" fillId="0" borderId="12" xfId="0" applyFont="1" applyBorder="1" applyAlignment="1">
      <alignment horizontal="center"/>
    </xf>
    <xf numFmtId="0" fontId="32" fillId="0" borderId="10" xfId="0" applyFont="1" applyBorder="1" applyAlignment="1">
      <alignment horizontal="center" wrapText="1"/>
    </xf>
    <xf numFmtId="0" fontId="32" fillId="0" borderId="24" xfId="0" applyFont="1" applyBorder="1" applyAlignment="1">
      <alignment horizontal="center" wrapText="1"/>
    </xf>
    <xf numFmtId="0" fontId="147" fillId="24" borderId="0" xfId="0" applyFont="1" applyFill="1" applyBorder="1" applyAlignment="1">
      <alignment horizontal="center"/>
    </xf>
    <xf numFmtId="0" fontId="121" fillId="0" borderId="0" xfId="0" applyFont="1" applyBorder="1" applyAlignment="1">
      <alignment horizontal="center"/>
    </xf>
    <xf numFmtId="0" fontId="124" fillId="0" borderId="0" xfId="0" applyFont="1" applyBorder="1" applyAlignment="1">
      <alignment horizontal="center"/>
    </xf>
    <xf numFmtId="0" fontId="44" fillId="0" borderId="0" xfId="0" applyFont="1" applyAlignment="1">
      <alignment horizontal="left" wrapText="1"/>
    </xf>
    <xf numFmtId="0" fontId="41" fillId="0" borderId="0" xfId="0" applyFont="1" applyBorder="1" applyAlignment="1">
      <alignment horizontal="center"/>
    </xf>
    <xf numFmtId="165" fontId="119" fillId="0" borderId="0" xfId="35" applyNumberFormat="1" applyFont="1" applyBorder="1" applyAlignment="1">
      <alignment horizontal="center"/>
    </xf>
    <xf numFmtId="0" fontId="31" fillId="24" borderId="35" xfId="0" applyFont="1" applyFill="1" applyBorder="1" applyAlignment="1">
      <alignment horizontal="center"/>
    </xf>
    <xf numFmtId="0" fontId="31" fillId="24" borderId="36" xfId="0" applyFont="1" applyFill="1" applyBorder="1" applyAlignment="1">
      <alignment horizontal="center"/>
    </xf>
    <xf numFmtId="0" fontId="31" fillId="24" borderId="37" xfId="0" applyFont="1" applyFill="1" applyBorder="1" applyAlignment="1">
      <alignment horizontal="center"/>
    </xf>
    <xf numFmtId="0" fontId="36" fillId="0" borderId="10" xfId="0" applyFont="1" applyFill="1" applyBorder="1" applyAlignment="1">
      <alignment horizontal="center"/>
    </xf>
    <xf numFmtId="0" fontId="36" fillId="0" borderId="24" xfId="0" applyFont="1" applyFill="1" applyBorder="1" applyAlignment="1">
      <alignment horizontal="center"/>
    </xf>
    <xf numFmtId="0" fontId="36" fillId="20" borderId="10" xfId="0" applyFont="1" applyFill="1" applyBorder="1" applyAlignment="1">
      <alignment horizontal="center"/>
    </xf>
    <xf numFmtId="0" fontId="36" fillId="20" borderId="29" xfId="0" applyFont="1" applyFill="1" applyBorder="1" applyAlignment="1">
      <alignment horizontal="center"/>
    </xf>
    <xf numFmtId="0" fontId="36" fillId="20" borderId="24" xfId="0" applyFont="1" applyFill="1" applyBorder="1" applyAlignment="1">
      <alignment horizontal="center"/>
    </xf>
    <xf numFmtId="0" fontId="162" fillId="20" borderId="10" xfId="0" applyFont="1" applyFill="1" applyBorder="1" applyAlignment="1">
      <alignment horizontal="center" vertical="center"/>
    </xf>
    <xf numFmtId="0" fontId="162" fillId="20" borderId="29" xfId="0" applyFont="1" applyFill="1" applyBorder="1" applyAlignment="1">
      <alignment horizontal="center" vertical="center"/>
    </xf>
    <xf numFmtId="0" fontId="162" fillId="20" borderId="24" xfId="0" applyFont="1" applyFill="1" applyBorder="1" applyAlignment="1">
      <alignment horizontal="center" vertical="center"/>
    </xf>
    <xf numFmtId="0" fontId="31" fillId="0" borderId="35" xfId="0" applyFont="1" applyFill="1" applyBorder="1" applyAlignment="1">
      <alignment horizontal="center" vertical="center"/>
    </xf>
    <xf numFmtId="0" fontId="31" fillId="0" borderId="36" xfId="0" applyFont="1" applyFill="1" applyBorder="1" applyAlignment="1">
      <alignment horizontal="center" vertical="center"/>
    </xf>
    <xf numFmtId="0" fontId="31" fillId="0" borderId="37" xfId="0" applyFont="1" applyFill="1" applyBorder="1" applyAlignment="1">
      <alignment horizontal="center" vertical="center"/>
    </xf>
    <xf numFmtId="0" fontId="33" fillId="20" borderId="10" xfId="0" applyFont="1" applyFill="1" applyBorder="1" applyAlignment="1">
      <alignment horizontal="center"/>
    </xf>
    <xf numFmtId="0" fontId="33" fillId="20" borderId="24" xfId="0" applyFont="1" applyFill="1" applyBorder="1" applyAlignment="1">
      <alignment horizontal="center"/>
    </xf>
    <xf numFmtId="0" fontId="36" fillId="29" borderId="10" xfId="0" applyFont="1" applyFill="1" applyBorder="1" applyAlignment="1">
      <alignment horizontal="center"/>
    </xf>
    <xf numFmtId="0" fontId="36" fillId="29" borderId="29" xfId="0" applyFont="1" applyFill="1" applyBorder="1" applyAlignment="1">
      <alignment horizontal="center"/>
    </xf>
    <xf numFmtId="0" fontId="36" fillId="26" borderId="10" xfId="0" applyFont="1" applyFill="1" applyBorder="1" applyAlignment="1">
      <alignment horizontal="center"/>
    </xf>
    <xf numFmtId="0" fontId="36" fillId="26" borderId="29" xfId="0" applyFont="1" applyFill="1" applyBorder="1" applyAlignment="1">
      <alignment horizontal="center"/>
    </xf>
    <xf numFmtId="20" fontId="31" fillId="24" borderId="10" xfId="0" applyNumberFormat="1" applyFont="1" applyFill="1" applyBorder="1" applyAlignment="1">
      <alignment horizontal="center"/>
    </xf>
    <xf numFmtId="20" fontId="31" fillId="24" borderId="29" xfId="0" applyNumberFormat="1" applyFont="1" applyFill="1" applyBorder="1" applyAlignment="1">
      <alignment horizontal="center"/>
    </xf>
    <xf numFmtId="20" fontId="31" fillId="24" borderId="24" xfId="0" applyNumberFormat="1" applyFont="1" applyFill="1" applyBorder="1" applyAlignment="1">
      <alignment horizontal="center"/>
    </xf>
    <xf numFmtId="0" fontId="31" fillId="24" borderId="10" xfId="0" applyFont="1" applyFill="1" applyBorder="1" applyAlignment="1">
      <alignment horizontal="center"/>
    </xf>
    <xf numFmtId="0" fontId="31" fillId="24" borderId="29" xfId="0" applyFont="1" applyFill="1" applyBorder="1" applyAlignment="1">
      <alignment horizontal="center"/>
    </xf>
    <xf numFmtId="0" fontId="31" fillId="24" borderId="24" xfId="0" applyFont="1" applyFill="1" applyBorder="1" applyAlignment="1">
      <alignment horizontal="center"/>
    </xf>
    <xf numFmtId="0" fontId="56" fillId="25" borderId="35" xfId="0" applyFont="1" applyFill="1" applyBorder="1" applyAlignment="1">
      <alignment horizontal="center" vertical="center"/>
    </xf>
    <xf numFmtId="0" fontId="56" fillId="25" borderId="36" xfId="0" applyFont="1" applyFill="1" applyBorder="1" applyAlignment="1">
      <alignment horizontal="center" vertical="center"/>
    </xf>
    <xf numFmtId="0" fontId="56" fillId="25" borderId="37" xfId="0" applyFont="1" applyFill="1" applyBorder="1" applyAlignment="1">
      <alignment horizontal="center" vertical="center"/>
    </xf>
    <xf numFmtId="0" fontId="52" fillId="0" borderId="80" xfId="0" applyFont="1" applyBorder="1" applyAlignment="1">
      <alignment horizontal="left"/>
    </xf>
    <xf numFmtId="0" fontId="52" fillId="0" borderId="82" xfId="0" applyFont="1" applyBorder="1" applyAlignment="1">
      <alignment horizontal="left"/>
    </xf>
    <xf numFmtId="0" fontId="52" fillId="0" borderId="81" xfId="0" applyFont="1" applyBorder="1" applyAlignment="1">
      <alignment horizontal="left"/>
    </xf>
    <xf numFmtId="0" fontId="52" fillId="22" borderId="80" xfId="0" applyFont="1" applyFill="1" applyBorder="1" applyAlignment="1">
      <alignment horizontal="left"/>
    </xf>
    <xf numFmtId="0" fontId="52" fillId="22" borderId="82" xfId="0" applyFont="1" applyFill="1" applyBorder="1" applyAlignment="1">
      <alignment horizontal="left"/>
    </xf>
    <xf numFmtId="0" fontId="52" fillId="22" borderId="81" xfId="0" applyFont="1" applyFill="1" applyBorder="1" applyAlignment="1">
      <alignment horizontal="left"/>
    </xf>
    <xf numFmtId="0" fontId="52" fillId="0" borderId="80" xfId="0" applyFont="1" applyBorder="1" applyAlignment="1"/>
    <xf numFmtId="0" fontId="52" fillId="0" borderId="82" xfId="0" applyFont="1" applyBorder="1" applyAlignment="1"/>
    <xf numFmtId="0" fontId="52" fillId="0" borderId="81" xfId="0" applyFont="1" applyBorder="1" applyAlignment="1"/>
    <xf numFmtId="0" fontId="52" fillId="0" borderId="80" xfId="0" applyFont="1" applyFill="1" applyBorder="1" applyAlignment="1"/>
    <xf numFmtId="0" fontId="52" fillId="0" borderId="82" xfId="0" applyFont="1" applyFill="1" applyBorder="1" applyAlignment="1"/>
    <xf numFmtId="0" fontId="52" fillId="0" borderId="81" xfId="0" applyFont="1" applyFill="1" applyBorder="1" applyAlignment="1"/>
    <xf numFmtId="3" fontId="100" fillId="28" borderId="0" xfId="0" applyNumberFormat="1" applyFont="1" applyFill="1" applyBorder="1" applyAlignment="1">
      <alignment horizontal="center"/>
    </xf>
    <xf numFmtId="3" fontId="100" fillId="28" borderId="0" xfId="35" applyNumberFormat="1" applyFont="1" applyFill="1" applyBorder="1" applyAlignment="1">
      <alignment horizontal="center"/>
    </xf>
    <xf numFmtId="0" fontId="97" fillId="0" borderId="0" xfId="0" applyFont="1" applyAlignment="1">
      <alignment horizontal="center"/>
    </xf>
    <xf numFmtId="3" fontId="54" fillId="24" borderId="13" xfId="0" applyNumberFormat="1" applyFont="1" applyFill="1" applyBorder="1" applyAlignment="1">
      <alignment horizontal="center"/>
    </xf>
    <xf numFmtId="3" fontId="54" fillId="24" borderId="0" xfId="0" applyNumberFormat="1" applyFont="1" applyFill="1" applyBorder="1" applyAlignment="1">
      <alignment horizontal="center"/>
    </xf>
    <xf numFmtId="3" fontId="54" fillId="0" borderId="79" xfId="0" applyNumberFormat="1" applyFont="1" applyBorder="1" applyAlignment="1">
      <alignment horizontal="center"/>
    </xf>
    <xf numFmtId="3" fontId="54" fillId="0" borderId="80" xfId="0" applyNumberFormat="1" applyFont="1" applyBorder="1" applyAlignment="1">
      <alignment horizontal="center"/>
    </xf>
    <xf numFmtId="3" fontId="54" fillId="0" borderId="108" xfId="0" applyNumberFormat="1" applyFont="1" applyBorder="1" applyAlignment="1">
      <alignment horizontal="center"/>
    </xf>
    <xf numFmtId="164" fontId="54" fillId="0" borderId="108" xfId="35" applyFont="1" applyBorder="1" applyAlignment="1">
      <alignment horizontal="center"/>
    </xf>
    <xf numFmtId="3" fontId="54" fillId="35" borderId="80" xfId="0" applyNumberFormat="1" applyFont="1" applyFill="1" applyBorder="1" applyAlignment="1">
      <alignment horizontal="center"/>
    </xf>
    <xf numFmtId="3" fontId="54" fillId="35" borderId="82" xfId="0" applyNumberFormat="1" applyFont="1" applyFill="1" applyBorder="1" applyAlignment="1">
      <alignment horizontal="center"/>
    </xf>
    <xf numFmtId="3" fontId="54" fillId="35" borderId="81" xfId="0" applyNumberFormat="1" applyFont="1" applyFill="1" applyBorder="1" applyAlignment="1">
      <alignment horizontal="center"/>
    </xf>
    <xf numFmtId="0" fontId="54" fillId="0" borderId="80" xfId="0" applyFont="1" applyBorder="1" applyAlignment="1">
      <alignment horizontal="center"/>
    </xf>
    <xf numFmtId="0" fontId="54" fillId="0" borderId="82" xfId="0" applyFont="1" applyBorder="1" applyAlignment="1">
      <alignment horizontal="center"/>
    </xf>
    <xf numFmtId="0" fontId="54" fillId="0" borderId="81" xfId="0" applyFont="1" applyBorder="1" applyAlignment="1">
      <alignment horizontal="center"/>
    </xf>
    <xf numFmtId="165" fontId="31" fillId="0" borderId="11" xfId="35" applyNumberFormat="1" applyFont="1" applyBorder="1" applyAlignment="1">
      <alignment horizontal="center" vertical="center" wrapText="1"/>
    </xf>
    <xf numFmtId="165" fontId="31" fillId="0" borderId="21" xfId="35" applyNumberFormat="1" applyFont="1" applyBorder="1" applyAlignment="1">
      <alignment horizontal="center" vertical="center" wrapText="1"/>
    </xf>
    <xf numFmtId="165" fontId="31" fillId="0" borderId="22" xfId="35" applyNumberFormat="1" applyFont="1" applyBorder="1" applyAlignment="1">
      <alignment horizontal="center" vertical="center" wrapText="1"/>
    </xf>
    <xf numFmtId="165" fontId="31" fillId="0" borderId="11" xfId="35" applyNumberFormat="1" applyFont="1" applyFill="1" applyBorder="1" applyAlignment="1">
      <alignment horizontal="center" vertical="center" wrapText="1"/>
    </xf>
    <xf numFmtId="165" fontId="31" fillId="0" borderId="21" xfId="35" applyNumberFormat="1" applyFont="1" applyFill="1" applyBorder="1" applyAlignment="1">
      <alignment horizontal="center" vertical="center" wrapText="1"/>
    </xf>
    <xf numFmtId="165" fontId="31" fillId="0" borderId="22" xfId="35" applyNumberFormat="1" applyFont="1" applyFill="1" applyBorder="1" applyAlignment="1">
      <alignment horizontal="center" vertical="center" wrapText="1"/>
    </xf>
    <xf numFmtId="165" fontId="38" fillId="0" borderId="11" xfId="35" applyNumberFormat="1" applyFont="1" applyBorder="1" applyAlignment="1">
      <alignment horizontal="center" vertical="center" wrapText="1"/>
    </xf>
    <xf numFmtId="165" fontId="38" fillId="0" borderId="21" xfId="35" applyNumberFormat="1" applyFont="1" applyBorder="1" applyAlignment="1">
      <alignment horizontal="center" vertical="center" wrapText="1"/>
    </xf>
    <xf numFmtId="165" fontId="38" fillId="0" borderId="22" xfId="35" applyNumberFormat="1" applyFont="1" applyBorder="1" applyAlignment="1">
      <alignment horizontal="center" vertical="center" wrapText="1"/>
    </xf>
    <xf numFmtId="165" fontId="31" fillId="34" borderId="11" xfId="35" applyNumberFormat="1" applyFont="1" applyFill="1" applyBorder="1" applyAlignment="1">
      <alignment horizontal="center" vertical="center" wrapText="1"/>
    </xf>
    <xf numFmtId="165" fontId="31" fillId="34" borderId="21" xfId="35" applyNumberFormat="1" applyFont="1" applyFill="1" applyBorder="1" applyAlignment="1">
      <alignment horizontal="center" vertical="center" wrapText="1"/>
    </xf>
    <xf numFmtId="165" fontId="31" fillId="34" borderId="22" xfId="35" applyNumberFormat="1" applyFont="1" applyFill="1" applyBorder="1" applyAlignment="1">
      <alignment horizontal="center" vertical="center" wrapText="1"/>
    </xf>
    <xf numFmtId="165" fontId="42" fillId="32" borderId="11" xfId="35" applyNumberFormat="1" applyFont="1" applyFill="1" applyBorder="1" applyAlignment="1">
      <alignment horizontal="center" vertical="center" wrapText="1"/>
    </xf>
    <xf numFmtId="165" fontId="42" fillId="32" borderId="21" xfId="35" applyNumberFormat="1" applyFont="1" applyFill="1" applyBorder="1" applyAlignment="1">
      <alignment horizontal="center" vertical="center" wrapText="1"/>
    </xf>
    <xf numFmtId="165" fontId="42" fillId="32" borderId="22" xfId="35" applyNumberFormat="1" applyFont="1" applyFill="1" applyBorder="1" applyAlignment="1">
      <alignment horizontal="center" vertical="center" wrapText="1"/>
    </xf>
    <xf numFmtId="165" fontId="31" fillId="0" borderId="10" xfId="35" applyNumberFormat="1" applyFont="1" applyBorder="1" applyAlignment="1">
      <alignment horizontal="center" wrapText="1"/>
    </xf>
    <xf numFmtId="165" fontId="31" fillId="0" borderId="24" xfId="35" applyNumberFormat="1" applyFont="1" applyBorder="1" applyAlignment="1">
      <alignment horizontal="center" wrapText="1"/>
    </xf>
    <xf numFmtId="165" fontId="30" fillId="0" borderId="0" xfId="35" applyNumberFormat="1" applyFont="1" applyFill="1" applyBorder="1" applyAlignment="1">
      <alignment horizontal="center" vertical="center"/>
    </xf>
    <xf numFmtId="165" fontId="30" fillId="0" borderId="0" xfId="35" applyNumberFormat="1" applyFont="1" applyBorder="1" applyAlignment="1">
      <alignment horizontal="center"/>
    </xf>
    <xf numFmtId="0" fontId="45" fillId="0" borderId="35" xfId="0" applyFont="1" applyBorder="1" applyAlignment="1">
      <alignment horizontal="center"/>
    </xf>
    <xf numFmtId="0" fontId="45" fillId="0" borderId="105" xfId="0" applyFont="1" applyBorder="1" applyAlignment="1">
      <alignment horizontal="center"/>
    </xf>
    <xf numFmtId="0" fontId="45" fillId="0" borderId="48" xfId="0" applyFont="1" applyBorder="1" applyAlignment="1">
      <alignment horizontal="center" vertical="center"/>
    </xf>
    <xf numFmtId="0" fontId="45" fillId="0" borderId="87" xfId="0" applyFont="1" applyBorder="1" applyAlignment="1">
      <alignment horizontal="center" vertical="center"/>
    </xf>
    <xf numFmtId="0" fontId="45" fillId="0" borderId="88" xfId="0" applyFont="1" applyBorder="1" applyAlignment="1">
      <alignment horizontal="center" vertical="center"/>
    </xf>
    <xf numFmtId="165" fontId="34" fillId="0" borderId="11" xfId="35" applyNumberFormat="1" applyFont="1" applyBorder="1" applyAlignment="1">
      <alignment horizontal="center" vertical="center" wrapText="1"/>
    </xf>
    <xf numFmtId="165" fontId="34" fillId="0" borderId="21" xfId="35" applyNumberFormat="1" applyFont="1" applyBorder="1" applyAlignment="1">
      <alignment horizontal="center" vertical="center" wrapText="1"/>
    </xf>
    <xf numFmtId="165" fontId="34" fillId="0" borderId="22" xfId="35" applyNumberFormat="1" applyFont="1" applyBorder="1" applyAlignment="1">
      <alignment horizontal="center" vertical="center" wrapText="1"/>
    </xf>
    <xf numFmtId="165" fontId="29" fillId="0" borderId="11" xfId="35" applyNumberFormat="1" applyFont="1" applyBorder="1" applyAlignment="1">
      <alignment horizontal="center" vertical="center" wrapText="1"/>
    </xf>
    <xf numFmtId="165" fontId="29" fillId="0" borderId="21" xfId="35" applyNumberFormat="1" applyFont="1" applyBorder="1" applyAlignment="1">
      <alignment horizontal="center" vertical="center" wrapText="1"/>
    </xf>
    <xf numFmtId="165" fontId="29" fillId="0" borderId="22" xfId="35" applyNumberFormat="1" applyFont="1" applyBorder="1" applyAlignment="1">
      <alignment horizontal="center" vertical="center" wrapText="1"/>
    </xf>
    <xf numFmtId="0" fontId="58" fillId="0" borderId="35" xfId="0" applyFont="1" applyBorder="1" applyAlignment="1">
      <alignment horizontal="center" vertical="center" wrapText="1"/>
    </xf>
    <xf numFmtId="0" fontId="58" fillId="0" borderId="36" xfId="0" applyFont="1" applyBorder="1" applyAlignment="1">
      <alignment horizontal="center" vertical="center" wrapText="1"/>
    </xf>
    <xf numFmtId="165" fontId="56" fillId="0" borderId="0" xfId="0" applyNumberFormat="1" applyFont="1" applyBorder="1" applyAlignment="1">
      <alignment horizontal="center" wrapText="1"/>
    </xf>
    <xf numFmtId="0" fontId="58" fillId="0" borderId="41" xfId="0" applyFont="1" applyBorder="1" applyAlignment="1">
      <alignment horizontal="center" vertical="center" wrapText="1"/>
    </xf>
    <xf numFmtId="0" fontId="58" fillId="0" borderId="44" xfId="0" applyFont="1" applyBorder="1" applyAlignment="1">
      <alignment horizontal="center" vertical="center" wrapText="1"/>
    </xf>
    <xf numFmtId="0" fontId="58" fillId="24" borderId="0" xfId="0" applyFont="1" applyFill="1" applyBorder="1" applyAlignment="1">
      <alignment horizontal="center" vertical="center"/>
    </xf>
    <xf numFmtId="0" fontId="58" fillId="0" borderId="12" xfId="0" applyFont="1" applyBorder="1" applyAlignment="1">
      <alignment horizontal="center" vertical="center" wrapText="1"/>
    </xf>
    <xf numFmtId="0" fontId="41" fillId="0" borderId="0" xfId="0" applyFont="1" applyBorder="1" applyAlignment="1">
      <alignment horizontal="left" vertical="top" wrapText="1"/>
    </xf>
    <xf numFmtId="165" fontId="193" fillId="24" borderId="35" xfId="35" applyNumberFormat="1" applyFont="1" applyFill="1" applyBorder="1" applyAlignment="1">
      <alignment horizontal="left"/>
    </xf>
    <xf numFmtId="0" fontId="193" fillId="24" borderId="36" xfId="35" applyNumberFormat="1" applyFont="1" applyFill="1" applyBorder="1" applyAlignment="1">
      <alignment horizontal="left"/>
    </xf>
    <xf numFmtId="0" fontId="193" fillId="24" borderId="37" xfId="35" applyNumberFormat="1" applyFont="1" applyFill="1" applyBorder="1" applyAlignment="1">
      <alignment horizontal="left"/>
    </xf>
    <xf numFmtId="170" fontId="193" fillId="40" borderId="35" xfId="0" applyNumberFormat="1" applyFont="1" applyFill="1" applyBorder="1" applyAlignment="1">
      <alignment horizontal="center"/>
    </xf>
    <xf numFmtId="170" fontId="193" fillId="40" borderId="36" xfId="0" applyNumberFormat="1" applyFont="1" applyFill="1" applyBorder="1" applyAlignment="1">
      <alignment horizontal="center"/>
    </xf>
    <xf numFmtId="170" fontId="193" fillId="40" borderId="37" xfId="0" applyNumberFormat="1" applyFont="1" applyFill="1" applyBorder="1" applyAlignment="1">
      <alignment horizontal="center"/>
    </xf>
    <xf numFmtId="0" fontId="38" fillId="0" borderId="11" xfId="0" applyFont="1" applyBorder="1" applyAlignment="1">
      <alignment horizontal="center" vertical="center"/>
    </xf>
    <xf numFmtId="0" fontId="38" fillId="0" borderId="21" xfId="0" applyFont="1" applyBorder="1" applyAlignment="1">
      <alignment horizontal="center" vertical="center"/>
    </xf>
    <xf numFmtId="0" fontId="32" fillId="0" borderId="21" xfId="0" applyFont="1" applyBorder="1" applyAlignment="1">
      <alignment horizontal="center" vertical="center"/>
    </xf>
    <xf numFmtId="0" fontId="32" fillId="0" borderId="11" xfId="0" applyFont="1" applyFill="1" applyBorder="1" applyAlignment="1">
      <alignment horizontal="center" vertical="center"/>
    </xf>
    <xf numFmtId="0" fontId="32" fillId="0" borderId="22" xfId="0" applyFont="1" applyFill="1" applyBorder="1" applyAlignment="1">
      <alignment horizontal="center" vertical="center"/>
    </xf>
    <xf numFmtId="0" fontId="32" fillId="0" borderId="11" xfId="0" applyFont="1" applyBorder="1" applyAlignment="1">
      <alignment horizontal="center" vertical="center" wrapText="1"/>
    </xf>
    <xf numFmtId="0" fontId="32" fillId="0" borderId="21" xfId="0" applyFont="1" applyBorder="1" applyAlignment="1">
      <alignment horizontal="center" vertical="center" wrapText="1"/>
    </xf>
    <xf numFmtId="0" fontId="32" fillId="0" borderId="22" xfId="0" applyFont="1" applyBorder="1" applyAlignment="1">
      <alignment horizontal="center" vertical="center" wrapText="1"/>
    </xf>
    <xf numFmtId="0" fontId="29" fillId="0" borderId="11" xfId="0" applyFont="1" applyBorder="1" applyAlignment="1">
      <alignment horizontal="center" vertical="center"/>
    </xf>
    <xf numFmtId="0" fontId="29" fillId="0" borderId="22" xfId="0" applyFont="1" applyBorder="1" applyAlignment="1">
      <alignment horizontal="center" vertical="center"/>
    </xf>
    <xf numFmtId="0" fontId="31" fillId="0" borderId="11" xfId="0" applyFont="1" applyBorder="1" applyAlignment="1">
      <alignment horizontal="center" vertical="center" wrapText="1"/>
    </xf>
    <xf numFmtId="0" fontId="31" fillId="0" borderId="21" xfId="0" applyFont="1" applyBorder="1" applyAlignment="1">
      <alignment horizontal="center" vertical="center" wrapText="1"/>
    </xf>
    <xf numFmtId="0" fontId="31" fillId="0" borderId="22" xfId="0" applyFont="1" applyBorder="1" applyAlignment="1">
      <alignment horizontal="center" vertical="center" wrapText="1"/>
    </xf>
    <xf numFmtId="0" fontId="31" fillId="0" borderId="21" xfId="0" applyFont="1" applyBorder="1" applyAlignment="1">
      <alignment horizontal="center" vertical="center"/>
    </xf>
    <xf numFmtId="0" fontId="29" fillId="0" borderId="21" xfId="0" applyFont="1" applyBorder="1" applyAlignment="1">
      <alignment horizontal="center" vertical="center"/>
    </xf>
    <xf numFmtId="0" fontId="60" fillId="25" borderId="51" xfId="0" applyFont="1" applyFill="1" applyBorder="1" applyAlignment="1">
      <alignment horizontal="center"/>
    </xf>
    <xf numFmtId="0" fontId="60" fillId="25" borderId="70" xfId="0" applyFont="1" applyFill="1" applyBorder="1" applyAlignment="1">
      <alignment horizontal="center"/>
    </xf>
    <xf numFmtId="0" fontId="60" fillId="25" borderId="76" xfId="0" applyFont="1" applyFill="1" applyBorder="1" applyAlignment="1">
      <alignment horizontal="center"/>
    </xf>
    <xf numFmtId="0" fontId="60" fillId="24" borderId="51" xfId="0" applyFont="1" applyFill="1" applyBorder="1" applyAlignment="1">
      <alignment horizontal="center"/>
    </xf>
    <xf numFmtId="0" fontId="60" fillId="24" borderId="70" xfId="0" applyFont="1" applyFill="1" applyBorder="1" applyAlignment="1">
      <alignment horizontal="center"/>
    </xf>
    <xf numFmtId="0" fontId="60" fillId="24" borderId="52" xfId="0" applyFont="1" applyFill="1" applyBorder="1" applyAlignment="1">
      <alignment horizontal="center"/>
    </xf>
    <xf numFmtId="0" fontId="31" fillId="0" borderId="55" xfId="0" applyFont="1" applyBorder="1" applyAlignment="1">
      <alignment horizontal="center" vertical="center"/>
    </xf>
    <xf numFmtId="0" fontId="31" fillId="0" borderId="24" xfId="0" applyFont="1" applyBorder="1" applyAlignment="1">
      <alignment horizontal="center" vertical="center"/>
    </xf>
    <xf numFmtId="0" fontId="31" fillId="24" borderId="55" xfId="0" applyFont="1" applyFill="1" applyBorder="1" applyAlignment="1">
      <alignment horizontal="center" vertical="center"/>
    </xf>
    <xf numFmtId="0" fontId="31" fillId="20" borderId="55" xfId="0" applyFont="1" applyFill="1" applyBorder="1" applyAlignment="1">
      <alignment horizontal="center" vertical="center"/>
    </xf>
    <xf numFmtId="0" fontId="31" fillId="20" borderId="24" xfId="0" applyFont="1" applyFill="1" applyBorder="1" applyAlignment="1">
      <alignment horizontal="center" vertical="center"/>
    </xf>
    <xf numFmtId="0" fontId="36" fillId="0" borderId="64" xfId="0" applyFont="1" applyBorder="1" applyAlignment="1">
      <alignment horizontal="center"/>
    </xf>
    <xf numFmtId="0" fontId="36" fillId="0" borderId="63" xfId="0" applyFont="1" applyBorder="1" applyAlignment="1">
      <alignment horizontal="center" vertical="center"/>
    </xf>
    <xf numFmtId="0" fontId="36" fillId="0" borderId="64" xfId="0" applyFont="1" applyBorder="1" applyAlignment="1">
      <alignment horizontal="center" vertical="center"/>
    </xf>
    <xf numFmtId="0" fontId="215" fillId="0" borderId="77" xfId="0" applyFont="1" applyBorder="1" applyAlignment="1">
      <alignment horizontal="center"/>
    </xf>
    <xf numFmtId="0" fontId="215" fillId="0" borderId="54" xfId="0" applyFont="1" applyBorder="1" applyAlignment="1">
      <alignment horizontal="center"/>
    </xf>
    <xf numFmtId="0" fontId="38" fillId="0" borderId="11" xfId="0" applyFont="1" applyBorder="1" applyAlignment="1">
      <alignment horizontal="center" vertical="center" wrapText="1"/>
    </xf>
    <xf numFmtId="0" fontId="38" fillId="0" borderId="22" xfId="0" applyFont="1" applyBorder="1" applyAlignment="1">
      <alignment horizontal="center" vertical="center" wrapText="1"/>
    </xf>
    <xf numFmtId="0" fontId="0" fillId="0" borderId="22" xfId="0" applyBorder="1"/>
    <xf numFmtId="0" fontId="29" fillId="0" borderId="11" xfId="0" applyFont="1" applyBorder="1" applyAlignment="1">
      <alignment horizontal="center" vertical="center" wrapText="1"/>
    </xf>
    <xf numFmtId="0" fontId="29" fillId="0" borderId="22" xfId="0" applyFont="1" applyBorder="1" applyAlignment="1">
      <alignment horizontal="center" vertical="center" wrapText="1"/>
    </xf>
    <xf numFmtId="0" fontId="148" fillId="0" borderId="11" xfId="0" applyFont="1" applyBorder="1" applyAlignment="1">
      <alignment horizontal="center" vertical="center" wrapText="1"/>
    </xf>
    <xf numFmtId="0" fontId="148" fillId="0" borderId="21" xfId="0" applyFont="1" applyBorder="1" applyAlignment="1">
      <alignment horizontal="center" vertical="center" wrapText="1"/>
    </xf>
    <xf numFmtId="0" fontId="148" fillId="0" borderId="22" xfId="0" applyFont="1" applyBorder="1" applyAlignment="1">
      <alignment horizontal="center" vertical="center" wrapText="1"/>
    </xf>
    <xf numFmtId="0" fontId="38" fillId="0" borderId="22" xfId="0" applyFont="1" applyBorder="1" applyAlignment="1">
      <alignment horizontal="center" vertical="center"/>
    </xf>
    <xf numFmtId="0" fontId="38" fillId="0" borderId="21" xfId="0" applyFont="1" applyBorder="1" applyAlignment="1">
      <alignment horizontal="center" vertical="center" wrapText="1"/>
    </xf>
    <xf numFmtId="0" fontId="32" fillId="0" borderId="12" xfId="0" applyFont="1" applyBorder="1" applyAlignment="1">
      <alignment horizontal="center" vertical="center"/>
    </xf>
    <xf numFmtId="0" fontId="32" fillId="0" borderId="10" xfId="0" applyFont="1" applyBorder="1" applyAlignment="1">
      <alignment horizontal="center" vertical="center"/>
    </xf>
    <xf numFmtId="0" fontId="32" fillId="0" borderId="24" xfId="0" applyFont="1" applyBorder="1" applyAlignment="1">
      <alignment horizontal="center" vertical="center"/>
    </xf>
    <xf numFmtId="0" fontId="31" fillId="0" borderId="31" xfId="0" applyFont="1" applyBorder="1" applyAlignment="1">
      <alignment horizontal="center" vertical="center"/>
    </xf>
    <xf numFmtId="0" fontId="31" fillId="0" borderId="33" xfId="0" applyFont="1" applyBorder="1" applyAlignment="1">
      <alignment horizontal="center" vertical="center"/>
    </xf>
    <xf numFmtId="0" fontId="58" fillId="0" borderId="0" xfId="0" applyFont="1" applyBorder="1" applyAlignment="1">
      <alignment horizontal="center" vertical="center"/>
    </xf>
    <xf numFmtId="0" fontId="45" fillId="0" borderId="12" xfId="0" applyFont="1" applyBorder="1" applyAlignment="1">
      <alignment horizontal="center" vertical="center" wrapText="1"/>
    </xf>
    <xf numFmtId="0" fontId="56" fillId="0" borderId="24" xfId="0" applyFont="1" applyBorder="1" applyAlignment="1">
      <alignment horizontal="center" vertical="center"/>
    </xf>
    <xf numFmtId="0" fontId="56" fillId="0" borderId="63" xfId="0" applyFont="1" applyBorder="1" applyAlignment="1">
      <alignment horizontal="center" vertical="center"/>
    </xf>
    <xf numFmtId="0" fontId="56" fillId="0" borderId="64" xfId="0" applyFont="1" applyBorder="1" applyAlignment="1">
      <alignment horizontal="center" vertical="center"/>
    </xf>
    <xf numFmtId="0" fontId="56" fillId="0" borderId="90" xfId="0" applyFont="1" applyBorder="1" applyAlignment="1">
      <alignment horizontal="center" vertical="center"/>
    </xf>
    <xf numFmtId="0" fontId="58" fillId="0" borderId="63" xfId="0" applyFont="1" applyBorder="1" applyAlignment="1">
      <alignment horizontal="center" vertical="center"/>
    </xf>
    <xf numFmtId="0" fontId="58" fillId="0" borderId="64" xfId="0" applyFont="1" applyBorder="1" applyAlignment="1">
      <alignment horizontal="center" vertical="center"/>
    </xf>
    <xf numFmtId="0" fontId="58" fillId="0" borderId="53" xfId="0" applyFont="1" applyBorder="1" applyAlignment="1">
      <alignment horizontal="center" vertical="center"/>
    </xf>
    <xf numFmtId="0" fontId="95" fillId="0" borderId="12" xfId="0" applyFont="1" applyBorder="1" applyAlignment="1">
      <alignment horizontal="center" vertical="center" wrapText="1"/>
    </xf>
    <xf numFmtId="0" fontId="45" fillId="0" borderId="10" xfId="0" applyFont="1" applyBorder="1" applyAlignment="1">
      <alignment horizontal="center" vertical="center" wrapText="1"/>
    </xf>
    <xf numFmtId="0" fontId="91" fillId="24" borderId="48" xfId="0" applyFont="1" applyFill="1" applyBorder="1" applyAlignment="1">
      <alignment horizontal="center"/>
    </xf>
    <xf numFmtId="0" fontId="91" fillId="24" borderId="87" xfId="0" applyFont="1" applyFill="1" applyBorder="1" applyAlignment="1">
      <alignment horizontal="center"/>
    </xf>
    <xf numFmtId="0" fontId="116" fillId="0" borderId="0" xfId="0" applyFont="1" applyFill="1" applyBorder="1" applyAlignment="1">
      <alignment horizontal="left"/>
    </xf>
    <xf numFmtId="0" fontId="117" fillId="0" borderId="0" xfId="0" applyFont="1" applyFill="1" applyBorder="1" applyAlignment="1">
      <alignment horizontal="left"/>
    </xf>
    <xf numFmtId="0" fontId="91" fillId="24" borderId="48" xfId="0" applyFont="1" applyFill="1" applyBorder="1" applyAlignment="1">
      <alignment horizontal="center" vertical="center"/>
    </xf>
    <xf numFmtId="0" fontId="91" fillId="24" borderId="87" xfId="0" applyFont="1" applyFill="1" applyBorder="1" applyAlignment="1">
      <alignment horizontal="center" vertical="center"/>
    </xf>
    <xf numFmtId="0" fontId="60" fillId="24" borderId="35" xfId="0" applyFont="1" applyFill="1" applyBorder="1" applyAlignment="1">
      <alignment horizontal="center" vertical="center"/>
    </xf>
    <xf numFmtId="0" fontId="60" fillId="24" borderId="36" xfId="0" applyFont="1" applyFill="1" applyBorder="1" applyAlignment="1">
      <alignment horizontal="center" vertical="center"/>
    </xf>
    <xf numFmtId="0" fontId="60" fillId="24" borderId="37" xfId="0" applyFont="1" applyFill="1" applyBorder="1" applyAlignment="1">
      <alignment horizontal="center" vertical="center"/>
    </xf>
    <xf numFmtId="0" fontId="9" fillId="0" borderId="35" xfId="0" applyFont="1" applyBorder="1" applyAlignment="1">
      <alignment horizontal="center"/>
    </xf>
    <xf numFmtId="0" fontId="9" fillId="0" borderId="36" xfId="0" applyFont="1" applyBorder="1" applyAlignment="1">
      <alignment horizontal="center"/>
    </xf>
    <xf numFmtId="0" fontId="9" fillId="0" borderId="37" xfId="0" applyFont="1" applyBorder="1" applyAlignment="1">
      <alignment horizontal="center"/>
    </xf>
    <xf numFmtId="0" fontId="45" fillId="0" borderId="64" xfId="0" applyFont="1" applyBorder="1" applyAlignment="1">
      <alignment horizontal="center"/>
    </xf>
    <xf numFmtId="165" fontId="56" fillId="0" borderId="12" xfId="0" applyNumberFormat="1" applyFont="1" applyBorder="1" applyAlignment="1">
      <alignment horizontal="center"/>
    </xf>
    <xf numFmtId="0" fontId="0" fillId="0" borderId="64" xfId="0" applyBorder="1" applyAlignment="1">
      <alignment horizontal="center"/>
    </xf>
    <xf numFmtId="0" fontId="0" fillId="0" borderId="53" xfId="0" applyBorder="1" applyAlignment="1">
      <alignment horizontal="center"/>
    </xf>
    <xf numFmtId="0" fontId="0" fillId="0" borderId="12" xfId="0" applyBorder="1" applyAlignment="1">
      <alignment horizontal="center"/>
    </xf>
    <xf numFmtId="0" fontId="0" fillId="0" borderId="56" xfId="0" applyBorder="1" applyAlignment="1">
      <alignment horizontal="center"/>
    </xf>
    <xf numFmtId="0" fontId="0" fillId="0" borderId="62" xfId="0" applyBorder="1" applyAlignment="1">
      <alignment horizontal="center"/>
    </xf>
    <xf numFmtId="0" fontId="0" fillId="0" borderId="60" xfId="0" applyBorder="1" applyAlignment="1">
      <alignment horizontal="center"/>
    </xf>
    <xf numFmtId="0" fontId="56" fillId="0" borderId="90" xfId="0" applyFont="1" applyBorder="1" applyAlignment="1">
      <alignment horizontal="center"/>
    </xf>
    <xf numFmtId="0" fontId="56" fillId="0" borderId="70" xfId="0" applyFont="1" applyBorder="1" applyAlignment="1">
      <alignment horizontal="center"/>
    </xf>
    <xf numFmtId="0" fontId="56" fillId="0" borderId="52" xfId="0" applyFont="1" applyBorder="1" applyAlignment="1">
      <alignment horizontal="center"/>
    </xf>
    <xf numFmtId="0" fontId="56" fillId="0" borderId="10" xfId="0" applyFont="1" applyFill="1" applyBorder="1" applyAlignment="1">
      <alignment horizontal="center"/>
    </xf>
    <xf numFmtId="0" fontId="56" fillId="0" borderId="29" xfId="0" applyFont="1" applyFill="1" applyBorder="1" applyAlignment="1">
      <alignment horizontal="center"/>
    </xf>
    <xf numFmtId="0" fontId="56" fillId="0" borderId="24" xfId="0" applyFont="1" applyFill="1" applyBorder="1" applyAlignment="1">
      <alignment horizontal="center"/>
    </xf>
    <xf numFmtId="0" fontId="56" fillId="0" borderId="68" xfId="0" applyFont="1" applyFill="1" applyBorder="1" applyAlignment="1">
      <alignment horizontal="center"/>
    </xf>
    <xf numFmtId="0" fontId="56" fillId="0" borderId="36" xfId="0" applyFont="1" applyFill="1" applyBorder="1" applyAlignment="1">
      <alignment horizontal="center"/>
    </xf>
    <xf numFmtId="0" fontId="56" fillId="0" borderId="37" xfId="0" applyFont="1" applyFill="1" applyBorder="1" applyAlignment="1">
      <alignment horizontal="center"/>
    </xf>
    <xf numFmtId="0" fontId="149" fillId="33" borderId="50" xfId="0" applyFont="1" applyFill="1" applyBorder="1" applyAlignment="1">
      <alignment horizontal="center" vertical="center"/>
    </xf>
    <xf numFmtId="0" fontId="149" fillId="33" borderId="22" xfId="0" applyFont="1" applyFill="1" applyBorder="1" applyAlignment="1">
      <alignment horizontal="center" vertical="center"/>
    </xf>
    <xf numFmtId="0" fontId="149" fillId="33" borderId="64" xfId="0" applyFont="1" applyFill="1" applyBorder="1" applyAlignment="1">
      <alignment horizontal="center"/>
    </xf>
    <xf numFmtId="0" fontId="149" fillId="33" borderId="74" xfId="0" applyFont="1" applyFill="1" applyBorder="1" applyAlignment="1">
      <alignment horizontal="center" vertical="center"/>
    </xf>
    <xf numFmtId="0" fontId="149" fillId="33" borderId="15" xfId="0" applyFont="1" applyFill="1" applyBorder="1" applyAlignment="1">
      <alignment horizontal="center" vertical="center"/>
    </xf>
    <xf numFmtId="0" fontId="58" fillId="0" borderId="61" xfId="0" applyFont="1" applyBorder="1" applyAlignment="1">
      <alignment horizontal="center"/>
    </xf>
    <xf numFmtId="0" fontId="58" fillId="0" borderId="62" xfId="0" applyFont="1" applyBorder="1" applyAlignment="1">
      <alignment horizontal="center"/>
    </xf>
    <xf numFmtId="0" fontId="45" fillId="0" borderId="53" xfId="0" applyFont="1" applyBorder="1" applyAlignment="1">
      <alignment horizontal="center"/>
    </xf>
    <xf numFmtId="0" fontId="45" fillId="0" borderId="56" xfId="0" applyFont="1" applyBorder="1" applyAlignment="1">
      <alignment horizontal="center"/>
    </xf>
    <xf numFmtId="0" fontId="149" fillId="0" borderId="0" xfId="0" applyFont="1" applyBorder="1" applyAlignment="1">
      <alignment horizontal="left"/>
    </xf>
    <xf numFmtId="0" fontId="149" fillId="33" borderId="49" xfId="0" applyFont="1" applyFill="1" applyBorder="1" applyAlignment="1">
      <alignment horizontal="center" vertical="center"/>
    </xf>
    <xf numFmtId="0" fontId="149" fillId="33" borderId="33" xfId="0" applyFont="1" applyFill="1" applyBorder="1" applyAlignment="1">
      <alignment horizontal="center" vertical="center"/>
    </xf>
    <xf numFmtId="0" fontId="149" fillId="33" borderId="50" xfId="0" applyFont="1" applyFill="1" applyBorder="1" applyAlignment="1">
      <alignment vertical="center"/>
    </xf>
    <xf numFmtId="0" fontId="149" fillId="33" borderId="22" xfId="0" applyFont="1" applyFill="1" applyBorder="1" applyAlignment="1">
      <alignment vertical="center"/>
    </xf>
    <xf numFmtId="0" fontId="168" fillId="0" borderId="35" xfId="0" applyFont="1" applyFill="1" applyBorder="1" applyAlignment="1">
      <alignment horizontal="center" vertical="center"/>
    </xf>
    <xf numFmtId="0" fontId="168" fillId="0" borderId="37" xfId="0" applyFont="1" applyFill="1" applyBorder="1" applyAlignment="1">
      <alignment horizontal="center" vertical="center"/>
    </xf>
    <xf numFmtId="0" fontId="149" fillId="0" borderId="12" xfId="0" applyFont="1" applyBorder="1" applyAlignment="1">
      <alignment horizontal="center"/>
    </xf>
    <xf numFmtId="0" fontId="181" fillId="0" borderId="88" xfId="0" applyFont="1" applyBorder="1" applyAlignment="1">
      <alignment horizontal="center" wrapText="1"/>
    </xf>
    <xf numFmtId="0" fontId="181" fillId="0" borderId="100" xfId="0" applyFont="1" applyBorder="1" applyAlignment="1">
      <alignment horizontal="center" wrapText="1"/>
    </xf>
    <xf numFmtId="0" fontId="181" fillId="0" borderId="48" xfId="0" applyFont="1" applyBorder="1" applyAlignment="1">
      <alignment horizontal="center" wrapText="1"/>
    </xf>
    <xf numFmtId="0" fontId="181" fillId="0" borderId="87" xfId="0" applyFont="1" applyBorder="1" applyAlignment="1">
      <alignment horizontal="center" wrapText="1"/>
    </xf>
    <xf numFmtId="0" fontId="176" fillId="0" borderId="48" xfId="0" applyFont="1" applyBorder="1" applyAlignment="1">
      <alignment wrapText="1"/>
    </xf>
    <xf numFmtId="0" fontId="176" fillId="0" borderId="87" xfId="0" applyFont="1" applyBorder="1" applyAlignment="1">
      <alignment wrapText="1"/>
    </xf>
    <xf numFmtId="0" fontId="178" fillId="0" borderId="48" xfId="0" applyFont="1" applyBorder="1" applyAlignment="1">
      <alignment wrapText="1"/>
    </xf>
    <xf numFmtId="0" fontId="178" fillId="0" borderId="100" xfId="0" applyFont="1" applyBorder="1" applyAlignment="1">
      <alignment wrapText="1"/>
    </xf>
    <xf numFmtId="0" fontId="178" fillId="0" borderId="87" xfId="0" applyFont="1" applyBorder="1" applyAlignment="1">
      <alignment wrapText="1"/>
    </xf>
    <xf numFmtId="0" fontId="181" fillId="0" borderId="48" xfId="0" applyFont="1" applyBorder="1" applyAlignment="1">
      <alignment wrapText="1"/>
    </xf>
    <xf numFmtId="0" fontId="181" fillId="0" borderId="88" xfId="0" applyFont="1" applyBorder="1" applyAlignment="1">
      <alignment wrapText="1"/>
    </xf>
    <xf numFmtId="0" fontId="179" fillId="44" borderId="48" xfId="0" applyFont="1" applyFill="1" applyBorder="1" applyAlignment="1">
      <alignment wrapText="1"/>
    </xf>
    <xf numFmtId="0" fontId="179" fillId="44" borderId="100" xfId="0" applyFont="1" applyFill="1" applyBorder="1" applyAlignment="1">
      <alignment wrapText="1"/>
    </xf>
    <xf numFmtId="0" fontId="177" fillId="0" borderId="0" xfId="0" applyFont="1" applyAlignment="1">
      <alignment horizontal="center"/>
    </xf>
    <xf numFmtId="0" fontId="177" fillId="0" borderId="48" xfId="0" applyFont="1" applyBorder="1" applyAlignment="1">
      <alignment horizontal="center" wrapText="1"/>
    </xf>
    <xf numFmtId="0" fontId="177" fillId="0" borderId="87" xfId="0" applyFont="1" applyBorder="1" applyAlignment="1">
      <alignment horizontal="center" wrapText="1"/>
    </xf>
    <xf numFmtId="0" fontId="181" fillId="0" borderId="48" xfId="0" applyFont="1" applyBorder="1" applyAlignment="1">
      <alignment horizontal="center" vertical="center" wrapText="1"/>
    </xf>
    <xf numFmtId="0" fontId="181" fillId="0" borderId="88" xfId="0" applyFont="1" applyBorder="1" applyAlignment="1">
      <alignment horizontal="center" vertical="center" wrapText="1"/>
    </xf>
    <xf numFmtId="0" fontId="181" fillId="0" borderId="87" xfId="0" applyFont="1" applyBorder="1" applyAlignment="1">
      <alignment horizontal="center" vertical="center" wrapText="1"/>
    </xf>
    <xf numFmtId="0" fontId="172" fillId="0" borderId="48" xfId="0" applyFont="1" applyBorder="1" applyAlignment="1">
      <alignment wrapText="1"/>
    </xf>
    <xf numFmtId="0" fontId="172" fillId="0" borderId="88" xfId="0" applyFont="1" applyBorder="1" applyAlignment="1">
      <alignment wrapText="1"/>
    </xf>
    <xf numFmtId="0" fontId="172" fillId="0" borderId="87" xfId="0" applyFont="1" applyBorder="1" applyAlignment="1">
      <alignment wrapText="1"/>
    </xf>
    <xf numFmtId="0" fontId="45" fillId="0" borderId="67" xfId="0" applyFont="1" applyBorder="1" applyAlignment="1">
      <alignment horizontal="center"/>
    </xf>
    <xf numFmtId="0" fontId="154" fillId="0" borderId="20" xfId="0" applyFont="1" applyBorder="1" applyAlignment="1">
      <alignment horizontal="left" vertical="center"/>
    </xf>
    <xf numFmtId="0" fontId="154" fillId="0" borderId="17" xfId="0" applyFont="1" applyBorder="1" applyAlignment="1">
      <alignment horizontal="left" vertical="center"/>
    </xf>
    <xf numFmtId="0" fontId="44" fillId="0" borderId="0" xfId="0" applyFont="1" applyAlignment="1">
      <alignment horizontal="center"/>
    </xf>
    <xf numFmtId="0" fontId="154" fillId="0" borderId="15" xfId="0" applyFont="1" applyBorder="1" applyAlignment="1">
      <alignment horizontal="left" vertical="center"/>
    </xf>
    <xf numFmtId="0" fontId="154" fillId="0" borderId="19" xfId="0" applyFont="1" applyBorder="1" applyAlignment="1">
      <alignment horizontal="left" vertical="center"/>
    </xf>
    <xf numFmtId="165" fontId="164" fillId="0" borderId="11" xfId="35" applyNumberFormat="1" applyFont="1" applyBorder="1" applyAlignment="1">
      <alignment horizontal="center" vertical="center"/>
    </xf>
    <xf numFmtId="165" fontId="164" fillId="0" borderId="22" xfId="35" applyNumberFormat="1" applyFont="1" applyBorder="1" applyAlignment="1">
      <alignment horizontal="center" vertical="center"/>
    </xf>
    <xf numFmtId="0" fontId="56" fillId="0" borderId="10" xfId="0" applyFont="1" applyBorder="1" applyAlignment="1">
      <alignment horizontal="center" wrapText="1"/>
    </xf>
    <xf numFmtId="0" fontId="56" fillId="0" borderId="29" xfId="0" applyFont="1" applyBorder="1" applyAlignment="1">
      <alignment horizontal="center" wrapText="1"/>
    </xf>
    <xf numFmtId="0" fontId="45" fillId="0" borderId="11" xfId="0" applyFont="1" applyBorder="1" applyAlignment="1">
      <alignment horizontal="center"/>
    </xf>
    <xf numFmtId="0" fontId="45" fillId="0" borderId="22" xfId="0" applyFont="1" applyBorder="1" applyAlignment="1">
      <alignment horizontal="center"/>
    </xf>
    <xf numFmtId="0" fontId="56" fillId="0" borderId="12" xfId="0" applyFont="1" applyBorder="1" applyAlignment="1">
      <alignment horizontal="center" wrapText="1"/>
    </xf>
    <xf numFmtId="0" fontId="190" fillId="0" borderId="57" xfId="0" applyFont="1" applyBorder="1" applyAlignment="1">
      <alignment vertical="center" wrapText="1"/>
    </xf>
    <xf numFmtId="0" fontId="44" fillId="0" borderId="61" xfId="0" applyFont="1" applyBorder="1" applyAlignment="1">
      <alignment horizontal="center"/>
    </xf>
    <xf numFmtId="0" fontId="44" fillId="0" borderId="62" xfId="0" applyFont="1" applyBorder="1" applyAlignment="1">
      <alignment horizontal="center"/>
    </xf>
    <xf numFmtId="0" fontId="9" fillId="0" borderId="65" xfId="0" applyFont="1" applyBorder="1" applyAlignment="1">
      <alignment horizontal="left" vertical="top" wrapText="1"/>
    </xf>
    <xf numFmtId="0" fontId="9" fillId="0" borderId="78" xfId="0" applyFont="1" applyBorder="1" applyAlignment="1">
      <alignment horizontal="left" vertical="top" wrapText="1"/>
    </xf>
    <xf numFmtId="0" fontId="9" fillId="0" borderId="54" xfId="0" applyFont="1" applyBorder="1" applyAlignment="1">
      <alignment horizontal="left" vertical="top" wrapText="1"/>
    </xf>
    <xf numFmtId="0" fontId="58" fillId="0" borderId="12" xfId="0" applyFont="1" applyBorder="1" applyAlignment="1">
      <alignment horizontal="center"/>
    </xf>
    <xf numFmtId="14" fontId="45" fillId="0" borderId="12" xfId="0" applyNumberFormat="1" applyFont="1" applyBorder="1" applyAlignment="1">
      <alignment horizontal="center" vertical="center" wrapText="1"/>
    </xf>
    <xf numFmtId="0" fontId="258" fillId="0" borderId="0" xfId="0" applyFont="1" applyBorder="1" applyAlignment="1">
      <alignment horizontal="left" vertical="center"/>
    </xf>
    <xf numFmtId="0" fontId="58" fillId="0" borderId="11" xfId="0" applyFont="1" applyBorder="1" applyAlignment="1">
      <alignment horizontal="center"/>
    </xf>
    <xf numFmtId="0" fontId="42" fillId="0" borderId="0" xfId="0" applyFont="1" applyAlignment="1">
      <alignment horizontal="center" vertical="center"/>
    </xf>
    <xf numFmtId="0" fontId="36" fillId="0" borderId="12" xfId="0" applyFont="1" applyBorder="1" applyAlignment="1">
      <alignment horizontal="center"/>
    </xf>
    <xf numFmtId="0" fontId="211" fillId="0" borderId="0" xfId="0" applyFont="1" applyAlignment="1">
      <alignment horizontal="center"/>
    </xf>
    <xf numFmtId="0" fontId="58" fillId="0" borderId="35" xfId="0" applyFont="1" applyBorder="1" applyAlignment="1">
      <alignment horizontal="center"/>
    </xf>
    <xf numFmtId="0" fontId="58" fillId="0" borderId="36" xfId="0" applyFont="1" applyBorder="1" applyAlignment="1">
      <alignment horizontal="center"/>
    </xf>
    <xf numFmtId="165" fontId="56" fillId="0" borderId="11" xfId="35" applyNumberFormat="1" applyFont="1" applyBorder="1" applyAlignment="1">
      <alignment horizontal="center" vertical="center"/>
    </xf>
    <xf numFmtId="165" fontId="56" fillId="0" borderId="22" xfId="35" applyNumberFormat="1" applyFont="1" applyBorder="1" applyAlignment="1">
      <alignment horizontal="center" vertical="center"/>
    </xf>
    <xf numFmtId="165" fontId="56" fillId="0" borderId="21" xfId="35" applyNumberFormat="1" applyFont="1" applyBorder="1" applyAlignment="1">
      <alignment horizontal="center" vertical="center"/>
    </xf>
    <xf numFmtId="0" fontId="209" fillId="0" borderId="48" xfId="0" applyFont="1" applyBorder="1" applyAlignment="1">
      <alignment horizontal="center" wrapText="1"/>
    </xf>
    <xf numFmtId="0" fontId="209" fillId="0" borderId="88" xfId="0" applyFont="1" applyBorder="1" applyAlignment="1">
      <alignment horizontal="center" wrapText="1"/>
    </xf>
    <xf numFmtId="0" fontId="209" fillId="0" borderId="11" xfId="0" applyFont="1" applyBorder="1" applyAlignment="1">
      <alignment horizontal="center" vertical="center" wrapText="1"/>
    </xf>
    <xf numFmtId="0" fontId="209" fillId="0" borderId="21" xfId="0" applyFont="1" applyBorder="1" applyAlignment="1">
      <alignment horizontal="center" vertical="center" wrapText="1"/>
    </xf>
    <xf numFmtId="0" fontId="209" fillId="0" borderId="22" xfId="0" applyFont="1" applyBorder="1" applyAlignment="1">
      <alignment horizontal="center" vertical="center" wrapText="1"/>
    </xf>
    <xf numFmtId="0" fontId="58" fillId="0" borderId="11" xfId="0" applyFont="1" applyBorder="1" applyAlignment="1">
      <alignment horizontal="center" vertical="center"/>
    </xf>
    <xf numFmtId="0" fontId="58" fillId="0" borderId="21" xfId="0" applyFont="1" applyBorder="1" applyAlignment="1">
      <alignment horizontal="center" vertical="center"/>
    </xf>
    <xf numFmtId="0" fontId="58" fillId="0" borderId="12" xfId="0" applyFont="1" applyBorder="1" applyAlignment="1">
      <alignment horizontal="center" vertical="center"/>
    </xf>
    <xf numFmtId="0" fontId="81" fillId="0" borderId="11" xfId="0" applyFont="1" applyBorder="1" applyAlignment="1">
      <alignment horizontal="left" vertical="center" wrapText="1"/>
    </xf>
    <xf numFmtId="0" fontId="81" fillId="0" borderId="21" xfId="0" applyFont="1" applyBorder="1" applyAlignment="1">
      <alignment horizontal="left" vertical="center" wrapText="1"/>
    </xf>
    <xf numFmtId="0" fontId="81" fillId="0" borderId="22" xfId="0" applyFont="1" applyBorder="1" applyAlignment="1">
      <alignment horizontal="left" vertical="center" wrapText="1"/>
    </xf>
    <xf numFmtId="0" fontId="211" fillId="0" borderId="0" xfId="0" applyFont="1"/>
    <xf numFmtId="0" fontId="31" fillId="0" borderId="64" xfId="0" applyFont="1" applyBorder="1" applyAlignment="1">
      <alignment horizontal="center"/>
    </xf>
    <xf numFmtId="0" fontId="42" fillId="0" borderId="77" xfId="0" applyFont="1" applyBorder="1" applyAlignment="1">
      <alignment horizontal="center" vertical="center"/>
    </xf>
    <xf numFmtId="0" fontId="42" fillId="0" borderId="54" xfId="0" applyFont="1" applyBorder="1" applyAlignment="1">
      <alignment horizontal="center" vertical="center"/>
    </xf>
    <xf numFmtId="0" fontId="36" fillId="0" borderId="55" xfId="0" applyFont="1" applyBorder="1" applyAlignment="1">
      <alignment horizontal="center"/>
    </xf>
    <xf numFmtId="0" fontId="36" fillId="0" borderId="24" xfId="0" applyFont="1" applyBorder="1" applyAlignment="1">
      <alignment horizontal="center"/>
    </xf>
    <xf numFmtId="0" fontId="45" fillId="0" borderId="10" xfId="0" applyFont="1" applyBorder="1" applyAlignment="1">
      <alignment horizontal="center"/>
    </xf>
    <xf numFmtId="0" fontId="45" fillId="0" borderId="24" xfId="0" applyFont="1" applyBorder="1" applyAlignment="1">
      <alignment horizontal="center"/>
    </xf>
    <xf numFmtId="0" fontId="45" fillId="47" borderId="10" xfId="0" applyFont="1" applyFill="1" applyBorder="1" applyAlignment="1">
      <alignment horizontal="center"/>
    </xf>
    <xf numFmtId="0" fontId="45" fillId="47" borderId="29" xfId="0" applyFont="1" applyFill="1" applyBorder="1" applyAlignment="1">
      <alignment horizontal="center"/>
    </xf>
    <xf numFmtId="0" fontId="45" fillId="47" borderId="24" xfId="0" applyFont="1" applyFill="1" applyBorder="1" applyAlignment="1">
      <alignment horizontal="center"/>
    </xf>
    <xf numFmtId="0" fontId="45" fillId="47" borderId="19" xfId="0" applyFont="1" applyFill="1" applyBorder="1" applyAlignment="1">
      <alignment horizontal="center"/>
    </xf>
    <xf numFmtId="0" fontId="56" fillId="0" borderId="10" xfId="0" applyFont="1" applyBorder="1" applyAlignment="1">
      <alignment horizontal="center"/>
    </xf>
    <xf numFmtId="0" fontId="56" fillId="0" borderId="29" xfId="0" applyFont="1" applyBorder="1" applyAlignment="1">
      <alignment horizontal="center"/>
    </xf>
    <xf numFmtId="0" fontId="56" fillId="0" borderId="24" xfId="0" applyFont="1" applyBorder="1" applyAlignment="1">
      <alignment horizontal="center"/>
    </xf>
    <xf numFmtId="0" fontId="31" fillId="0" borderId="63" xfId="0" applyFont="1" applyBorder="1" applyAlignment="1">
      <alignment horizontal="center" vertical="center"/>
    </xf>
    <xf numFmtId="0" fontId="31" fillId="0" borderId="64" xfId="0" applyFont="1" applyBorder="1" applyAlignment="1">
      <alignment horizontal="center" vertical="center"/>
    </xf>
    <xf numFmtId="0" fontId="209" fillId="0" borderId="12" xfId="0" applyFont="1" applyBorder="1" applyAlignment="1">
      <alignment horizontal="center" vertical="center" wrapText="1"/>
    </xf>
    <xf numFmtId="0" fontId="208" fillId="0" borderId="0" xfId="0" applyFont="1" applyAlignment="1">
      <alignment horizontal="center"/>
    </xf>
    <xf numFmtId="0" fontId="60" fillId="0" borderId="11" xfId="0" applyFont="1" applyBorder="1" applyAlignment="1">
      <alignment horizontal="center" vertical="center"/>
    </xf>
    <xf numFmtId="0" fontId="60" fillId="0" borderId="21" xfId="0" applyFont="1" applyBorder="1" applyAlignment="1">
      <alignment horizontal="center" vertical="center"/>
    </xf>
    <xf numFmtId="0" fontId="60" fillId="0" borderId="22" xfId="0" applyFont="1" applyBorder="1" applyAlignment="1">
      <alignment horizontal="center" vertical="center"/>
    </xf>
    <xf numFmtId="0" fontId="41" fillId="0" borderId="11" xfId="0" applyFont="1" applyBorder="1" applyAlignment="1">
      <alignment horizontal="center"/>
    </xf>
    <xf numFmtId="0" fontId="41" fillId="0" borderId="21" xfId="0" applyFont="1" applyBorder="1" applyAlignment="1">
      <alignment horizontal="center"/>
    </xf>
    <xf numFmtId="0" fontId="41" fillId="0" borderId="22" xfId="0" applyFont="1" applyBorder="1" applyAlignment="1">
      <alignment horizontal="center"/>
    </xf>
    <xf numFmtId="0" fontId="60" fillId="0" borderId="20" xfId="0" applyFont="1" applyBorder="1" applyAlignment="1">
      <alignment horizontal="center" wrapText="1"/>
    </xf>
    <xf numFmtId="0" fontId="60" fillId="0" borderId="16" xfId="0" applyFont="1" applyBorder="1" applyAlignment="1">
      <alignment horizontal="center" wrapText="1"/>
    </xf>
    <xf numFmtId="0" fontId="60" fillId="0" borderId="17" xfId="0" applyFont="1" applyBorder="1" applyAlignment="1">
      <alignment horizontal="center" wrapText="1"/>
    </xf>
    <xf numFmtId="0" fontId="60" fillId="0" borderId="15" xfId="0" applyFont="1" applyBorder="1" applyAlignment="1">
      <alignment horizontal="center" wrapText="1"/>
    </xf>
    <xf numFmtId="0" fontId="60" fillId="0" borderId="18" xfId="0" applyFont="1" applyBorder="1" applyAlignment="1">
      <alignment horizontal="center" wrapText="1"/>
    </xf>
    <xf numFmtId="0" fontId="60" fillId="0" borderId="19" xfId="0" applyFont="1" applyBorder="1" applyAlignment="1">
      <alignment horizontal="center" wrapText="1"/>
    </xf>
    <xf numFmtId="0" fontId="58" fillId="0" borderId="11" xfId="0" applyFont="1" applyBorder="1" applyAlignment="1">
      <alignment horizontal="center" vertical="center" wrapText="1"/>
    </xf>
    <xf numFmtId="0" fontId="58" fillId="0" borderId="22" xfId="0" applyFont="1" applyBorder="1" applyAlignment="1">
      <alignment horizontal="center" vertical="center" wrapText="1"/>
    </xf>
    <xf numFmtId="0" fontId="60" fillId="0" borderId="11" xfId="0" applyFont="1" applyBorder="1" applyAlignment="1">
      <alignment horizontal="center" vertical="center" wrapText="1"/>
    </xf>
    <xf numFmtId="0" fontId="60" fillId="0" borderId="22" xfId="0" applyFont="1" applyBorder="1" applyAlignment="1">
      <alignment horizontal="center" vertical="center" wrapText="1"/>
    </xf>
    <xf numFmtId="0" fontId="60" fillId="0" borderId="11" xfId="0" applyFont="1" applyBorder="1" applyAlignment="1">
      <alignment horizontal="center"/>
    </xf>
    <xf numFmtId="0" fontId="60" fillId="0" borderId="22" xfId="0" applyFont="1" applyBorder="1" applyAlignment="1">
      <alignment horizontal="center"/>
    </xf>
    <xf numFmtId="165" fontId="60" fillId="0" borderId="11" xfId="35" applyNumberFormat="1" applyFont="1" applyBorder="1" applyAlignment="1">
      <alignment horizontal="center" vertical="center"/>
    </xf>
    <xf numFmtId="165" fontId="60" fillId="0" borderId="22" xfId="35" applyNumberFormat="1" applyFont="1" applyBorder="1" applyAlignment="1">
      <alignment horizontal="center" vertical="center"/>
    </xf>
    <xf numFmtId="165" fontId="60" fillId="0" borderId="11" xfId="35" applyNumberFormat="1" applyFont="1" applyBorder="1" applyAlignment="1">
      <alignment horizontal="center"/>
    </xf>
    <xf numFmtId="165" fontId="60" fillId="0" borderId="22" xfId="35" applyNumberFormat="1" applyFont="1" applyBorder="1" applyAlignment="1">
      <alignment horizontal="center"/>
    </xf>
    <xf numFmtId="0" fontId="83" fillId="0" borderId="0" xfId="0" applyFont="1" applyBorder="1" applyAlignment="1">
      <alignment horizontal="center"/>
    </xf>
    <xf numFmtId="0" fontId="0" fillId="0" borderId="48" xfId="0" applyBorder="1" applyAlignment="1">
      <alignment horizontal="center"/>
    </xf>
    <xf numFmtId="0" fontId="0" fillId="0" borderId="87" xfId="0" applyBorder="1" applyAlignment="1">
      <alignment horizontal="center"/>
    </xf>
    <xf numFmtId="0" fontId="58" fillId="0" borderId="46" xfId="0" applyFont="1" applyBorder="1" applyAlignment="1">
      <alignment horizontal="center"/>
    </xf>
    <xf numFmtId="0" fontId="0" fillId="0" borderId="22" xfId="0" applyBorder="1" applyAlignment="1">
      <alignment horizontal="center"/>
    </xf>
    <xf numFmtId="166" fontId="149" fillId="0" borderId="10" xfId="1663" applyNumberFormat="1" applyFont="1" applyFill="1" applyBorder="1" applyAlignment="1">
      <alignment horizontal="center"/>
    </xf>
    <xf numFmtId="166" fontId="149" fillId="0" borderId="24" xfId="1663" applyNumberFormat="1" applyFont="1" applyFill="1" applyBorder="1" applyAlignment="1">
      <alignment horizontal="center"/>
    </xf>
    <xf numFmtId="14" fontId="224" fillId="0" borderId="14" xfId="0" applyNumberFormat="1" applyFont="1" applyBorder="1" applyAlignment="1">
      <alignment horizontal="center"/>
    </xf>
    <xf numFmtId="166" fontId="149" fillId="0" borderId="12" xfId="1663" applyNumberFormat="1" applyFont="1" applyBorder="1" applyAlignment="1">
      <alignment horizontal="center"/>
    </xf>
    <xf numFmtId="166" fontId="149" fillId="0" borderId="10" xfId="1663" applyNumberFormat="1" applyFont="1" applyBorder="1" applyAlignment="1">
      <alignment horizontal="center"/>
    </xf>
    <xf numFmtId="166" fontId="149" fillId="0" borderId="24" xfId="1663" applyNumberFormat="1" applyFont="1" applyBorder="1" applyAlignment="1">
      <alignment horizontal="center"/>
    </xf>
    <xf numFmtId="0" fontId="149" fillId="0" borderId="10" xfId="0" applyFont="1" applyBorder="1" applyAlignment="1">
      <alignment horizontal="center"/>
    </xf>
    <xf numFmtId="0" fontId="149" fillId="0" borderId="24" xfId="0" applyFont="1" applyBorder="1" applyAlignment="1">
      <alignment horizontal="center"/>
    </xf>
    <xf numFmtId="166" fontId="149" fillId="0" borderId="12" xfId="1663" applyNumberFormat="1" applyFont="1" applyFill="1" applyBorder="1" applyAlignment="1">
      <alignment horizontal="center"/>
    </xf>
    <xf numFmtId="0" fontId="9" fillId="0" borderId="57" xfId="0" applyFont="1" applyBorder="1" applyAlignment="1">
      <alignment horizontal="left" vertical="center"/>
    </xf>
    <xf numFmtId="0" fontId="0" fillId="0" borderId="57" xfId="0" applyBorder="1" applyAlignment="1">
      <alignment horizontal="left" vertical="center"/>
    </xf>
    <xf numFmtId="0" fontId="60" fillId="0" borderId="10" xfId="0" applyFont="1" applyBorder="1" applyAlignment="1">
      <alignment horizontal="center" vertical="center"/>
    </xf>
    <xf numFmtId="0" fontId="60" fillId="0" borderId="29" xfId="0" applyFont="1" applyBorder="1" applyAlignment="1">
      <alignment horizontal="center" vertical="center"/>
    </xf>
    <xf numFmtId="0" fontId="60" fillId="0" borderId="24" xfId="0" applyFont="1" applyBorder="1" applyAlignment="1">
      <alignment horizontal="center" vertical="center"/>
    </xf>
    <xf numFmtId="14" fontId="60" fillId="0" borderId="11" xfId="0" applyNumberFormat="1" applyFont="1" applyBorder="1" applyAlignment="1">
      <alignment horizontal="center" vertical="center"/>
    </xf>
    <xf numFmtId="14" fontId="60" fillId="0" borderId="22" xfId="0" applyNumberFormat="1" applyFont="1" applyBorder="1" applyAlignment="1">
      <alignment horizontal="center" vertical="center"/>
    </xf>
    <xf numFmtId="0" fontId="40" fillId="0" borderId="11" xfId="0" applyFont="1" applyBorder="1" applyAlignment="1">
      <alignment horizontal="center"/>
    </xf>
    <xf numFmtId="0" fontId="40" fillId="0" borderId="21" xfId="0" applyFont="1" applyBorder="1" applyAlignment="1">
      <alignment horizontal="center"/>
    </xf>
    <xf numFmtId="0" fontId="40" fillId="0" borderId="22" xfId="0" applyFont="1" applyBorder="1" applyAlignment="1">
      <alignment horizontal="center"/>
    </xf>
    <xf numFmtId="0" fontId="58" fillId="0" borderId="11" xfId="0" applyFont="1" applyFill="1" applyBorder="1" applyAlignment="1">
      <alignment horizontal="center" vertical="center"/>
    </xf>
    <xf numFmtId="0" fontId="58" fillId="0" borderId="22" xfId="0" applyFont="1" applyFill="1" applyBorder="1" applyAlignment="1">
      <alignment horizontal="center" vertical="center"/>
    </xf>
    <xf numFmtId="0" fontId="58" fillId="0" borderId="22" xfId="0" applyFont="1" applyBorder="1" applyAlignment="1">
      <alignment horizontal="center" vertical="center"/>
    </xf>
    <xf numFmtId="0" fontId="65" fillId="0" borderId="0" xfId="0" applyFont="1" applyAlignment="1">
      <alignment horizontal="center"/>
    </xf>
    <xf numFmtId="0" fontId="234" fillId="0" borderId="0" xfId="0" applyFont="1" applyAlignment="1">
      <alignment horizontal="center" textRotation="48"/>
    </xf>
    <xf numFmtId="0" fontId="60" fillId="0" borderId="0" xfId="0" applyFont="1" applyAlignment="1">
      <alignment horizontal="left" wrapText="1"/>
    </xf>
    <xf numFmtId="0" fontId="267" fillId="0" borderId="20" xfId="0" applyNumberFormat="1" applyFont="1" applyFill="1" applyBorder="1" applyAlignment="1">
      <alignment horizontal="center" vertical="center"/>
    </xf>
    <xf numFmtId="0" fontId="267" fillId="0" borderId="16" xfId="0" applyNumberFormat="1" applyFont="1" applyFill="1" applyBorder="1" applyAlignment="1">
      <alignment horizontal="center" vertical="center"/>
    </xf>
    <xf numFmtId="0" fontId="267" fillId="0" borderId="17" xfId="0" applyNumberFormat="1" applyFont="1" applyFill="1" applyBorder="1" applyAlignment="1">
      <alignment horizontal="center" vertical="center"/>
    </xf>
    <xf numFmtId="0" fontId="267" fillId="0" borderId="13" xfId="0" applyNumberFormat="1" applyFont="1" applyFill="1" applyBorder="1" applyAlignment="1">
      <alignment horizontal="center" vertical="center"/>
    </xf>
    <xf numFmtId="0" fontId="267" fillId="0" borderId="0" xfId="0" applyNumberFormat="1" applyFont="1" applyFill="1" applyBorder="1" applyAlignment="1">
      <alignment horizontal="center" vertical="center"/>
    </xf>
    <xf numFmtId="0" fontId="267" fillId="0" borderId="14" xfId="0" applyNumberFormat="1" applyFont="1" applyFill="1" applyBorder="1" applyAlignment="1">
      <alignment horizontal="center" vertical="center"/>
    </xf>
    <xf numFmtId="0" fontId="267" fillId="0" borderId="15" xfId="0" applyNumberFormat="1" applyFont="1" applyFill="1" applyBorder="1" applyAlignment="1">
      <alignment horizontal="center" vertical="center"/>
    </xf>
    <xf numFmtId="0" fontId="267" fillId="0" borderId="18" xfId="0" applyNumberFormat="1" applyFont="1" applyFill="1" applyBorder="1" applyAlignment="1">
      <alignment horizontal="center" vertical="center"/>
    </xf>
    <xf numFmtId="0" fontId="267" fillId="0" borderId="19" xfId="0" applyNumberFormat="1" applyFont="1" applyFill="1" applyBorder="1" applyAlignment="1">
      <alignment horizontal="center" vertical="center"/>
    </xf>
    <xf numFmtId="0" fontId="273" fillId="0" borderId="0" xfId="0" applyFont="1" applyFill="1" applyBorder="1" applyAlignment="1">
      <alignment horizontal="left" vertical="top" wrapText="1"/>
    </xf>
    <xf numFmtId="0" fontId="102" fillId="0" borderId="43" xfId="0" applyFont="1" applyBorder="1" applyAlignment="1">
      <alignment vertical="center"/>
    </xf>
    <xf numFmtId="0" fontId="102" fillId="0" borderId="0" xfId="0" applyFont="1" applyAlignment="1">
      <alignment vertical="center"/>
    </xf>
    <xf numFmtId="0" fontId="288" fillId="0" borderId="11" xfId="0" applyFont="1" applyBorder="1" applyAlignment="1">
      <alignment horizontal="center" vertical="center"/>
    </xf>
    <xf numFmtId="0" fontId="288" fillId="0" borderId="22" xfId="0" applyFont="1" applyBorder="1" applyAlignment="1">
      <alignment horizontal="center" vertical="center"/>
    </xf>
    <xf numFmtId="0" fontId="311" fillId="50" borderId="128" xfId="0" applyFont="1" applyFill="1" applyBorder="1" applyAlignment="1">
      <alignment horizontal="center" vertical="center" wrapText="1"/>
    </xf>
    <xf numFmtId="0" fontId="311" fillId="50" borderId="103" xfId="0" applyFont="1" applyFill="1" applyBorder="1" applyAlignment="1">
      <alignment horizontal="center" vertical="center" wrapText="1"/>
    </xf>
    <xf numFmtId="0" fontId="322" fillId="57" borderId="128" xfId="0" applyFont="1" applyFill="1" applyBorder="1" applyAlignment="1">
      <alignment horizontal="center" vertical="center" wrapText="1"/>
    </xf>
    <xf numFmtId="0" fontId="322" fillId="57" borderId="103" xfId="0" applyFont="1" applyFill="1" applyBorder="1" applyAlignment="1">
      <alignment horizontal="center" vertical="center" wrapText="1"/>
    </xf>
    <xf numFmtId="0" fontId="311" fillId="0" borderId="12" xfId="1195" applyFont="1" applyBorder="1" applyAlignment="1">
      <alignment horizontal="center" vertical="center"/>
    </xf>
    <xf numFmtId="0" fontId="289" fillId="0" borderId="12" xfId="1195" applyFont="1" applyBorder="1" applyAlignment="1">
      <alignment horizontal="left" vertical="center" wrapText="1"/>
    </xf>
    <xf numFmtId="0" fontId="311" fillId="0" borderId="11" xfId="1195" applyFont="1" applyBorder="1" applyAlignment="1">
      <alignment horizontal="center" vertical="center"/>
    </xf>
    <xf numFmtId="0" fontId="311" fillId="0" borderId="21" xfId="1195" applyFont="1" applyBorder="1" applyAlignment="1">
      <alignment horizontal="center" vertical="center"/>
    </xf>
    <xf numFmtId="0" fontId="311" fillId="0" borderId="22" xfId="1195" applyFont="1" applyBorder="1" applyAlignment="1">
      <alignment horizontal="center" vertical="center"/>
    </xf>
    <xf numFmtId="0" fontId="311" fillId="0" borderId="48" xfId="0" applyFont="1" applyBorder="1" applyAlignment="1">
      <alignment horizontal="center" vertical="center"/>
    </xf>
    <xf numFmtId="0" fontId="311" fillId="0" borderId="100" xfId="0" applyFont="1" applyBorder="1" applyAlignment="1">
      <alignment horizontal="center" vertical="center"/>
    </xf>
    <xf numFmtId="0" fontId="322" fillId="0" borderId="126" xfId="0" applyFont="1" applyBorder="1" applyAlignment="1">
      <alignment horizontal="center" vertical="center"/>
    </xf>
    <xf numFmtId="0" fontId="322" fillId="0" borderId="127" xfId="0" applyFont="1" applyBorder="1" applyAlignment="1">
      <alignment horizontal="center" vertical="center"/>
    </xf>
    <xf numFmtId="0" fontId="289" fillId="0" borderId="11" xfId="1195" applyFont="1" applyBorder="1" applyAlignment="1">
      <alignment horizontal="left" vertical="center" wrapText="1"/>
    </xf>
    <xf numFmtId="0" fontId="289" fillId="0" borderId="21" xfId="1195" applyFont="1" applyBorder="1" applyAlignment="1">
      <alignment horizontal="left" vertical="center" wrapText="1"/>
    </xf>
    <xf numFmtId="0" fontId="289" fillId="0" borderId="22" xfId="1195" applyFont="1" applyBorder="1" applyAlignment="1">
      <alignment horizontal="left" vertical="center" wrapText="1"/>
    </xf>
    <xf numFmtId="0" fontId="289" fillId="0" borderId="11" xfId="1195" applyFont="1" applyBorder="1" applyAlignment="1">
      <alignment horizontal="center" vertical="center"/>
    </xf>
    <xf numFmtId="0" fontId="289" fillId="0" borderId="21" xfId="1195" applyFont="1" applyBorder="1" applyAlignment="1">
      <alignment horizontal="center" vertical="center"/>
    </xf>
    <xf numFmtId="0" fontId="289" fillId="0" borderId="22" xfId="1195" applyFont="1" applyBorder="1" applyAlignment="1">
      <alignment horizontal="center" vertical="center"/>
    </xf>
    <xf numFmtId="0" fontId="288" fillId="0" borderId="11" xfId="1195" applyFont="1" applyBorder="1" applyAlignment="1">
      <alignment horizontal="center" vertical="center" wrapText="1"/>
    </xf>
    <xf numFmtId="0" fontId="288" fillId="0" borderId="21" xfId="1195" applyFont="1" applyBorder="1" applyAlignment="1">
      <alignment horizontal="center" vertical="center" wrapText="1"/>
    </xf>
    <xf numFmtId="0" fontId="288" fillId="0" borderId="22" xfId="1195" applyFont="1" applyBorder="1" applyAlignment="1">
      <alignment horizontal="center" vertical="center" wrapText="1"/>
    </xf>
    <xf numFmtId="0" fontId="45" fillId="0" borderId="11" xfId="0" applyFont="1" applyBorder="1" applyAlignment="1"/>
    <xf numFmtId="0" fontId="45" fillId="0" borderId="22" xfId="0" applyFont="1" applyBorder="1" applyAlignment="1"/>
    <xf numFmtId="165" fontId="45" fillId="0" borderId="10" xfId="35" applyNumberFormat="1" applyFont="1" applyBorder="1" applyAlignment="1">
      <alignment horizontal="center"/>
    </xf>
    <xf numFmtId="165" fontId="45" fillId="0" borderId="29" xfId="35" applyNumberFormat="1" applyFont="1" applyBorder="1" applyAlignment="1">
      <alignment horizontal="center"/>
    </xf>
    <xf numFmtId="165" fontId="45" fillId="0" borderId="24" xfId="35" applyNumberFormat="1" applyFont="1" applyBorder="1" applyAlignment="1">
      <alignment horizontal="center"/>
    </xf>
    <xf numFmtId="170" fontId="323" fillId="30" borderId="35" xfId="35" applyNumberFormat="1" applyFont="1" applyFill="1" applyBorder="1" applyAlignment="1">
      <alignment horizontal="center"/>
    </xf>
    <xf numFmtId="170" fontId="323" fillId="30" borderId="36" xfId="35" applyNumberFormat="1" applyFont="1" applyFill="1" applyBorder="1" applyAlignment="1">
      <alignment horizontal="center"/>
    </xf>
    <xf numFmtId="0" fontId="56" fillId="0" borderId="35" xfId="0" applyFont="1" applyBorder="1" applyAlignment="1">
      <alignment horizontal="center"/>
    </xf>
    <xf numFmtId="0" fontId="56" fillId="0" borderId="36" xfId="0" applyFont="1" applyBorder="1" applyAlignment="1">
      <alignment horizontal="center"/>
    </xf>
    <xf numFmtId="0" fontId="56" fillId="0" borderId="37" xfId="0" applyFont="1" applyBorder="1" applyAlignment="1">
      <alignment horizontal="center"/>
    </xf>
    <xf numFmtId="0" fontId="45" fillId="0" borderId="49" xfId="0" applyFont="1" applyBorder="1" applyAlignment="1">
      <alignment horizontal="left" vertical="center" wrapText="1"/>
    </xf>
    <xf numFmtId="0" fontId="45" fillId="0" borderId="32" xfId="0" applyFont="1" applyBorder="1" applyAlignment="1">
      <alignment horizontal="left" vertical="center" wrapText="1"/>
    </xf>
    <xf numFmtId="0" fontId="45" fillId="0" borderId="94" xfId="0" applyFont="1" applyBorder="1" applyAlignment="1">
      <alignment horizontal="left" vertical="center" wrapText="1"/>
    </xf>
    <xf numFmtId="0" fontId="45" fillId="0" borderId="49" xfId="0" applyFont="1" applyBorder="1" applyAlignment="1">
      <alignment horizontal="center" vertical="center"/>
    </xf>
    <xf numFmtId="0" fontId="45" fillId="0" borderId="32" xfId="0" applyFont="1" applyBorder="1" applyAlignment="1">
      <alignment horizontal="center" vertical="center"/>
    </xf>
    <xf numFmtId="0" fontId="45" fillId="0" borderId="94" xfId="0" applyFont="1" applyBorder="1" applyAlignment="1">
      <alignment horizontal="center" vertical="center"/>
    </xf>
    <xf numFmtId="0" fontId="45" fillId="0" borderId="49" xfId="0" applyFont="1" applyBorder="1" applyAlignment="1">
      <alignment horizontal="left" vertical="center"/>
    </xf>
    <xf numFmtId="0" fontId="45" fillId="0" borderId="32" xfId="0" applyFont="1" applyBorder="1" applyAlignment="1">
      <alignment horizontal="left" vertical="center"/>
    </xf>
    <xf numFmtId="0" fontId="45" fillId="0" borderId="94" xfId="0" applyFont="1" applyBorder="1" applyAlignment="1">
      <alignment horizontal="left" vertical="center"/>
    </xf>
    <xf numFmtId="0" fontId="175" fillId="0" borderId="39" xfId="0" applyFont="1" applyBorder="1" applyAlignment="1">
      <alignment vertical="center"/>
    </xf>
    <xf numFmtId="0" fontId="175" fillId="0" borderId="40" xfId="0" applyFont="1" applyBorder="1" applyAlignment="1">
      <alignment vertical="center"/>
    </xf>
    <xf numFmtId="0" fontId="175" fillId="0" borderId="73" xfId="0" applyFont="1" applyBorder="1" applyAlignment="1">
      <alignment vertical="center"/>
    </xf>
    <xf numFmtId="0" fontId="175" fillId="0" borderId="0" xfId="0" applyFont="1" applyAlignment="1">
      <alignment vertical="center"/>
    </xf>
    <xf numFmtId="0" fontId="330" fillId="0" borderId="43" xfId="0" applyFont="1" applyBorder="1" applyAlignment="1">
      <alignment vertical="center"/>
    </xf>
    <xf numFmtId="0" fontId="330" fillId="0" borderId="0" xfId="0" applyFont="1" applyBorder="1" applyAlignment="1">
      <alignment vertical="center"/>
    </xf>
    <xf numFmtId="0" fontId="332" fillId="0" borderId="35" xfId="0" applyFont="1" applyBorder="1" applyAlignment="1">
      <alignment horizontal="center" vertical="center"/>
    </xf>
    <xf numFmtId="0" fontId="332" fillId="0" borderId="37" xfId="0" applyFont="1" applyBorder="1" applyAlignment="1">
      <alignment horizontal="center" vertical="center"/>
    </xf>
    <xf numFmtId="0" fontId="336" fillId="0" borderId="35" xfId="0" applyFont="1" applyBorder="1" applyAlignment="1">
      <alignment horizontal="center" vertical="center"/>
    </xf>
    <xf numFmtId="0" fontId="336" fillId="0" borderId="37" xfId="0" applyFont="1" applyBorder="1" applyAlignment="1">
      <alignment horizontal="center" vertical="center"/>
    </xf>
    <xf numFmtId="0" fontId="175" fillId="0" borderId="41" xfId="0" applyFont="1" applyBorder="1" applyAlignment="1">
      <alignment vertical="center"/>
    </xf>
    <xf numFmtId="0" fontId="175" fillId="0" borderId="72" xfId="0" applyFont="1" applyBorder="1" applyAlignment="1">
      <alignment vertical="center"/>
    </xf>
    <xf numFmtId="0" fontId="330" fillId="0" borderId="48" xfId="0" applyFont="1" applyBorder="1" applyAlignment="1">
      <alignment vertical="center"/>
    </xf>
    <xf numFmtId="0" fontId="330" fillId="0" borderId="100" xfId="0" applyFont="1" applyBorder="1" applyAlignment="1">
      <alignment vertical="center"/>
    </xf>
    <xf numFmtId="0" fontId="337" fillId="0" borderId="48" xfId="0" applyFont="1" applyBorder="1" applyAlignment="1">
      <alignment horizontal="center" vertical="center"/>
    </xf>
    <xf numFmtId="0" fontId="337" fillId="0" borderId="100" xfId="0" applyFont="1" applyBorder="1" applyAlignment="1">
      <alignment horizontal="center" vertical="center"/>
    </xf>
    <xf numFmtId="0" fontId="330" fillId="0" borderId="48" xfId="0" applyFont="1" applyBorder="1" applyAlignment="1">
      <alignment horizontal="center" vertical="center"/>
    </xf>
    <xf numFmtId="0" fontId="330" fillId="0" borderId="100" xfId="0" applyFont="1" applyBorder="1" applyAlignment="1">
      <alignment horizontal="center" vertical="center"/>
    </xf>
    <xf numFmtId="0" fontId="289" fillId="0" borderId="11" xfId="1195" applyFont="1" applyBorder="1" applyAlignment="1">
      <alignment horizontal="center" vertical="center" wrapText="1"/>
    </xf>
    <xf numFmtId="0" fontId="289" fillId="0" borderId="21" xfId="1195" applyFont="1" applyBorder="1" applyAlignment="1">
      <alignment horizontal="center" vertical="center" wrapText="1"/>
    </xf>
    <xf numFmtId="0" fontId="289" fillId="0" borderId="12" xfId="1195" applyFont="1" applyBorder="1" applyAlignment="1">
      <alignment horizontal="center" vertical="center" wrapText="1"/>
    </xf>
    <xf numFmtId="0" fontId="311" fillId="0" borderId="0" xfId="1195" applyFont="1" applyBorder="1" applyAlignment="1">
      <alignment horizontal="center" vertical="center"/>
    </xf>
    <xf numFmtId="0" fontId="311" fillId="0" borderId="18" xfId="1195" applyFont="1" applyBorder="1" applyAlignment="1">
      <alignment horizontal="center" vertical="center"/>
    </xf>
    <xf numFmtId="0" fontId="311" fillId="0" borderId="11" xfId="1195" applyFont="1" applyBorder="1" applyAlignment="1">
      <alignment horizontal="center" vertical="center" wrapText="1"/>
    </xf>
    <xf numFmtId="0" fontId="311" fillId="0" borderId="21" xfId="1195" applyFont="1" applyBorder="1" applyAlignment="1">
      <alignment horizontal="center" vertical="center" wrapText="1"/>
    </xf>
    <xf numFmtId="0" fontId="311" fillId="0" borderId="22" xfId="1195" applyFont="1" applyBorder="1" applyAlignment="1">
      <alignment horizontal="center" vertical="center" wrapText="1"/>
    </xf>
    <xf numFmtId="0" fontId="340" fillId="0" borderId="130" xfId="0" applyFont="1" applyBorder="1" applyAlignment="1">
      <alignment horizontal="center" vertical="center" wrapText="1"/>
    </xf>
    <xf numFmtId="0" fontId="340" fillId="0" borderId="88" xfId="0" applyFont="1" applyBorder="1" applyAlignment="1">
      <alignment horizontal="center" vertical="center" wrapText="1"/>
    </xf>
    <xf numFmtId="0" fontId="340" fillId="0" borderId="87" xfId="0" applyFont="1" applyBorder="1" applyAlignment="1">
      <alignment horizontal="center" vertical="center" wrapText="1"/>
    </xf>
    <xf numFmtId="0" fontId="340" fillId="0" borderId="48" xfId="0" applyFont="1" applyBorder="1" applyAlignment="1">
      <alignment horizontal="center" vertical="center" wrapText="1"/>
    </xf>
    <xf numFmtId="0" fontId="322" fillId="0" borderId="0" xfId="0" applyFont="1" applyAlignment="1">
      <alignment horizontal="center" vertical="center"/>
    </xf>
    <xf numFmtId="0" fontId="322" fillId="0" borderId="114" xfId="0" applyFont="1" applyBorder="1" applyAlignment="1">
      <alignment horizontal="center" vertical="center"/>
    </xf>
    <xf numFmtId="0" fontId="340" fillId="0" borderId="48" xfId="0" applyFont="1" applyBorder="1" applyAlignment="1">
      <alignment vertical="center" wrapText="1"/>
    </xf>
    <xf numFmtId="0" fontId="340" fillId="0" borderId="100" xfId="0" applyFont="1" applyBorder="1" applyAlignment="1">
      <alignment vertical="center" wrapText="1"/>
    </xf>
    <xf numFmtId="0" fontId="322" fillId="0" borderId="130" xfId="0" applyFont="1" applyBorder="1" applyAlignment="1">
      <alignment horizontal="center" vertical="center" wrapText="1"/>
    </xf>
    <xf numFmtId="0" fontId="322" fillId="0" borderId="88" xfId="0" applyFont="1" applyBorder="1" applyAlignment="1">
      <alignment horizontal="center" vertical="center" wrapText="1"/>
    </xf>
    <xf numFmtId="0" fontId="322" fillId="0" borderId="100" xfId="0" applyFont="1" applyBorder="1" applyAlignment="1">
      <alignment horizontal="center" vertical="center" wrapText="1"/>
    </xf>
    <xf numFmtId="0" fontId="340" fillId="0" borderId="88" xfId="0" applyFont="1" applyBorder="1" applyAlignment="1">
      <alignment vertical="center" wrapText="1"/>
    </xf>
    <xf numFmtId="0" fontId="205" fillId="0" borderId="130" xfId="0" applyFont="1" applyBorder="1" applyAlignment="1">
      <alignment horizontal="center" vertical="center" wrapText="1"/>
    </xf>
    <xf numFmtId="0" fontId="205" fillId="0" borderId="88" xfId="0" applyFont="1" applyBorder="1" applyAlignment="1">
      <alignment horizontal="center" vertical="center" wrapText="1"/>
    </xf>
    <xf numFmtId="0" fontId="205" fillId="0" borderId="100" xfId="0" applyFont="1" applyBorder="1" applyAlignment="1">
      <alignment horizontal="center" vertical="center" wrapText="1"/>
    </xf>
  </cellXfs>
  <cellStyles count="2456">
    <cellStyle name="Accent1" xfId="1" builtinId="29" customBuiltin="1"/>
    <cellStyle name="Accent1 - 20 %" xfId="2"/>
    <cellStyle name="Accent1 - 40 %" xfId="3"/>
    <cellStyle name="Accent1 - 60 %" xfId="4"/>
    <cellStyle name="Accent1 10" xfId="221"/>
    <cellStyle name="Accent1 10 2" xfId="331"/>
    <cellStyle name="Accent1 11" xfId="230"/>
    <cellStyle name="Accent1 11 2" xfId="339"/>
    <cellStyle name="Accent1 12" xfId="352"/>
    <cellStyle name="Accent1 13" xfId="364"/>
    <cellStyle name="Accent1 14" xfId="373"/>
    <cellStyle name="Accent1 15" xfId="386"/>
    <cellStyle name="Accent1 16" xfId="393"/>
    <cellStyle name="Accent1 17" xfId="405"/>
    <cellStyle name="Accent1 18" xfId="423"/>
    <cellStyle name="Accent1 19" xfId="435"/>
    <cellStyle name="Accent1 2" xfId="54"/>
    <cellStyle name="Accent1 2 2" xfId="55"/>
    <cellStyle name="Accent1 2 3" xfId="2001"/>
    <cellStyle name="Accent1 2 4" xfId="2086"/>
    <cellStyle name="Accent1 2 5" xfId="2056"/>
    <cellStyle name="Accent1 2 6" xfId="2101"/>
    <cellStyle name="Accent1 2 7" xfId="2020"/>
    <cellStyle name="Accent1 2 8" xfId="2099"/>
    <cellStyle name="Accent1 2 9" xfId="2141"/>
    <cellStyle name="Accent1 20" xfId="446"/>
    <cellStyle name="Accent1 21" xfId="455"/>
    <cellStyle name="Accent1 22" xfId="464"/>
    <cellStyle name="Accent1 23" xfId="474"/>
    <cellStyle name="Accent1 23 2" xfId="664"/>
    <cellStyle name="Accent1 24" xfId="500"/>
    <cellStyle name="Accent1 24 2" xfId="685"/>
    <cellStyle name="Accent1 25" xfId="512"/>
    <cellStyle name="Accent1 25 2" xfId="692"/>
    <cellStyle name="Accent1 26" xfId="521"/>
    <cellStyle name="Accent1 26 2" xfId="695"/>
    <cellStyle name="Accent1 27" xfId="560"/>
    <cellStyle name="Accent1 27 2" xfId="722"/>
    <cellStyle name="Accent1 28" xfId="617"/>
    <cellStyle name="Accent1 29" xfId="1385"/>
    <cellStyle name="Accent1 3" xfId="56"/>
    <cellStyle name="Accent1 3 2" xfId="57"/>
    <cellStyle name="Accent1 30" xfId="1452"/>
    <cellStyle name="Accent1 31" xfId="1987"/>
    <cellStyle name="Accent1 32" xfId="2212"/>
    <cellStyle name="Accent1 33" xfId="2046"/>
    <cellStyle name="Accent1 34" xfId="2172"/>
    <cellStyle name="Accent1 35" xfId="2097"/>
    <cellStyle name="Accent1 36" xfId="2153"/>
    <cellStyle name="Accent1 37" xfId="2277"/>
    <cellStyle name="Accent1 4" xfId="58"/>
    <cellStyle name="Accent1 4 2" xfId="241"/>
    <cellStyle name="Accent1 5" xfId="59"/>
    <cellStyle name="Accent1 5 2" xfId="242"/>
    <cellStyle name="Accent1 6" xfId="174"/>
    <cellStyle name="Accent1 6 2" xfId="300"/>
    <cellStyle name="Accent1 7" xfId="186"/>
    <cellStyle name="Accent1 7 2" xfId="307"/>
    <cellStyle name="Accent1 8" xfId="200"/>
    <cellStyle name="Accent1 8 2" xfId="313"/>
    <cellStyle name="Accent1 9" xfId="211"/>
    <cellStyle name="Accent1 9 2" xfId="323"/>
    <cellStyle name="Accent2" xfId="5" builtinId="33" customBuiltin="1"/>
    <cellStyle name="Accent2 - 20 %" xfId="6"/>
    <cellStyle name="Accent2 - 40 %" xfId="7"/>
    <cellStyle name="Accent2 - 60 %" xfId="8"/>
    <cellStyle name="Accent2 10" xfId="215"/>
    <cellStyle name="Accent2 10 2" xfId="326"/>
    <cellStyle name="Accent2 11" xfId="225"/>
    <cellStyle name="Accent2 11 2" xfId="334"/>
    <cellStyle name="Accent2 12" xfId="342"/>
    <cellStyle name="Accent2 13" xfId="355"/>
    <cellStyle name="Accent2 14" xfId="349"/>
    <cellStyle name="Accent2 15" xfId="378"/>
    <cellStyle name="Accent2 16" xfId="368"/>
    <cellStyle name="Accent2 17" xfId="401"/>
    <cellStyle name="Accent2 18" xfId="416"/>
    <cellStyle name="Accent2 19" xfId="428"/>
    <cellStyle name="Accent2 2" xfId="60"/>
    <cellStyle name="Accent2 2 2" xfId="61"/>
    <cellStyle name="Accent2 2 3" xfId="2000"/>
    <cellStyle name="Accent2 2 4" xfId="2053"/>
    <cellStyle name="Accent2 2 5" xfId="2163"/>
    <cellStyle name="Accent2 2 6" xfId="2227"/>
    <cellStyle name="Accent2 2 7" xfId="2240"/>
    <cellStyle name="Accent2 2 8" xfId="2249"/>
    <cellStyle name="Accent2 2 9" xfId="2258"/>
    <cellStyle name="Accent2 20" xfId="440"/>
    <cellStyle name="Accent2 21" xfId="449"/>
    <cellStyle name="Accent2 22" xfId="459"/>
    <cellStyle name="Accent2 23" xfId="478"/>
    <cellStyle name="Accent2 23 2" xfId="668"/>
    <cellStyle name="Accent2 24" xfId="494"/>
    <cellStyle name="Accent2 24 2" xfId="683"/>
    <cellStyle name="Accent2 25" xfId="505"/>
    <cellStyle name="Accent2 25 2" xfId="689"/>
    <cellStyle name="Accent2 26" xfId="516"/>
    <cellStyle name="Accent2 26 2" xfId="694"/>
    <cellStyle name="Accent2 27" xfId="559"/>
    <cellStyle name="Accent2 27 2" xfId="721"/>
    <cellStyle name="Accent2 28" xfId="622"/>
    <cellStyle name="Accent2 29" xfId="1386"/>
    <cellStyle name="Accent2 3" xfId="62"/>
    <cellStyle name="Accent2 3 2" xfId="63"/>
    <cellStyle name="Accent2 30" xfId="1453"/>
    <cellStyle name="Accent2 31" xfId="1990"/>
    <cellStyle name="Accent2 32" xfId="2166"/>
    <cellStyle name="Accent2 33" xfId="2092"/>
    <cellStyle name="Accent2 34" xfId="2094"/>
    <cellStyle name="Accent2 35" xfId="2104"/>
    <cellStyle name="Accent2 36" xfId="2077"/>
    <cellStyle name="Accent2 37" xfId="2276"/>
    <cellStyle name="Accent2 4" xfId="64"/>
    <cellStyle name="Accent2 4 2" xfId="243"/>
    <cellStyle name="Accent2 5" xfId="65"/>
    <cellStyle name="Accent2 5 2" xfId="244"/>
    <cellStyle name="Accent2 6" xfId="171"/>
    <cellStyle name="Accent2 6 2" xfId="295"/>
    <cellStyle name="Accent2 7" xfId="179"/>
    <cellStyle name="Accent2 7 2" xfId="303"/>
    <cellStyle name="Accent2 8" xfId="193"/>
    <cellStyle name="Accent2 8 2" xfId="309"/>
    <cellStyle name="Accent2 9" xfId="205"/>
    <cellStyle name="Accent2 9 2" xfId="318"/>
    <cellStyle name="Accent3" xfId="9" builtinId="37" customBuiltin="1"/>
    <cellStyle name="Accent3 - 20 %" xfId="10"/>
    <cellStyle name="Accent3 - 40 %" xfId="11"/>
    <cellStyle name="Accent3 - 60 %" xfId="12"/>
    <cellStyle name="Accent3 10" xfId="192"/>
    <cellStyle name="Accent3 10 2" xfId="299"/>
    <cellStyle name="Accent3 11" xfId="204"/>
    <cellStyle name="Accent3 11 2" xfId="317"/>
    <cellStyle name="Accent3 12" xfId="325"/>
    <cellStyle name="Accent3 13" xfId="333"/>
    <cellStyle name="Accent3 14" xfId="312"/>
    <cellStyle name="Accent3 15" xfId="337"/>
    <cellStyle name="Accent3 16" xfId="296"/>
    <cellStyle name="Accent3 17" xfId="361"/>
    <cellStyle name="Accent3 18" xfId="392"/>
    <cellStyle name="Accent3 19" xfId="385"/>
    <cellStyle name="Accent3 2" xfId="66"/>
    <cellStyle name="Accent3 2 2" xfId="67"/>
    <cellStyle name="Accent3 2 3" xfId="1989"/>
    <cellStyle name="Accent3 2 4" xfId="2034"/>
    <cellStyle name="Accent3 2 5" xfId="2169"/>
    <cellStyle name="Accent3 2 6" xfId="2075"/>
    <cellStyle name="Accent3 2 7" xfId="2180"/>
    <cellStyle name="Accent3 2 8" xfId="2044"/>
    <cellStyle name="Accent3 2 9" xfId="2148"/>
    <cellStyle name="Accent3 20" xfId="415"/>
    <cellStyle name="Accent3 21" xfId="427"/>
    <cellStyle name="Accent3 22" xfId="439"/>
    <cellStyle name="Accent3 23" xfId="482"/>
    <cellStyle name="Accent3 23 2" xfId="672"/>
    <cellStyle name="Accent3 24" xfId="490"/>
    <cellStyle name="Accent3 24 2" xfId="679"/>
    <cellStyle name="Accent3 25" xfId="479"/>
    <cellStyle name="Accent3 25 2" xfId="669"/>
    <cellStyle name="Accent3 26" xfId="493"/>
    <cellStyle name="Accent3 26 2" xfId="682"/>
    <cellStyle name="Accent3 27" xfId="557"/>
    <cellStyle name="Accent3 27 2" xfId="720"/>
    <cellStyle name="Accent3 28" xfId="624"/>
    <cellStyle name="Accent3 29" xfId="1387"/>
    <cellStyle name="Accent3 3" xfId="68"/>
    <cellStyle name="Accent3 3 2" xfId="69"/>
    <cellStyle name="Accent3 30" xfId="1454"/>
    <cellStyle name="Accent3 31" xfId="1991"/>
    <cellStyle name="Accent3 32" xfId="2100"/>
    <cellStyle name="Accent3 33" xfId="2021"/>
    <cellStyle name="Accent3 34" xfId="2051"/>
    <cellStyle name="Accent3 35" xfId="2195"/>
    <cellStyle name="Accent3 36" xfId="2039"/>
    <cellStyle name="Accent3 37" xfId="2274"/>
    <cellStyle name="Accent3 38" xfId="2296"/>
    <cellStyle name="Accent3 4" xfId="70"/>
    <cellStyle name="Accent3 4 2" xfId="245"/>
    <cellStyle name="Accent3 5" xfId="71"/>
    <cellStyle name="Accent3 5 2" xfId="246"/>
    <cellStyle name="Accent3 6" xfId="166"/>
    <cellStyle name="Accent3 6 2" xfId="282"/>
    <cellStyle name="Accent3 7" xfId="160"/>
    <cellStyle name="Accent3 7 2" xfId="289"/>
    <cellStyle name="Accent3 8" xfId="172"/>
    <cellStyle name="Accent3 8 2" xfId="285"/>
    <cellStyle name="Accent3 9" xfId="177"/>
    <cellStyle name="Accent3 9 2" xfId="304"/>
    <cellStyle name="Accent4" xfId="13" builtinId="41" customBuiltin="1"/>
    <cellStyle name="Accent4 - 20 %" xfId="14"/>
    <cellStyle name="Accent4 - 40 %" xfId="15"/>
    <cellStyle name="Accent4 - 60 %" xfId="16"/>
    <cellStyle name="Accent4 10" xfId="161"/>
    <cellStyle name="Accent4 10 2" xfId="278"/>
    <cellStyle name="Accent4 11" xfId="167"/>
    <cellStyle name="Accent4 11 2" xfId="287"/>
    <cellStyle name="Accent4 12" xfId="279"/>
    <cellStyle name="Accent4 13" xfId="291"/>
    <cellStyle name="Accent4 14" xfId="316"/>
    <cellStyle name="Accent4 15" xfId="281"/>
    <cellStyle name="Accent4 16" xfId="360"/>
    <cellStyle name="Accent4 17" xfId="329"/>
    <cellStyle name="Accent4 18" xfId="302"/>
    <cellStyle name="Accent4 19" xfId="341"/>
    <cellStyle name="Accent4 2" xfId="72"/>
    <cellStyle name="Accent4 2 2" xfId="73"/>
    <cellStyle name="Accent4 2 3" xfId="2009"/>
    <cellStyle name="Accent4 2 4" xfId="2105"/>
    <cellStyle name="Accent4 2 5" xfId="2140"/>
    <cellStyle name="Accent4 2 6" xfId="2157"/>
    <cellStyle name="Accent4 2 7" xfId="2192"/>
    <cellStyle name="Accent4 2 8" xfId="2088"/>
    <cellStyle name="Accent4 2 9" xfId="2174"/>
    <cellStyle name="Accent4 20" xfId="321"/>
    <cellStyle name="Accent4 21" xfId="367"/>
    <cellStyle name="Accent4 22" xfId="335"/>
    <cellStyle name="Accent4 23" xfId="486"/>
    <cellStyle name="Accent4 23 2" xfId="676"/>
    <cellStyle name="Accent4 24" xfId="485"/>
    <cellStyle name="Accent4 24 2" xfId="675"/>
    <cellStyle name="Accent4 25" xfId="487"/>
    <cellStyle name="Accent4 25 2" xfId="677"/>
    <cellStyle name="Accent4 26" xfId="484"/>
    <cellStyle name="Accent4 26 2" xfId="674"/>
    <cellStyle name="Accent4 27" xfId="531"/>
    <cellStyle name="Accent4 27 2" xfId="703"/>
    <cellStyle name="Accent4 28" xfId="625"/>
    <cellStyle name="Accent4 29" xfId="1388"/>
    <cellStyle name="Accent4 3" xfId="74"/>
    <cellStyle name="Accent4 3 2" xfId="75"/>
    <cellStyle name="Accent4 30" xfId="1455"/>
    <cellStyle name="Accent4 31" xfId="1992"/>
    <cellStyle name="Accent4 32" xfId="2144"/>
    <cellStyle name="Accent4 33" xfId="2119"/>
    <cellStyle name="Accent4 34" xfId="2193"/>
    <cellStyle name="Accent4 35" xfId="2076"/>
    <cellStyle name="Accent4 36" xfId="2221"/>
    <cellStyle name="Accent4 37" xfId="2273"/>
    <cellStyle name="Accent4 4" xfId="76"/>
    <cellStyle name="Accent4 4 2" xfId="247"/>
    <cellStyle name="Accent4 5" xfId="77"/>
    <cellStyle name="Accent4 5 2" xfId="248"/>
    <cellStyle name="Accent4 6" xfId="162"/>
    <cellStyle name="Accent4 6 2" xfId="277"/>
    <cellStyle name="Accent4 7" xfId="164"/>
    <cellStyle name="Accent4 7 2" xfId="276"/>
    <cellStyle name="Accent4 8" xfId="163"/>
    <cellStyle name="Accent4 8 2" xfId="275"/>
    <cellStyle name="Accent4 9" xfId="165"/>
    <cellStyle name="Accent4 9 2" xfId="274"/>
    <cellStyle name="Accent5" xfId="17" builtinId="45" customBuiltin="1"/>
    <cellStyle name="Accent5 - 20 %" xfId="18"/>
    <cellStyle name="Accent5 - 40 %" xfId="19"/>
    <cellStyle name="Accent5 - 60 %" xfId="20"/>
    <cellStyle name="Accent5 10" xfId="180"/>
    <cellStyle name="Accent5 10 2" xfId="305"/>
    <cellStyle name="Accent5 11" xfId="198"/>
    <cellStyle name="Accent5 11 2" xfId="310"/>
    <cellStyle name="Accent5 12" xfId="319"/>
    <cellStyle name="Accent5 13" xfId="327"/>
    <cellStyle name="Accent5 14" xfId="354"/>
    <cellStyle name="Accent5 15" xfId="347"/>
    <cellStyle name="Accent5 16" xfId="380"/>
    <cellStyle name="Accent5 17" xfId="391"/>
    <cellStyle name="Accent5 18" xfId="379"/>
    <cellStyle name="Accent5 19" xfId="413"/>
    <cellStyle name="Accent5 2" xfId="78"/>
    <cellStyle name="Accent5 2 2" xfId="79"/>
    <cellStyle name="Accent5 2 3" xfId="2011"/>
    <cellStyle name="Accent5 2 4" xfId="2110"/>
    <cellStyle name="Accent5 2 5" xfId="2217"/>
    <cellStyle name="Accent5 2 6" xfId="2087"/>
    <cellStyle name="Accent5 2 7" xfId="2235"/>
    <cellStyle name="Accent5 2 8" xfId="2245"/>
    <cellStyle name="Accent5 2 9" xfId="2254"/>
    <cellStyle name="Accent5 20" xfId="403"/>
    <cellStyle name="Accent5 21" xfId="421"/>
    <cellStyle name="Accent5 22" xfId="433"/>
    <cellStyle name="Accent5 23" xfId="489"/>
    <cellStyle name="Accent5 23 2" xfId="678"/>
    <cellStyle name="Accent5 24" xfId="480"/>
    <cellStyle name="Accent5 24 2" xfId="670"/>
    <cellStyle name="Accent5 25" xfId="491"/>
    <cellStyle name="Accent5 25 2" xfId="680"/>
    <cellStyle name="Accent5 26" xfId="476"/>
    <cellStyle name="Accent5 26 2" xfId="666"/>
    <cellStyle name="Accent5 27" xfId="553"/>
    <cellStyle name="Accent5 27 2" xfId="719"/>
    <cellStyle name="Accent5 28" xfId="626"/>
    <cellStyle name="Accent5 29" xfId="1389"/>
    <cellStyle name="Accent5 3" xfId="80"/>
    <cellStyle name="Accent5 3 2" xfId="81"/>
    <cellStyle name="Accent5 30" xfId="1456"/>
    <cellStyle name="Accent5 31" xfId="1993"/>
    <cellStyle name="Accent5 32" xfId="2176"/>
    <cellStyle name="Accent5 33" xfId="2074"/>
    <cellStyle name="Accent5 34" xfId="2130"/>
    <cellStyle name="Accent5 35" xfId="2190"/>
    <cellStyle name="Accent5 36" xfId="2040"/>
    <cellStyle name="Accent5 37" xfId="2272"/>
    <cellStyle name="Accent5 4" xfId="82"/>
    <cellStyle name="Accent5 4 2" xfId="249"/>
    <cellStyle name="Accent5 5" xfId="83"/>
    <cellStyle name="Accent5 5 2" xfId="250"/>
    <cellStyle name="Accent5 6" xfId="170"/>
    <cellStyle name="Accent5 6 2" xfId="273"/>
    <cellStyle name="Accent5 7" xfId="168"/>
    <cellStyle name="Accent5 7 2" xfId="283"/>
    <cellStyle name="Accent5 8" xfId="176"/>
    <cellStyle name="Accent5 8 2" xfId="301"/>
    <cellStyle name="Accent5 9" xfId="173"/>
    <cellStyle name="Accent5 9 2" xfId="294"/>
    <cellStyle name="Accent6" xfId="21" builtinId="49" customBuiltin="1"/>
    <cellStyle name="Accent6 - 20 %" xfId="22"/>
    <cellStyle name="Accent6 - 40 %" xfId="23"/>
    <cellStyle name="Accent6 - 60 %" xfId="24"/>
    <cellStyle name="Accent6 10" xfId="210"/>
    <cellStyle name="Accent6 10 2" xfId="320"/>
    <cellStyle name="Accent6 11" xfId="220"/>
    <cellStyle name="Accent6 11 2" xfId="328"/>
    <cellStyle name="Accent6 12" xfId="336"/>
    <cellStyle name="Accent6 13" xfId="348"/>
    <cellStyle name="Accent6 14" xfId="377"/>
    <cellStyle name="Accent6 15" xfId="390"/>
    <cellStyle name="Accent6 16" xfId="402"/>
    <cellStyle name="Accent6 17" xfId="414"/>
    <cellStyle name="Accent6 18" xfId="404"/>
    <cellStyle name="Accent6 19" xfId="422"/>
    <cellStyle name="Accent6 2" xfId="84"/>
    <cellStyle name="Accent6 2 2" xfId="85"/>
    <cellStyle name="Accent6 2 3" xfId="2013"/>
    <cellStyle name="Accent6 2 4" xfId="2096"/>
    <cellStyle name="Accent6 2 5" xfId="2138"/>
    <cellStyle name="Accent6 2 6" xfId="2184"/>
    <cellStyle name="Accent6 2 7" xfId="2081"/>
    <cellStyle name="Accent6 2 8" xfId="2124"/>
    <cellStyle name="Accent6 2 9" xfId="2055"/>
    <cellStyle name="Accent6 20" xfId="434"/>
    <cellStyle name="Accent6 21" xfId="445"/>
    <cellStyle name="Accent6 22" xfId="454"/>
    <cellStyle name="Accent6 23" xfId="492"/>
    <cellStyle name="Accent6 23 2" xfId="681"/>
    <cellStyle name="Accent6 24" xfId="475"/>
    <cellStyle name="Accent6 24 2" xfId="665"/>
    <cellStyle name="Accent6 25" xfId="499"/>
    <cellStyle name="Accent6 25 2" xfId="684"/>
    <cellStyle name="Accent6 26" xfId="511"/>
    <cellStyle name="Accent6 26 2" xfId="691"/>
    <cellStyle name="Accent6 27" xfId="552"/>
    <cellStyle name="Accent6 27 2" xfId="718"/>
    <cellStyle name="Accent6 28" xfId="627"/>
    <cellStyle name="Accent6 29" xfId="1390"/>
    <cellStyle name="Accent6 3" xfId="86"/>
    <cellStyle name="Accent6 3 2" xfId="87"/>
    <cellStyle name="Accent6 30" xfId="1457"/>
    <cellStyle name="Accent6 31" xfId="1994"/>
    <cellStyle name="Accent6 32" xfId="2159"/>
    <cellStyle name="Accent6 33" xfId="2214"/>
    <cellStyle name="Accent6 34" xfId="2050"/>
    <cellStyle name="Accent6 35" xfId="2082"/>
    <cellStyle name="Accent6 36" xfId="2236"/>
    <cellStyle name="Accent6 37" xfId="2275"/>
    <cellStyle name="Accent6 4" xfId="88"/>
    <cellStyle name="Accent6 4 2" xfId="251"/>
    <cellStyle name="Accent6 5" xfId="89"/>
    <cellStyle name="Accent6 5 2" xfId="252"/>
    <cellStyle name="Accent6 6" xfId="178"/>
    <cellStyle name="Accent6 6 2" xfId="292"/>
    <cellStyle name="Accent6 7" xfId="191"/>
    <cellStyle name="Accent6 7 2" xfId="298"/>
    <cellStyle name="Accent6 8" xfId="185"/>
    <cellStyle name="Accent6 8 2" xfId="306"/>
    <cellStyle name="Accent6 9" xfId="199"/>
    <cellStyle name="Accent6 9 2" xfId="311"/>
    <cellStyle name="Avertissement" xfId="25" builtinId="11" customBuiltin="1"/>
    <cellStyle name="Avertissement 10" xfId="226"/>
    <cellStyle name="Avertissement 11" xfId="234"/>
    <cellStyle name="Avertissement 11 2" xfId="343"/>
    <cellStyle name="Avertissement 12" xfId="356"/>
    <cellStyle name="Avertissement 13" xfId="369"/>
    <cellStyle name="Avertissement 14" xfId="381"/>
    <cellStyle name="Avertissement 15" xfId="394"/>
    <cellStyle name="Avertissement 16" xfId="406"/>
    <cellStyle name="Avertissement 17" xfId="417"/>
    <cellStyle name="Avertissement 18" xfId="429"/>
    <cellStyle name="Avertissement 19" xfId="441"/>
    <cellStyle name="Avertissement 2" xfId="90"/>
    <cellStyle name="Avertissement 2 2" xfId="1997"/>
    <cellStyle name="Avertissement 2 3" xfId="2015"/>
    <cellStyle name="Avertissement 2 4" xfId="2052"/>
    <cellStyle name="Avertissement 2 5" xfId="2187"/>
    <cellStyle name="Avertissement 2 6" xfId="2063"/>
    <cellStyle name="Avertissement 2 7" xfId="2191"/>
    <cellStyle name="Avertissement 2 8" xfId="2012"/>
    <cellStyle name="Avertissement 2 9" xfId="2117"/>
    <cellStyle name="Avertissement 20" xfId="450"/>
    <cellStyle name="Avertissement 21" xfId="460"/>
    <cellStyle name="Avertissement 22" xfId="468"/>
    <cellStyle name="Avertissement 23" xfId="495"/>
    <cellStyle name="Avertissement 24" xfId="507"/>
    <cellStyle name="Avertissement 25" xfId="517"/>
    <cellStyle name="Avertissement 26" xfId="527"/>
    <cellStyle name="Avertissement 26 2" xfId="699"/>
    <cellStyle name="Avertissement 27" xfId="551"/>
    <cellStyle name="Avertissement 27 2" xfId="717"/>
    <cellStyle name="Avertissement 28" xfId="628"/>
    <cellStyle name="Avertissement 29" xfId="1391"/>
    <cellStyle name="Avertissement 3" xfId="91"/>
    <cellStyle name="Avertissement 30" xfId="1458"/>
    <cellStyle name="Avertissement 31" xfId="2113"/>
    <cellStyle name="Avertissement 32" xfId="2224"/>
    <cellStyle name="Avertissement 33" xfId="2064"/>
    <cellStyle name="Avertissement 34" xfId="2219"/>
    <cellStyle name="Avertissement 35" xfId="2058"/>
    <cellStyle name="Avertissement 36" xfId="2209"/>
    <cellStyle name="Avertissement 4" xfId="92"/>
    <cellStyle name="Avertissement 5" xfId="93"/>
    <cellStyle name="Avertissement 6" xfId="181"/>
    <cellStyle name="Avertissement 7" xfId="194"/>
    <cellStyle name="Avertissement 8" xfId="206"/>
    <cellStyle name="Avertissement 9" xfId="216"/>
    <cellStyle name="Calcul" xfId="26" builtinId="22" customBuiltin="1"/>
    <cellStyle name="Calcul 10" xfId="227"/>
    <cellStyle name="Calcul 10 2" xfId="1515"/>
    <cellStyle name="Calcul 11" xfId="235"/>
    <cellStyle name="Calcul 11 2" xfId="344"/>
    <cellStyle name="Calcul 11 2 2" xfId="1540"/>
    <cellStyle name="Calcul 11 3" xfId="1519"/>
    <cellStyle name="Calcul 12" xfId="357"/>
    <cellStyle name="Calcul 12 2" xfId="1544"/>
    <cellStyle name="Calcul 13" xfId="370"/>
    <cellStyle name="Calcul 13 2" xfId="1548"/>
    <cellStyle name="Calcul 14" xfId="382"/>
    <cellStyle name="Calcul 14 2" xfId="1552"/>
    <cellStyle name="Calcul 15" xfId="395"/>
    <cellStyle name="Calcul 15 2" xfId="1556"/>
    <cellStyle name="Calcul 16" xfId="407"/>
    <cellStyle name="Calcul 16 2" xfId="1560"/>
    <cellStyle name="Calcul 17" xfId="418"/>
    <cellStyle name="Calcul 17 2" xfId="1564"/>
    <cellStyle name="Calcul 18" xfId="430"/>
    <cellStyle name="Calcul 18 2" xfId="1568"/>
    <cellStyle name="Calcul 19" xfId="442"/>
    <cellStyle name="Calcul 19 2" xfId="1572"/>
    <cellStyle name="Calcul 2" xfId="94"/>
    <cellStyle name="Calcul 2 10" xfId="1475"/>
    <cellStyle name="Calcul 2 2" xfId="2007"/>
    <cellStyle name="Calcul 2 3" xfId="2016"/>
    <cellStyle name="Calcul 2 4" xfId="2115"/>
    <cellStyle name="Calcul 2 5" xfId="2128"/>
    <cellStyle name="Calcul 2 6" xfId="2132"/>
    <cellStyle name="Calcul 2 7" xfId="2181"/>
    <cellStyle name="Calcul 2 8" xfId="2041"/>
    <cellStyle name="Calcul 2 9" xfId="2165"/>
    <cellStyle name="Calcul 20" xfId="451"/>
    <cellStyle name="Calcul 20 2" xfId="1576"/>
    <cellStyle name="Calcul 21" xfId="461"/>
    <cellStyle name="Calcul 21 2" xfId="1580"/>
    <cellStyle name="Calcul 22" xfId="469"/>
    <cellStyle name="Calcul 22 2" xfId="1584"/>
    <cellStyle name="Calcul 23" xfId="496"/>
    <cellStyle name="Calcul 23 2" xfId="1589"/>
    <cellStyle name="Calcul 24" xfId="508"/>
    <cellStyle name="Calcul 24 2" xfId="1594"/>
    <cellStyle name="Calcul 25" xfId="518"/>
    <cellStyle name="Calcul 25 2" xfId="1598"/>
    <cellStyle name="Calcul 26" xfId="528"/>
    <cellStyle name="Calcul 26 2" xfId="700"/>
    <cellStyle name="Calcul 26 2 2" xfId="1659"/>
    <cellStyle name="Calcul 26 3" xfId="1603"/>
    <cellStyle name="Calcul 27" xfId="550"/>
    <cellStyle name="Calcul 27 2" xfId="716"/>
    <cellStyle name="Calcul 27 2 2" xfId="1665"/>
    <cellStyle name="Calcul 27 3" xfId="1610"/>
    <cellStyle name="Calcul 28" xfId="629"/>
    <cellStyle name="Calcul 28 2" xfId="1642"/>
    <cellStyle name="Calcul 29" xfId="1392"/>
    <cellStyle name="Calcul 29 2" xfId="1975"/>
    <cellStyle name="Calcul 3" xfId="95"/>
    <cellStyle name="Calcul 3 2" xfId="1476"/>
    <cellStyle name="Calcul 30" xfId="1424"/>
    <cellStyle name="Calcul 31" xfId="1423"/>
    <cellStyle name="Calcul 32" xfId="1428"/>
    <cellStyle name="Calcul 33" xfId="1435"/>
    <cellStyle name="Calcul 34" xfId="1443"/>
    <cellStyle name="Calcul 35" xfId="1459"/>
    <cellStyle name="Calcul 36" xfId="2173"/>
    <cellStyle name="Calcul 4" xfId="96"/>
    <cellStyle name="Calcul 4 2" xfId="1477"/>
    <cellStyle name="Calcul 5" xfId="97"/>
    <cellStyle name="Calcul 5 2" xfId="1478"/>
    <cellStyle name="Calcul 6" xfId="182"/>
    <cellStyle name="Calcul 6 2" xfId="1499"/>
    <cellStyle name="Calcul 7" xfId="195"/>
    <cellStyle name="Calcul 7 2" xfId="1503"/>
    <cellStyle name="Calcul 8" xfId="207"/>
    <cellStyle name="Calcul 8 2" xfId="1507"/>
    <cellStyle name="Calcul 9" xfId="217"/>
    <cellStyle name="Calcul 9 2" xfId="1511"/>
    <cellStyle name="Cellule liée" xfId="27" builtinId="24" customBuiltin="1"/>
    <cellStyle name="Cellule liée 10" xfId="228"/>
    <cellStyle name="Cellule liée 11" xfId="236"/>
    <cellStyle name="Cellule liée 11 2" xfId="345"/>
    <cellStyle name="Cellule liée 12" xfId="358"/>
    <cellStyle name="Cellule liée 13" xfId="371"/>
    <cellStyle name="Cellule liée 14" xfId="383"/>
    <cellStyle name="Cellule liée 15" xfId="396"/>
    <cellStyle name="Cellule liée 16" xfId="408"/>
    <cellStyle name="Cellule liée 17" xfId="419"/>
    <cellStyle name="Cellule liée 18" xfId="431"/>
    <cellStyle name="Cellule liée 19" xfId="443"/>
    <cellStyle name="Cellule liée 2" xfId="98"/>
    <cellStyle name="Cellule liée 2 2" xfId="1996"/>
    <cellStyle name="Cellule liée 2 3" xfId="2017"/>
    <cellStyle name="Cellule liée 2 4" xfId="2027"/>
    <cellStyle name="Cellule liée 2 5" xfId="2142"/>
    <cellStyle name="Cellule liée 2 6" xfId="2215"/>
    <cellStyle name="Cellule liée 2 7" xfId="1998"/>
    <cellStyle name="Cellule liée 2 8" xfId="2106"/>
    <cellStyle name="Cellule liée 2 9" xfId="2125"/>
    <cellStyle name="Cellule liée 20" xfId="452"/>
    <cellStyle name="Cellule liée 21" xfId="462"/>
    <cellStyle name="Cellule liée 22" xfId="470"/>
    <cellStyle name="Cellule liée 23" xfId="497"/>
    <cellStyle name="Cellule liée 24" xfId="509"/>
    <cellStyle name="Cellule liée 25" xfId="519"/>
    <cellStyle name="Cellule liée 26" xfId="529"/>
    <cellStyle name="Cellule liée 26 2" xfId="701"/>
    <cellStyle name="Cellule liée 27" xfId="549"/>
    <cellStyle name="Cellule liée 27 2" xfId="715"/>
    <cellStyle name="Cellule liée 28" xfId="630"/>
    <cellStyle name="Cellule liée 29" xfId="1393"/>
    <cellStyle name="Cellule liée 3" xfId="99"/>
    <cellStyle name="Cellule liée 30" xfId="1460"/>
    <cellStyle name="Cellule liée 31" xfId="2116"/>
    <cellStyle name="Cellule liée 32" xfId="2131"/>
    <cellStyle name="Cellule liée 33" xfId="2127"/>
    <cellStyle name="Cellule liée 34" xfId="2200"/>
    <cellStyle name="Cellule liée 35" xfId="2062"/>
    <cellStyle name="Cellule liée 36" xfId="2121"/>
    <cellStyle name="Cellule liée 4" xfId="100"/>
    <cellStyle name="Cellule liée 5" xfId="101"/>
    <cellStyle name="Cellule liée 6" xfId="183"/>
    <cellStyle name="Cellule liée 7" xfId="196"/>
    <cellStyle name="Cellule liée 8" xfId="208"/>
    <cellStyle name="Cellule liée 9" xfId="218"/>
    <cellStyle name="Commentaire" xfId="28" builtinId="10" customBuiltin="1"/>
    <cellStyle name="Commentaire 10" xfId="229"/>
    <cellStyle name="Commentaire 10 10" xfId="1332"/>
    <cellStyle name="Commentaire 10 10 2" xfId="1950"/>
    <cellStyle name="Commentaire 10 11" xfId="825"/>
    <cellStyle name="Commentaire 10 11 2" xfId="1714"/>
    <cellStyle name="Commentaire 10 12" xfId="771"/>
    <cellStyle name="Commentaire 10 12 2" xfId="1692"/>
    <cellStyle name="Commentaire 10 13" xfId="1382"/>
    <cellStyle name="Commentaire 10 13 2" xfId="1973"/>
    <cellStyle name="Commentaire 10 14" xfId="1516"/>
    <cellStyle name="Commentaire 10 2" xfId="581"/>
    <cellStyle name="Commentaire 10 2 2" xfId="1621"/>
    <cellStyle name="Commentaire 10 3" xfId="1039"/>
    <cellStyle name="Commentaire 10 3 2" xfId="1817"/>
    <cellStyle name="Commentaire 10 4" xfId="1109"/>
    <cellStyle name="Commentaire 10 4 2" xfId="1849"/>
    <cellStyle name="Commentaire 10 5" xfId="954"/>
    <cellStyle name="Commentaire 10 5 2" xfId="1778"/>
    <cellStyle name="Commentaire 10 6" xfId="927"/>
    <cellStyle name="Commentaire 10 6 2" xfId="1764"/>
    <cellStyle name="Commentaire 10 7" xfId="915"/>
    <cellStyle name="Commentaire 10 7 2" xfId="1756"/>
    <cellStyle name="Commentaire 10 8" xfId="1257"/>
    <cellStyle name="Commentaire 10 8 2" xfId="1914"/>
    <cellStyle name="Commentaire 10 9" xfId="820"/>
    <cellStyle name="Commentaire 10 9 2" xfId="1712"/>
    <cellStyle name="Commentaire 11" xfId="237"/>
    <cellStyle name="Commentaire 11 2" xfId="346"/>
    <cellStyle name="Commentaire 11 2 10" xfId="1215"/>
    <cellStyle name="Commentaire 11 2 10 2" xfId="1894"/>
    <cellStyle name="Commentaire 11 2 11" xfId="1261"/>
    <cellStyle name="Commentaire 11 2 11 2" xfId="1916"/>
    <cellStyle name="Commentaire 11 2 12" xfId="916"/>
    <cellStyle name="Commentaire 11 2 12 2" xfId="1757"/>
    <cellStyle name="Commentaire 11 2 13" xfId="1380"/>
    <cellStyle name="Commentaire 11 2 13 2" xfId="1972"/>
    <cellStyle name="Commentaire 11 2 14" xfId="1541"/>
    <cellStyle name="Commentaire 11 2 2" xfId="583"/>
    <cellStyle name="Commentaire 11 2 2 2" xfId="1622"/>
    <cellStyle name="Commentaire 11 2 3" xfId="1068"/>
    <cellStyle name="Commentaire 11 2 3 2" xfId="1828"/>
    <cellStyle name="Commentaire 11 2 4" xfId="1038"/>
    <cellStyle name="Commentaire 11 2 4 2" xfId="1816"/>
    <cellStyle name="Commentaire 11 2 5" xfId="950"/>
    <cellStyle name="Commentaire 11 2 5 2" xfId="1776"/>
    <cellStyle name="Commentaire 11 2 6" xfId="839"/>
    <cellStyle name="Commentaire 11 2 6 2" xfId="1723"/>
    <cellStyle name="Commentaire 11 2 7" xfId="946"/>
    <cellStyle name="Commentaire 11 2 7 2" xfId="1773"/>
    <cellStyle name="Commentaire 11 2 8" xfId="1256"/>
    <cellStyle name="Commentaire 11 2 8 2" xfId="1913"/>
    <cellStyle name="Commentaire 11 2 9" xfId="1319"/>
    <cellStyle name="Commentaire 11 2 9 2" xfId="1944"/>
    <cellStyle name="Commentaire 11 3" xfId="1520"/>
    <cellStyle name="Commentaire 12" xfId="359"/>
    <cellStyle name="Commentaire 12 10" xfId="1191"/>
    <cellStyle name="Commentaire 12 10 2" xfId="1883"/>
    <cellStyle name="Commentaire 12 11" xfId="806"/>
    <cellStyle name="Commentaire 12 11 2" xfId="1706"/>
    <cellStyle name="Commentaire 12 12" xfId="1352"/>
    <cellStyle name="Commentaire 12 12 2" xfId="1958"/>
    <cellStyle name="Commentaire 12 13" xfId="1254"/>
    <cellStyle name="Commentaire 12 13 2" xfId="1912"/>
    <cellStyle name="Commentaire 12 14" xfId="1545"/>
    <cellStyle name="Commentaire 12 2" xfId="585"/>
    <cellStyle name="Commentaire 12 2 2" xfId="1623"/>
    <cellStyle name="Commentaire 12 3" xfId="1071"/>
    <cellStyle name="Commentaire 12 3 2" xfId="1829"/>
    <cellStyle name="Commentaire 12 4" xfId="1106"/>
    <cellStyle name="Commentaire 12 4 2" xfId="1847"/>
    <cellStyle name="Commentaire 12 5" xfId="736"/>
    <cellStyle name="Commentaire 12 5 2" xfId="1675"/>
    <cellStyle name="Commentaire 12 6" xfId="1188"/>
    <cellStyle name="Commentaire 12 6 2" xfId="1881"/>
    <cellStyle name="Commentaire 12 7" xfId="957"/>
    <cellStyle name="Commentaire 12 7 2" xfId="1780"/>
    <cellStyle name="Commentaire 12 8" xfId="1137"/>
    <cellStyle name="Commentaire 12 8 2" xfId="1861"/>
    <cellStyle name="Commentaire 12 9" xfId="890"/>
    <cellStyle name="Commentaire 12 9 2" xfId="1749"/>
    <cellStyle name="Commentaire 13" xfId="372"/>
    <cellStyle name="Commentaire 13 10" xfId="945"/>
    <cellStyle name="Commentaire 13 10 2" xfId="1772"/>
    <cellStyle name="Commentaire 13 11" xfId="1353"/>
    <cellStyle name="Commentaire 13 11 2" xfId="1959"/>
    <cellStyle name="Commentaire 13 12" xfId="971"/>
    <cellStyle name="Commentaire 13 12 2" xfId="1789"/>
    <cellStyle name="Commentaire 13 13" xfId="1321"/>
    <cellStyle name="Commentaire 13 13 2" xfId="1945"/>
    <cellStyle name="Commentaire 13 14" xfId="1549"/>
    <cellStyle name="Commentaire 13 2" xfId="588"/>
    <cellStyle name="Commentaire 13 2 2" xfId="1624"/>
    <cellStyle name="Commentaire 13 3" xfId="1075"/>
    <cellStyle name="Commentaire 13 3 2" xfId="1831"/>
    <cellStyle name="Commentaire 13 4" xfId="1074"/>
    <cellStyle name="Commentaire 13 4 2" xfId="1830"/>
    <cellStyle name="Commentaire 13 5" xfId="738"/>
    <cellStyle name="Commentaire 13 5 2" xfId="1676"/>
    <cellStyle name="Commentaire 13 6" xfId="735"/>
    <cellStyle name="Commentaire 13 6 2" xfId="1674"/>
    <cellStyle name="Commentaire 13 7" xfId="948"/>
    <cellStyle name="Commentaire 13 7 2" xfId="1774"/>
    <cellStyle name="Commentaire 13 8" xfId="1290"/>
    <cellStyle name="Commentaire 13 8 2" xfId="1929"/>
    <cellStyle name="Commentaire 13 9" xfId="1306"/>
    <cellStyle name="Commentaire 13 9 2" xfId="1938"/>
    <cellStyle name="Commentaire 14" xfId="384"/>
    <cellStyle name="Commentaire 14 10" xfId="1338"/>
    <cellStyle name="Commentaire 14 10 2" xfId="1953"/>
    <cellStyle name="Commentaire 14 11" xfId="1349"/>
    <cellStyle name="Commentaire 14 11 2" xfId="1957"/>
    <cellStyle name="Commentaire 14 12" xfId="1170"/>
    <cellStyle name="Commentaire 14 12 2" xfId="1874"/>
    <cellStyle name="Commentaire 14 13" xfId="929"/>
    <cellStyle name="Commentaire 14 13 2" xfId="1766"/>
    <cellStyle name="Commentaire 14 14" xfId="1553"/>
    <cellStyle name="Commentaire 14 2" xfId="590"/>
    <cellStyle name="Commentaire 14 2 2" xfId="1625"/>
    <cellStyle name="Commentaire 14 3" xfId="1078"/>
    <cellStyle name="Commentaire 14 3 2" xfId="1833"/>
    <cellStyle name="Commentaire 14 4" xfId="1026"/>
    <cellStyle name="Commentaire 14 4 2" xfId="1809"/>
    <cellStyle name="Commentaire 14 5" xfId="755"/>
    <cellStyle name="Commentaire 14 5 2" xfId="1682"/>
    <cellStyle name="Commentaire 14 6" xfId="787"/>
    <cellStyle name="Commentaire 14 6 2" xfId="1697"/>
    <cellStyle name="Commentaire 14 7" xfId="813"/>
    <cellStyle name="Commentaire 14 7 2" xfId="1710"/>
    <cellStyle name="Commentaire 14 8" xfId="1283"/>
    <cellStyle name="Commentaire 14 8 2" xfId="1926"/>
    <cellStyle name="Commentaire 14 9" xfId="1313"/>
    <cellStyle name="Commentaire 14 9 2" xfId="1940"/>
    <cellStyle name="Commentaire 15" xfId="397"/>
    <cellStyle name="Commentaire 15 10" xfId="1329"/>
    <cellStyle name="Commentaire 15 10 2" xfId="1948"/>
    <cellStyle name="Commentaire 15 11" xfId="976"/>
    <cellStyle name="Commentaire 15 11 2" xfId="1791"/>
    <cellStyle name="Commentaire 15 12" xfId="878"/>
    <cellStyle name="Commentaire 15 12 2" xfId="1742"/>
    <cellStyle name="Commentaire 15 13" xfId="1369"/>
    <cellStyle name="Commentaire 15 13 2" xfId="1967"/>
    <cellStyle name="Commentaire 15 14" xfId="1557"/>
    <cellStyle name="Commentaire 15 2" xfId="592"/>
    <cellStyle name="Commentaire 15 2 2" xfId="1626"/>
    <cellStyle name="Commentaire 15 3" xfId="1080"/>
    <cellStyle name="Commentaire 15 3 2" xfId="1834"/>
    <cellStyle name="Commentaire 15 4" xfId="1100"/>
    <cellStyle name="Commentaire 15 4 2" xfId="1845"/>
    <cellStyle name="Commentaire 15 5" xfId="918"/>
    <cellStyle name="Commentaire 15 5 2" xfId="1759"/>
    <cellStyle name="Commentaire 15 6" xfId="725"/>
    <cellStyle name="Commentaire 15 6 2" xfId="1667"/>
    <cellStyle name="Commentaire 15 7" xfId="964"/>
    <cellStyle name="Commentaire 15 7 2" xfId="1786"/>
    <cellStyle name="Commentaire 15 8" xfId="949"/>
    <cellStyle name="Commentaire 15 8 2" xfId="1775"/>
    <cellStyle name="Commentaire 15 9" xfId="1307"/>
    <cellStyle name="Commentaire 15 9 2" xfId="1939"/>
    <cellStyle name="Commentaire 16" xfId="409"/>
    <cellStyle name="Commentaire 16 10" xfId="1335"/>
    <cellStyle name="Commentaire 16 10 2" xfId="1951"/>
    <cellStyle name="Commentaire 16 11" xfId="1318"/>
    <cellStyle name="Commentaire 16 11 2" xfId="1943"/>
    <cellStyle name="Commentaire 16 12" xfId="863"/>
    <cellStyle name="Commentaire 16 12 2" xfId="1735"/>
    <cellStyle name="Commentaire 16 13" xfId="1367"/>
    <cellStyle name="Commentaire 16 13 2" xfId="1965"/>
    <cellStyle name="Commentaire 16 14" xfId="1561"/>
    <cellStyle name="Commentaire 16 2" xfId="594"/>
    <cellStyle name="Commentaire 16 2 2" xfId="1627"/>
    <cellStyle name="Commentaire 16 3" xfId="1083"/>
    <cellStyle name="Commentaire 16 3 2" xfId="1835"/>
    <cellStyle name="Commentaire 16 4" xfId="1085"/>
    <cellStyle name="Commentaire 16 4 2" xfId="1836"/>
    <cellStyle name="Commentaire 16 5" xfId="821"/>
    <cellStyle name="Commentaire 16 5 2" xfId="1713"/>
    <cellStyle name="Commentaire 16 6" xfId="894"/>
    <cellStyle name="Commentaire 16 6 2" xfId="1750"/>
    <cellStyle name="Commentaire 16 7" xfId="940"/>
    <cellStyle name="Commentaire 16 7 2" xfId="1769"/>
    <cellStyle name="Commentaire 16 8" xfId="1176"/>
    <cellStyle name="Commentaire 16 8 2" xfId="1877"/>
    <cellStyle name="Commentaire 16 9" xfId="1301"/>
    <cellStyle name="Commentaire 16 9 2" xfId="1934"/>
    <cellStyle name="Commentaire 17" xfId="420"/>
    <cellStyle name="Commentaire 17 10" xfId="970"/>
    <cellStyle name="Commentaire 17 10 2" xfId="1788"/>
    <cellStyle name="Commentaire 17 11" xfId="1344"/>
    <cellStyle name="Commentaire 17 11 2" xfId="1955"/>
    <cellStyle name="Commentaire 17 12" xfId="1207"/>
    <cellStyle name="Commentaire 17 12 2" xfId="1889"/>
    <cellStyle name="Commentaire 17 13" xfId="1368"/>
    <cellStyle name="Commentaire 17 13 2" xfId="1966"/>
    <cellStyle name="Commentaire 17 14" xfId="1565"/>
    <cellStyle name="Commentaire 17 2" xfId="596"/>
    <cellStyle name="Commentaire 17 2 2" xfId="1628"/>
    <cellStyle name="Commentaire 17 3" xfId="1087"/>
    <cellStyle name="Commentaire 17 3 2" xfId="1837"/>
    <cellStyle name="Commentaire 17 4" xfId="1010"/>
    <cellStyle name="Commentaire 17 4 2" xfId="1803"/>
    <cellStyle name="Commentaire 17 5" xfId="838"/>
    <cellStyle name="Commentaire 17 5 2" xfId="1722"/>
    <cellStyle name="Commentaire 17 6" xfId="963"/>
    <cellStyle name="Commentaire 17 6 2" xfId="1785"/>
    <cellStyle name="Commentaire 17 7" xfId="844"/>
    <cellStyle name="Commentaire 17 7 2" xfId="1726"/>
    <cellStyle name="Commentaire 17 8" xfId="1274"/>
    <cellStyle name="Commentaire 17 8 2" xfId="1922"/>
    <cellStyle name="Commentaire 17 9" xfId="1242"/>
    <cellStyle name="Commentaire 17 9 2" xfId="1907"/>
    <cellStyle name="Commentaire 18" xfId="432"/>
    <cellStyle name="Commentaire 18 10" xfId="1187"/>
    <cellStyle name="Commentaire 18 10 2" xfId="1880"/>
    <cellStyle name="Commentaire 18 11" xfId="812"/>
    <cellStyle name="Commentaire 18 11 2" xfId="1709"/>
    <cellStyle name="Commentaire 18 12" xfId="788"/>
    <cellStyle name="Commentaire 18 12 2" xfId="1698"/>
    <cellStyle name="Commentaire 18 13" xfId="1289"/>
    <cellStyle name="Commentaire 18 13 2" xfId="1928"/>
    <cellStyle name="Commentaire 18 14" xfId="1569"/>
    <cellStyle name="Commentaire 18 2" xfId="598"/>
    <cellStyle name="Commentaire 18 2 2" xfId="1629"/>
    <cellStyle name="Commentaire 18 3" xfId="1089"/>
    <cellStyle name="Commentaire 18 3 2" xfId="1838"/>
    <cellStyle name="Commentaire 18 4" xfId="1044"/>
    <cellStyle name="Commentaire 18 4 2" xfId="1819"/>
    <cellStyle name="Commentaire 18 5" xfId="802"/>
    <cellStyle name="Commentaire 18 5 2" xfId="1704"/>
    <cellStyle name="Commentaire 18 6" xfId="900"/>
    <cellStyle name="Commentaire 18 6 2" xfId="1753"/>
    <cellStyle name="Commentaire 18 7" xfId="765"/>
    <cellStyle name="Commentaire 18 7 2" xfId="1689"/>
    <cellStyle name="Commentaire 18 8" xfId="854"/>
    <cellStyle name="Commentaire 18 8 2" xfId="1730"/>
    <cellStyle name="Commentaire 18 9" xfId="919"/>
    <cellStyle name="Commentaire 18 9 2" xfId="1760"/>
    <cellStyle name="Commentaire 19" xfId="444"/>
    <cellStyle name="Commentaire 19 10" xfId="1200"/>
    <cellStyle name="Commentaire 19 10 2" xfId="1886"/>
    <cellStyle name="Commentaire 19 11" xfId="1299"/>
    <cellStyle name="Commentaire 19 11 2" xfId="1932"/>
    <cellStyle name="Commentaire 19 12" xfId="1227"/>
    <cellStyle name="Commentaire 19 12 2" xfId="1903"/>
    <cellStyle name="Commentaire 19 13" xfId="1366"/>
    <cellStyle name="Commentaire 19 13 2" xfId="1964"/>
    <cellStyle name="Commentaire 19 14" xfId="1573"/>
    <cellStyle name="Commentaire 19 2" xfId="600"/>
    <cellStyle name="Commentaire 19 2 2" xfId="1630"/>
    <cellStyle name="Commentaire 19 3" xfId="1091"/>
    <cellStyle name="Commentaire 19 3 2" xfId="1839"/>
    <cellStyle name="Commentaire 19 4" xfId="1098"/>
    <cellStyle name="Commentaire 19 4 2" xfId="1843"/>
    <cellStyle name="Commentaire 19 5" xfId="917"/>
    <cellStyle name="Commentaire 19 5 2" xfId="1758"/>
    <cellStyle name="Commentaire 19 6" xfId="758"/>
    <cellStyle name="Commentaire 19 6 2" xfId="1683"/>
    <cellStyle name="Commentaire 19 7" xfId="826"/>
    <cellStyle name="Commentaire 19 7 2" xfId="1715"/>
    <cellStyle name="Commentaire 19 8" xfId="1209"/>
    <cellStyle name="Commentaire 19 8 2" xfId="1890"/>
    <cellStyle name="Commentaire 19 9" xfId="869"/>
    <cellStyle name="Commentaire 19 9 2" xfId="1738"/>
    <cellStyle name="Commentaire 2" xfId="102"/>
    <cellStyle name="Commentaire 2 10" xfId="1236"/>
    <cellStyle name="Commentaire 2 10 2" xfId="1905"/>
    <cellStyle name="Commentaire 2 11" xfId="1211"/>
    <cellStyle name="Commentaire 2 11 2" xfId="1891"/>
    <cellStyle name="Commentaire 2 12" xfId="1288"/>
    <cellStyle name="Commentaire 2 12 2" xfId="1927"/>
    <cellStyle name="Commentaire 2 13" xfId="752"/>
    <cellStyle name="Commentaire 2 13 2" xfId="1680"/>
    <cellStyle name="Commentaire 2 14" xfId="1148"/>
    <cellStyle name="Commentaire 2 14 2" xfId="1865"/>
    <cellStyle name="Commentaire 2 15" xfId="1363"/>
    <cellStyle name="Commentaire 2 15 2" xfId="1963"/>
    <cellStyle name="Commentaire 2 16" xfId="1412"/>
    <cellStyle name="Commentaire 2 16 2" xfId="1981"/>
    <cellStyle name="Commentaire 2 17" xfId="2018"/>
    <cellStyle name="Commentaire 2 18" xfId="2232"/>
    <cellStyle name="Commentaire 2 19" xfId="2244"/>
    <cellStyle name="Commentaire 2 2" xfId="253"/>
    <cellStyle name="Commentaire 2 2 2" xfId="270"/>
    <cellStyle name="Commentaire 2 2 2 10" xfId="1330"/>
    <cellStyle name="Commentaire 2 2 2 10 2" xfId="1949"/>
    <cellStyle name="Commentaire 2 2 2 11" xfId="1245"/>
    <cellStyle name="Commentaire 2 2 2 11 2" xfId="1909"/>
    <cellStyle name="Commentaire 2 2 2 12" xfId="1303"/>
    <cellStyle name="Commentaire 2 2 2 12 2" xfId="1935"/>
    <cellStyle name="Commentaire 2 2 2 13" xfId="1219"/>
    <cellStyle name="Commentaire 2 2 2 13 2" xfId="1898"/>
    <cellStyle name="Commentaire 2 2 2 14" xfId="1529"/>
    <cellStyle name="Commentaire 2 2 2 2" xfId="554"/>
    <cellStyle name="Commentaire 2 2 2 2 2" xfId="1611"/>
    <cellStyle name="Commentaire 2 2 2 3" xfId="1052"/>
    <cellStyle name="Commentaire 2 2 2 3 2" xfId="1822"/>
    <cellStyle name="Commentaire 2 2 2 4" xfId="1116"/>
    <cellStyle name="Commentaire 2 2 2 4 2" xfId="1853"/>
    <cellStyle name="Commentaire 2 2 2 5" xfId="922"/>
    <cellStyle name="Commentaire 2 2 2 5 2" xfId="1762"/>
    <cellStyle name="Commentaire 2 2 2 6" xfId="1146"/>
    <cellStyle name="Commentaire 2 2 2 6 2" xfId="1864"/>
    <cellStyle name="Commentaire 2 2 2 7" xfId="920"/>
    <cellStyle name="Commentaire 2 2 2 7 2" xfId="1761"/>
    <cellStyle name="Commentaire 2 2 2 8" xfId="960"/>
    <cellStyle name="Commentaire 2 2 2 8 2" xfId="1782"/>
    <cellStyle name="Commentaire 2 2 2 9" xfId="1218"/>
    <cellStyle name="Commentaire 2 2 2 9 2" xfId="1897"/>
    <cellStyle name="Commentaire 2 2 3" xfId="619"/>
    <cellStyle name="Commentaire 2 2 3 2" xfId="1638"/>
    <cellStyle name="Commentaire 2 2 4" xfId="1523"/>
    <cellStyle name="Commentaire 2 20" xfId="2253"/>
    <cellStyle name="Commentaire 2 21" xfId="2262"/>
    <cellStyle name="Commentaire 2 22" xfId="2267"/>
    <cellStyle name="Commentaire 2 23" xfId="2269"/>
    <cellStyle name="Commentaire 2 24" xfId="1479"/>
    <cellStyle name="Commentaire 2 3" xfId="562"/>
    <cellStyle name="Commentaire 2 3 2" xfId="1614"/>
    <cellStyle name="Commentaire 2 4" xfId="647"/>
    <cellStyle name="Commentaire 2 4 2" xfId="1648"/>
    <cellStyle name="Commentaire 2 5" xfId="1012"/>
    <cellStyle name="Commentaire 2 5 2" xfId="1804"/>
    <cellStyle name="Commentaire 2 6" xfId="1042"/>
    <cellStyle name="Commentaire 2 6 2" xfId="1818"/>
    <cellStyle name="Commentaire 2 7" xfId="941"/>
    <cellStyle name="Commentaire 2 7 2" xfId="1770"/>
    <cellStyle name="Commentaire 2 8" xfId="849"/>
    <cellStyle name="Commentaire 2 8 2" xfId="1728"/>
    <cellStyle name="Commentaire 2 9" xfId="740"/>
    <cellStyle name="Commentaire 2 9 2" xfId="1677"/>
    <cellStyle name="Commentaire 20" xfId="453"/>
    <cellStyle name="Commentaire 20 10" xfId="1213"/>
    <cellStyle name="Commentaire 20 10 2" xfId="1892"/>
    <cellStyle name="Commentaire 20 11" xfId="977"/>
    <cellStyle name="Commentaire 20 11 2" xfId="1792"/>
    <cellStyle name="Commentaire 20 12" xfId="1304"/>
    <cellStyle name="Commentaire 20 12 2" xfId="1936"/>
    <cellStyle name="Commentaire 20 13" xfId="1324"/>
    <cellStyle name="Commentaire 20 13 2" xfId="1946"/>
    <cellStyle name="Commentaire 20 14" xfId="1577"/>
    <cellStyle name="Commentaire 20 2" xfId="601"/>
    <cellStyle name="Commentaire 20 2 2" xfId="1631"/>
    <cellStyle name="Commentaire 20 3" xfId="1092"/>
    <cellStyle name="Commentaire 20 3 2" xfId="1840"/>
    <cellStyle name="Commentaire 20 4" xfId="1077"/>
    <cellStyle name="Commentaire 20 4 2" xfId="1832"/>
    <cellStyle name="Commentaire 20 5" xfId="832"/>
    <cellStyle name="Commentaire 20 5 2" xfId="1718"/>
    <cellStyle name="Commentaire 20 6" xfId="804"/>
    <cellStyle name="Commentaire 20 6 2" xfId="1705"/>
    <cellStyle name="Commentaire 20 7" xfId="1197"/>
    <cellStyle name="Commentaire 20 7 2" xfId="1885"/>
    <cellStyle name="Commentaire 20 8" xfId="761"/>
    <cellStyle name="Commentaire 20 8 2" xfId="1686"/>
    <cellStyle name="Commentaire 20 9" xfId="1233"/>
    <cellStyle name="Commentaire 20 9 2" xfId="1904"/>
    <cellStyle name="Commentaire 21" xfId="463"/>
    <cellStyle name="Commentaire 21 10" xfId="1275"/>
    <cellStyle name="Commentaire 21 10 2" xfId="1923"/>
    <cellStyle name="Commentaire 21 11" xfId="1278"/>
    <cellStyle name="Commentaire 21 11 2" xfId="1924"/>
    <cellStyle name="Commentaire 21 12" xfId="829"/>
    <cellStyle name="Commentaire 21 12 2" xfId="1716"/>
    <cellStyle name="Commentaire 21 13" xfId="851"/>
    <cellStyle name="Commentaire 21 13 2" xfId="1729"/>
    <cellStyle name="Commentaire 21 14" xfId="1581"/>
    <cellStyle name="Commentaire 21 2" xfId="603"/>
    <cellStyle name="Commentaire 21 2 2" xfId="1632"/>
    <cellStyle name="Commentaire 21 3" xfId="1095"/>
    <cellStyle name="Commentaire 21 3 2" xfId="1841"/>
    <cellStyle name="Commentaire 21 4" xfId="1028"/>
    <cellStyle name="Commentaire 21 4 2" xfId="1810"/>
    <cellStyle name="Commentaire 21 5" xfId="731"/>
    <cellStyle name="Commentaire 21 5 2" xfId="1670"/>
    <cellStyle name="Commentaire 21 6" xfId="875"/>
    <cellStyle name="Commentaire 21 6 2" xfId="1741"/>
    <cellStyle name="Commentaire 21 7" xfId="800"/>
    <cellStyle name="Commentaire 21 7 2" xfId="1702"/>
    <cellStyle name="Commentaire 21 8" xfId="786"/>
    <cellStyle name="Commentaire 21 8 2" xfId="1696"/>
    <cellStyle name="Commentaire 21 9" xfId="1240"/>
    <cellStyle name="Commentaire 21 9 2" xfId="1906"/>
    <cellStyle name="Commentaire 22" xfId="471"/>
    <cellStyle name="Commentaire 22 10" xfId="801"/>
    <cellStyle name="Commentaire 22 10 2" xfId="1703"/>
    <cellStyle name="Commentaire 22 11" xfId="1216"/>
    <cellStyle name="Commentaire 22 11 2" xfId="1895"/>
    <cellStyle name="Commentaire 22 12" xfId="1346"/>
    <cellStyle name="Commentaire 22 12 2" xfId="1956"/>
    <cellStyle name="Commentaire 22 13" xfId="1226"/>
    <cellStyle name="Commentaire 22 13 2" xfId="1902"/>
    <cellStyle name="Commentaire 22 14" xfId="1585"/>
    <cellStyle name="Commentaire 22 2" xfId="605"/>
    <cellStyle name="Commentaire 22 2 2" xfId="1633"/>
    <cellStyle name="Commentaire 22 3" xfId="1097"/>
    <cellStyle name="Commentaire 22 3 2" xfId="1842"/>
    <cellStyle name="Commentaire 22 4" xfId="1054"/>
    <cellStyle name="Commentaire 22 4 2" xfId="1823"/>
    <cellStyle name="Commentaire 22 5" xfId="831"/>
    <cellStyle name="Commentaire 22 5 2" xfId="1717"/>
    <cellStyle name="Commentaire 22 6" xfId="742"/>
    <cellStyle name="Commentaire 22 6 2" xfId="1678"/>
    <cellStyle name="Commentaire 22 7" xfId="745"/>
    <cellStyle name="Commentaire 22 7 2" xfId="1679"/>
    <cellStyle name="Commentaire 22 8" xfId="962"/>
    <cellStyle name="Commentaire 22 8 2" xfId="1784"/>
    <cellStyle name="Commentaire 22 9" xfId="1293"/>
    <cellStyle name="Commentaire 22 9 2" xfId="1931"/>
    <cellStyle name="Commentaire 23" xfId="498"/>
    <cellStyle name="Commentaire 23 10" xfId="1268"/>
    <cellStyle name="Commentaire 23 10 2" xfId="1920"/>
    <cellStyle name="Commentaire 23 11" xfId="1266"/>
    <cellStyle name="Commentaire 23 11 2" xfId="1918"/>
    <cellStyle name="Commentaire 23 12" xfId="953"/>
    <cellStyle name="Commentaire 23 12 2" xfId="1777"/>
    <cellStyle name="Commentaire 23 13" xfId="1169"/>
    <cellStyle name="Commentaire 23 13 2" xfId="1873"/>
    <cellStyle name="Commentaire 23 14" xfId="1590"/>
    <cellStyle name="Commentaire 23 2" xfId="606"/>
    <cellStyle name="Commentaire 23 2 2" xfId="1634"/>
    <cellStyle name="Commentaire 23 3" xfId="1099"/>
    <cellStyle name="Commentaire 23 3 2" xfId="1844"/>
    <cellStyle name="Commentaire 23 4" xfId="1060"/>
    <cellStyle name="Commentaire 23 4 2" xfId="1827"/>
    <cellStyle name="Commentaire 23 5" xfId="866"/>
    <cellStyle name="Commentaire 23 5 2" xfId="1737"/>
    <cellStyle name="Commentaire 23 6" xfId="856"/>
    <cellStyle name="Commentaire 23 6 2" xfId="1732"/>
    <cellStyle name="Commentaire 23 7" xfId="1202"/>
    <cellStyle name="Commentaire 23 7 2" xfId="1887"/>
    <cellStyle name="Commentaire 23 8" xfId="1126"/>
    <cellStyle name="Commentaire 23 8 2" xfId="1858"/>
    <cellStyle name="Commentaire 23 9" xfId="886"/>
    <cellStyle name="Commentaire 23 9 2" xfId="1746"/>
    <cellStyle name="Commentaire 24" xfId="510"/>
    <cellStyle name="Commentaire 24 10" xfId="1196"/>
    <cellStyle name="Commentaire 24 10 2" xfId="1884"/>
    <cellStyle name="Commentaire 24 11" xfId="1006"/>
    <cellStyle name="Commentaire 24 11 2" xfId="1801"/>
    <cellStyle name="Commentaire 24 12" xfId="1184"/>
    <cellStyle name="Commentaire 24 12 2" xfId="1879"/>
    <cellStyle name="Commentaire 24 13" xfId="1377"/>
    <cellStyle name="Commentaire 24 13 2" xfId="1970"/>
    <cellStyle name="Commentaire 24 14" xfId="1595"/>
    <cellStyle name="Commentaire 24 2" xfId="608"/>
    <cellStyle name="Commentaire 24 2 2" xfId="1635"/>
    <cellStyle name="Commentaire 24 3" xfId="1104"/>
    <cellStyle name="Commentaire 24 3 2" xfId="1846"/>
    <cellStyle name="Commentaire 24 4" xfId="1008"/>
    <cellStyle name="Commentaire 24 4 2" xfId="1802"/>
    <cellStyle name="Commentaire 24 5" xfId="845"/>
    <cellStyle name="Commentaire 24 5 2" xfId="1727"/>
    <cellStyle name="Commentaire 24 6" xfId="814"/>
    <cellStyle name="Commentaire 24 6 2" xfId="1711"/>
    <cellStyle name="Commentaire 24 7" xfId="1182"/>
    <cellStyle name="Commentaire 24 7 2" xfId="1878"/>
    <cellStyle name="Commentaire 24 8" xfId="857"/>
    <cellStyle name="Commentaire 24 8 2" xfId="1733"/>
    <cellStyle name="Commentaire 24 9" xfId="889"/>
    <cellStyle name="Commentaire 24 9 2" xfId="1748"/>
    <cellStyle name="Commentaire 25" xfId="520"/>
    <cellStyle name="Commentaire 25 10" xfId="1314"/>
    <cellStyle name="Commentaire 25 10 2" xfId="1941"/>
    <cellStyle name="Commentaire 25 11" xfId="1316"/>
    <cellStyle name="Commentaire 25 11 2" xfId="1942"/>
    <cellStyle name="Commentaire 25 12" xfId="1225"/>
    <cellStyle name="Commentaire 25 12 2" xfId="1901"/>
    <cellStyle name="Commentaire 25 13" xfId="974"/>
    <cellStyle name="Commentaire 25 13 2" xfId="1790"/>
    <cellStyle name="Commentaire 25 14" xfId="1599"/>
    <cellStyle name="Commentaire 25 2" xfId="610"/>
    <cellStyle name="Commentaire 25 2 2" xfId="1636"/>
    <cellStyle name="Commentaire 25 3" xfId="1107"/>
    <cellStyle name="Commentaire 25 3 2" xfId="1848"/>
    <cellStyle name="Commentaire 25 4" xfId="1014"/>
    <cellStyle name="Commentaire 25 4 2" xfId="1805"/>
    <cellStyle name="Commentaire 25 5" xfId="762"/>
    <cellStyle name="Commentaire 25 5 2" xfId="1687"/>
    <cellStyle name="Commentaire 25 6" xfId="835"/>
    <cellStyle name="Commentaire 25 6 2" xfId="1720"/>
    <cellStyle name="Commentaire 25 7" xfId="1152"/>
    <cellStyle name="Commentaire 25 7 2" xfId="1868"/>
    <cellStyle name="Commentaire 25 8" xfId="760"/>
    <cellStyle name="Commentaire 25 8 2" xfId="1685"/>
    <cellStyle name="Commentaire 25 9" xfId="897"/>
    <cellStyle name="Commentaire 25 9 2" xfId="1751"/>
    <cellStyle name="Commentaire 26" xfId="530"/>
    <cellStyle name="Commentaire 26 2" xfId="702"/>
    <cellStyle name="Commentaire 26 2 2" xfId="1660"/>
    <cellStyle name="Commentaire 26 3" xfId="1604"/>
    <cellStyle name="Commentaire 27" xfId="548"/>
    <cellStyle name="Commentaire 27 2" xfId="714"/>
    <cellStyle name="Commentaire 27 2 2" xfId="1664"/>
    <cellStyle name="Commentaire 27 3" xfId="1609"/>
    <cellStyle name="Commentaire 28" xfId="631"/>
    <cellStyle name="Commentaire 28 2" xfId="1643"/>
    <cellStyle name="Commentaire 29" xfId="1394"/>
    <cellStyle name="Commentaire 29 2" xfId="1976"/>
    <cellStyle name="Commentaire 3" xfId="103"/>
    <cellStyle name="Commentaire 3 10" xfId="904"/>
    <cellStyle name="Commentaire 3 10 2" xfId="1754"/>
    <cellStyle name="Commentaire 3 11" xfId="778"/>
    <cellStyle name="Commentaire 3 11 2" xfId="1695"/>
    <cellStyle name="Commentaire 3 12" xfId="1222"/>
    <cellStyle name="Commentaire 3 12 2" xfId="1899"/>
    <cellStyle name="Commentaire 3 13" xfId="1224"/>
    <cellStyle name="Commentaire 3 13 2" xfId="1900"/>
    <cellStyle name="Commentaire 3 14" xfId="860"/>
    <cellStyle name="Commentaire 3 14 2" xfId="1734"/>
    <cellStyle name="Commentaire 3 15" xfId="1263"/>
    <cellStyle name="Commentaire 3 15 2" xfId="1917"/>
    <cellStyle name="Commentaire 3 16" xfId="1413"/>
    <cellStyle name="Commentaire 3 16 2" xfId="1982"/>
    <cellStyle name="Commentaire 3 17" xfId="1480"/>
    <cellStyle name="Commentaire 3 2" xfId="104"/>
    <cellStyle name="Commentaire 3 2 2" xfId="1481"/>
    <cellStyle name="Commentaire 3 3" xfId="284"/>
    <cellStyle name="Commentaire 3 3 10" xfId="870"/>
    <cellStyle name="Commentaire 3 3 10 2" xfId="1739"/>
    <cellStyle name="Commentaire 3 3 11" xfId="1300"/>
    <cellStyle name="Commentaire 3 3 11 2" xfId="1933"/>
    <cellStyle name="Commentaire 3 3 12" xfId="729"/>
    <cellStyle name="Commentaire 3 3 12 2" xfId="1668"/>
    <cellStyle name="Commentaire 3 3 13" xfId="1189"/>
    <cellStyle name="Commentaire 3 3 13 2" xfId="1882"/>
    <cellStyle name="Commentaire 3 3 14" xfId="1379"/>
    <cellStyle name="Commentaire 3 3 14 2" xfId="1971"/>
    <cellStyle name="Commentaire 3 3 15" xfId="1531"/>
    <cellStyle name="Commentaire 3 3 2" xfId="563"/>
    <cellStyle name="Commentaire 3 3 2 2" xfId="724"/>
    <cellStyle name="Commentaire 3 3 2 2 2" xfId="1666"/>
    <cellStyle name="Commentaire 3 3 2 3" xfId="1615"/>
    <cellStyle name="Commentaire 3 3 3" xfId="623"/>
    <cellStyle name="Commentaire 3 3 3 2" xfId="1641"/>
    <cellStyle name="Commentaire 3 3 4" xfId="1055"/>
    <cellStyle name="Commentaire 3 3 4 2" xfId="1824"/>
    <cellStyle name="Commentaire 3 3 5" xfId="1113"/>
    <cellStyle name="Commentaire 3 3 5 2" xfId="1851"/>
    <cellStyle name="Commentaire 3 3 6" xfId="793"/>
    <cellStyle name="Commentaire 3 3 6 2" xfId="1699"/>
    <cellStyle name="Commentaire 3 3 7" xfId="1141"/>
    <cellStyle name="Commentaire 3 3 7 2" xfId="1862"/>
    <cellStyle name="Commentaire 3 3 8" xfId="943"/>
    <cellStyle name="Commentaire 3 3 8 2" xfId="1771"/>
    <cellStyle name="Commentaire 3 3 9" xfId="1159"/>
    <cellStyle name="Commentaire 3 3 9 2" xfId="1871"/>
    <cellStyle name="Commentaire 3 4" xfId="648"/>
    <cellStyle name="Commentaire 3 4 2" xfId="1649"/>
    <cellStyle name="Commentaire 3 5" xfId="1015"/>
    <cellStyle name="Commentaire 3 5 2" xfId="1806"/>
    <cellStyle name="Commentaire 3 6" xfId="1118"/>
    <cellStyle name="Commentaire 3 6 2" xfId="1854"/>
    <cellStyle name="Commentaire 3 7" xfId="794"/>
    <cellStyle name="Commentaire 3 7 2" xfId="1700"/>
    <cellStyle name="Commentaire 3 8" xfId="879"/>
    <cellStyle name="Commentaire 3 8 2" xfId="1743"/>
    <cellStyle name="Commentaire 3 9" xfId="1127"/>
    <cellStyle name="Commentaire 3 9 2" xfId="1859"/>
    <cellStyle name="Commentaire 30" xfId="1425"/>
    <cellStyle name="Commentaire 31" xfId="1422"/>
    <cellStyle name="Commentaire 32" xfId="1431"/>
    <cellStyle name="Commentaire 33" xfId="1436"/>
    <cellStyle name="Commentaire 34" xfId="1444"/>
    <cellStyle name="Commentaire 34 2" xfId="1986"/>
    <cellStyle name="Commentaire 35" xfId="1461"/>
    <cellStyle name="Commentaire 36" xfId="2155"/>
    <cellStyle name="Commentaire 37" xfId="2279"/>
    <cellStyle name="Commentaire 38" xfId="2284"/>
    <cellStyle name="Commentaire 39" xfId="2452"/>
    <cellStyle name="Commentaire 4" xfId="105"/>
    <cellStyle name="Commentaire 4 10" xfId="1205"/>
    <cellStyle name="Commentaire 4 10 2" xfId="1888"/>
    <cellStyle name="Commentaire 4 11" xfId="1269"/>
    <cellStyle name="Commentaire 4 11 2" xfId="1921"/>
    <cellStyle name="Commentaire 4 12" xfId="734"/>
    <cellStyle name="Commentaire 4 12 2" xfId="1673"/>
    <cellStyle name="Commentaire 4 13" xfId="1171"/>
    <cellStyle name="Commentaire 4 13 2" xfId="1875"/>
    <cellStyle name="Commentaire 4 14" xfId="937"/>
    <cellStyle name="Commentaire 4 14 2" xfId="1767"/>
    <cellStyle name="Commentaire 4 15" xfId="1383"/>
    <cellStyle name="Commentaire 4 15 2" xfId="1974"/>
    <cellStyle name="Commentaire 4 16" xfId="1414"/>
    <cellStyle name="Commentaire 4 16 2" xfId="1983"/>
    <cellStyle name="Commentaire 4 17" xfId="1482"/>
    <cellStyle name="Commentaire 4 2" xfId="254"/>
    <cellStyle name="Commentaire 4 2 2" xfId="290"/>
    <cellStyle name="Commentaire 4 2 2 10" xfId="772"/>
    <cellStyle name="Commentaire 4 2 2 10 2" xfId="1693"/>
    <cellStyle name="Commentaire 4 2 2 11" xfId="732"/>
    <cellStyle name="Commentaire 4 2 2 11 2" xfId="1671"/>
    <cellStyle name="Commentaire 4 2 2 12" xfId="959"/>
    <cellStyle name="Commentaire 4 2 2 12 2" xfId="1781"/>
    <cellStyle name="Commentaire 4 2 2 13" xfId="1214"/>
    <cellStyle name="Commentaire 4 2 2 13 2" xfId="1893"/>
    <cellStyle name="Commentaire 4 2 2 14" xfId="1533"/>
    <cellStyle name="Commentaire 4 2 2 2" xfId="555"/>
    <cellStyle name="Commentaire 4 2 2 2 2" xfId="1612"/>
    <cellStyle name="Commentaire 4 2 2 3" xfId="1057"/>
    <cellStyle name="Commentaire 4 2 2 3 2" xfId="1825"/>
    <cellStyle name="Commentaire 4 2 2 4" xfId="1031"/>
    <cellStyle name="Commentaire 4 2 2 4 2" xfId="1812"/>
    <cellStyle name="Commentaire 4 2 2 5" xfId="833"/>
    <cellStyle name="Commentaire 4 2 2 5 2" xfId="1719"/>
    <cellStyle name="Commentaire 4 2 2 6" xfId="961"/>
    <cellStyle name="Commentaire 4 2 2 6 2" xfId="1783"/>
    <cellStyle name="Commentaire 4 2 2 7" xfId="1157"/>
    <cellStyle name="Commentaire 4 2 2 7 2" xfId="1870"/>
    <cellStyle name="Commentaire 4 2 2 8" xfId="1167"/>
    <cellStyle name="Commentaire 4 2 2 8 2" xfId="1872"/>
    <cellStyle name="Commentaire 4 2 2 9" xfId="1217"/>
    <cellStyle name="Commentaire 4 2 2 9 2" xfId="1896"/>
    <cellStyle name="Commentaire 4 2 3" xfId="620"/>
    <cellStyle name="Commentaire 4 2 3 2" xfId="1639"/>
    <cellStyle name="Commentaire 4 2 4" xfId="1524"/>
    <cellStyle name="Commentaire 4 3" xfId="564"/>
    <cellStyle name="Commentaire 4 3 2" xfId="1616"/>
    <cellStyle name="Commentaire 4 4" xfId="649"/>
    <cellStyle name="Commentaire 4 4 2" xfId="1650"/>
    <cellStyle name="Commentaire 4 5" xfId="1018"/>
    <cellStyle name="Commentaire 4 5 2" xfId="1807"/>
    <cellStyle name="Commentaire 4 6" xfId="1122"/>
    <cellStyle name="Commentaire 4 6 2" xfId="1856"/>
    <cellStyle name="Commentaire 4 7" xfId="939"/>
    <cellStyle name="Commentaire 4 7 2" xfId="1768"/>
    <cellStyle name="Commentaire 4 8" xfId="1133"/>
    <cellStyle name="Commentaire 4 8 2" xfId="1860"/>
    <cellStyle name="Commentaire 4 9" xfId="776"/>
    <cellStyle name="Commentaire 4 9 2" xfId="1694"/>
    <cellStyle name="Commentaire 40" xfId="2454"/>
    <cellStyle name="Commentaire 5" xfId="106"/>
    <cellStyle name="Commentaire 5 10" xfId="842"/>
    <cellStyle name="Commentaire 5 10 2" xfId="1725"/>
    <cellStyle name="Commentaire 5 11" xfId="1173"/>
    <cellStyle name="Commentaire 5 11 2" xfId="1876"/>
    <cellStyle name="Commentaire 5 12" xfId="730"/>
    <cellStyle name="Commentaire 5 12 2" xfId="1669"/>
    <cellStyle name="Commentaire 5 13" xfId="1337"/>
    <cellStyle name="Commentaire 5 13 2" xfId="1952"/>
    <cellStyle name="Commentaire 5 14" xfId="1259"/>
    <cellStyle name="Commentaire 5 14 2" xfId="1915"/>
    <cellStyle name="Commentaire 5 15" xfId="1374"/>
    <cellStyle name="Commentaire 5 15 2" xfId="1969"/>
    <cellStyle name="Commentaire 5 16" xfId="1415"/>
    <cellStyle name="Commentaire 5 16 2" xfId="1984"/>
    <cellStyle name="Commentaire 5 17" xfId="1483"/>
    <cellStyle name="Commentaire 5 2" xfId="255"/>
    <cellStyle name="Commentaire 5 2 2" xfId="297"/>
    <cellStyle name="Commentaire 5 2 2 10" xfId="989"/>
    <cellStyle name="Commentaire 5 2 2 10 2" xfId="1797"/>
    <cellStyle name="Commentaire 5 2 2 11" xfId="1156"/>
    <cellStyle name="Commentaire 5 2 2 11 2" xfId="1869"/>
    <cellStyle name="Commentaire 5 2 2 12" xfId="855"/>
    <cellStyle name="Commentaire 5 2 2 12 2" xfId="1731"/>
    <cellStyle name="Commentaire 5 2 2 13" xfId="1373"/>
    <cellStyle name="Commentaire 5 2 2 13 2" xfId="1968"/>
    <cellStyle name="Commentaire 5 2 2 14" xfId="1534"/>
    <cellStyle name="Commentaire 5 2 2 2" xfId="556"/>
    <cellStyle name="Commentaire 5 2 2 2 2" xfId="1613"/>
    <cellStyle name="Commentaire 5 2 2 3" xfId="1059"/>
    <cellStyle name="Commentaire 5 2 2 3 2" xfId="1826"/>
    <cellStyle name="Commentaire 5 2 2 4" xfId="1111"/>
    <cellStyle name="Commentaire 5 2 2 4 2" xfId="1850"/>
    <cellStyle name="Commentaire 5 2 2 5" xfId="763"/>
    <cellStyle name="Commentaire 5 2 2 5 2" xfId="1688"/>
    <cellStyle name="Commentaire 5 2 2 6" xfId="999"/>
    <cellStyle name="Commentaire 5 2 2 6 2" xfId="1799"/>
    <cellStyle name="Commentaire 5 2 2 7" xfId="770"/>
    <cellStyle name="Commentaire 5 2 2 7 2" xfId="1691"/>
    <cellStyle name="Commentaire 5 2 2 8" xfId="1151"/>
    <cellStyle name="Commentaire 5 2 2 8 2" xfId="1867"/>
    <cellStyle name="Commentaire 5 2 2 9" xfId="995"/>
    <cellStyle name="Commentaire 5 2 2 9 2" xfId="1798"/>
    <cellStyle name="Commentaire 5 2 3" xfId="621"/>
    <cellStyle name="Commentaire 5 2 3 2" xfId="1640"/>
    <cellStyle name="Commentaire 5 2 4" xfId="1525"/>
    <cellStyle name="Commentaire 5 3" xfId="565"/>
    <cellStyle name="Commentaire 5 3 2" xfId="1617"/>
    <cellStyle name="Commentaire 5 4" xfId="650"/>
    <cellStyle name="Commentaire 5 4 2" xfId="1651"/>
    <cellStyle name="Commentaire 5 5" xfId="1023"/>
    <cellStyle name="Commentaire 5 5 2" xfId="1808"/>
    <cellStyle name="Commentaire 5 6" xfId="1048"/>
    <cellStyle name="Commentaire 5 6 2" xfId="1821"/>
    <cellStyle name="Commentaire 5 7" xfId="881"/>
    <cellStyle name="Commentaire 5 7 2" xfId="1745"/>
    <cellStyle name="Commentaire 5 8" xfId="923"/>
    <cellStyle name="Commentaire 5 8 2" xfId="1763"/>
    <cellStyle name="Commentaire 5 9" xfId="872"/>
    <cellStyle name="Commentaire 5 9 2" xfId="1740"/>
    <cellStyle name="Commentaire 6" xfId="184"/>
    <cellStyle name="Commentaire 6 10" xfId="1267"/>
    <cellStyle name="Commentaire 6 10 2" xfId="1919"/>
    <cellStyle name="Commentaire 6 11" xfId="1281"/>
    <cellStyle name="Commentaire 6 11 2" xfId="1925"/>
    <cellStyle name="Commentaire 6 12" xfId="983"/>
    <cellStyle name="Commentaire 6 12 2" xfId="1795"/>
    <cellStyle name="Commentaire 6 13" xfId="1362"/>
    <cellStyle name="Commentaire 6 13 2" xfId="1962"/>
    <cellStyle name="Commentaire 6 14" xfId="1500"/>
    <cellStyle name="Commentaire 6 2" xfId="288"/>
    <cellStyle name="Commentaire 6 2 2" xfId="1532"/>
    <cellStyle name="Commentaire 6 3" xfId="1029"/>
    <cellStyle name="Commentaire 6 3 2" xfId="1811"/>
    <cellStyle name="Commentaire 6 4" xfId="1120"/>
    <cellStyle name="Commentaire 6 4 2" xfId="1855"/>
    <cellStyle name="Commentaire 6 5" xfId="956"/>
    <cellStyle name="Commentaire 6 5 2" xfId="1779"/>
    <cellStyle name="Commentaire 6 6" xfId="1150"/>
    <cellStyle name="Commentaire 6 6 2" xfId="1866"/>
    <cellStyle name="Commentaire 6 7" xfId="767"/>
    <cellStyle name="Commentaire 6 7 2" xfId="1690"/>
    <cellStyle name="Commentaire 6 8" xfId="988"/>
    <cellStyle name="Commentaire 6 8 2" xfId="1796"/>
    <cellStyle name="Commentaire 6 9" xfId="733"/>
    <cellStyle name="Commentaire 6 9 2" xfId="1672"/>
    <cellStyle name="Commentaire 7" xfId="197"/>
    <cellStyle name="Commentaire 7 10" xfId="910"/>
    <cellStyle name="Commentaire 7 10 2" xfId="1755"/>
    <cellStyle name="Commentaire 7 11" xfId="899"/>
    <cellStyle name="Commentaire 7 11 2" xfId="1752"/>
    <cellStyle name="Commentaire 7 12" xfId="1243"/>
    <cellStyle name="Commentaire 7 12 2" xfId="1908"/>
    <cellStyle name="Commentaire 7 13" xfId="1305"/>
    <cellStyle name="Commentaire 7 13 2" xfId="1937"/>
    <cellStyle name="Commentaire 7 14" xfId="1504"/>
    <cellStyle name="Commentaire 7 2" xfId="272"/>
    <cellStyle name="Commentaire 7 2 2" xfId="1530"/>
    <cellStyle name="Commentaire 7 3" xfId="1032"/>
    <cellStyle name="Commentaire 7 3 2" xfId="1813"/>
    <cellStyle name="Commentaire 7 4" xfId="1114"/>
    <cellStyle name="Commentaire 7 4 2" xfId="1852"/>
    <cellStyle name="Commentaire 7 5" xfId="979"/>
    <cellStyle name="Commentaire 7 5 2" xfId="1793"/>
    <cellStyle name="Commentaire 7 6" xfId="880"/>
    <cellStyle name="Commentaire 7 6 2" xfId="1744"/>
    <cellStyle name="Commentaire 7 7" xfId="795"/>
    <cellStyle name="Commentaire 7 7 2" xfId="1701"/>
    <cellStyle name="Commentaire 7 8" xfId="980"/>
    <cellStyle name="Commentaire 7 8 2" xfId="1794"/>
    <cellStyle name="Commentaire 7 9" xfId="864"/>
    <cellStyle name="Commentaire 7 9 2" xfId="1736"/>
    <cellStyle name="Commentaire 8" xfId="209"/>
    <cellStyle name="Commentaire 8 10" xfId="1248"/>
    <cellStyle name="Commentaire 8 10 2" xfId="1910"/>
    <cellStyle name="Commentaire 8 11" xfId="1354"/>
    <cellStyle name="Commentaire 8 11 2" xfId="1960"/>
    <cellStyle name="Commentaire 8 12" xfId="840"/>
    <cellStyle name="Commentaire 8 12 2" xfId="1724"/>
    <cellStyle name="Commentaire 8 13" xfId="1343"/>
    <cellStyle name="Commentaire 8 13 2" xfId="1954"/>
    <cellStyle name="Commentaire 8 14" xfId="1508"/>
    <cellStyle name="Commentaire 8 2" xfId="577"/>
    <cellStyle name="Commentaire 8 2 2" xfId="1619"/>
    <cellStyle name="Commentaire 8 3" xfId="1034"/>
    <cellStyle name="Commentaire 8 3 2" xfId="1814"/>
    <cellStyle name="Commentaire 8 4" xfId="1046"/>
    <cellStyle name="Commentaire 8 4 2" xfId="1820"/>
    <cellStyle name="Commentaire 8 5" xfId="810"/>
    <cellStyle name="Commentaire 8 5 2" xfId="1708"/>
    <cellStyle name="Commentaire 8 6" xfId="759"/>
    <cellStyle name="Commentaire 8 6 2" xfId="1684"/>
    <cellStyle name="Commentaire 8 7" xfId="807"/>
    <cellStyle name="Commentaire 8 7 2" xfId="1707"/>
    <cellStyle name="Commentaire 8 8" xfId="1292"/>
    <cellStyle name="Commentaire 8 8 2" xfId="1930"/>
    <cellStyle name="Commentaire 8 9" xfId="1003"/>
    <cellStyle name="Commentaire 8 9 2" xfId="1800"/>
    <cellStyle name="Commentaire 9" xfId="219"/>
    <cellStyle name="Commentaire 9 10" xfId="1326"/>
    <cellStyle name="Commentaire 9 10 2" xfId="1947"/>
    <cellStyle name="Commentaire 9 11" xfId="966"/>
    <cellStyle name="Commentaire 9 11 2" xfId="1787"/>
    <cellStyle name="Commentaire 9 12" xfId="753"/>
    <cellStyle name="Commentaire 9 12 2" xfId="1681"/>
    <cellStyle name="Commentaire 9 13" xfId="1358"/>
    <cellStyle name="Commentaire 9 13 2" xfId="1961"/>
    <cellStyle name="Commentaire 9 14" xfId="1512"/>
    <cellStyle name="Commentaire 9 2" xfId="579"/>
    <cellStyle name="Commentaire 9 2 2" xfId="1620"/>
    <cellStyle name="Commentaire 9 3" xfId="1036"/>
    <cellStyle name="Commentaire 9 3 2" xfId="1815"/>
    <cellStyle name="Commentaire 9 4" xfId="1123"/>
    <cellStyle name="Commentaire 9 4 2" xfId="1857"/>
    <cellStyle name="Commentaire 9 5" xfId="928"/>
    <cellStyle name="Commentaire 9 5 2" xfId="1765"/>
    <cellStyle name="Commentaire 9 6" xfId="1145"/>
    <cellStyle name="Commentaire 9 6 2" xfId="1863"/>
    <cellStyle name="Commentaire 9 7" xfId="888"/>
    <cellStyle name="Commentaire 9 7 2" xfId="1747"/>
    <cellStyle name="Commentaire 9 8" xfId="1253"/>
    <cellStyle name="Commentaire 9 8 2" xfId="1911"/>
    <cellStyle name="Commentaire 9 9" xfId="837"/>
    <cellStyle name="Commentaire 9 9 2" xfId="1721"/>
    <cellStyle name="Emphase 1" xfId="29"/>
    <cellStyle name="Emphase 2" xfId="30"/>
    <cellStyle name="Emphase 3" xfId="31"/>
    <cellStyle name="Entrée" xfId="32" builtinId="20" customBuiltin="1"/>
    <cellStyle name="Entrée 10" xfId="231"/>
    <cellStyle name="Entrée 10 2" xfId="1517"/>
    <cellStyle name="Entrée 11" xfId="238"/>
    <cellStyle name="Entrée 11 2" xfId="350"/>
    <cellStyle name="Entrée 11 2 2" xfId="1542"/>
    <cellStyle name="Entrée 11 3" xfId="1521"/>
    <cellStyle name="Entrée 12" xfId="362"/>
    <cellStyle name="Entrée 12 2" xfId="1546"/>
    <cellStyle name="Entrée 13" xfId="375"/>
    <cellStyle name="Entrée 13 2" xfId="1550"/>
    <cellStyle name="Entrée 14" xfId="388"/>
    <cellStyle name="Entrée 14 2" xfId="1554"/>
    <cellStyle name="Entrée 15" xfId="399"/>
    <cellStyle name="Entrée 15 2" xfId="1558"/>
    <cellStyle name="Entrée 16" xfId="411"/>
    <cellStyle name="Entrée 16 2" xfId="1562"/>
    <cellStyle name="Entrée 17" xfId="424"/>
    <cellStyle name="Entrée 17 2" xfId="1566"/>
    <cellStyle name="Entrée 18" xfId="436"/>
    <cellStyle name="Entrée 18 2" xfId="1570"/>
    <cellStyle name="Entrée 19" xfId="447"/>
    <cellStyle name="Entrée 19 2" xfId="1574"/>
    <cellStyle name="Entrée 2" xfId="107"/>
    <cellStyle name="Entrée 2 10" xfId="1484"/>
    <cellStyle name="Entrée 2 2" xfId="2005"/>
    <cellStyle name="Entrée 2 3" xfId="2019"/>
    <cellStyle name="Entrée 2 4" xfId="2025"/>
    <cellStyle name="Entrée 2 5" xfId="2207"/>
    <cellStyle name="Entrée 2 6" xfId="2073"/>
    <cellStyle name="Entrée 2 7" xfId="2189"/>
    <cellStyle name="Entrée 2 8" xfId="2006"/>
    <cellStyle name="Entrée 2 9" xfId="2233"/>
    <cellStyle name="Entrée 20" xfId="456"/>
    <cellStyle name="Entrée 20 2" xfId="1578"/>
    <cellStyle name="Entrée 21" xfId="465"/>
    <cellStyle name="Entrée 21 2" xfId="1582"/>
    <cellStyle name="Entrée 22" xfId="472"/>
    <cellStyle name="Entrée 22 2" xfId="1586"/>
    <cellStyle name="Entrée 23" xfId="501"/>
    <cellStyle name="Entrée 23 2" xfId="1591"/>
    <cellStyle name="Entrée 24" xfId="513"/>
    <cellStyle name="Entrée 24 2" xfId="1596"/>
    <cellStyle name="Entrée 25" xfId="522"/>
    <cellStyle name="Entrée 25 2" xfId="1600"/>
    <cellStyle name="Entrée 26" xfId="532"/>
    <cellStyle name="Entrée 26 2" xfId="704"/>
    <cellStyle name="Entrée 26 2 2" xfId="1661"/>
    <cellStyle name="Entrée 26 3" xfId="1605"/>
    <cellStyle name="Entrée 27" xfId="526"/>
    <cellStyle name="Entrée 27 2" xfId="698"/>
    <cellStyle name="Entrée 27 2 2" xfId="1658"/>
    <cellStyle name="Entrée 27 3" xfId="1602"/>
    <cellStyle name="Entrée 28" xfId="632"/>
    <cellStyle name="Entrée 28 2" xfId="1644"/>
    <cellStyle name="Entrée 29" xfId="1395"/>
    <cellStyle name="Entrée 29 2" xfId="1977"/>
    <cellStyle name="Entrée 3" xfId="108"/>
    <cellStyle name="Entrée 3 2" xfId="1485"/>
    <cellStyle name="Entrée 30" xfId="1426"/>
    <cellStyle name="Entrée 31" xfId="1421"/>
    <cellStyle name="Entrée 32" xfId="1432"/>
    <cellStyle name="Entrée 33" xfId="1437"/>
    <cellStyle name="Entrée 34" xfId="1445"/>
    <cellStyle name="Entrée 35" xfId="1462"/>
    <cellStyle name="Entrée 36" xfId="2201"/>
    <cellStyle name="Entrée 4" xfId="109"/>
    <cellStyle name="Entrée 4 2" xfId="1486"/>
    <cellStyle name="Entrée 5" xfId="110"/>
    <cellStyle name="Entrée 5 2" xfId="1487"/>
    <cellStyle name="Entrée 6" xfId="188"/>
    <cellStyle name="Entrée 6 2" xfId="1501"/>
    <cellStyle name="Entrée 7" xfId="201"/>
    <cellStyle name="Entrée 7 2" xfId="1505"/>
    <cellStyle name="Entrée 8" xfId="212"/>
    <cellStyle name="Entrée 8 2" xfId="1509"/>
    <cellStyle name="Entrée 9" xfId="222"/>
    <cellStyle name="Entrée 9 2" xfId="1513"/>
    <cellStyle name="Euro" xfId="33"/>
    <cellStyle name="Euro 2" xfId="111"/>
    <cellStyle name="Insatisfaisant" xfId="34" builtinId="27" customBuiltin="1"/>
    <cellStyle name="Insatisfaisant 10" xfId="2091"/>
    <cellStyle name="Insatisfaisant 11" xfId="2213"/>
    <cellStyle name="Insatisfaisant 12" xfId="2059"/>
    <cellStyle name="Insatisfaisant 13" xfId="2162"/>
    <cellStyle name="Insatisfaisant 14" xfId="2145"/>
    <cellStyle name="Insatisfaisant 15" xfId="2196"/>
    <cellStyle name="Insatisfaisant 2" xfId="112"/>
    <cellStyle name="Insatisfaisant 2 10" xfId="2003"/>
    <cellStyle name="Insatisfaisant 2 11" xfId="2083"/>
    <cellStyle name="Insatisfaisant 2 2" xfId="256"/>
    <cellStyle name="Insatisfaisant 2 3" xfId="566"/>
    <cellStyle name="Insatisfaisant 2 4" xfId="651"/>
    <cellStyle name="Insatisfaisant 2 5" xfId="2022"/>
    <cellStyle name="Insatisfaisant 2 6" xfId="2202"/>
    <cellStyle name="Insatisfaisant 2 7" xfId="2054"/>
    <cellStyle name="Insatisfaisant 2 8" xfId="2167"/>
    <cellStyle name="Insatisfaisant 2 9" xfId="2090"/>
    <cellStyle name="Insatisfaisant 3" xfId="113"/>
    <cellStyle name="Insatisfaisant 4" xfId="114"/>
    <cellStyle name="Insatisfaisant 5" xfId="115"/>
    <cellStyle name="Insatisfaisant 6" xfId="525"/>
    <cellStyle name="Insatisfaisant 6 2" xfId="697"/>
    <cellStyle name="Insatisfaisant 7" xfId="633"/>
    <cellStyle name="Insatisfaisant 8" xfId="1396"/>
    <cellStyle name="Insatisfaisant 9" xfId="1463"/>
    <cellStyle name="Lien hypertexte 2" xfId="2310"/>
    <cellStyle name="Milliers" xfId="35" builtinId="3"/>
    <cellStyle name="Milliers 10" xfId="2247"/>
    <cellStyle name="Milliers 10 2" xfId="338"/>
    <cellStyle name="Milliers 10 2 10" xfId="1340"/>
    <cellStyle name="Milliers 10 2 11" xfId="790"/>
    <cellStyle name="Milliers 10 2 12" xfId="882"/>
    <cellStyle name="Milliers 10 2 13" xfId="1131"/>
    <cellStyle name="Milliers 10 2 2" xfId="582"/>
    <cellStyle name="Milliers 10 2 3" xfId="1065"/>
    <cellStyle name="Milliers 10 2 4" xfId="1086"/>
    <cellStyle name="Milliers 10 2 5" xfId="808"/>
    <cellStyle name="Milliers 10 2 6" xfId="877"/>
    <cellStyle name="Milliers 10 2 7" xfId="749"/>
    <cellStyle name="Milliers 10 2 8" xfId="836"/>
    <cellStyle name="Milliers 10 2 9" xfId="1239"/>
    <cellStyle name="Milliers 10 3" xfId="2401"/>
    <cellStyle name="Milliers 11" xfId="2256"/>
    <cellStyle name="Milliers 11 2" xfId="351"/>
    <cellStyle name="Milliers 11 2 10" xfId="1322"/>
    <cellStyle name="Milliers 11 2 11" xfId="1295"/>
    <cellStyle name="Milliers 11 2 12" xfId="827"/>
    <cellStyle name="Milliers 11 2 13" xfId="1378"/>
    <cellStyle name="Milliers 11 2 2" xfId="584"/>
    <cellStyle name="Milliers 11 2 3" xfId="1069"/>
    <cellStyle name="Milliers 11 2 4" xfId="1022"/>
    <cellStyle name="Milliers 11 2 5" xfId="984"/>
    <cellStyle name="Milliers 11 2 6" xfId="965"/>
    <cellStyle name="Milliers 11 2 7" xfId="853"/>
    <cellStyle name="Milliers 11 2 8" xfId="1270"/>
    <cellStyle name="Milliers 11 2 9" xfId="1291"/>
    <cellStyle name="Milliers 12" xfId="363"/>
    <cellStyle name="Milliers 12 10" xfId="998"/>
    <cellStyle name="Milliers 12 11" xfId="907"/>
    <cellStyle name="Milliers 12 12" xfId="1165"/>
    <cellStyle name="Milliers 12 13" xfId="1129"/>
    <cellStyle name="Milliers 12 2" xfId="586"/>
    <cellStyle name="Milliers 12 3" xfId="1072"/>
    <cellStyle name="Milliers 12 4" xfId="1094"/>
    <cellStyle name="Milliers 12 5" xfId="871"/>
    <cellStyle name="Milliers 12 6" xfId="799"/>
    <cellStyle name="Milliers 12 7" xfId="1158"/>
    <cellStyle name="Milliers 12 8" xfId="883"/>
    <cellStyle name="Milliers 12 9" xfId="924"/>
    <cellStyle name="Milliers 13" xfId="523"/>
    <cellStyle name="Milliers 13 10" xfId="1286"/>
    <cellStyle name="Milliers 13 11" xfId="789"/>
    <cellStyle name="Milliers 13 12" xfId="1246"/>
    <cellStyle name="Milliers 13 13" xfId="1361"/>
    <cellStyle name="Milliers 13 2" xfId="611"/>
    <cellStyle name="Milliers 13 3" xfId="1108"/>
    <cellStyle name="Milliers 13 4" xfId="1043"/>
    <cellStyle name="Milliers 13 5" xfId="969"/>
    <cellStyle name="Milliers 13 6" xfId="938"/>
    <cellStyle name="Milliers 13 7" xfId="1181"/>
    <cellStyle name="Milliers 13 8" xfId="747"/>
    <cellStyle name="Milliers 13 9" xfId="868"/>
    <cellStyle name="Milliers 14" xfId="533"/>
    <cellStyle name="Milliers 14 2" xfId="705"/>
    <cellStyle name="Milliers 15" xfId="2264"/>
    <cellStyle name="Milliers 16" xfId="2280"/>
    <cellStyle name="Milliers 16 2" xfId="2286"/>
    <cellStyle name="Milliers 17" xfId="2283"/>
    <cellStyle name="Milliers 18" xfId="2285"/>
    <cellStyle name="Milliers 19" xfId="2298"/>
    <cellStyle name="Milliers 2" xfId="36"/>
    <cellStyle name="Milliers 2 10" xfId="2126"/>
    <cellStyle name="Milliers 2 11" xfId="2147"/>
    <cellStyle name="Milliers 2 12" xfId="2154"/>
    <cellStyle name="Milliers 2 13" xfId="2156"/>
    <cellStyle name="Milliers 2 14" xfId="2308"/>
    <cellStyle name="Milliers 2 2" xfId="50"/>
    <cellStyle name="Milliers 2 2 10" xfId="2031"/>
    <cellStyle name="Milliers 2 2 11" xfId="2143"/>
    <cellStyle name="Milliers 2 2 12" xfId="2203"/>
    <cellStyle name="Milliers 2 2 2" xfId="52"/>
    <cellStyle name="Milliers 2 2 3" xfId="189"/>
    <cellStyle name="Milliers 2 2 3 2" xfId="540"/>
    <cellStyle name="Milliers 2 2 3 2 2" xfId="663"/>
    <cellStyle name="Milliers 2 2 3 2 2 2" xfId="709"/>
    <cellStyle name="Milliers 2 2 3 3" xfId="618"/>
    <cellStyle name="Milliers 2 2 3 4" xfId="2313"/>
    <cellStyle name="Milliers 2 2 4" xfId="280"/>
    <cellStyle name="Milliers 2 2 4 2" xfId="644"/>
    <cellStyle name="Milliers 2 2 5" xfId="1409"/>
    <cellStyle name="Milliers 2 2 6" xfId="2002"/>
    <cellStyle name="Milliers 2 2 7" xfId="2048"/>
    <cellStyle name="Milliers 2 2 8" xfId="2198"/>
    <cellStyle name="Milliers 2 2 9" xfId="2010"/>
    <cellStyle name="Milliers 2 3" xfId="239"/>
    <cellStyle name="Milliers 2 3 2" xfId="271"/>
    <cellStyle name="Milliers 2 3 2 10" xfId="1325"/>
    <cellStyle name="Milliers 2 3 2 11" xfId="1351"/>
    <cellStyle name="Milliers 2 3 2 12" xfId="862"/>
    <cellStyle name="Milliers 2 3 2 13" xfId="1277"/>
    <cellStyle name="Milliers 2 3 2 2" xfId="534"/>
    <cellStyle name="Milliers 2 3 2 3" xfId="1053"/>
    <cellStyle name="Milliers 2 3 2 4" xfId="1115"/>
    <cellStyle name="Milliers 2 3 2 5" xfId="911"/>
    <cellStyle name="Milliers 2 3 2 6" xfId="1144"/>
    <cellStyle name="Milliers 2 3 2 7" xfId="798"/>
    <cellStyle name="Milliers 2 3 2 8" xfId="1284"/>
    <cellStyle name="Milliers 2 3 2 9" xfId="768"/>
    <cellStyle name="Milliers 2 3 3" xfId="612"/>
    <cellStyle name="Milliers 2 4" xfId="546"/>
    <cellStyle name="Milliers 2 5" xfId="558"/>
    <cellStyle name="Milliers 2 6" xfId="1397"/>
    <cellStyle name="Milliers 2 7" xfId="2004"/>
    <cellStyle name="Milliers 2 7 2" xfId="2405"/>
    <cellStyle name="Milliers 2 7 3" xfId="2314"/>
    <cellStyle name="Milliers 2 8" xfId="2085"/>
    <cellStyle name="Milliers 2 8 2" xfId="2404"/>
    <cellStyle name="Milliers 2 8 3" xfId="2312"/>
    <cellStyle name="Milliers 2 9" xfId="2129"/>
    <cellStyle name="Milliers 2 9 2" xfId="2402"/>
    <cellStyle name="Milliers 20" xfId="2301"/>
    <cellStyle name="Milliers 21" xfId="2304"/>
    <cellStyle name="Milliers 22" xfId="2453"/>
    <cellStyle name="Milliers 23" xfId="2455"/>
    <cellStyle name="Milliers 3" xfId="37"/>
    <cellStyle name="Milliers 3 2" xfId="1398"/>
    <cellStyle name="Milliers 3 2 2" xfId="286"/>
    <cellStyle name="Milliers 3 2 2 10" xfId="930"/>
    <cellStyle name="Milliers 3 2 2 11" xfId="1134"/>
    <cellStyle name="Milliers 3 2 2 12" xfId="750"/>
    <cellStyle name="Milliers 3 2 2 13" xfId="1190"/>
    <cellStyle name="Milliers 3 2 2 2" xfId="535"/>
    <cellStyle name="Milliers 3 2 2 3" xfId="1056"/>
    <cellStyle name="Milliers 3 2 2 4" xfId="1041"/>
    <cellStyle name="Milliers 3 2 2 5" xfId="841"/>
    <cellStyle name="Milliers 3 2 2 6" xfId="1139"/>
    <cellStyle name="Milliers 3 2 2 7" xfId="968"/>
    <cellStyle name="Milliers 3 2 2 8" xfId="728"/>
    <cellStyle name="Milliers 3 2 2 9" xfId="903"/>
    <cellStyle name="Milliers 3 2 3" xfId="613"/>
    <cellStyle name="Milliers 3 3" xfId="545"/>
    <cellStyle name="Milliers 3 4" xfId="547"/>
    <cellStyle name="Milliers 3 5" xfId="2299"/>
    <cellStyle name="Milliers 3 5 2" xfId="2315"/>
    <cellStyle name="Milliers 3 6" xfId="2316"/>
    <cellStyle name="Milliers 3 6 2" xfId="2317"/>
    <cellStyle name="Milliers 3 6 2 2" xfId="2407"/>
    <cellStyle name="Milliers 3 6 3" xfId="2406"/>
    <cellStyle name="Milliers 3 7" xfId="2318"/>
    <cellStyle name="Milliers 3 7 2" xfId="2408"/>
    <cellStyle name="Milliers 4" xfId="51"/>
    <cellStyle name="Milliers 4 2" xfId="1410"/>
    <cellStyle name="Milliers 4 2 2" xfId="293"/>
    <cellStyle name="Milliers 4 2 2 10" xfId="1229"/>
    <cellStyle name="Milliers 4 2 2 11" xfId="933"/>
    <cellStyle name="Milliers 4 2 2 12" xfId="1276"/>
    <cellStyle name="Milliers 4 2 2 13" xfId="1372"/>
    <cellStyle name="Milliers 4 2 2 2" xfId="537"/>
    <cellStyle name="Milliers 4 2 2 2 2" xfId="662"/>
    <cellStyle name="Milliers 4 2 2 2 2 2" xfId="707"/>
    <cellStyle name="Milliers 4 2 2 2 2 2 2" xfId="1663"/>
    <cellStyle name="Milliers 4 2 2 2 2 2 2 2" xfId="2323"/>
    <cellStyle name="Milliers 4 2 2 2 2 2 2 2 2" xfId="2413"/>
    <cellStyle name="Milliers 4 2 2 2 2 2 2 3" xfId="2412"/>
    <cellStyle name="Milliers 4 2 2 2 2 2 2 4" xfId="2322"/>
    <cellStyle name="Milliers 4 2 2 2 2 2 3" xfId="2324"/>
    <cellStyle name="Milliers 4 2 2 2 2 2 3 2" xfId="2414"/>
    <cellStyle name="Milliers 4 2 2 2 2 2 4" xfId="2411"/>
    <cellStyle name="Milliers 4 2 2 2 2 2 5" xfId="2321"/>
    <cellStyle name="Milliers 4 2 2 2 3" xfId="1607"/>
    <cellStyle name="Milliers 4 2 2 2 3 2" xfId="2326"/>
    <cellStyle name="Milliers 4 2 2 2 3 2 2" xfId="2416"/>
    <cellStyle name="Milliers 4 2 2 2 3 3" xfId="2415"/>
    <cellStyle name="Milliers 4 2 2 2 3 4" xfId="2325"/>
    <cellStyle name="Milliers 4 2 2 2 4" xfId="2327"/>
    <cellStyle name="Milliers 4 2 2 2 4 2" xfId="2417"/>
    <cellStyle name="Milliers 4 2 2 2 5" xfId="2410"/>
    <cellStyle name="Milliers 4 2 2 2 6" xfId="2320"/>
    <cellStyle name="Milliers 4 2 2 3" xfId="1058"/>
    <cellStyle name="Milliers 4 2 2 4" xfId="1017"/>
    <cellStyle name="Milliers 4 2 2 5" xfId="773"/>
    <cellStyle name="Milliers 4 2 2 6" xfId="822"/>
    <cellStyle name="Milliers 4 2 2 7" xfId="895"/>
    <cellStyle name="Milliers 4 2 2 8" xfId="751"/>
    <cellStyle name="Milliers 4 2 2 9" xfId="951"/>
    <cellStyle name="Milliers 4 2 3" xfId="614"/>
    <cellStyle name="Milliers 4 2 3 2" xfId="1637"/>
    <cellStyle name="Milliers 4 2 3 2 2" xfId="2330"/>
    <cellStyle name="Milliers 4 2 3 2 2 2" xfId="2420"/>
    <cellStyle name="Milliers 4 2 3 2 3" xfId="2419"/>
    <cellStyle name="Milliers 4 2 3 2 4" xfId="2329"/>
    <cellStyle name="Milliers 4 2 3 3" xfId="2331"/>
    <cellStyle name="Milliers 4 2 3 3 2" xfId="2421"/>
    <cellStyle name="Milliers 4 2 3 4" xfId="2418"/>
    <cellStyle name="Milliers 4 2 3 5" xfId="2328"/>
    <cellStyle name="Milliers 4 2 4" xfId="1980"/>
    <cellStyle name="Milliers 4 2 4 2" xfId="2333"/>
    <cellStyle name="Milliers 4 2 4 2 2" xfId="2334"/>
    <cellStyle name="Milliers 4 2 4 2 2 2" xfId="2424"/>
    <cellStyle name="Milliers 4 2 4 2 3" xfId="2423"/>
    <cellStyle name="Milliers 4 2 4 3" xfId="2335"/>
    <cellStyle name="Milliers 4 2 4 3 2" xfId="2425"/>
    <cellStyle name="Milliers 4 2 4 4" xfId="2422"/>
    <cellStyle name="Milliers 4 2 4 5" xfId="2332"/>
    <cellStyle name="Milliers 4 2 5" xfId="2336"/>
    <cellStyle name="Milliers 4 2 5 2" xfId="2337"/>
    <cellStyle name="Milliers 4 2 5 2 2" xfId="2427"/>
    <cellStyle name="Milliers 4 2 5 3" xfId="2426"/>
    <cellStyle name="Milliers 4 2 6" xfId="2338"/>
    <cellStyle name="Milliers 4 2 6 2" xfId="2428"/>
    <cellStyle name="Milliers 4 2 7" xfId="2409"/>
    <cellStyle name="Milliers 4 2 8" xfId="2319"/>
    <cellStyle name="Milliers 4 3" xfId="539"/>
    <cellStyle name="Milliers 4 3 2" xfId="1608"/>
    <cellStyle name="Milliers 4 3 2 2" xfId="2341"/>
    <cellStyle name="Milliers 4 3 2 2 2" xfId="2431"/>
    <cellStyle name="Milliers 4 3 2 3" xfId="2430"/>
    <cellStyle name="Milliers 4 3 2 4" xfId="2340"/>
    <cellStyle name="Milliers 4 3 3" xfId="2342"/>
    <cellStyle name="Milliers 4 3 3 2" xfId="2432"/>
    <cellStyle name="Milliers 4 3 4" xfId="2429"/>
    <cellStyle name="Milliers 4 3 5" xfId="2339"/>
    <cellStyle name="Milliers 4 4" xfId="269"/>
    <cellStyle name="Milliers 4 4 2" xfId="645"/>
    <cellStyle name="Milliers 4 4 2 2" xfId="1647"/>
    <cellStyle name="Milliers 4 4 2 2 2" xfId="2345"/>
    <cellStyle name="Milliers 4 4 2 2 2 2" xfId="2435"/>
    <cellStyle name="Milliers 4 4 2 2 3" xfId="2434"/>
    <cellStyle name="Milliers 4 4 2 2 4" xfId="2344"/>
    <cellStyle name="Milliers 4 4 2 3" xfId="2346"/>
    <cellStyle name="Milliers 4 4 2 3 2" xfId="2436"/>
    <cellStyle name="Milliers 4 4 2 4" xfId="2433"/>
    <cellStyle name="Milliers 4 4 2 5" xfId="2343"/>
    <cellStyle name="Milliers 4 5" xfId="1474"/>
    <cellStyle name="Milliers 4 5 2" xfId="2348"/>
    <cellStyle name="Milliers 4 5 2 2" xfId="2349"/>
    <cellStyle name="Milliers 4 5 2 2 2" xfId="2439"/>
    <cellStyle name="Milliers 4 5 2 3" xfId="2438"/>
    <cellStyle name="Milliers 4 5 3" xfId="2350"/>
    <cellStyle name="Milliers 4 5 3 2" xfId="2440"/>
    <cellStyle name="Milliers 4 5 4" xfId="2437"/>
    <cellStyle name="Milliers 4 5 5" xfId="2347"/>
    <cellStyle name="Milliers 4 6" xfId="2300"/>
    <cellStyle name="Milliers 4 6 2" xfId="2352"/>
    <cellStyle name="Milliers 4 6 2 2" xfId="2442"/>
    <cellStyle name="Milliers 4 6 3" xfId="2441"/>
    <cellStyle name="Milliers 4 6 4" xfId="2351"/>
    <cellStyle name="Milliers 4 7" xfId="2353"/>
    <cellStyle name="Milliers 4 7 2" xfId="2443"/>
    <cellStyle name="Milliers 4 8" xfId="2403"/>
    <cellStyle name="Milliers 4 9" xfId="2309"/>
    <cellStyle name="Milliers 5" xfId="53"/>
    <cellStyle name="Milliers 5 2" xfId="1411"/>
    <cellStyle name="Milliers 5 2 2" xfId="502"/>
    <cellStyle name="Milliers 5 2 2 10" xfId="1308"/>
    <cellStyle name="Milliers 5 2 2 11" xfId="756"/>
    <cellStyle name="Milliers 5 2 2 12" xfId="1178"/>
    <cellStyle name="Milliers 5 2 2 13" xfId="1371"/>
    <cellStyle name="Milliers 5 2 2 2" xfId="538"/>
    <cellStyle name="Milliers 5 2 2 2 2" xfId="686"/>
    <cellStyle name="Milliers 5 2 2 2 2 2" xfId="708"/>
    <cellStyle name="Milliers 5 2 2 3" xfId="1101"/>
    <cellStyle name="Milliers 5 2 2 4" xfId="1062"/>
    <cellStyle name="Milliers 5 2 2 5" xfId="852"/>
    <cellStyle name="Milliers 5 2 2 6" xfId="994"/>
    <cellStyle name="Milliers 5 2 2 7" xfId="1203"/>
    <cellStyle name="Milliers 5 2 2 8" xfId="993"/>
    <cellStyle name="Milliers 5 2 2 9" xfId="766"/>
    <cellStyle name="Milliers 5 2 3" xfId="615"/>
    <cellStyle name="Milliers 5 3" xfId="488"/>
    <cellStyle name="Milliers 5 4" xfId="607"/>
    <cellStyle name="Milliers 5 4 2" xfId="646"/>
    <cellStyle name="Milliers 6" xfId="1440"/>
    <cellStyle name="Milliers 6 2" xfId="514"/>
    <cellStyle name="Milliers 6 2 10" xfId="1235"/>
    <cellStyle name="Milliers 6 2 11" xfId="1177"/>
    <cellStyle name="Milliers 6 2 12" xfId="797"/>
    <cellStyle name="Milliers 6 2 13" xfId="1342"/>
    <cellStyle name="Milliers 6 2 2" xfId="609"/>
    <cellStyle name="Milliers 6 2 3" xfId="1105"/>
    <cellStyle name="Milliers 6 2 4" xfId="1021"/>
    <cellStyle name="Milliers 6 2 5" xfId="774"/>
    <cellStyle name="Milliers 6 2 6" xfId="1001"/>
    <cellStyle name="Milliers 6 2 7" xfId="1143"/>
    <cellStyle name="Milliers 6 2 8" xfId="847"/>
    <cellStyle name="Milliers 6 2 9" xfId="1272"/>
    <cellStyle name="Milliers 6 3" xfId="2355"/>
    <cellStyle name="Milliers 6 3 2" xfId="2356"/>
    <cellStyle name="Milliers 6 3 2 2" xfId="2446"/>
    <cellStyle name="Milliers 6 3 3" xfId="2445"/>
    <cellStyle name="Milliers 6 4" xfId="2357"/>
    <cellStyle name="Milliers 6 4 2" xfId="2447"/>
    <cellStyle name="Milliers 6 5" xfId="2444"/>
    <cellStyle name="Milliers 6 6" xfId="2354"/>
    <cellStyle name="Milliers 7" xfId="1446"/>
    <cellStyle name="Milliers 7 2" xfId="314"/>
    <cellStyle name="Milliers 7 2 10" xfId="867"/>
    <cellStyle name="Milliers 7 2 11" xfId="1258"/>
    <cellStyle name="Milliers 7 2 12" xfId="1244"/>
    <cellStyle name="Milliers 7 2 13" xfId="1172"/>
    <cellStyle name="Milliers 7 2 2" xfId="268"/>
    <cellStyle name="Milliers 7 2 3" xfId="1061"/>
    <cellStyle name="Milliers 7 2 4" xfId="1067"/>
    <cellStyle name="Milliers 7 2 5" xfId="739"/>
    <cellStyle name="Milliers 7 2 6" xfId="985"/>
    <cellStyle name="Milliers 7 2 7" xfId="782"/>
    <cellStyle name="Milliers 7 2 8" xfId="775"/>
    <cellStyle name="Milliers 7 2 9" xfId="1247"/>
    <cellStyle name="Milliers 7 3" xfId="2359"/>
    <cellStyle name="Milliers 7 3 2" xfId="2449"/>
    <cellStyle name="Milliers 7 4" xfId="2448"/>
    <cellStyle name="Milliers 7 5" xfId="2358"/>
    <cellStyle name="Milliers 8" xfId="1464"/>
    <cellStyle name="Milliers 8 2" xfId="322"/>
    <cellStyle name="Milliers 8 2 10" xfId="1273"/>
    <cellStyle name="Milliers 8 2 11" xfId="1311"/>
    <cellStyle name="Milliers 8 2 12" xfId="1251"/>
    <cellStyle name="Milliers 8 2 13" xfId="891"/>
    <cellStyle name="Milliers 8 2 2" xfId="578"/>
    <cellStyle name="Milliers 8 2 3" xfId="1063"/>
    <cellStyle name="Milliers 8 2 4" xfId="1016"/>
    <cellStyle name="Milliers 8 2 5" xfId="850"/>
    <cellStyle name="Milliers 8 2 6" xfId="955"/>
    <cellStyle name="Milliers 8 2 7" xfId="741"/>
    <cellStyle name="Milliers 8 2 8" xfId="746"/>
    <cellStyle name="Milliers 8 2 9" xfId="1320"/>
    <cellStyle name="Milliers 8 3" xfId="2450"/>
    <cellStyle name="Milliers 8 4" xfId="2360"/>
    <cellStyle name="Milliers 9" xfId="2238"/>
    <cellStyle name="Milliers 9 2" xfId="330"/>
    <cellStyle name="Milliers 9 2 10" xfId="936"/>
    <cellStyle name="Milliers 9 2 11" xfId="1355"/>
    <cellStyle name="Milliers 9 2 12" xfId="1347"/>
    <cellStyle name="Milliers 9 2 13" xfId="1348"/>
    <cellStyle name="Milliers 9 2 2" xfId="580"/>
    <cellStyle name="Milliers 9 2 3" xfId="1064"/>
    <cellStyle name="Milliers 9 2 4" xfId="1103"/>
    <cellStyle name="Milliers 9 2 5" xfId="830"/>
    <cellStyle name="Milliers 9 2 6" xfId="791"/>
    <cellStyle name="Milliers 9 2 7" xfId="1164"/>
    <cellStyle name="Milliers 9 2 8" xfId="1294"/>
    <cellStyle name="Milliers 9 2 9" xfId="1317"/>
    <cellStyle name="Milliers 9 3" xfId="2399"/>
    <cellStyle name="Monétaire 2" xfId="2361"/>
    <cellStyle name="Monétaire 2 2" xfId="2451"/>
    <cellStyle name="Neutre" xfId="38" builtinId="28" customBuiltin="1"/>
    <cellStyle name="Neutre 10" xfId="2037"/>
    <cellStyle name="Neutre 11" xfId="2134"/>
    <cellStyle name="Neutre 12" xfId="2149"/>
    <cellStyle name="Neutre 13" xfId="2216"/>
    <cellStyle name="Neutre 14" xfId="2093"/>
    <cellStyle name="Neutre 15" xfId="2234"/>
    <cellStyle name="Neutre 2" xfId="116"/>
    <cellStyle name="Neutre 2 10" xfId="2095"/>
    <cellStyle name="Neutre 2 11" xfId="2223"/>
    <cellStyle name="Neutre 2 2" xfId="257"/>
    <cellStyle name="Neutre 2 3" xfId="567"/>
    <cellStyle name="Neutre 2 4" xfId="652"/>
    <cellStyle name="Neutre 2 5" xfId="2023"/>
    <cellStyle name="Neutre 2 6" xfId="2186"/>
    <cellStyle name="Neutre 2 7" xfId="2072"/>
    <cellStyle name="Neutre 2 8" xfId="2206"/>
    <cellStyle name="Neutre 2 9" xfId="2089"/>
    <cellStyle name="Neutre 3" xfId="117"/>
    <cellStyle name="Neutre 4" xfId="118"/>
    <cellStyle name="Neutre 5" xfId="119"/>
    <cellStyle name="Neutre 6" xfId="544"/>
    <cellStyle name="Neutre 6 2" xfId="713"/>
    <cellStyle name="Neutre 7" xfId="634"/>
    <cellStyle name="Neutre 8" xfId="1399"/>
    <cellStyle name="Neutre 9" xfId="1465"/>
    <cellStyle name="Normal" xfId="0" builtinId="0"/>
    <cellStyle name="Normal 10" xfId="223"/>
    <cellStyle name="Normal 10 10" xfId="1309"/>
    <cellStyle name="Normal 10 11" xfId="1212"/>
    <cellStyle name="Normal 10 12" xfId="1204"/>
    <cellStyle name="Normal 10 13" xfId="2362"/>
    <cellStyle name="Normal 10 2" xfId="1037"/>
    <cellStyle name="Normal 10 3" xfId="1119"/>
    <cellStyle name="Normal 10 4" xfId="913"/>
    <cellStyle name="Normal 10 5" xfId="1149"/>
    <cellStyle name="Normal 10 6" xfId="914"/>
    <cellStyle name="Normal 10 7" xfId="1249"/>
    <cellStyle name="Normal 10 8" xfId="1297"/>
    <cellStyle name="Normal 10 9" xfId="815"/>
    <cellStyle name="Normal 11" xfId="232"/>
    <cellStyle name="Normal 11 10" xfId="982"/>
    <cellStyle name="Normal 11 11" xfId="997"/>
    <cellStyle name="Normal 11 12" xfId="1365"/>
    <cellStyle name="Normal 11 13" xfId="2289"/>
    <cellStyle name="Normal 11 13 2" xfId="2363"/>
    <cellStyle name="Normal 11 14" xfId="2364"/>
    <cellStyle name="Normal 11 15" xfId="2307"/>
    <cellStyle name="Normal 11 2" xfId="1040"/>
    <cellStyle name="Normal 11 3" xfId="1110"/>
    <cellStyle name="Normal 11 4" xfId="816"/>
    <cellStyle name="Normal 11 5" xfId="1185"/>
    <cellStyle name="Normal 11 6" xfId="1175"/>
    <cellStyle name="Normal 11 7" xfId="803"/>
    <cellStyle name="Normal 11 8" xfId="1155"/>
    <cellStyle name="Normal 11 9" xfId="1331"/>
    <cellStyle name="Normal 12" xfId="1384"/>
    <cellStyle name="Normal 12 2" xfId="2293"/>
    <cellStyle name="Normal 12 2 2" xfId="2365"/>
    <cellStyle name="Normal 13" xfId="365"/>
    <cellStyle name="Normal 13 10" xfId="1334"/>
    <cellStyle name="Normal 13 11" xfId="1154"/>
    <cellStyle name="Normal 13 12" xfId="1350"/>
    <cellStyle name="Normal 13 13" xfId="1296"/>
    <cellStyle name="Normal 13 14" xfId="2292"/>
    <cellStyle name="Normal 13 14 2" xfId="2366"/>
    <cellStyle name="Normal 13 2" xfId="587"/>
    <cellStyle name="Normal 13 3" xfId="1073"/>
    <cellStyle name="Normal 13 4" xfId="1011"/>
    <cellStyle name="Normal 13 5" xfId="859"/>
    <cellStyle name="Normal 13 6" xfId="893"/>
    <cellStyle name="Normal 13 7" xfId="912"/>
    <cellStyle name="Normal 13 8" xfId="1201"/>
    <cellStyle name="Normal 13 9" xfId="861"/>
    <cellStyle name="Normal 14" xfId="374"/>
    <cellStyle name="Normal 14 10" xfId="1333"/>
    <cellStyle name="Normal 14 11" xfId="1341"/>
    <cellStyle name="Normal 14 12" xfId="1287"/>
    <cellStyle name="Normal 14 13" xfId="1234"/>
    <cellStyle name="Normal 14 2" xfId="589"/>
    <cellStyle name="Normal 14 3" xfId="1076"/>
    <cellStyle name="Normal 14 4" xfId="1066"/>
    <cellStyle name="Normal 14 5" xfId="737"/>
    <cellStyle name="Normal 14 6" xfId="987"/>
    <cellStyle name="Normal 14 7" xfId="777"/>
    <cellStyle name="Normal 14 8" xfId="1271"/>
    <cellStyle name="Normal 14 9" xfId="1192"/>
    <cellStyle name="Normal 15" xfId="387"/>
    <cellStyle name="Normal 15 10" xfId="1232"/>
    <cellStyle name="Normal 15 11" xfId="1220"/>
    <cellStyle name="Normal 15 12" xfId="1345"/>
    <cellStyle name="Normal 15 13" xfId="1375"/>
    <cellStyle name="Normal 15 2" xfId="591"/>
    <cellStyle name="Normal 15 3" xfId="1079"/>
    <cellStyle name="Normal 15 4" xfId="1045"/>
    <cellStyle name="Normal 15 5" xfId="805"/>
    <cellStyle name="Normal 15 6" xfId="828"/>
    <cellStyle name="Normal 15 7" xfId="996"/>
    <cellStyle name="Normal 15 8" xfId="1252"/>
    <cellStyle name="Normal 15 9" xfId="1223"/>
    <cellStyle name="Normal 16" xfId="398"/>
    <cellStyle name="Normal 16 10" xfId="1328"/>
    <cellStyle name="Normal 16 11" xfId="1193"/>
    <cellStyle name="Normal 16 12" xfId="921"/>
    <cellStyle name="Normal 16 13" xfId="1356"/>
    <cellStyle name="Normal 16 2" xfId="593"/>
    <cellStyle name="Normal 16 3" xfId="1081"/>
    <cellStyle name="Normal 16 4" xfId="1121"/>
    <cellStyle name="Normal 16 5" xfId="986"/>
    <cellStyle name="Normal 16 6" xfId="1180"/>
    <cellStyle name="Normal 16 7" xfId="932"/>
    <cellStyle name="Normal 16 8" xfId="1265"/>
    <cellStyle name="Normal 16 9" xfId="754"/>
    <cellStyle name="Normal 17" xfId="410"/>
    <cellStyle name="Normal 17 10" xfId="1327"/>
    <cellStyle name="Normal 17 11" xfId="819"/>
    <cellStyle name="Normal 17 12" xfId="1163"/>
    <cellStyle name="Normal 17 13" xfId="1381"/>
    <cellStyle name="Normal 17 2" xfId="595"/>
    <cellStyle name="Normal 17 3" xfId="1084"/>
    <cellStyle name="Normal 17 4" xfId="1082"/>
    <cellStyle name="Normal 17 5" xfId="843"/>
    <cellStyle name="Normal 17 6" xfId="967"/>
    <cellStyle name="Normal 17 7" xfId="1206"/>
    <cellStyle name="Normal 17 8" xfId="1260"/>
    <cellStyle name="Normal 17 9" xfId="1231"/>
    <cellStyle name="Normal 18" xfId="425"/>
    <cellStyle name="Normal 18 10" xfId="952"/>
    <cellStyle name="Normal 18 11" xfId="779"/>
    <cellStyle name="Normal 18 12" xfId="1174"/>
    <cellStyle name="Normal 18 13" xfId="892"/>
    <cellStyle name="Normal 18 2" xfId="597"/>
    <cellStyle name="Normal 18 3" xfId="1088"/>
    <cellStyle name="Normal 18 4" xfId="1025"/>
    <cellStyle name="Normal 18 5" xfId="748"/>
    <cellStyle name="Normal 18 6" xfId="942"/>
    <cellStyle name="Normal 18 7" xfId="905"/>
    <cellStyle name="Normal 18 8" xfId="1161"/>
    <cellStyle name="Normal 18 9" xfId="865"/>
    <cellStyle name="Normal 19" xfId="437"/>
    <cellStyle name="Normal 19 10" xfId="898"/>
    <cellStyle name="Normal 19 11" xfId="908"/>
    <cellStyle name="Normal 19 12" xfId="1186"/>
    <cellStyle name="Normal 19 13" xfId="1359"/>
    <cellStyle name="Normal 19 2" xfId="599"/>
    <cellStyle name="Normal 19 3" xfId="1090"/>
    <cellStyle name="Normal 19 4" xfId="1125"/>
    <cellStyle name="Normal 19 5" xfId="991"/>
    <cellStyle name="Normal 19 6" xfId="1000"/>
    <cellStyle name="Normal 19 7" xfId="901"/>
    <cellStyle name="Normal 19 8" xfId="1136"/>
    <cellStyle name="Normal 19 9" xfId="1279"/>
    <cellStyle name="Normal 2" xfId="39"/>
    <cellStyle name="Normal 2 10" xfId="1195"/>
    <cellStyle name="Normal 2 10 2" xfId="2367"/>
    <cellStyle name="Normal 2 11" xfId="1228"/>
    <cellStyle name="Normal 2 11 2" xfId="2368"/>
    <cellStyle name="Normal 2 12" xfId="1298"/>
    <cellStyle name="Normal 2 12 2" xfId="2369"/>
    <cellStyle name="Normal 2 13" xfId="1302"/>
    <cellStyle name="Normal 2 13 2" xfId="2370"/>
    <cellStyle name="Normal 2 14" xfId="1310"/>
    <cellStyle name="Normal 2 15" xfId="934"/>
    <cellStyle name="Normal 2 16" xfId="1168"/>
    <cellStyle name="Normal 2 17" xfId="1400"/>
    <cellStyle name="Normal 2 18" xfId="1441"/>
    <cellStyle name="Normal 2 18 2" xfId="1995"/>
    <cellStyle name="Normal 2 19" xfId="2080"/>
    <cellStyle name="Normal 2 19 2" xfId="2371"/>
    <cellStyle name="Normal 2 2" xfId="49"/>
    <cellStyle name="Normal 2 2 2" xfId="2372"/>
    <cellStyle name="Normal 2 20" xfId="2178"/>
    <cellStyle name="Normal 2 20 2" xfId="2373"/>
    <cellStyle name="Normal 2 21" xfId="2045"/>
    <cellStyle name="Normal 2 22" xfId="2205"/>
    <cellStyle name="Normal 2 23" xfId="2112"/>
    <cellStyle name="Normal 2 24" xfId="2168"/>
    <cellStyle name="Normal 2 25" xfId="2290"/>
    <cellStyle name="Normal 2 26" xfId="2305"/>
    <cellStyle name="Normal 2 3" xfId="120"/>
    <cellStyle name="Normal 2 3 2" xfId="2374"/>
    <cellStyle name="Normal 2 4" xfId="159"/>
    <cellStyle name="Normal 2 4 2" xfId="2375"/>
    <cellStyle name="Normal 2 5" xfId="635"/>
    <cellStyle name="Normal 2 5 2" xfId="2376"/>
    <cellStyle name="Normal 2 6" xfId="1007"/>
    <cellStyle name="Normal 2 6 2" xfId="2377"/>
    <cellStyle name="Normal 2 7" xfId="1020"/>
    <cellStyle name="Normal 2 7 2" xfId="2378"/>
    <cellStyle name="Normal 2 8" xfId="931"/>
    <cellStyle name="Normal 2 8 2" xfId="2379"/>
    <cellStyle name="Normal 2 9" xfId="990"/>
    <cellStyle name="Normal 2 9 2" xfId="2380"/>
    <cellStyle name="Normal 20" xfId="1419"/>
    <cellStyle name="Normal 20 2" xfId="2008"/>
    <cellStyle name="Normal 21" xfId="457"/>
    <cellStyle name="Normal 21 10" xfId="1250"/>
    <cellStyle name="Normal 21 11" xfId="1166"/>
    <cellStyle name="Normal 21 12" xfId="792"/>
    <cellStyle name="Normal 21 13" xfId="1160"/>
    <cellStyle name="Normal 21 2" xfId="602"/>
    <cellStyle name="Normal 21 3" xfId="1093"/>
    <cellStyle name="Normal 21 4" xfId="1070"/>
    <cellStyle name="Normal 21 5" xfId="846"/>
    <cellStyle name="Normal 21 6" xfId="818"/>
    <cellStyle name="Normal 21 7" xfId="1199"/>
    <cellStyle name="Normal 21 8" xfId="909"/>
    <cellStyle name="Normal 21 9" xfId="1210"/>
    <cellStyle name="Normal 22" xfId="466"/>
    <cellStyle name="Normal 22 10" xfId="1179"/>
    <cellStyle name="Normal 22 11" xfId="1004"/>
    <cellStyle name="Normal 22 12" xfId="1142"/>
    <cellStyle name="Normal 22 13" xfId="1364"/>
    <cellStyle name="Normal 22 2" xfId="604"/>
    <cellStyle name="Normal 22 3" xfId="1096"/>
    <cellStyle name="Normal 22 4" xfId="1009"/>
    <cellStyle name="Normal 22 5" xfId="784"/>
    <cellStyle name="Normal 22 6" xfId="925"/>
    <cellStyle name="Normal 22 7" xfId="757"/>
    <cellStyle name="Normal 22 8" xfId="1237"/>
    <cellStyle name="Normal 22 9" xfId="1221"/>
    <cellStyle name="Normal 23" xfId="1451"/>
    <cellStyle name="Normal 23 2" xfId="2107"/>
    <cellStyle name="Normal 23 3" xfId="2381"/>
    <cellStyle name="Normal 24" xfId="2170"/>
    <cellStyle name="Normal 24 2" xfId="2382"/>
    <cellStyle name="Normal 25" xfId="2068"/>
    <cellStyle name="Normal 25 2" xfId="2297"/>
    <cellStyle name="Normal 25 3" xfId="2383"/>
    <cellStyle name="Normal 26" xfId="2109"/>
    <cellStyle name="Normal 26 2" xfId="2384"/>
    <cellStyle name="Normal 27" xfId="2137"/>
    <cellStyle name="Normal 27 2" xfId="2385"/>
    <cellStyle name="Normal 28" xfId="1449"/>
    <cellStyle name="Normal 29" xfId="2270"/>
    <cellStyle name="Normal 29 2" xfId="2398"/>
    <cellStyle name="Normal 3" xfId="121"/>
    <cellStyle name="Normal 3 10" xfId="744"/>
    <cellStyle name="Normal 3 11" xfId="1238"/>
    <cellStyle name="Normal 3 12" xfId="1315"/>
    <cellStyle name="Normal 3 13" xfId="1241"/>
    <cellStyle name="Normal 3 14" xfId="1285"/>
    <cellStyle name="Normal 3 15" xfId="1339"/>
    <cellStyle name="Normal 3 16" xfId="1416"/>
    <cellStyle name="Normal 3 17" xfId="1442"/>
    <cellStyle name="Normal 3 17 2" xfId="2386"/>
    <cellStyle name="Normal 3 18" xfId="2291"/>
    <cellStyle name="Normal 3 19" xfId="2306"/>
    <cellStyle name="Normal 3 2" xfId="122"/>
    <cellStyle name="Normal 3 2 2" xfId="2311"/>
    <cellStyle name="Normal 3 3" xfId="568"/>
    <cellStyle name="Normal 3 4" xfId="653"/>
    <cellStyle name="Normal 3 5" xfId="1013"/>
    <cellStyle name="Normal 3 6" xfId="1050"/>
    <cellStyle name="Normal 3 7" xfId="981"/>
    <cellStyle name="Normal 3 8" xfId="809"/>
    <cellStyle name="Normal 3 9" xfId="902"/>
    <cellStyle name="Normal 30" xfId="1450"/>
    <cellStyle name="Normal 31" xfId="2278"/>
    <cellStyle name="Normal 31 2" xfId="2387"/>
    <cellStyle name="Normal 32" xfId="2281"/>
    <cellStyle name="Normal 33" xfId="2282"/>
    <cellStyle name="Normal 34" xfId="2287"/>
    <cellStyle name="Normal 35" xfId="2288"/>
    <cellStyle name="Normal 36" xfId="2303"/>
    <cellStyle name="Normal 4" xfId="158"/>
    <cellStyle name="Normal 4 10" xfId="1138"/>
    <cellStyle name="Normal 4 11" xfId="1255"/>
    <cellStyle name="Normal 4 12" xfId="975"/>
    <cellStyle name="Normal 4 13" xfId="1498"/>
    <cellStyle name="Normal 4 13 2" xfId="2388"/>
    <cellStyle name="Normal 4 2" xfId="169"/>
    <cellStyle name="Normal 4 3" xfId="1049"/>
    <cellStyle name="Normal 4 4" xfId="783"/>
    <cellStyle name="Normal 4 5" xfId="885"/>
    <cellStyle name="Normal 4 6" xfId="1153"/>
    <cellStyle name="Normal 4 7" xfId="973"/>
    <cellStyle name="Normal 4 8" xfId="887"/>
    <cellStyle name="Normal 4 9" xfId="726"/>
    <cellStyle name="Normal 40" xfId="2397"/>
    <cellStyle name="Normal 47" xfId="2389"/>
    <cellStyle name="Normal 5" xfId="123"/>
    <cellStyle name="Normal 5 10" xfId="1147"/>
    <cellStyle name="Normal 5 11" xfId="1264"/>
    <cellStyle name="Normal 5 12" xfId="926"/>
    <cellStyle name="Normal 5 13" xfId="1282"/>
    <cellStyle name="Normal 5 14" xfId="1194"/>
    <cellStyle name="Normal 5 15" xfId="884"/>
    <cellStyle name="Normal 5 16" xfId="1417"/>
    <cellStyle name="Normal 5 17" xfId="2391"/>
    <cellStyle name="Normal 5 18" xfId="2392"/>
    <cellStyle name="Normal 5 19" xfId="2390"/>
    <cellStyle name="Normal 5 2" xfId="258"/>
    <cellStyle name="Normal 5 3" xfId="569"/>
    <cellStyle name="Normal 5 4" xfId="654"/>
    <cellStyle name="Normal 5 5" xfId="1019"/>
    <cellStyle name="Normal 5 6" xfId="1102"/>
    <cellStyle name="Normal 5 7" xfId="935"/>
    <cellStyle name="Normal 5 8" xfId="743"/>
    <cellStyle name="Normal 5 9" xfId="906"/>
    <cellStyle name="Normal 6" xfId="175"/>
    <cellStyle name="Normal 6 10" xfId="834"/>
    <cellStyle name="Normal 6 11" xfId="1208"/>
    <cellStyle name="Normal 6 12" xfId="1005"/>
    <cellStyle name="Normal 6 13" xfId="781"/>
    <cellStyle name="Normal 6 14" xfId="2393"/>
    <cellStyle name="Normal 6 2" xfId="561"/>
    <cellStyle name="Normal 6 2 10" xfId="727"/>
    <cellStyle name="Normal 6 2 11" xfId="1162"/>
    <cellStyle name="Normal 6 2 12" xfId="944"/>
    <cellStyle name="Normal 6 2 13" xfId="1376"/>
    <cellStyle name="Normal 6 2 2" xfId="723"/>
    <cellStyle name="Normal 6 2 3" xfId="1112"/>
    <cellStyle name="Normal 6 2 4" xfId="1027"/>
    <cellStyle name="Normal 6 2 5" xfId="1128"/>
    <cellStyle name="Normal 6 2 6" xfId="972"/>
    <cellStyle name="Normal 6 2 7" xfId="764"/>
    <cellStyle name="Normal 6 2 8" xfId="1135"/>
    <cellStyle name="Normal 6 2 9" xfId="1183"/>
    <cellStyle name="Normal 6 3" xfId="1024"/>
    <cellStyle name="Normal 6 4" xfId="1047"/>
    <cellStyle name="Normal 6 5" xfId="874"/>
    <cellStyle name="Normal 6 6" xfId="873"/>
    <cellStyle name="Normal 6 7" xfId="958"/>
    <cellStyle name="Normal 6 8" xfId="823"/>
    <cellStyle name="Normal 6 9" xfId="785"/>
    <cellStyle name="Normal 7" xfId="187"/>
    <cellStyle name="Normal 7 10" xfId="858"/>
    <cellStyle name="Normal 7 11" xfId="1323"/>
    <cellStyle name="Normal 7 12" xfId="817"/>
    <cellStyle name="Normal 7 13" xfId="1370"/>
    <cellStyle name="Normal 7 14" xfId="2394"/>
    <cellStyle name="Normal 7 2" xfId="616"/>
    <cellStyle name="Normal 7 3" xfId="1030"/>
    <cellStyle name="Normal 7 4" xfId="1117"/>
    <cellStyle name="Normal 7 5" xfId="780"/>
    <cellStyle name="Normal 7 6" xfId="1132"/>
    <cellStyle name="Normal 7 7" xfId="876"/>
    <cellStyle name="Normal 7 8" xfId="824"/>
    <cellStyle name="Normal 7 9" xfId="1280"/>
    <cellStyle name="Normal 8" xfId="202"/>
    <cellStyle name="Normal 8 10" xfId="1198"/>
    <cellStyle name="Normal 8 11" xfId="848"/>
    <cellStyle name="Normal 8 12" xfId="1360"/>
    <cellStyle name="Normal 8 13" xfId="2395"/>
    <cellStyle name="Normal 8 2" xfId="1033"/>
    <cellStyle name="Normal 8 3" xfId="1124"/>
    <cellStyle name="Normal 8 4" xfId="811"/>
    <cellStyle name="Normal 8 5" xfId="1140"/>
    <cellStyle name="Normal 8 6" xfId="992"/>
    <cellStyle name="Normal 8 7" xfId="1262"/>
    <cellStyle name="Normal 8 8" xfId="978"/>
    <cellStyle name="Normal 8 9" xfId="1336"/>
    <cellStyle name="Normal 9" xfId="213"/>
    <cellStyle name="Normal 9 10" xfId="796"/>
    <cellStyle name="Normal 9 11" xfId="769"/>
    <cellStyle name="Normal 9 12" xfId="1357"/>
    <cellStyle name="Normal 9 13" xfId="2396"/>
    <cellStyle name="Normal 9 2" xfId="1035"/>
    <cellStyle name="Normal 9 3" xfId="1051"/>
    <cellStyle name="Normal 9 4" xfId="947"/>
    <cellStyle name="Normal 9 5" xfId="1130"/>
    <cellStyle name="Normal 9 6" xfId="1002"/>
    <cellStyle name="Normal 9 7" xfId="896"/>
    <cellStyle name="Normal 9 8" xfId="1312"/>
    <cellStyle name="Normal 9 9" xfId="1230"/>
    <cellStyle name="Pourcentage" xfId="1418" builtinId="5"/>
    <cellStyle name="Pourcentage 2" xfId="1985"/>
    <cellStyle name="Pourcentage 3" xfId="2271"/>
    <cellStyle name="Pourcentage 4" xfId="2294"/>
    <cellStyle name="Pourcentage 5" xfId="2302"/>
    <cellStyle name="Pourcentage 6" xfId="2400"/>
    <cellStyle name="Satisfaisant" xfId="40" builtinId="26" customBuiltin="1"/>
    <cellStyle name="Satisfaisant 10" xfId="2078"/>
    <cellStyle name="Satisfaisant 11" xfId="2108"/>
    <cellStyle name="Satisfaisant 12" xfId="2146"/>
    <cellStyle name="Satisfaisant 13" xfId="2139"/>
    <cellStyle name="Satisfaisant 14" xfId="2177"/>
    <cellStyle name="Satisfaisant 15" xfId="2047"/>
    <cellStyle name="Satisfaisant 2" xfId="124"/>
    <cellStyle name="Satisfaisant 2 10" xfId="2102"/>
    <cellStyle name="Satisfaisant 2 11" xfId="2230"/>
    <cellStyle name="Satisfaisant 2 2" xfId="259"/>
    <cellStyle name="Satisfaisant 2 3" xfId="570"/>
    <cellStyle name="Satisfaisant 2 4" xfId="655"/>
    <cellStyle name="Satisfaisant 2 5" xfId="2024"/>
    <cellStyle name="Satisfaisant 2 6" xfId="2220"/>
    <cellStyle name="Satisfaisant 2 7" xfId="1999"/>
    <cellStyle name="Satisfaisant 2 8" xfId="2111"/>
    <cellStyle name="Satisfaisant 2 9" xfId="2151"/>
    <cellStyle name="Satisfaisant 3" xfId="125"/>
    <cellStyle name="Satisfaisant 4" xfId="126"/>
    <cellStyle name="Satisfaisant 5" xfId="127"/>
    <cellStyle name="Satisfaisant 6" xfId="506"/>
    <cellStyle name="Satisfaisant 6 2" xfId="690"/>
    <cellStyle name="Satisfaisant 7" xfId="636"/>
    <cellStyle name="Satisfaisant 8" xfId="1401"/>
    <cellStyle name="Satisfaisant 9" xfId="1466"/>
    <cellStyle name="Sortie" xfId="41" builtinId="21" customBuiltin="1"/>
    <cellStyle name="Sortie 10" xfId="1420"/>
    <cellStyle name="Sortie 11" xfId="1433"/>
    <cellStyle name="Sortie 12" xfId="1438"/>
    <cellStyle name="Sortie 13" xfId="1447"/>
    <cellStyle name="Sortie 14" xfId="1467"/>
    <cellStyle name="Sortie 15" xfId="2218"/>
    <cellStyle name="Sortie 2" xfId="128"/>
    <cellStyle name="Sortie 2 10" xfId="2248"/>
    <cellStyle name="Sortie 2 11" xfId="2257"/>
    <cellStyle name="Sortie 2 12" xfId="1488"/>
    <cellStyle name="Sortie 2 2" xfId="260"/>
    <cellStyle name="Sortie 2 2 2" xfId="1526"/>
    <cellStyle name="Sortie 2 3" xfId="571"/>
    <cellStyle name="Sortie 2 3 2" xfId="1618"/>
    <cellStyle name="Sortie 2 4" xfId="656"/>
    <cellStyle name="Sortie 2 4 2" xfId="1652"/>
    <cellStyle name="Sortie 2 5" xfId="2026"/>
    <cellStyle name="Sortie 2 6" xfId="2188"/>
    <cellStyle name="Sortie 2 7" xfId="2061"/>
    <cellStyle name="Sortie 2 8" xfId="2226"/>
    <cellStyle name="Sortie 2 9" xfId="2239"/>
    <cellStyle name="Sortie 3" xfId="129"/>
    <cellStyle name="Sortie 3 2" xfId="1489"/>
    <cellStyle name="Sortie 4" xfId="130"/>
    <cellStyle name="Sortie 4 2" xfId="1490"/>
    <cellStyle name="Sortie 5" xfId="131"/>
    <cellStyle name="Sortie 5 2" xfId="1491"/>
    <cellStyle name="Sortie 6" xfId="504"/>
    <cellStyle name="Sortie 6 2" xfId="688"/>
    <cellStyle name="Sortie 6 2 2" xfId="1655"/>
    <cellStyle name="Sortie 6 3" xfId="1593"/>
    <cellStyle name="Sortie 7" xfId="637"/>
    <cellStyle name="Sortie 7 2" xfId="1645"/>
    <cellStyle name="Sortie 8" xfId="1402"/>
    <cellStyle name="Sortie 8 2" xfId="1978"/>
    <cellStyle name="Sortie 9" xfId="1427"/>
    <cellStyle name="Titre 2" xfId="2295"/>
    <cellStyle name="Titre de la feuille" xfId="42"/>
    <cellStyle name="Titre 1" xfId="43" builtinId="16" customBuiltin="1"/>
    <cellStyle name="Titre 1 10" xfId="2070"/>
    <cellStyle name="Titre 1 11" xfId="2123"/>
    <cellStyle name="Titre 1 12" xfId="2182"/>
    <cellStyle name="Titre 1 13" xfId="2014"/>
    <cellStyle name="Titre 1 14" xfId="2029"/>
    <cellStyle name="Titre 1 15" xfId="2197"/>
    <cellStyle name="Titre 1 2" xfId="132"/>
    <cellStyle name="Titre 1 2 10" xfId="2042"/>
    <cellStyle name="Titre 1 2 11" xfId="2194"/>
    <cellStyle name="Titre 1 2 2" xfId="261"/>
    <cellStyle name="Titre 1 2 3" xfId="572"/>
    <cellStyle name="Titre 1 2 4" xfId="657"/>
    <cellStyle name="Titre 1 2 5" xfId="2028"/>
    <cellStyle name="Titre 1 2 6" xfId="2222"/>
    <cellStyle name="Titre 1 2 7" xfId="2066"/>
    <cellStyle name="Titre 1 2 8" xfId="2199"/>
    <cellStyle name="Titre 1 2 9" xfId="2114"/>
    <cellStyle name="Titre 1 3" xfId="133"/>
    <cellStyle name="Titre 1 4" xfId="134"/>
    <cellStyle name="Titre 1 5" xfId="135"/>
    <cellStyle name="Titre 1 6" xfId="543"/>
    <cellStyle name="Titre 1 6 2" xfId="712"/>
    <cellStyle name="Titre 1 7" xfId="638"/>
    <cellStyle name="Titre 1 8" xfId="1403"/>
    <cellStyle name="Titre 1 9" xfId="1468"/>
    <cellStyle name="Titre 2" xfId="44" builtinId="17" customBuiltin="1"/>
    <cellStyle name="Titre 2 10" xfId="2069"/>
    <cellStyle name="Titre 2 11" xfId="2135"/>
    <cellStyle name="Titre 2 12" xfId="2179"/>
    <cellStyle name="Titre 2 13" xfId="2057"/>
    <cellStyle name="Titre 2 14" xfId="2071"/>
    <cellStyle name="Titre 2 15" xfId="2210"/>
    <cellStyle name="Titre 2 2" xfId="136"/>
    <cellStyle name="Titre 2 2 10" xfId="2160"/>
    <cellStyle name="Titre 2 2 11" xfId="2122"/>
    <cellStyle name="Titre 2 2 2" xfId="262"/>
    <cellStyle name="Titre 2 2 3" xfId="573"/>
    <cellStyle name="Titre 2 2 4" xfId="658"/>
    <cellStyle name="Titre 2 2 5" xfId="2030"/>
    <cellStyle name="Titre 2 2 6" xfId="2211"/>
    <cellStyle name="Titre 2 2 7" xfId="2060"/>
    <cellStyle name="Titre 2 2 8" xfId="2175"/>
    <cellStyle name="Titre 2 2 9" xfId="2118"/>
    <cellStyle name="Titre 2 3" xfId="137"/>
    <cellStyle name="Titre 2 4" xfId="138"/>
    <cellStyle name="Titre 2 5" xfId="139"/>
    <cellStyle name="Titre 2 6" xfId="542"/>
    <cellStyle name="Titre 2 6 2" xfId="711"/>
    <cellStyle name="Titre 2 7" xfId="639"/>
    <cellStyle name="Titre 2 8" xfId="1404"/>
    <cellStyle name="Titre 2 9" xfId="1469"/>
    <cellStyle name="Titre 3" xfId="45" builtinId="18" customBuiltin="1"/>
    <cellStyle name="Titre 3 10" xfId="2067"/>
    <cellStyle name="Titre 3 11" xfId="2231"/>
    <cellStyle name="Titre 3 12" xfId="2243"/>
    <cellStyle name="Titre 3 13" xfId="2252"/>
    <cellStyle name="Titre 3 14" xfId="2261"/>
    <cellStyle name="Titre 3 15" xfId="2266"/>
    <cellStyle name="Titre 3 2" xfId="140"/>
    <cellStyle name="Titre 3 2 10" xfId="2079"/>
    <cellStyle name="Titre 3 2 11" xfId="2164"/>
    <cellStyle name="Titre 3 2 2" xfId="263"/>
    <cellStyle name="Titre 3 2 3" xfId="574"/>
    <cellStyle name="Titre 3 2 4" xfId="659"/>
    <cellStyle name="Titre 3 2 5" xfId="2032"/>
    <cellStyle name="Titre 3 2 6" xfId="2133"/>
    <cellStyle name="Titre 3 2 7" xfId="2161"/>
    <cellStyle name="Titre 3 2 8" xfId="2120"/>
    <cellStyle name="Titre 3 2 9" xfId="2185"/>
    <cellStyle name="Titre 3 3" xfId="141"/>
    <cellStyle name="Titre 3 4" xfId="142"/>
    <cellStyle name="Titre 3 5" xfId="143"/>
    <cellStyle name="Titre 3 6" xfId="541"/>
    <cellStyle name="Titre 3 6 2" xfId="710"/>
    <cellStyle name="Titre 3 7" xfId="640"/>
    <cellStyle name="Titre 3 8" xfId="1405"/>
    <cellStyle name="Titre 3 9" xfId="1470"/>
    <cellStyle name="Titre 4" xfId="46" builtinId="19" customBuiltin="1"/>
    <cellStyle name="Titre 4 10" xfId="2065"/>
    <cellStyle name="Titre 4 11" xfId="2204"/>
    <cellStyle name="Titre 4 12" xfId="2228"/>
    <cellStyle name="Titre 4 13" xfId="2241"/>
    <cellStyle name="Titre 4 14" xfId="2250"/>
    <cellStyle name="Titre 4 15" xfId="2259"/>
    <cellStyle name="Titre 4 2" xfId="144"/>
    <cellStyle name="Titre 4 2 10" xfId="2263"/>
    <cellStyle name="Titre 4 2 11" xfId="2268"/>
    <cellStyle name="Titre 4 2 2" xfId="264"/>
    <cellStyle name="Titre 4 2 3" xfId="575"/>
    <cellStyle name="Titre 4 2 4" xfId="660"/>
    <cellStyle name="Titre 4 2 5" xfId="2035"/>
    <cellStyle name="Titre 4 2 6" xfId="2225"/>
    <cellStyle name="Titre 4 2 7" xfId="2237"/>
    <cellStyle name="Titre 4 2 8" xfId="2246"/>
    <cellStyle name="Titre 4 2 9" xfId="2255"/>
    <cellStyle name="Titre 4 3" xfId="145"/>
    <cellStyle name="Titre 4 4" xfId="146"/>
    <cellStyle name="Titre 4 5" xfId="147"/>
    <cellStyle name="Titre 4 6" xfId="477"/>
    <cellStyle name="Titre 4 6 2" xfId="667"/>
    <cellStyle name="Titre 4 7" xfId="641"/>
    <cellStyle name="Titre 4 8" xfId="1406"/>
    <cellStyle name="Titre 4 9" xfId="1471"/>
    <cellStyle name="Total" xfId="47" builtinId="25" customBuiltin="1"/>
    <cellStyle name="Total 10" xfId="233"/>
    <cellStyle name="Total 10 2" xfId="340"/>
    <cellStyle name="Total 10 2 2" xfId="1539"/>
    <cellStyle name="Total 10 3" xfId="1518"/>
    <cellStyle name="Total 11" xfId="240"/>
    <cellStyle name="Total 11 2" xfId="353"/>
    <cellStyle name="Total 11 2 2" xfId="1543"/>
    <cellStyle name="Total 11 3" xfId="1522"/>
    <cellStyle name="Total 12" xfId="366"/>
    <cellStyle name="Total 12 2" xfId="1547"/>
    <cellStyle name="Total 13" xfId="376"/>
    <cellStyle name="Total 13 2" xfId="1551"/>
    <cellStyle name="Total 14" xfId="389"/>
    <cellStyle name="Total 14 2" xfId="1555"/>
    <cellStyle name="Total 15" xfId="400"/>
    <cellStyle name="Total 15 2" xfId="1559"/>
    <cellStyle name="Total 16" xfId="412"/>
    <cellStyle name="Total 16 2" xfId="1563"/>
    <cellStyle name="Total 17" xfId="426"/>
    <cellStyle name="Total 17 2" xfId="1567"/>
    <cellStyle name="Total 18" xfId="438"/>
    <cellStyle name="Total 18 2" xfId="1571"/>
    <cellStyle name="Total 19" xfId="448"/>
    <cellStyle name="Total 19 2" xfId="1575"/>
    <cellStyle name="Total 2" xfId="148"/>
    <cellStyle name="Total 2 10" xfId="1492"/>
    <cellStyle name="Total 2 2" xfId="149"/>
    <cellStyle name="Total 2 2 2" xfId="1493"/>
    <cellStyle name="Total 2 3" xfId="2036"/>
    <cellStyle name="Total 2 4" xfId="2043"/>
    <cellStyle name="Total 2 5" xfId="2208"/>
    <cellStyle name="Total 2 6" xfId="1988"/>
    <cellStyle name="Total 2 7" xfId="2033"/>
    <cellStyle name="Total 2 8" xfId="2183"/>
    <cellStyle name="Total 2 9" xfId="2098"/>
    <cellStyle name="Total 20" xfId="458"/>
    <cellStyle name="Total 20 2" xfId="1579"/>
    <cellStyle name="Total 21" xfId="467"/>
    <cellStyle name="Total 21 2" xfId="1583"/>
    <cellStyle name="Total 22" xfId="473"/>
    <cellStyle name="Total 22 2" xfId="1587"/>
    <cellStyle name="Total 23" xfId="503"/>
    <cellStyle name="Total 23 2" xfId="687"/>
    <cellStyle name="Total 23 2 2" xfId="1654"/>
    <cellStyle name="Total 23 3" xfId="1592"/>
    <cellStyle name="Total 24" xfId="515"/>
    <cellStyle name="Total 24 2" xfId="693"/>
    <cellStyle name="Total 24 2 2" xfId="1656"/>
    <cellStyle name="Total 24 3" xfId="1597"/>
    <cellStyle name="Total 25" xfId="524"/>
    <cellStyle name="Total 25 2" xfId="696"/>
    <cellStyle name="Total 25 2 2" xfId="1657"/>
    <cellStyle name="Total 25 3" xfId="1601"/>
    <cellStyle name="Total 26" xfId="536"/>
    <cellStyle name="Total 26 2" xfId="706"/>
    <cellStyle name="Total 26 2 2" xfId="1662"/>
    <cellStyle name="Total 26 3" xfId="1606"/>
    <cellStyle name="Total 27" xfId="481"/>
    <cellStyle name="Total 27 2" xfId="671"/>
    <cellStyle name="Total 27 2 2" xfId="1653"/>
    <cellStyle name="Total 27 3" xfId="1588"/>
    <cellStyle name="Total 28" xfId="642"/>
    <cellStyle name="Total 28 2" xfId="1646"/>
    <cellStyle name="Total 29" xfId="1407"/>
    <cellStyle name="Total 29 2" xfId="1979"/>
    <cellStyle name="Total 3" xfId="150"/>
    <cellStyle name="Total 3 2" xfId="151"/>
    <cellStyle name="Total 3 2 2" xfId="1495"/>
    <cellStyle name="Total 3 3" xfId="1494"/>
    <cellStyle name="Total 30" xfId="1429"/>
    <cellStyle name="Total 31" xfId="1430"/>
    <cellStyle name="Total 32" xfId="1434"/>
    <cellStyle name="Total 33" xfId="1439"/>
    <cellStyle name="Total 34" xfId="1448"/>
    <cellStyle name="Total 35" xfId="1472"/>
    <cellStyle name="Total 36" xfId="2158"/>
    <cellStyle name="Total 4" xfId="152"/>
    <cellStyle name="Total 4 2" xfId="265"/>
    <cellStyle name="Total 4 2 2" xfId="1527"/>
    <cellStyle name="Total 4 3" xfId="1496"/>
    <cellStyle name="Total 5" xfId="153"/>
    <cellStyle name="Total 5 2" xfId="266"/>
    <cellStyle name="Total 5 2 2" xfId="1528"/>
    <cellStyle name="Total 5 3" xfId="1497"/>
    <cellStyle name="Total 6" xfId="190"/>
    <cellStyle name="Total 6 2" xfId="308"/>
    <cellStyle name="Total 6 2 2" xfId="1535"/>
    <cellStyle name="Total 6 3" xfId="1502"/>
    <cellStyle name="Total 7" xfId="203"/>
    <cellStyle name="Total 7 2" xfId="315"/>
    <cellStyle name="Total 7 2 2" xfId="1536"/>
    <cellStyle name="Total 7 3" xfId="1506"/>
    <cellStyle name="Total 8" xfId="214"/>
    <cellStyle name="Total 8 2" xfId="324"/>
    <cellStyle name="Total 8 2 2" xfId="1537"/>
    <cellStyle name="Total 8 3" xfId="1510"/>
    <cellStyle name="Total 9" xfId="224"/>
    <cellStyle name="Total 9 2" xfId="332"/>
    <cellStyle name="Total 9 2 2" xfId="1538"/>
    <cellStyle name="Total 9 3" xfId="1514"/>
    <cellStyle name="Vérification" xfId="48" builtinId="23" customBuiltin="1"/>
    <cellStyle name="Vérification 10" xfId="2049"/>
    <cellStyle name="Vérification 11" xfId="2136"/>
    <cellStyle name="Vérification 12" xfId="2103"/>
    <cellStyle name="Vérification 13" xfId="2084"/>
    <cellStyle name="Vérification 14" xfId="2150"/>
    <cellStyle name="Vérification 15" xfId="2152"/>
    <cellStyle name="Vérification 2" xfId="154"/>
    <cellStyle name="Vérification 2 10" xfId="2260"/>
    <cellStyle name="Vérification 2 11" xfId="2265"/>
    <cellStyle name="Vérification 2 2" xfId="267"/>
    <cellStyle name="Vérification 2 3" xfId="576"/>
    <cellStyle name="Vérification 2 4" xfId="661"/>
    <cellStyle name="Vérification 2 5" xfId="2038"/>
    <cellStyle name="Vérification 2 6" xfId="2171"/>
    <cellStyle name="Vérification 2 7" xfId="2229"/>
    <cellStyle name="Vérification 2 8" xfId="2242"/>
    <cellStyle name="Vérification 2 9" xfId="2251"/>
    <cellStyle name="Vérification 3" xfId="155"/>
    <cellStyle name="Vérification 4" xfId="156"/>
    <cellStyle name="Vérification 5" xfId="157"/>
    <cellStyle name="Vérification 6" xfId="483"/>
    <cellStyle name="Vérification 6 2" xfId="673"/>
    <cellStyle name="Vérification 7" xfId="643"/>
    <cellStyle name="Vérification 8" xfId="1408"/>
    <cellStyle name="Vérification 9" xfId="1473"/>
  </cellStyles>
  <dxfs count="22">
    <dxf>
      <fill>
        <patternFill>
          <bgColor theme="4" tint="0.79998168889431442"/>
        </patternFill>
      </fill>
    </dxf>
    <dxf>
      <fill>
        <patternFill patternType="none">
          <fgColor indexed="64"/>
          <bgColor auto="1"/>
        </patternFill>
      </fill>
    </dxf>
    <dxf>
      <font>
        <b val="0"/>
        <i val="0"/>
        <strike val="0"/>
      </font>
      <border>
        <top style="double">
          <color theme="1"/>
        </top>
      </border>
    </dxf>
    <dxf>
      <font>
        <color theme="1"/>
      </font>
      <fill>
        <patternFill>
          <bgColor theme="4" tint="0.79998168889431442"/>
        </patternFill>
      </fill>
      <border>
        <left style="thin">
          <color theme="3"/>
        </left>
        <right style="thin">
          <color theme="3"/>
        </right>
        <top style="medium">
          <color theme="3"/>
        </top>
        <bottom style="thin">
          <color theme="3"/>
        </bottom>
        <vertical style="thin">
          <color theme="3"/>
        </vertical>
        <horizontal style="thin">
          <color theme="3"/>
        </horizontal>
      </border>
    </dxf>
    <dxf>
      <font>
        <color theme="1"/>
      </font>
      <border>
        <left style="thin">
          <color theme="3" tint="0.59996337778862885"/>
        </left>
        <right style="thin">
          <color theme="3" tint="0.59996337778862885"/>
        </right>
        <top style="thin">
          <color theme="3" tint="0.59996337778862885"/>
        </top>
        <bottom style="thin">
          <color theme="3" tint="0.59996337778862885"/>
        </bottom>
        <vertical style="thin">
          <color theme="3" tint="0.59996337778862885"/>
        </vertical>
        <horizontal style="thin">
          <color theme="3" tint="0.59996337778862885"/>
        </horizontal>
      </border>
    </dxf>
    <dxf>
      <fill>
        <patternFill>
          <bgColor theme="4" tint="0.79998168889431442"/>
        </patternFill>
      </fill>
    </dxf>
    <dxf>
      <fill>
        <patternFill patternType="none">
          <fgColor indexed="64"/>
          <bgColor auto="1"/>
        </patternFill>
      </fill>
    </dxf>
    <dxf>
      <font>
        <b val="0"/>
        <i val="0"/>
        <strike val="0"/>
      </font>
      <border>
        <top style="double">
          <color theme="1"/>
        </top>
      </border>
    </dxf>
    <dxf>
      <font>
        <color theme="1"/>
      </font>
      <fill>
        <patternFill>
          <bgColor theme="4" tint="0.79998168889431442"/>
        </patternFill>
      </fill>
      <border>
        <left style="thin">
          <color theme="3"/>
        </left>
        <right style="thin">
          <color theme="3"/>
        </right>
        <top style="medium">
          <color theme="3"/>
        </top>
        <bottom style="thin">
          <color theme="3"/>
        </bottom>
        <vertical style="thin">
          <color theme="3"/>
        </vertical>
        <horizontal style="thin">
          <color theme="3"/>
        </horizontal>
      </border>
    </dxf>
    <dxf>
      <font>
        <color theme="1"/>
      </font>
      <border>
        <left style="thin">
          <color theme="3" tint="0.59996337778862885"/>
        </left>
        <right style="thin">
          <color theme="3" tint="0.59996337778862885"/>
        </right>
        <top style="thin">
          <color theme="3" tint="0.59996337778862885"/>
        </top>
        <bottom style="thin">
          <color theme="3" tint="0.59996337778862885"/>
        </bottom>
        <vertical style="thin">
          <color theme="3" tint="0.59996337778862885"/>
        </vertical>
        <horizontal style="thin">
          <color theme="3" tint="0.59996337778862885"/>
        </horizontal>
      </border>
    </dxf>
    <dxf>
      <fill>
        <patternFill patternType="solid">
          <fgColor rgb="FFF2DCDB"/>
          <bgColor rgb="FFF2DCDB"/>
        </patternFill>
      </fill>
    </dxf>
    <dxf>
      <fill>
        <patternFill patternType="solid">
          <fgColor rgb="FFF2DCDB"/>
          <bgColor rgb="FFF2DCDB"/>
        </patternFill>
      </fill>
    </dxf>
    <dxf>
      <font>
        <b/>
        <color rgb="FF963634"/>
      </font>
    </dxf>
    <dxf>
      <font>
        <b/>
        <color rgb="FF963634"/>
      </font>
    </dxf>
    <dxf>
      <font>
        <b/>
        <color rgb="FF963634"/>
      </font>
      <border>
        <top style="thin">
          <color rgb="FFC0504D"/>
        </top>
      </border>
    </dxf>
    <dxf>
      <font>
        <b/>
        <color rgb="FF963634"/>
      </font>
      <border>
        <bottom style="thin">
          <color rgb="FFC0504D"/>
        </bottom>
      </border>
    </dxf>
    <dxf>
      <font>
        <color rgb="FF963634"/>
      </font>
      <border>
        <top style="thin">
          <color rgb="FFC0504D"/>
        </top>
        <bottom style="thin">
          <color rgb="FFC0504D"/>
        </bottom>
      </border>
    </dxf>
    <dxf>
      <fill>
        <patternFill>
          <bgColor theme="4" tint="0.79998168889431442"/>
        </patternFill>
      </fill>
    </dxf>
    <dxf>
      <fill>
        <patternFill patternType="none">
          <fgColor indexed="64"/>
          <bgColor auto="1"/>
        </patternFill>
      </fill>
    </dxf>
    <dxf>
      <font>
        <b val="0"/>
        <i val="0"/>
        <strike val="0"/>
      </font>
      <border>
        <top style="double">
          <color theme="1"/>
        </top>
      </border>
    </dxf>
    <dxf>
      <font>
        <color theme="1"/>
      </font>
      <fill>
        <patternFill>
          <bgColor theme="4" tint="0.79998168889431442"/>
        </patternFill>
      </fill>
      <border>
        <left style="thin">
          <color theme="3"/>
        </left>
        <right style="thin">
          <color theme="3"/>
        </right>
        <top style="medium">
          <color theme="3"/>
        </top>
        <bottom style="thin">
          <color theme="3"/>
        </bottom>
        <vertical style="thin">
          <color theme="3"/>
        </vertical>
        <horizontal style="thin">
          <color theme="3"/>
        </horizontal>
      </border>
    </dxf>
    <dxf>
      <font>
        <color theme="1"/>
      </font>
      <border>
        <left style="thin">
          <color theme="3" tint="0.59996337778862885"/>
        </left>
        <right style="thin">
          <color theme="3" tint="0.59996337778862885"/>
        </right>
        <top style="thin">
          <color theme="3" tint="0.59996337778862885"/>
        </top>
        <bottom style="thin">
          <color theme="3" tint="0.59996337778862885"/>
        </bottom>
        <vertical style="thin">
          <color theme="3" tint="0.59996337778862885"/>
        </vertical>
        <horizontal style="thin">
          <color theme="3" tint="0.59996337778862885"/>
        </horizontal>
      </border>
    </dxf>
  </dxfs>
  <tableStyles count="4" defaultTableStyle="TableStyleMedium9" defaultPivotStyle="PivotStyleLight16">
    <tableStyle name="Employee Absence Table 3" pivot="0" count="5">
      <tableStyleElement type="wholeTable" dxfId="21"/>
      <tableStyleElement type="headerRow" dxfId="20"/>
      <tableStyleElement type="totalRow" dxfId="19"/>
      <tableStyleElement type="firstRowStripe" dxfId="18"/>
      <tableStyleElement type="secondRowStripe" dxfId="17"/>
    </tableStyle>
    <tableStyle name="TableStyleLight3 2"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Employee Absence Table" pivot="0" count="5">
      <tableStyleElement type="wholeTable" dxfId="9"/>
      <tableStyleElement type="headerRow" dxfId="8"/>
      <tableStyleElement type="totalRow" dxfId="7"/>
      <tableStyleElement type="firstRowStripe" dxfId="6"/>
      <tableStyleElement type="secondRowStripe" dxfId="5"/>
    </tableStyle>
    <tableStyle name="Employee Absence Table 2" pivot="0" count="5">
      <tableStyleElement type="wholeTable" dxfId="4"/>
      <tableStyleElement type="headerRow" dxfId="3"/>
      <tableStyleElement type="totalRow" dxfId="2"/>
      <tableStyleElement type="firstRowStripe" dxfId="1"/>
      <tableStyleElement type="secondRowStripe" dxfId="0"/>
    </tableStyle>
  </tableStyles>
  <colors>
    <mruColors>
      <color rgb="FF00FF00"/>
      <color rgb="FF00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externalLink" Target="externalLinks/externalLink6.xml"/><Relationship Id="rId128" Type="http://schemas.openxmlformats.org/officeDocument/2006/relationships/calcChain" Target="calcChain.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externalLink" Target="externalLinks/externalLink1.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externalLink" Target="externalLinks/externalLink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externalLink" Target="externalLinks/externalLink2.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externalLink" Target="externalLinks/externalLink3.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a:t>Evolution des écarts sur stock</a:t>
            </a:r>
          </a:p>
        </c:rich>
      </c:tx>
      <c:overlay val="0"/>
    </c:title>
    <c:autoTitleDeleted val="0"/>
    <c:plotArea>
      <c:layout>
        <c:manualLayout>
          <c:layoutTarget val="inner"/>
          <c:xMode val="edge"/>
          <c:yMode val="edge"/>
          <c:x val="8.8282814186288985E-2"/>
          <c:y val="0.13856893542757417"/>
          <c:w val="0.90506679699185133"/>
          <c:h val="0.56710337909332009"/>
        </c:manualLayout>
      </c:layout>
      <c:areaChart>
        <c:grouping val="stacked"/>
        <c:varyColors val="0"/>
        <c:ser>
          <c:idx val="0"/>
          <c:order val="0"/>
          <c:tx>
            <c:strRef>
              <c:f>'analyse stock '!$G$12</c:f>
              <c:strCache>
                <c:ptCount val="1"/>
                <c:pt idx="0">
                  <c:v>SUPER</c:v>
                </c:pt>
              </c:strCache>
            </c:strRef>
          </c:tx>
          <c:cat>
            <c:numRef>
              <c:f>'analyse stock '!$F$13:$F$44</c:f>
              <c:numCache>
                <c:formatCode>d\-mmm</c:formatCode>
                <c:ptCount val="32"/>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pt idx="30">
                  <c:v>44135</c:v>
                </c:pt>
                <c:pt idx="31">
                  <c:v>44136</c:v>
                </c:pt>
              </c:numCache>
            </c:numRef>
          </c:cat>
          <c:val>
            <c:numRef>
              <c:f>'analyse stock '!$G$13:$G$44</c:f>
              <c:numCache>
                <c:formatCode>#,##0_ ;[Red]\-#,##0\ </c:formatCode>
                <c:ptCount val="32"/>
                <c:pt idx="0">
                  <c:v>-37</c:v>
                </c:pt>
                <c:pt idx="1">
                  <c:v>-27</c:v>
                </c:pt>
                <c:pt idx="2">
                  <c:v>-3</c:v>
                </c:pt>
                <c:pt idx="3">
                  <c:v>39</c:v>
                </c:pt>
                <c:pt idx="4">
                  <c:v>-40</c:v>
                </c:pt>
                <c:pt idx="5">
                  <c:v>29</c:v>
                </c:pt>
                <c:pt idx="6">
                  <c:v>-3</c:v>
                </c:pt>
                <c:pt idx="7">
                  <c:v>-22</c:v>
                </c:pt>
                <c:pt idx="8">
                  <c:v>3</c:v>
                </c:pt>
              </c:numCache>
            </c:numRef>
          </c:val>
        </c:ser>
        <c:ser>
          <c:idx val="1"/>
          <c:order val="1"/>
          <c:tx>
            <c:strRef>
              <c:f>'analyse stock '!$H$12</c:f>
              <c:strCache>
                <c:ptCount val="1"/>
                <c:pt idx="0">
                  <c:v>GASOIL</c:v>
                </c:pt>
              </c:strCache>
            </c:strRef>
          </c:tx>
          <c:cat>
            <c:numRef>
              <c:f>'analyse stock '!$F$13:$F$44</c:f>
              <c:numCache>
                <c:formatCode>d\-mmm</c:formatCode>
                <c:ptCount val="32"/>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pt idx="30">
                  <c:v>44135</c:v>
                </c:pt>
                <c:pt idx="31">
                  <c:v>44136</c:v>
                </c:pt>
              </c:numCache>
            </c:numRef>
          </c:cat>
          <c:val>
            <c:numRef>
              <c:f>'analyse stock '!$H$13:$H$44</c:f>
              <c:numCache>
                <c:formatCode>#,##0_ ;[Red]\-#,##0\ </c:formatCode>
                <c:ptCount val="32"/>
                <c:pt idx="0">
                  <c:v>-7</c:v>
                </c:pt>
                <c:pt idx="1">
                  <c:v>-8</c:v>
                </c:pt>
                <c:pt idx="2">
                  <c:v>-41</c:v>
                </c:pt>
                <c:pt idx="3">
                  <c:v>26</c:v>
                </c:pt>
                <c:pt idx="4">
                  <c:v>-44</c:v>
                </c:pt>
                <c:pt idx="5">
                  <c:v>88</c:v>
                </c:pt>
                <c:pt idx="6">
                  <c:v>-38</c:v>
                </c:pt>
                <c:pt idx="7">
                  <c:v>-25</c:v>
                </c:pt>
                <c:pt idx="8">
                  <c:v>16</c:v>
                </c:pt>
              </c:numCache>
            </c:numRef>
          </c:val>
        </c:ser>
        <c:ser>
          <c:idx val="2"/>
          <c:order val="2"/>
          <c:tx>
            <c:strRef>
              <c:f>'analyse stock '!$I$12</c:f>
              <c:strCache>
                <c:ptCount val="1"/>
                <c:pt idx="0">
                  <c:v>PETROLE</c:v>
                </c:pt>
              </c:strCache>
            </c:strRef>
          </c:tx>
          <c:cat>
            <c:numRef>
              <c:f>'analyse stock '!$F$13:$F$44</c:f>
              <c:numCache>
                <c:formatCode>d\-mmm</c:formatCode>
                <c:ptCount val="32"/>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pt idx="30">
                  <c:v>44135</c:v>
                </c:pt>
                <c:pt idx="31">
                  <c:v>44136</c:v>
                </c:pt>
              </c:numCache>
            </c:numRef>
          </c:cat>
          <c:val>
            <c:numRef>
              <c:f>'analyse stock '!$I$13:$I$44</c:f>
              <c:numCache>
                <c:formatCode>#,##0_ ;[Red]\-#,##0\ </c:formatCode>
                <c:ptCount val="32"/>
                <c:pt idx="0">
                  <c:v>0</c:v>
                </c:pt>
                <c:pt idx="1">
                  <c:v>0</c:v>
                </c:pt>
                <c:pt idx="3">
                  <c:v>0</c:v>
                </c:pt>
                <c:pt idx="4">
                  <c:v>0</c:v>
                </c:pt>
                <c:pt idx="5">
                  <c:v>0</c:v>
                </c:pt>
                <c:pt idx="6">
                  <c:v>0</c:v>
                </c:pt>
                <c:pt idx="7">
                  <c:v>0</c:v>
                </c:pt>
                <c:pt idx="8">
                  <c:v>0</c:v>
                </c:pt>
              </c:numCache>
            </c:numRef>
          </c:val>
        </c:ser>
        <c:dLbls>
          <c:showLegendKey val="0"/>
          <c:showVal val="0"/>
          <c:showCatName val="0"/>
          <c:showSerName val="0"/>
          <c:showPercent val="0"/>
          <c:showBubbleSize val="0"/>
        </c:dLbls>
        <c:axId val="124039936"/>
        <c:axId val="124041472"/>
      </c:areaChart>
      <c:dateAx>
        <c:axId val="124039936"/>
        <c:scaling>
          <c:orientation val="minMax"/>
        </c:scaling>
        <c:delete val="0"/>
        <c:axPos val="b"/>
        <c:numFmt formatCode="d\-mmm" sourceLinked="1"/>
        <c:majorTickMark val="none"/>
        <c:minorTickMark val="none"/>
        <c:tickLblPos val="nextTo"/>
        <c:crossAx val="124041472"/>
        <c:crosses val="autoZero"/>
        <c:auto val="1"/>
        <c:lblOffset val="100"/>
        <c:baseTimeUnit val="days"/>
      </c:dateAx>
      <c:valAx>
        <c:axId val="124041472"/>
        <c:scaling>
          <c:orientation val="minMax"/>
        </c:scaling>
        <c:delete val="0"/>
        <c:axPos val="l"/>
        <c:majorGridlines/>
        <c:numFmt formatCode="#,##0_ ;[Red]\-#,##0\ " sourceLinked="1"/>
        <c:majorTickMark val="none"/>
        <c:minorTickMark val="none"/>
        <c:tickLblPos val="nextTo"/>
        <c:crossAx val="124039936"/>
        <c:crosses val="autoZero"/>
        <c:crossBetween val="midCat"/>
      </c:valAx>
      <c:dTable>
        <c:showHorzBorder val="1"/>
        <c:showVertBorder val="1"/>
        <c:showOutline val="1"/>
        <c:showKeys val="1"/>
      </c:dTable>
    </c:plotArea>
    <c:plotVisOnly val="1"/>
    <c:dispBlanksAs val="zero"/>
    <c:showDLblsOverMax val="0"/>
  </c:chart>
  <c:printSettings>
    <c:headerFooter/>
    <c:pageMargins b="0.75000000000001465" l="0.70000000000000062" r="0.70000000000000062" t="0.75000000000001465" header="0.30000000000000032" footer="0.30000000000000032"/>
    <c:pageSetup paperSize="9" orientation="landscape" verticalDpi="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Evolution journaliere des ventes en M3</a:t>
            </a:r>
          </a:p>
        </c:rich>
      </c:tx>
      <c:layout>
        <c:manualLayout>
          <c:xMode val="edge"/>
          <c:yMode val="edge"/>
          <c:x val="0.48874113554939325"/>
          <c:y val="1.4696876913655853E-2"/>
        </c:manualLayout>
      </c:layout>
      <c:overlay val="0"/>
    </c:title>
    <c:autoTitleDeleted val="0"/>
    <c:plotArea>
      <c:layout>
        <c:manualLayout>
          <c:layoutTarget val="inner"/>
          <c:xMode val="edge"/>
          <c:yMode val="edge"/>
          <c:x val="0.12044956473071296"/>
          <c:y val="0.10612727264300909"/>
          <c:w val="0.86788234130593656"/>
          <c:h val="0.49709926635863338"/>
        </c:manualLayout>
      </c:layout>
      <c:lineChart>
        <c:grouping val="standard"/>
        <c:varyColors val="0"/>
        <c:ser>
          <c:idx val="0"/>
          <c:order val="0"/>
          <c:tx>
            <c:strRef>
              <c:f>ventes!$B$9</c:f>
              <c:strCache>
                <c:ptCount val="1"/>
                <c:pt idx="0">
                  <c:v>SUPER</c:v>
                </c:pt>
              </c:strCache>
            </c:strRef>
          </c:tx>
          <c:spPr>
            <a:ln>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100000" t="100000"/>
                </a:path>
                <a:tileRect r="-100000" b="-100000"/>
              </a:gradFill>
              <a:prstDash val="sysDot"/>
            </a:ln>
          </c:spPr>
          <c:cat>
            <c:numRef>
              <c:f>ventes!$A$10:$A$39</c:f>
              <c:numCache>
                <c:formatCode>d\-mmm</c:formatCode>
                <c:ptCount val="30"/>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numCache>
            </c:numRef>
          </c:cat>
          <c:val>
            <c:numRef>
              <c:f>ventes!$B$10:$B$39</c:f>
              <c:numCache>
                <c:formatCode>_-* #,##0\ _F_-;\-* #,##0\ _F_-;_-* "-"??\ _F_-;_-@_-</c:formatCode>
                <c:ptCount val="30"/>
                <c:pt idx="0">
                  <c:v>428</c:v>
                </c:pt>
                <c:pt idx="1">
                  <c:v>381</c:v>
                </c:pt>
                <c:pt idx="2">
                  <c:v>399</c:v>
                </c:pt>
                <c:pt idx="3">
                  <c:v>437</c:v>
                </c:pt>
                <c:pt idx="4">
                  <c:v>640</c:v>
                </c:pt>
                <c:pt idx="5">
                  <c:v>408</c:v>
                </c:pt>
                <c:pt idx="6">
                  <c:v>552</c:v>
                </c:pt>
                <c:pt idx="7">
                  <c:v>426</c:v>
                </c:pt>
                <c:pt idx="8">
                  <c:v>473</c:v>
                </c:pt>
              </c:numCache>
            </c:numRef>
          </c:val>
          <c:smooth val="0"/>
        </c:ser>
        <c:ser>
          <c:idx val="1"/>
          <c:order val="1"/>
          <c:tx>
            <c:strRef>
              <c:f>ventes!$C$9</c:f>
              <c:strCache>
                <c:ptCount val="1"/>
                <c:pt idx="0">
                  <c:v>GASOIL</c:v>
                </c:pt>
              </c:strCache>
            </c:strRef>
          </c:tx>
          <c:spPr>
            <a:ln>
              <a:prstDash val="lgDash"/>
            </a:ln>
          </c:spPr>
          <c:cat>
            <c:numRef>
              <c:f>ventes!$A$10:$A$39</c:f>
              <c:numCache>
                <c:formatCode>d\-mmm</c:formatCode>
                <c:ptCount val="30"/>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numCache>
            </c:numRef>
          </c:cat>
          <c:val>
            <c:numRef>
              <c:f>ventes!$C$10:$C$39</c:f>
              <c:numCache>
                <c:formatCode>_-* #,##0\ _F_-;\-* #,##0\ _F_-;_-* "-"??\ _F_-;_-@_-</c:formatCode>
                <c:ptCount val="30"/>
                <c:pt idx="0">
                  <c:v>4874</c:v>
                </c:pt>
                <c:pt idx="1">
                  <c:v>1542</c:v>
                </c:pt>
                <c:pt idx="2">
                  <c:v>4163</c:v>
                </c:pt>
                <c:pt idx="3">
                  <c:v>4523</c:v>
                </c:pt>
                <c:pt idx="4">
                  <c:v>2714</c:v>
                </c:pt>
                <c:pt idx="5">
                  <c:v>5104</c:v>
                </c:pt>
                <c:pt idx="6">
                  <c:v>8455</c:v>
                </c:pt>
                <c:pt idx="7">
                  <c:v>2448</c:v>
                </c:pt>
                <c:pt idx="8">
                  <c:v>2885</c:v>
                </c:pt>
              </c:numCache>
            </c:numRef>
          </c:val>
          <c:smooth val="1"/>
        </c:ser>
        <c:ser>
          <c:idx val="2"/>
          <c:order val="2"/>
          <c:tx>
            <c:strRef>
              <c:f>ventes!$D$9</c:f>
              <c:strCache>
                <c:ptCount val="1"/>
                <c:pt idx="0">
                  <c:v>PETROLE</c:v>
                </c:pt>
              </c:strCache>
            </c:strRef>
          </c:tx>
          <c:spPr>
            <a:ln>
              <a:prstDash val="sysDash"/>
            </a:ln>
          </c:spPr>
          <c:cat>
            <c:numRef>
              <c:f>ventes!$A$10:$A$39</c:f>
              <c:numCache>
                <c:formatCode>d\-mmm</c:formatCode>
                <c:ptCount val="30"/>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numCache>
            </c:numRef>
          </c:cat>
          <c:val>
            <c:numRef>
              <c:f>ventes!$D$10:$D$39</c:f>
              <c:numCache>
                <c:formatCode>_-* #,##0\ _F_-;\-* #,##0\ _F_-;_-* "-"??\ _F_-;_-@_-</c:formatCode>
                <c:ptCount val="30"/>
                <c:pt idx="0">
                  <c:v>0</c:v>
                </c:pt>
                <c:pt idx="1">
                  <c:v>0</c:v>
                </c:pt>
                <c:pt idx="3">
                  <c:v>0</c:v>
                </c:pt>
                <c:pt idx="4">
                  <c:v>0</c:v>
                </c:pt>
                <c:pt idx="5">
                  <c:v>0</c:v>
                </c:pt>
                <c:pt idx="6">
                  <c:v>0</c:v>
                </c:pt>
                <c:pt idx="7">
                  <c:v>0</c:v>
                </c:pt>
                <c:pt idx="8">
                  <c:v>0</c:v>
                </c:pt>
              </c:numCache>
            </c:numRef>
          </c:val>
          <c:smooth val="0"/>
        </c:ser>
        <c:ser>
          <c:idx val="3"/>
          <c:order val="3"/>
          <c:cat>
            <c:numRef>
              <c:f>ventes!$A$10:$A$39</c:f>
              <c:numCache>
                <c:formatCode>d\-mmm</c:formatCode>
                <c:ptCount val="30"/>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numCache>
            </c:numRef>
          </c:cat>
          <c:val>
            <c:numRef>
              <c:f>'[2]25-12-13 '!$H$17</c:f>
              <c:numCache>
                <c:formatCode>General</c:formatCode>
                <c:ptCount val="1"/>
                <c:pt idx="0">
                  <c:v>0</c:v>
                </c:pt>
              </c:numCache>
            </c:numRef>
          </c:val>
          <c:smooth val="0"/>
        </c:ser>
        <c:ser>
          <c:idx val="4"/>
          <c:order val="4"/>
          <c:cat>
            <c:numRef>
              <c:f>ventes!$A$10:$A$39</c:f>
              <c:numCache>
                <c:formatCode>d\-mmm</c:formatCode>
                <c:ptCount val="30"/>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numCache>
            </c:numRef>
          </c:cat>
          <c:val>
            <c:numRef>
              <c:f>'[2]25-12-13 '!$I$17</c:f>
              <c:numCache>
                <c:formatCode>General</c:formatCode>
                <c:ptCount val="1"/>
                <c:pt idx="0">
                  <c:v>0</c:v>
                </c:pt>
              </c:numCache>
            </c:numRef>
          </c:val>
          <c:smooth val="0"/>
        </c:ser>
        <c:ser>
          <c:idx val="5"/>
          <c:order val="5"/>
          <c:cat>
            <c:numRef>
              <c:f>ventes!$A$10:$A$39</c:f>
              <c:numCache>
                <c:formatCode>d\-mmm</c:formatCode>
                <c:ptCount val="30"/>
                <c:pt idx="0">
                  <c:v>44105</c:v>
                </c:pt>
                <c:pt idx="1">
                  <c:v>44106</c:v>
                </c:pt>
                <c:pt idx="2">
                  <c:v>44107</c:v>
                </c:pt>
                <c:pt idx="3">
                  <c:v>44108</c:v>
                </c:pt>
                <c:pt idx="4">
                  <c:v>44109</c:v>
                </c:pt>
                <c:pt idx="5">
                  <c:v>44110</c:v>
                </c:pt>
                <c:pt idx="6">
                  <c:v>44111</c:v>
                </c:pt>
                <c:pt idx="7">
                  <c:v>44112</c:v>
                </c:pt>
                <c:pt idx="8">
                  <c:v>44113</c:v>
                </c:pt>
                <c:pt idx="9">
                  <c:v>44114</c:v>
                </c:pt>
                <c:pt idx="10">
                  <c:v>44115</c:v>
                </c:pt>
                <c:pt idx="11">
                  <c:v>44116</c:v>
                </c:pt>
                <c:pt idx="12">
                  <c:v>44117</c:v>
                </c:pt>
                <c:pt idx="13">
                  <c:v>44118</c:v>
                </c:pt>
                <c:pt idx="14">
                  <c:v>44119</c:v>
                </c:pt>
                <c:pt idx="15">
                  <c:v>44120</c:v>
                </c:pt>
                <c:pt idx="16">
                  <c:v>44121</c:v>
                </c:pt>
                <c:pt idx="17">
                  <c:v>44122</c:v>
                </c:pt>
                <c:pt idx="18">
                  <c:v>44123</c:v>
                </c:pt>
                <c:pt idx="19">
                  <c:v>44124</c:v>
                </c:pt>
                <c:pt idx="20">
                  <c:v>44125</c:v>
                </c:pt>
                <c:pt idx="21">
                  <c:v>44126</c:v>
                </c:pt>
                <c:pt idx="22">
                  <c:v>44127</c:v>
                </c:pt>
                <c:pt idx="23">
                  <c:v>44128</c:v>
                </c:pt>
                <c:pt idx="24">
                  <c:v>44129</c:v>
                </c:pt>
                <c:pt idx="25">
                  <c:v>44130</c:v>
                </c:pt>
                <c:pt idx="26">
                  <c:v>44131</c:v>
                </c:pt>
                <c:pt idx="27">
                  <c:v>44132</c:v>
                </c:pt>
                <c:pt idx="28">
                  <c:v>44133</c:v>
                </c:pt>
                <c:pt idx="29">
                  <c:v>44134</c:v>
                </c:pt>
              </c:numCache>
            </c:numRef>
          </c:cat>
          <c:val>
            <c:numRef>
              <c:f>'[2]25-12-13 '!$J$17</c:f>
              <c:numCache>
                <c:formatCode>General</c:formatCode>
                <c:ptCount val="1"/>
                <c:pt idx="0">
                  <c:v>0</c:v>
                </c:pt>
              </c:numCache>
            </c:numRef>
          </c:val>
          <c:smooth val="0"/>
        </c:ser>
        <c:dLbls>
          <c:showLegendKey val="0"/>
          <c:showVal val="0"/>
          <c:showCatName val="0"/>
          <c:showSerName val="0"/>
          <c:showPercent val="0"/>
          <c:showBubbleSize val="0"/>
        </c:dLbls>
        <c:marker val="1"/>
        <c:smooth val="0"/>
        <c:axId val="124323712"/>
        <c:axId val="124325248"/>
      </c:lineChart>
      <c:dateAx>
        <c:axId val="124323712"/>
        <c:scaling>
          <c:orientation val="minMax"/>
        </c:scaling>
        <c:delete val="0"/>
        <c:axPos val="b"/>
        <c:numFmt formatCode="d\-mmm" sourceLinked="1"/>
        <c:majorTickMark val="none"/>
        <c:minorTickMark val="none"/>
        <c:tickLblPos val="nextTo"/>
        <c:crossAx val="124325248"/>
        <c:crosses val="autoZero"/>
        <c:auto val="1"/>
        <c:lblOffset val="100"/>
        <c:baseTimeUnit val="days"/>
      </c:dateAx>
      <c:valAx>
        <c:axId val="124325248"/>
        <c:scaling>
          <c:orientation val="minMax"/>
        </c:scaling>
        <c:delete val="0"/>
        <c:axPos val="l"/>
        <c:majorGridlines/>
        <c:title>
          <c:layout/>
          <c:overlay val="0"/>
        </c:title>
        <c:numFmt formatCode="_-* #,##0\ _F_-;\-* #,##0\ _F_-;_-* &quot;-&quot;??\ _F_-;_-@_-" sourceLinked="1"/>
        <c:majorTickMark val="none"/>
        <c:minorTickMark val="none"/>
        <c:tickLblPos val="nextTo"/>
        <c:crossAx val="124323712"/>
        <c:crosses val="autoZero"/>
        <c:crossBetween val="between"/>
      </c:valAx>
      <c:dTable>
        <c:showHorzBorder val="1"/>
        <c:showVertBorder val="1"/>
        <c:showOutline val="1"/>
        <c:showKeys val="1"/>
      </c:dTable>
    </c:plotArea>
    <c:plotVisOnly val="1"/>
    <c:dispBlanksAs val="gap"/>
    <c:showDLblsOverMax val="0"/>
  </c:chart>
  <c:printSettings>
    <c:headerFooter/>
    <c:pageMargins b="0.75000000000001465" l="0.70000000000000062" r="0.70000000000000062" t="0.75000000000001465" header="0.30000000000000032" footer="0.30000000000000032"/>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07783286348465"/>
          <c:y val="4.3796921834520559E-2"/>
          <c:w val="0.72012167460580534"/>
          <c:h val="0.70630480361561065"/>
        </c:manualLayout>
      </c:layout>
      <c:lineChart>
        <c:grouping val="standard"/>
        <c:varyColors val="0"/>
        <c:ser>
          <c:idx val="0"/>
          <c:order val="0"/>
          <c:tx>
            <c:strRef>
              <c:f>'EVOLUTION DES VENTES ANNUEL'!$L$9</c:f>
              <c:strCache>
                <c:ptCount val="1"/>
                <c:pt idx="0">
                  <c:v>SUPER</c:v>
                </c:pt>
              </c:strCache>
            </c:strRef>
          </c:tx>
          <c:cat>
            <c:strRef>
              <c:f>'EVOLUTION DES VENTES ANNUEL'!$K$10:$K$21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ANNUEL'!$L$10:$L$21</c:f>
              <c:numCache>
                <c:formatCode>#,##0</c:formatCode>
                <c:ptCount val="12"/>
                <c:pt idx="0">
                  <c:v>56546</c:v>
                </c:pt>
                <c:pt idx="1">
                  <c:v>51031</c:v>
                </c:pt>
                <c:pt idx="2">
                  <c:v>57202</c:v>
                </c:pt>
                <c:pt idx="3">
                  <c:v>57272</c:v>
                </c:pt>
                <c:pt idx="4">
                  <c:v>55118</c:v>
                </c:pt>
                <c:pt idx="5">
                  <c:v>49818</c:v>
                </c:pt>
                <c:pt idx="6">
                  <c:v>48595</c:v>
                </c:pt>
                <c:pt idx="7">
                  <c:v>51109</c:v>
                </c:pt>
                <c:pt idx="8">
                  <c:v>47034</c:v>
                </c:pt>
                <c:pt idx="9" formatCode="General">
                  <c:v>47416</c:v>
                </c:pt>
                <c:pt idx="10">
                  <c:v>44803</c:v>
                </c:pt>
                <c:pt idx="11">
                  <c:v>4144</c:v>
                </c:pt>
              </c:numCache>
            </c:numRef>
          </c:val>
          <c:smooth val="0"/>
        </c:ser>
        <c:ser>
          <c:idx val="1"/>
          <c:order val="1"/>
          <c:tx>
            <c:strRef>
              <c:f>'EVOLUTION DES VENTES ANNUEL'!$M$9</c:f>
              <c:strCache>
                <c:ptCount val="1"/>
                <c:pt idx="0">
                  <c:v>GASOIL</c:v>
                </c:pt>
              </c:strCache>
            </c:strRef>
          </c:tx>
          <c:cat>
            <c:strRef>
              <c:f>'EVOLUTION DES VENTES ANNUEL'!$K$10:$K$21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ANNUEL'!$M$10:$M$21</c:f>
              <c:numCache>
                <c:formatCode>#,##0</c:formatCode>
                <c:ptCount val="12"/>
                <c:pt idx="0">
                  <c:v>319934</c:v>
                </c:pt>
                <c:pt idx="1">
                  <c:v>381400</c:v>
                </c:pt>
                <c:pt idx="2">
                  <c:v>449568</c:v>
                </c:pt>
                <c:pt idx="3">
                  <c:v>405124</c:v>
                </c:pt>
                <c:pt idx="4">
                  <c:v>415140</c:v>
                </c:pt>
                <c:pt idx="5">
                  <c:v>495656</c:v>
                </c:pt>
                <c:pt idx="6">
                  <c:v>467701</c:v>
                </c:pt>
                <c:pt idx="7">
                  <c:v>486279</c:v>
                </c:pt>
                <c:pt idx="8">
                  <c:v>483593</c:v>
                </c:pt>
                <c:pt idx="9" formatCode="General">
                  <c:v>524626</c:v>
                </c:pt>
                <c:pt idx="10">
                  <c:v>686981</c:v>
                </c:pt>
                <c:pt idx="11">
                  <c:v>36708</c:v>
                </c:pt>
              </c:numCache>
            </c:numRef>
          </c:val>
          <c:smooth val="0"/>
        </c:ser>
        <c:ser>
          <c:idx val="2"/>
          <c:order val="2"/>
          <c:tx>
            <c:strRef>
              <c:f>'EVOLUTION DES VENTES ANNUEL'!$N$9</c:f>
              <c:strCache>
                <c:ptCount val="1"/>
                <c:pt idx="0">
                  <c:v>PETROLE</c:v>
                </c:pt>
              </c:strCache>
            </c:strRef>
          </c:tx>
          <c:cat>
            <c:strRef>
              <c:f>'EVOLUTION DES VENTES ANNUEL'!$K$10:$K$21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ANNUEL'!$N$10:$N$21</c:f>
              <c:numCache>
                <c:formatCode>#,##0</c:formatCode>
                <c:ptCount val="12"/>
                <c:pt idx="0">
                  <c:v>4592</c:v>
                </c:pt>
                <c:pt idx="1">
                  <c:v>3038</c:v>
                </c:pt>
                <c:pt idx="2">
                  <c:v>3621</c:v>
                </c:pt>
                <c:pt idx="3">
                  <c:v>3767</c:v>
                </c:pt>
                <c:pt idx="4">
                  <c:v>3440</c:v>
                </c:pt>
                <c:pt idx="5">
                  <c:v>4137</c:v>
                </c:pt>
                <c:pt idx="6">
                  <c:v>4547</c:v>
                </c:pt>
                <c:pt idx="7">
                  <c:v>3783</c:v>
                </c:pt>
                <c:pt idx="8">
                  <c:v>4002</c:v>
                </c:pt>
                <c:pt idx="9" formatCode="General">
                  <c:v>7779</c:v>
                </c:pt>
                <c:pt idx="10">
                  <c:v>12767</c:v>
                </c:pt>
                <c:pt idx="11">
                  <c:v>0</c:v>
                </c:pt>
              </c:numCache>
            </c:numRef>
          </c:val>
          <c:smooth val="0"/>
        </c:ser>
        <c:ser>
          <c:idx val="3"/>
          <c:order val="3"/>
          <c:tx>
            <c:strRef>
              <c:f>'EVOLUTION DES VENTES ANNUEL'!$O$9</c:f>
              <c:strCache>
                <c:ptCount val="1"/>
                <c:pt idx="0">
                  <c:v>TPC</c:v>
                </c:pt>
              </c:strCache>
            </c:strRef>
          </c:tx>
          <c:cat>
            <c:strRef>
              <c:f>'EVOLUTION DES VENTES ANNUEL'!$K$10:$K$21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ANNUEL'!$O$10:$O$21</c:f>
              <c:numCache>
                <c:formatCode>_-* #,##0\ _F_-;\-* #,##0\ _F_-;_-* "-"??\ _F_-;_-@_-</c:formatCode>
                <c:ptCount val="12"/>
                <c:pt idx="0">
                  <c:v>381072</c:v>
                </c:pt>
                <c:pt idx="1">
                  <c:v>435469</c:v>
                </c:pt>
                <c:pt idx="2">
                  <c:v>510391</c:v>
                </c:pt>
                <c:pt idx="3">
                  <c:v>466163</c:v>
                </c:pt>
                <c:pt idx="4">
                  <c:v>473698</c:v>
                </c:pt>
                <c:pt idx="5">
                  <c:v>549611</c:v>
                </c:pt>
                <c:pt idx="6">
                  <c:v>520843</c:v>
                </c:pt>
                <c:pt idx="7">
                  <c:v>541171</c:v>
                </c:pt>
                <c:pt idx="8">
                  <c:v>534629</c:v>
                </c:pt>
                <c:pt idx="9">
                  <c:v>579821</c:v>
                </c:pt>
                <c:pt idx="10">
                  <c:v>744551</c:v>
                </c:pt>
                <c:pt idx="11">
                  <c:v>40852</c:v>
                </c:pt>
              </c:numCache>
            </c:numRef>
          </c:val>
          <c:smooth val="0"/>
        </c:ser>
        <c:dLbls>
          <c:showLegendKey val="0"/>
          <c:showVal val="0"/>
          <c:showCatName val="0"/>
          <c:showSerName val="0"/>
          <c:showPercent val="0"/>
          <c:showBubbleSize val="0"/>
        </c:dLbls>
        <c:marker val="1"/>
        <c:smooth val="0"/>
        <c:axId val="132498560"/>
        <c:axId val="132500096"/>
      </c:lineChart>
      <c:catAx>
        <c:axId val="132498560"/>
        <c:scaling>
          <c:orientation val="minMax"/>
        </c:scaling>
        <c:delete val="0"/>
        <c:axPos val="b"/>
        <c:majorTickMark val="out"/>
        <c:minorTickMark val="none"/>
        <c:tickLblPos val="nextTo"/>
        <c:crossAx val="132500096"/>
        <c:crosses val="autoZero"/>
        <c:auto val="1"/>
        <c:lblAlgn val="ctr"/>
        <c:lblOffset val="100"/>
        <c:noMultiLvlLbl val="0"/>
      </c:catAx>
      <c:valAx>
        <c:axId val="132500096"/>
        <c:scaling>
          <c:orientation val="minMax"/>
        </c:scaling>
        <c:delete val="0"/>
        <c:axPos val="l"/>
        <c:majorGridlines/>
        <c:numFmt formatCode="#,##0" sourceLinked="1"/>
        <c:majorTickMark val="out"/>
        <c:minorTickMark val="none"/>
        <c:tickLblPos val="nextTo"/>
        <c:crossAx val="132498560"/>
        <c:crosses val="autoZero"/>
        <c:crossBetween val="between"/>
      </c:valAx>
    </c:plotArea>
    <c:legend>
      <c:legendPos val="r"/>
      <c:layout/>
      <c:overlay val="0"/>
    </c:legend>
    <c:plotVisOnly val="1"/>
    <c:dispBlanksAs val="gap"/>
    <c:showDLblsOverMax val="0"/>
  </c:chart>
  <c:printSettings>
    <c:headerFooter/>
    <c:pageMargins b="0.74803149606333641" l="0.39370078740157488" r="0.39370078740157488" t="0.74803149606333641" header="0.31496062992139301" footer="0.31496062992139301"/>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strRef>
              <c:f>Feuil10!$O$6</c:f>
              <c:strCache>
                <c:ptCount val="1"/>
                <c:pt idx="0">
                  <c:v>SUPER</c:v>
                </c:pt>
              </c:strCache>
            </c:strRef>
          </c:tx>
          <c:cat>
            <c:numRef>
              <c:f>Feuil10!$N$7:$N$25</c:f>
              <c:numCache>
                <c:formatCode>mmm\-yy</c:formatCode>
                <c:ptCount val="19"/>
                <c:pt idx="0">
                  <c:v>41365</c:v>
                </c:pt>
                <c:pt idx="1">
                  <c:v>41395</c:v>
                </c:pt>
                <c:pt idx="2">
                  <c:v>41426</c:v>
                </c:pt>
                <c:pt idx="3">
                  <c:v>41456</c:v>
                </c:pt>
                <c:pt idx="4">
                  <c:v>41487</c:v>
                </c:pt>
                <c:pt idx="5">
                  <c:v>41518</c:v>
                </c:pt>
                <c:pt idx="6">
                  <c:v>41548</c:v>
                </c:pt>
                <c:pt idx="7">
                  <c:v>41579</c:v>
                </c:pt>
                <c:pt idx="8">
                  <c:v>41609</c:v>
                </c:pt>
                <c:pt idx="9">
                  <c:v>41640</c:v>
                </c:pt>
                <c:pt idx="10">
                  <c:v>41671</c:v>
                </c:pt>
                <c:pt idx="11">
                  <c:v>41699</c:v>
                </c:pt>
                <c:pt idx="12">
                  <c:v>41730</c:v>
                </c:pt>
                <c:pt idx="13">
                  <c:v>41760</c:v>
                </c:pt>
                <c:pt idx="14">
                  <c:v>41791</c:v>
                </c:pt>
                <c:pt idx="15">
                  <c:v>41821</c:v>
                </c:pt>
                <c:pt idx="16">
                  <c:v>41852</c:v>
                </c:pt>
                <c:pt idx="17">
                  <c:v>41883</c:v>
                </c:pt>
                <c:pt idx="18">
                  <c:v>41913</c:v>
                </c:pt>
              </c:numCache>
            </c:numRef>
          </c:cat>
          <c:val>
            <c:numRef>
              <c:f>Feuil10!$O$7:$O$25</c:f>
              <c:numCache>
                <c:formatCode>#,##0</c:formatCode>
                <c:ptCount val="19"/>
                <c:pt idx="0">
                  <c:v>61689</c:v>
                </c:pt>
                <c:pt idx="1">
                  <c:v>74626</c:v>
                </c:pt>
                <c:pt idx="2">
                  <c:v>70111</c:v>
                </c:pt>
                <c:pt idx="3">
                  <c:v>74120</c:v>
                </c:pt>
                <c:pt idx="4">
                  <c:v>62487</c:v>
                </c:pt>
                <c:pt idx="5">
                  <c:v>56577</c:v>
                </c:pt>
                <c:pt idx="6">
                  <c:v>50584</c:v>
                </c:pt>
                <c:pt idx="7">
                  <c:v>57172</c:v>
                </c:pt>
                <c:pt idx="8">
                  <c:v>56546</c:v>
                </c:pt>
                <c:pt idx="9">
                  <c:v>56546</c:v>
                </c:pt>
                <c:pt idx="10">
                  <c:v>51031</c:v>
                </c:pt>
                <c:pt idx="11">
                  <c:v>57202</c:v>
                </c:pt>
                <c:pt idx="12">
                  <c:v>57272</c:v>
                </c:pt>
                <c:pt idx="13">
                  <c:v>55118</c:v>
                </c:pt>
                <c:pt idx="14">
                  <c:v>49818</c:v>
                </c:pt>
                <c:pt idx="15">
                  <c:v>48595</c:v>
                </c:pt>
                <c:pt idx="16">
                  <c:v>51109</c:v>
                </c:pt>
                <c:pt idx="17">
                  <c:v>47034</c:v>
                </c:pt>
                <c:pt idx="18">
                  <c:v>47416</c:v>
                </c:pt>
              </c:numCache>
            </c:numRef>
          </c:val>
          <c:smooth val="0"/>
        </c:ser>
        <c:ser>
          <c:idx val="1"/>
          <c:order val="1"/>
          <c:tx>
            <c:strRef>
              <c:f>Feuil10!$P$6</c:f>
              <c:strCache>
                <c:ptCount val="1"/>
                <c:pt idx="0">
                  <c:v>GASOIL</c:v>
                </c:pt>
              </c:strCache>
            </c:strRef>
          </c:tx>
          <c:cat>
            <c:numRef>
              <c:f>Feuil10!$N$7:$N$25</c:f>
              <c:numCache>
                <c:formatCode>mmm\-yy</c:formatCode>
                <c:ptCount val="19"/>
                <c:pt idx="0">
                  <c:v>41365</c:v>
                </c:pt>
                <c:pt idx="1">
                  <c:v>41395</c:v>
                </c:pt>
                <c:pt idx="2">
                  <c:v>41426</c:v>
                </c:pt>
                <c:pt idx="3">
                  <c:v>41456</c:v>
                </c:pt>
                <c:pt idx="4">
                  <c:v>41487</c:v>
                </c:pt>
                <c:pt idx="5">
                  <c:v>41518</c:v>
                </c:pt>
                <c:pt idx="6">
                  <c:v>41548</c:v>
                </c:pt>
                <c:pt idx="7">
                  <c:v>41579</c:v>
                </c:pt>
                <c:pt idx="8">
                  <c:v>41609</c:v>
                </c:pt>
                <c:pt idx="9">
                  <c:v>41640</c:v>
                </c:pt>
                <c:pt idx="10">
                  <c:v>41671</c:v>
                </c:pt>
                <c:pt idx="11">
                  <c:v>41699</c:v>
                </c:pt>
                <c:pt idx="12">
                  <c:v>41730</c:v>
                </c:pt>
                <c:pt idx="13">
                  <c:v>41760</c:v>
                </c:pt>
                <c:pt idx="14">
                  <c:v>41791</c:v>
                </c:pt>
                <c:pt idx="15">
                  <c:v>41821</c:v>
                </c:pt>
                <c:pt idx="16">
                  <c:v>41852</c:v>
                </c:pt>
                <c:pt idx="17">
                  <c:v>41883</c:v>
                </c:pt>
                <c:pt idx="18">
                  <c:v>41913</c:v>
                </c:pt>
              </c:numCache>
            </c:numRef>
          </c:cat>
          <c:val>
            <c:numRef>
              <c:f>Feuil10!$P$7:$P$25</c:f>
              <c:numCache>
                <c:formatCode>#,##0</c:formatCode>
                <c:ptCount val="19"/>
                <c:pt idx="0">
                  <c:v>169416</c:v>
                </c:pt>
                <c:pt idx="1">
                  <c:v>243080</c:v>
                </c:pt>
                <c:pt idx="2">
                  <c:v>208841</c:v>
                </c:pt>
                <c:pt idx="3">
                  <c:v>260681</c:v>
                </c:pt>
                <c:pt idx="4">
                  <c:v>247224</c:v>
                </c:pt>
                <c:pt idx="5">
                  <c:v>217834</c:v>
                </c:pt>
                <c:pt idx="6">
                  <c:v>317906</c:v>
                </c:pt>
                <c:pt idx="7">
                  <c:v>306078</c:v>
                </c:pt>
                <c:pt idx="8">
                  <c:v>319934</c:v>
                </c:pt>
                <c:pt idx="9">
                  <c:v>319934</c:v>
                </c:pt>
                <c:pt idx="10">
                  <c:v>381400</c:v>
                </c:pt>
                <c:pt idx="11">
                  <c:v>449568</c:v>
                </c:pt>
                <c:pt idx="12">
                  <c:v>405124</c:v>
                </c:pt>
                <c:pt idx="13">
                  <c:v>415140</c:v>
                </c:pt>
                <c:pt idx="14">
                  <c:v>495656</c:v>
                </c:pt>
                <c:pt idx="15">
                  <c:v>467701</c:v>
                </c:pt>
                <c:pt idx="16">
                  <c:v>486279</c:v>
                </c:pt>
                <c:pt idx="17">
                  <c:v>483593</c:v>
                </c:pt>
                <c:pt idx="18">
                  <c:v>524626</c:v>
                </c:pt>
              </c:numCache>
            </c:numRef>
          </c:val>
          <c:smooth val="0"/>
        </c:ser>
        <c:ser>
          <c:idx val="2"/>
          <c:order val="2"/>
          <c:tx>
            <c:strRef>
              <c:f>Feuil10!$Q$6</c:f>
              <c:strCache>
                <c:ptCount val="1"/>
                <c:pt idx="0">
                  <c:v>PETROLE</c:v>
                </c:pt>
              </c:strCache>
            </c:strRef>
          </c:tx>
          <c:cat>
            <c:numRef>
              <c:f>Feuil10!$N$7:$N$25</c:f>
              <c:numCache>
                <c:formatCode>mmm\-yy</c:formatCode>
                <c:ptCount val="19"/>
                <c:pt idx="0">
                  <c:v>41365</c:v>
                </c:pt>
                <c:pt idx="1">
                  <c:v>41395</c:v>
                </c:pt>
                <c:pt idx="2">
                  <c:v>41426</c:v>
                </c:pt>
                <c:pt idx="3">
                  <c:v>41456</c:v>
                </c:pt>
                <c:pt idx="4">
                  <c:v>41487</c:v>
                </c:pt>
                <c:pt idx="5">
                  <c:v>41518</c:v>
                </c:pt>
                <c:pt idx="6">
                  <c:v>41548</c:v>
                </c:pt>
                <c:pt idx="7">
                  <c:v>41579</c:v>
                </c:pt>
                <c:pt idx="8">
                  <c:v>41609</c:v>
                </c:pt>
                <c:pt idx="9">
                  <c:v>41640</c:v>
                </c:pt>
                <c:pt idx="10">
                  <c:v>41671</c:v>
                </c:pt>
                <c:pt idx="11">
                  <c:v>41699</c:v>
                </c:pt>
                <c:pt idx="12">
                  <c:v>41730</c:v>
                </c:pt>
                <c:pt idx="13">
                  <c:v>41760</c:v>
                </c:pt>
                <c:pt idx="14">
                  <c:v>41791</c:v>
                </c:pt>
                <c:pt idx="15">
                  <c:v>41821</c:v>
                </c:pt>
                <c:pt idx="16">
                  <c:v>41852</c:v>
                </c:pt>
                <c:pt idx="17">
                  <c:v>41883</c:v>
                </c:pt>
                <c:pt idx="18">
                  <c:v>41913</c:v>
                </c:pt>
              </c:numCache>
            </c:numRef>
          </c:cat>
          <c:val>
            <c:numRef>
              <c:f>Feuil10!$Q$7:$Q$25</c:f>
              <c:numCache>
                <c:formatCode>#,##0</c:formatCode>
                <c:ptCount val="19"/>
                <c:pt idx="0">
                  <c:v>5903</c:v>
                </c:pt>
                <c:pt idx="1">
                  <c:v>6809</c:v>
                </c:pt>
                <c:pt idx="2">
                  <c:v>8869</c:v>
                </c:pt>
                <c:pt idx="3">
                  <c:v>9666</c:v>
                </c:pt>
                <c:pt idx="4">
                  <c:v>5316</c:v>
                </c:pt>
                <c:pt idx="5">
                  <c:v>4844</c:v>
                </c:pt>
                <c:pt idx="6">
                  <c:v>5365</c:v>
                </c:pt>
                <c:pt idx="7">
                  <c:v>5671</c:v>
                </c:pt>
                <c:pt idx="8">
                  <c:v>4592</c:v>
                </c:pt>
                <c:pt idx="9">
                  <c:v>4592</c:v>
                </c:pt>
                <c:pt idx="10">
                  <c:v>3038</c:v>
                </c:pt>
                <c:pt idx="11">
                  <c:v>3621</c:v>
                </c:pt>
                <c:pt idx="12">
                  <c:v>3767</c:v>
                </c:pt>
                <c:pt idx="13">
                  <c:v>3440</c:v>
                </c:pt>
                <c:pt idx="14">
                  <c:v>4137</c:v>
                </c:pt>
                <c:pt idx="15">
                  <c:v>4547</c:v>
                </c:pt>
                <c:pt idx="16">
                  <c:v>3783</c:v>
                </c:pt>
                <c:pt idx="17">
                  <c:v>4002</c:v>
                </c:pt>
                <c:pt idx="18">
                  <c:v>7779</c:v>
                </c:pt>
              </c:numCache>
            </c:numRef>
          </c:val>
          <c:smooth val="0"/>
        </c:ser>
        <c:ser>
          <c:idx val="3"/>
          <c:order val="3"/>
          <c:tx>
            <c:strRef>
              <c:f>Feuil10!$R$6</c:f>
              <c:strCache>
                <c:ptCount val="1"/>
                <c:pt idx="0">
                  <c:v>TPC</c:v>
                </c:pt>
              </c:strCache>
            </c:strRef>
          </c:tx>
          <c:cat>
            <c:numRef>
              <c:f>Feuil10!$N$7:$N$25</c:f>
              <c:numCache>
                <c:formatCode>mmm\-yy</c:formatCode>
                <c:ptCount val="19"/>
                <c:pt idx="0">
                  <c:v>41365</c:v>
                </c:pt>
                <c:pt idx="1">
                  <c:v>41395</c:v>
                </c:pt>
                <c:pt idx="2">
                  <c:v>41426</c:v>
                </c:pt>
                <c:pt idx="3">
                  <c:v>41456</c:v>
                </c:pt>
                <c:pt idx="4">
                  <c:v>41487</c:v>
                </c:pt>
                <c:pt idx="5">
                  <c:v>41518</c:v>
                </c:pt>
                <c:pt idx="6">
                  <c:v>41548</c:v>
                </c:pt>
                <c:pt idx="7">
                  <c:v>41579</c:v>
                </c:pt>
                <c:pt idx="8">
                  <c:v>41609</c:v>
                </c:pt>
                <c:pt idx="9">
                  <c:v>41640</c:v>
                </c:pt>
                <c:pt idx="10">
                  <c:v>41671</c:v>
                </c:pt>
                <c:pt idx="11">
                  <c:v>41699</c:v>
                </c:pt>
                <c:pt idx="12">
                  <c:v>41730</c:v>
                </c:pt>
                <c:pt idx="13">
                  <c:v>41760</c:v>
                </c:pt>
                <c:pt idx="14">
                  <c:v>41791</c:v>
                </c:pt>
                <c:pt idx="15">
                  <c:v>41821</c:v>
                </c:pt>
                <c:pt idx="16">
                  <c:v>41852</c:v>
                </c:pt>
                <c:pt idx="17">
                  <c:v>41883</c:v>
                </c:pt>
                <c:pt idx="18">
                  <c:v>41913</c:v>
                </c:pt>
              </c:numCache>
            </c:numRef>
          </c:cat>
          <c:val>
            <c:numRef>
              <c:f>Feuil10!$R$7:$R$25</c:f>
              <c:numCache>
                <c:formatCode>_-* #,##0\ _F_-;\-* #,##0\ _F_-;_-* "-"??\ _F_-;_-@_-</c:formatCode>
                <c:ptCount val="19"/>
                <c:pt idx="0">
                  <c:v>237008</c:v>
                </c:pt>
                <c:pt idx="1">
                  <c:v>324515</c:v>
                </c:pt>
                <c:pt idx="2">
                  <c:v>287821</c:v>
                </c:pt>
                <c:pt idx="3">
                  <c:v>344467</c:v>
                </c:pt>
                <c:pt idx="4">
                  <c:v>315027</c:v>
                </c:pt>
                <c:pt idx="5">
                  <c:v>279255</c:v>
                </c:pt>
                <c:pt idx="6">
                  <c:v>373855</c:v>
                </c:pt>
                <c:pt idx="7">
                  <c:v>368921</c:v>
                </c:pt>
                <c:pt idx="8">
                  <c:v>381072</c:v>
                </c:pt>
                <c:pt idx="9">
                  <c:v>381072</c:v>
                </c:pt>
                <c:pt idx="10">
                  <c:v>435469</c:v>
                </c:pt>
                <c:pt idx="11">
                  <c:v>510391</c:v>
                </c:pt>
                <c:pt idx="12">
                  <c:v>466163</c:v>
                </c:pt>
                <c:pt idx="13">
                  <c:v>473698</c:v>
                </c:pt>
                <c:pt idx="14">
                  <c:v>549611</c:v>
                </c:pt>
                <c:pt idx="15">
                  <c:v>520843</c:v>
                </c:pt>
                <c:pt idx="16">
                  <c:v>541171</c:v>
                </c:pt>
                <c:pt idx="17">
                  <c:v>534629</c:v>
                </c:pt>
                <c:pt idx="18">
                  <c:v>579821</c:v>
                </c:pt>
              </c:numCache>
            </c:numRef>
          </c:val>
          <c:smooth val="0"/>
        </c:ser>
        <c:dLbls>
          <c:showLegendKey val="0"/>
          <c:showVal val="0"/>
          <c:showCatName val="0"/>
          <c:showSerName val="0"/>
          <c:showPercent val="0"/>
          <c:showBubbleSize val="0"/>
        </c:dLbls>
        <c:marker val="1"/>
        <c:smooth val="0"/>
        <c:axId val="134793472"/>
        <c:axId val="134799360"/>
      </c:lineChart>
      <c:dateAx>
        <c:axId val="134793472"/>
        <c:scaling>
          <c:orientation val="minMax"/>
        </c:scaling>
        <c:delete val="0"/>
        <c:axPos val="b"/>
        <c:numFmt formatCode="mmm\-yy" sourceLinked="1"/>
        <c:majorTickMark val="none"/>
        <c:minorTickMark val="none"/>
        <c:tickLblPos val="nextTo"/>
        <c:crossAx val="134799360"/>
        <c:crosses val="autoZero"/>
        <c:auto val="1"/>
        <c:lblOffset val="100"/>
        <c:baseTimeUnit val="months"/>
      </c:dateAx>
      <c:valAx>
        <c:axId val="134799360"/>
        <c:scaling>
          <c:orientation val="minMax"/>
        </c:scaling>
        <c:delete val="0"/>
        <c:axPos val="l"/>
        <c:majorGridlines/>
        <c:title>
          <c:layout/>
          <c:overlay val="0"/>
        </c:title>
        <c:numFmt formatCode="#,##0" sourceLinked="1"/>
        <c:majorTickMark val="none"/>
        <c:minorTickMark val="none"/>
        <c:tickLblPos val="nextTo"/>
        <c:crossAx val="134793472"/>
        <c:crosses val="autoZero"/>
        <c:crossBetween val="between"/>
      </c:valAx>
    </c:plotArea>
    <c:legend>
      <c:legendPos val="r"/>
      <c:layout/>
      <c:overlay val="0"/>
    </c:legend>
    <c:plotVisOnly val="1"/>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07783286348465"/>
          <c:y val="4.3796921834520615E-2"/>
          <c:w val="0.72012167460580589"/>
          <c:h val="0.70630480361561065"/>
        </c:manualLayout>
      </c:layout>
      <c:lineChart>
        <c:grouping val="standard"/>
        <c:varyColors val="0"/>
        <c:ser>
          <c:idx val="0"/>
          <c:order val="0"/>
          <c:tx>
            <c:strRef>
              <c:f>'EVOLUTION DES VENTES ANNUEL (2)'!$L$9</c:f>
              <c:strCache>
                <c:ptCount val="1"/>
                <c:pt idx="0">
                  <c:v>SUPER</c:v>
                </c:pt>
              </c:strCache>
            </c:strRef>
          </c:tx>
          <c:cat>
            <c:strRef>
              <c:f>'EVOLUTION DES VENTES ANNUEL (2)'!$K$10:$K$21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 (2)'!$L$10:$L$21</c:f>
              <c:numCache>
                <c:formatCode>#,##0</c:formatCode>
                <c:ptCount val="12"/>
                <c:pt idx="0">
                  <c:v>55746</c:v>
                </c:pt>
                <c:pt idx="1">
                  <c:v>4144</c:v>
                </c:pt>
                <c:pt idx="4">
                  <c:v>4144</c:v>
                </c:pt>
              </c:numCache>
            </c:numRef>
          </c:val>
          <c:smooth val="0"/>
        </c:ser>
        <c:ser>
          <c:idx val="1"/>
          <c:order val="1"/>
          <c:tx>
            <c:strRef>
              <c:f>'EVOLUTION DES VENTES ANNUEL (2)'!$M$9</c:f>
              <c:strCache>
                <c:ptCount val="1"/>
                <c:pt idx="0">
                  <c:v>GASOIL</c:v>
                </c:pt>
              </c:strCache>
            </c:strRef>
          </c:tx>
          <c:cat>
            <c:strRef>
              <c:f>'EVOLUTION DES VENTES ANNUEL (2)'!$K$10:$K$21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 (2)'!$M$10:$M$21</c:f>
              <c:numCache>
                <c:formatCode>#,##0</c:formatCode>
                <c:ptCount val="12"/>
                <c:pt idx="0">
                  <c:v>624145</c:v>
                </c:pt>
                <c:pt idx="1">
                  <c:v>36708</c:v>
                </c:pt>
                <c:pt idx="4">
                  <c:v>36708</c:v>
                </c:pt>
              </c:numCache>
            </c:numRef>
          </c:val>
          <c:smooth val="0"/>
        </c:ser>
        <c:ser>
          <c:idx val="2"/>
          <c:order val="2"/>
          <c:tx>
            <c:strRef>
              <c:f>'EVOLUTION DES VENTES ANNUEL (2)'!$N$9</c:f>
              <c:strCache>
                <c:ptCount val="1"/>
                <c:pt idx="0">
                  <c:v>PETROLE</c:v>
                </c:pt>
              </c:strCache>
            </c:strRef>
          </c:tx>
          <c:cat>
            <c:strRef>
              <c:f>'EVOLUTION DES VENTES ANNUEL (2)'!$K$10:$K$21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 (2)'!$N$10:$N$21</c:f>
              <c:numCache>
                <c:formatCode>#,##0</c:formatCode>
                <c:ptCount val="12"/>
                <c:pt idx="0">
                  <c:v>10760</c:v>
                </c:pt>
                <c:pt idx="1">
                  <c:v>0</c:v>
                </c:pt>
                <c:pt idx="4">
                  <c:v>0</c:v>
                </c:pt>
              </c:numCache>
            </c:numRef>
          </c:val>
          <c:smooth val="0"/>
        </c:ser>
        <c:ser>
          <c:idx val="3"/>
          <c:order val="3"/>
          <c:tx>
            <c:strRef>
              <c:f>'EVOLUTION DES VENTES ANNUEL (2)'!$O$9</c:f>
              <c:strCache>
                <c:ptCount val="1"/>
                <c:pt idx="0">
                  <c:v>TPC</c:v>
                </c:pt>
              </c:strCache>
            </c:strRef>
          </c:tx>
          <c:cat>
            <c:strRef>
              <c:f>'EVOLUTION DES VENTES ANNUEL (2)'!$K$10:$K$21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'EVOLUTION DES VENTES ANNUEL (2)'!$O$10:$O$21</c:f>
              <c:numCache>
                <c:formatCode>_-* #,##0\ _F_-;\-* #,##0\ _F_-;_-* "-"??\ _F_-;_-@_-</c:formatCode>
                <c:ptCount val="12"/>
                <c:pt idx="0">
                  <c:v>690651</c:v>
                </c:pt>
                <c:pt idx="1">
                  <c:v>40852</c:v>
                </c:pt>
                <c:pt idx="2">
                  <c:v>0</c:v>
                </c:pt>
                <c:pt idx="3">
                  <c:v>0</c:v>
                </c:pt>
                <c:pt idx="4">
                  <c:v>40852</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35035520"/>
        <c:axId val="135049600"/>
      </c:lineChart>
      <c:catAx>
        <c:axId val="135035520"/>
        <c:scaling>
          <c:orientation val="minMax"/>
        </c:scaling>
        <c:delete val="0"/>
        <c:axPos val="b"/>
        <c:majorTickMark val="out"/>
        <c:minorTickMark val="none"/>
        <c:tickLblPos val="nextTo"/>
        <c:crossAx val="135049600"/>
        <c:crosses val="autoZero"/>
        <c:auto val="1"/>
        <c:lblAlgn val="ctr"/>
        <c:lblOffset val="100"/>
        <c:noMultiLvlLbl val="0"/>
      </c:catAx>
      <c:valAx>
        <c:axId val="135049600"/>
        <c:scaling>
          <c:orientation val="minMax"/>
        </c:scaling>
        <c:delete val="0"/>
        <c:axPos val="l"/>
        <c:majorGridlines/>
        <c:numFmt formatCode="#,##0" sourceLinked="1"/>
        <c:majorTickMark val="out"/>
        <c:minorTickMark val="none"/>
        <c:tickLblPos val="nextTo"/>
        <c:crossAx val="135035520"/>
        <c:crosses val="autoZero"/>
        <c:crossBetween val="between"/>
      </c:valAx>
    </c:plotArea>
    <c:legend>
      <c:legendPos val="r"/>
      <c:layout/>
      <c:overlay val="0"/>
    </c:legend>
    <c:plotVisOnly val="1"/>
    <c:dispBlanksAs val="gap"/>
    <c:showDLblsOverMax val="0"/>
  </c:chart>
  <c:printSettings>
    <c:headerFooter/>
    <c:pageMargins b="0.74803149606333674" l="0.39370078740157488" r="0.39370078740157488" t="0.74803149606333674" header="0.31496062992139312" footer="0.31496062992139312"/>
    <c:pageSetup orientation="landscape"/>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9.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16</xdr:col>
      <xdr:colOff>314325</xdr:colOff>
      <xdr:row>0</xdr:row>
      <xdr:rowOff>0</xdr:rowOff>
    </xdr:from>
    <xdr:to>
      <xdr:col>16</xdr:col>
      <xdr:colOff>1143000</xdr:colOff>
      <xdr:row>3</xdr:row>
      <xdr:rowOff>142875</xdr:rowOff>
    </xdr:to>
    <xdr:sp macro="" textlink="">
      <xdr:nvSpPr>
        <xdr:cNvPr id="2" name="Ellipse 1"/>
        <xdr:cNvSpPr/>
      </xdr:nvSpPr>
      <xdr:spPr>
        <a:xfrm>
          <a:off x="18573750" y="0"/>
          <a:ext cx="828675" cy="9906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704850</xdr:colOff>
      <xdr:row>0</xdr:row>
      <xdr:rowOff>0</xdr:rowOff>
    </xdr:from>
    <xdr:to>
      <xdr:col>8</xdr:col>
      <xdr:colOff>57150</xdr:colOff>
      <xdr:row>4</xdr:row>
      <xdr:rowOff>19050</xdr:rowOff>
    </xdr:to>
    <xdr:sp macro="" textlink="">
      <xdr:nvSpPr>
        <xdr:cNvPr id="3" name="Ellipse 2"/>
        <xdr:cNvSpPr/>
      </xdr:nvSpPr>
      <xdr:spPr>
        <a:xfrm>
          <a:off x="753427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85725</xdr:colOff>
      <xdr:row>0</xdr:row>
      <xdr:rowOff>28575</xdr:rowOff>
    </xdr:from>
    <xdr:to>
      <xdr:col>15</xdr:col>
      <xdr:colOff>962025</xdr:colOff>
      <xdr:row>2</xdr:row>
      <xdr:rowOff>57150</xdr:rowOff>
    </xdr:to>
    <xdr:sp macro="" textlink="">
      <xdr:nvSpPr>
        <xdr:cNvPr id="3" name="Ellipse 2"/>
        <xdr:cNvSpPr/>
      </xdr:nvSpPr>
      <xdr:spPr>
        <a:xfrm>
          <a:off x="11277600" y="28575"/>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713064</xdr:colOff>
      <xdr:row>55</xdr:row>
      <xdr:rowOff>119477</xdr:rowOff>
    </xdr:from>
    <xdr:to>
      <xdr:col>10</xdr:col>
      <xdr:colOff>503513</xdr:colOff>
      <xdr:row>74</xdr:row>
      <xdr:rowOff>138527</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219075</xdr:colOff>
      <xdr:row>0</xdr:row>
      <xdr:rowOff>0</xdr:rowOff>
    </xdr:from>
    <xdr:to>
      <xdr:col>9</xdr:col>
      <xdr:colOff>742950</xdr:colOff>
      <xdr:row>2</xdr:row>
      <xdr:rowOff>28575</xdr:rowOff>
    </xdr:to>
    <xdr:sp macro="" textlink="">
      <xdr:nvSpPr>
        <xdr:cNvPr id="3" name="Ellipse 2"/>
        <xdr:cNvSpPr/>
      </xdr:nvSpPr>
      <xdr:spPr>
        <a:xfrm>
          <a:off x="10725150" y="0"/>
          <a:ext cx="523875" cy="5048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36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20</xdr:col>
      <xdr:colOff>352425</xdr:colOff>
      <xdr:row>0</xdr:row>
      <xdr:rowOff>0</xdr:rowOff>
    </xdr:from>
    <xdr:to>
      <xdr:col>20</xdr:col>
      <xdr:colOff>895350</xdr:colOff>
      <xdr:row>2</xdr:row>
      <xdr:rowOff>9525</xdr:rowOff>
    </xdr:to>
    <xdr:sp macro="" textlink="">
      <xdr:nvSpPr>
        <xdr:cNvPr id="2" name="Ellipse 1"/>
        <xdr:cNvSpPr/>
      </xdr:nvSpPr>
      <xdr:spPr>
        <a:xfrm>
          <a:off x="11639550" y="0"/>
          <a:ext cx="542925" cy="514350"/>
        </a:xfrm>
        <a:prstGeom prst="ellipse">
          <a:avLst/>
        </a:prstGeom>
        <a:ln w="38100">
          <a:solidFill>
            <a:srgbClr val="FF0000"/>
          </a:solidFill>
        </a:ln>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4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12</xdr:row>
      <xdr:rowOff>0</xdr:rowOff>
    </xdr:from>
    <xdr:to>
      <xdr:col>17</xdr:col>
      <xdr:colOff>639765</xdr:colOff>
      <xdr:row>33</xdr:row>
      <xdr:rowOff>193675</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152400</xdr:colOff>
      <xdr:row>0</xdr:row>
      <xdr:rowOff>0</xdr:rowOff>
    </xdr:from>
    <xdr:to>
      <xdr:col>17</xdr:col>
      <xdr:colOff>752476</xdr:colOff>
      <xdr:row>2</xdr:row>
      <xdr:rowOff>66675</xdr:rowOff>
    </xdr:to>
    <xdr:sp macro="" textlink="">
      <xdr:nvSpPr>
        <xdr:cNvPr id="4" name="Ellipse 3"/>
        <xdr:cNvSpPr/>
      </xdr:nvSpPr>
      <xdr:spPr>
        <a:xfrm>
          <a:off x="13620750" y="0"/>
          <a:ext cx="600076" cy="5429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4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285750</xdr:colOff>
      <xdr:row>0</xdr:row>
      <xdr:rowOff>0</xdr:rowOff>
    </xdr:from>
    <xdr:to>
      <xdr:col>4</xdr:col>
      <xdr:colOff>828675</xdr:colOff>
      <xdr:row>2</xdr:row>
      <xdr:rowOff>57150</xdr:rowOff>
    </xdr:to>
    <xdr:sp macro="" textlink="">
      <xdr:nvSpPr>
        <xdr:cNvPr id="2" name="Ellipse 1"/>
        <xdr:cNvSpPr/>
      </xdr:nvSpPr>
      <xdr:spPr>
        <a:xfrm>
          <a:off x="4400550" y="0"/>
          <a:ext cx="542925" cy="5715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4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19</xdr:col>
      <xdr:colOff>57150</xdr:colOff>
      <xdr:row>0</xdr:row>
      <xdr:rowOff>0</xdr:rowOff>
    </xdr:from>
    <xdr:to>
      <xdr:col>19</xdr:col>
      <xdr:colOff>609600</xdr:colOff>
      <xdr:row>2</xdr:row>
      <xdr:rowOff>133350</xdr:rowOff>
    </xdr:to>
    <xdr:sp macro="" textlink="">
      <xdr:nvSpPr>
        <xdr:cNvPr id="4" name="Ellipse 3"/>
        <xdr:cNvSpPr/>
      </xdr:nvSpPr>
      <xdr:spPr>
        <a:xfrm>
          <a:off x="18992850" y="0"/>
          <a:ext cx="552450" cy="6381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4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314325</xdr:colOff>
      <xdr:row>0</xdr:row>
      <xdr:rowOff>0</xdr:rowOff>
    </xdr:from>
    <xdr:to>
      <xdr:col>10</xdr:col>
      <xdr:colOff>457200</xdr:colOff>
      <xdr:row>2</xdr:row>
      <xdr:rowOff>9525</xdr:rowOff>
    </xdr:to>
    <xdr:sp macro="" textlink="">
      <xdr:nvSpPr>
        <xdr:cNvPr id="3" name="Ellipse 2"/>
        <xdr:cNvSpPr/>
      </xdr:nvSpPr>
      <xdr:spPr>
        <a:xfrm>
          <a:off x="9277350" y="0"/>
          <a:ext cx="828675" cy="4286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36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17</xdr:col>
      <xdr:colOff>105641</xdr:colOff>
      <xdr:row>0</xdr:row>
      <xdr:rowOff>0</xdr:rowOff>
    </xdr:from>
    <xdr:to>
      <xdr:col>17</xdr:col>
      <xdr:colOff>981941</xdr:colOff>
      <xdr:row>2</xdr:row>
      <xdr:rowOff>104775</xdr:rowOff>
    </xdr:to>
    <xdr:sp macro="" textlink="">
      <xdr:nvSpPr>
        <xdr:cNvPr id="3" name="Ellipse 2"/>
        <xdr:cNvSpPr/>
      </xdr:nvSpPr>
      <xdr:spPr>
        <a:xfrm>
          <a:off x="6175664" y="0"/>
          <a:ext cx="876300" cy="6762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542925</xdr:colOff>
      <xdr:row>0</xdr:row>
      <xdr:rowOff>0</xdr:rowOff>
    </xdr:from>
    <xdr:to>
      <xdr:col>5</xdr:col>
      <xdr:colOff>1152525</xdr:colOff>
      <xdr:row>3</xdr:row>
      <xdr:rowOff>19050</xdr:rowOff>
    </xdr:to>
    <xdr:sp macro="" textlink="">
      <xdr:nvSpPr>
        <xdr:cNvPr id="2" name="Ellipse 1"/>
        <xdr:cNvSpPr/>
      </xdr:nvSpPr>
      <xdr:spPr>
        <a:xfrm>
          <a:off x="8258175" y="0"/>
          <a:ext cx="609600" cy="600075"/>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4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17</xdr:col>
      <xdr:colOff>352425</xdr:colOff>
      <xdr:row>0</xdr:row>
      <xdr:rowOff>0</xdr:rowOff>
    </xdr:from>
    <xdr:to>
      <xdr:col>18</xdr:col>
      <xdr:colOff>466725</xdr:colOff>
      <xdr:row>2</xdr:row>
      <xdr:rowOff>171450</xdr:rowOff>
    </xdr:to>
    <xdr:sp macro="" textlink="">
      <xdr:nvSpPr>
        <xdr:cNvPr id="2" name="Ellipse 1"/>
        <xdr:cNvSpPr/>
      </xdr:nvSpPr>
      <xdr:spPr>
        <a:xfrm>
          <a:off x="1330642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2</xdr:row>
      <xdr:rowOff>219075</xdr:rowOff>
    </xdr:to>
    <xdr:sp macro="" textlink="">
      <xdr:nvSpPr>
        <xdr:cNvPr id="2" name="Ellipse 1"/>
        <xdr:cNvSpPr/>
      </xdr:nvSpPr>
      <xdr:spPr>
        <a:xfrm>
          <a:off x="12763500" y="0"/>
          <a:ext cx="876300" cy="6858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1849100" y="0"/>
          <a:ext cx="876300" cy="8286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2658725"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2" name="Ellipse 1"/>
        <xdr:cNvSpPr/>
      </xdr:nvSpPr>
      <xdr:spPr>
        <a:xfrm>
          <a:off x="936307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1849100" y="0"/>
          <a:ext cx="876300" cy="8096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13</xdr:col>
      <xdr:colOff>352425</xdr:colOff>
      <xdr:row>0</xdr:row>
      <xdr:rowOff>0</xdr:rowOff>
    </xdr:from>
    <xdr:to>
      <xdr:col>14</xdr:col>
      <xdr:colOff>0</xdr:colOff>
      <xdr:row>3</xdr:row>
      <xdr:rowOff>142875</xdr:rowOff>
    </xdr:to>
    <xdr:sp macro="" textlink="">
      <xdr:nvSpPr>
        <xdr:cNvPr id="3" name="Ellipse 2"/>
        <xdr:cNvSpPr/>
      </xdr:nvSpPr>
      <xdr:spPr>
        <a:xfrm>
          <a:off x="1201102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14</xdr:col>
      <xdr:colOff>190500</xdr:colOff>
      <xdr:row>0</xdr:row>
      <xdr:rowOff>0</xdr:rowOff>
    </xdr:from>
    <xdr:to>
      <xdr:col>14</xdr:col>
      <xdr:colOff>1066800</xdr:colOff>
      <xdr:row>3</xdr:row>
      <xdr:rowOff>114300</xdr:rowOff>
    </xdr:to>
    <xdr:sp macro="" textlink="">
      <xdr:nvSpPr>
        <xdr:cNvPr id="2" name="Ellipse 1"/>
        <xdr:cNvSpPr/>
      </xdr:nvSpPr>
      <xdr:spPr>
        <a:xfrm>
          <a:off x="1062990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16</xdr:col>
      <xdr:colOff>314325</xdr:colOff>
      <xdr:row>0</xdr:row>
      <xdr:rowOff>0</xdr:rowOff>
    </xdr:from>
    <xdr:to>
      <xdr:col>16</xdr:col>
      <xdr:colOff>1143000</xdr:colOff>
      <xdr:row>3</xdr:row>
      <xdr:rowOff>142875</xdr:rowOff>
    </xdr:to>
    <xdr:sp macro="" textlink="">
      <xdr:nvSpPr>
        <xdr:cNvPr id="2" name="Ellipse 1"/>
        <xdr:cNvSpPr/>
      </xdr:nvSpPr>
      <xdr:spPr>
        <a:xfrm>
          <a:off x="12058650" y="0"/>
          <a:ext cx="828675"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outerShdw blurRad="50800" dist="38100" algn="tr" rotWithShape="0">
                  <a:prstClr val="black">
                    <a:alpha val="40000"/>
                  </a:prstClr>
                </a:outerShdw>
              </a:effectLst>
              <a:latin typeface="+mn-lt"/>
              <a:ea typeface="+mn-ea"/>
              <a:cs typeface="+mn-cs"/>
            </a:rPr>
            <a:t>B</a:t>
          </a:r>
          <a:endParaRPr lang="fr-FR" sz="6000"/>
        </a:p>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16</xdr:col>
      <xdr:colOff>314325</xdr:colOff>
      <xdr:row>0</xdr:row>
      <xdr:rowOff>0</xdr:rowOff>
    </xdr:from>
    <xdr:to>
      <xdr:col>16</xdr:col>
      <xdr:colOff>1143000</xdr:colOff>
      <xdr:row>3</xdr:row>
      <xdr:rowOff>142875</xdr:rowOff>
    </xdr:to>
    <xdr:sp macro="" textlink="">
      <xdr:nvSpPr>
        <xdr:cNvPr id="2" name="Ellipse 1"/>
        <xdr:cNvSpPr/>
      </xdr:nvSpPr>
      <xdr:spPr>
        <a:xfrm>
          <a:off x="19792950" y="0"/>
          <a:ext cx="828675" cy="9906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marL="0" marR="0" indent="0" algn="ctr"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outerShdw blurRad="50800" dist="38100" algn="tr" rotWithShape="0">
                  <a:prstClr val="black">
                    <a:alpha val="40000"/>
                  </a:prstClr>
                </a:outerShdw>
              </a:effectLst>
              <a:latin typeface="+mn-lt"/>
              <a:ea typeface="+mn-ea"/>
              <a:cs typeface="+mn-cs"/>
            </a:rPr>
            <a:t>B</a:t>
          </a:r>
          <a:endParaRPr lang="fr-FR" sz="6000"/>
        </a:p>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34207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2</xdr:row>
      <xdr:rowOff>219075</xdr:rowOff>
    </xdr:to>
    <xdr:sp macro="" textlink="">
      <xdr:nvSpPr>
        <xdr:cNvPr id="3" name="Ellipse 2"/>
        <xdr:cNvSpPr/>
      </xdr:nvSpPr>
      <xdr:spPr>
        <a:xfrm>
          <a:off x="11772900" y="0"/>
          <a:ext cx="876300" cy="6762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0</xdr:colOff>
      <xdr:row>0</xdr:row>
      <xdr:rowOff>0</xdr:rowOff>
    </xdr:from>
    <xdr:to>
      <xdr:col>14</xdr:col>
      <xdr:colOff>876300</xdr:colOff>
      <xdr:row>3</xdr:row>
      <xdr:rowOff>171450</xdr:rowOff>
    </xdr:to>
    <xdr:sp macro="" textlink="">
      <xdr:nvSpPr>
        <xdr:cNvPr id="3" name="Ellipse 2"/>
        <xdr:cNvSpPr/>
      </xdr:nvSpPr>
      <xdr:spPr>
        <a:xfrm>
          <a:off x="1127760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14</xdr:col>
      <xdr:colOff>352425</xdr:colOff>
      <xdr:row>0</xdr:row>
      <xdr:rowOff>0</xdr:rowOff>
    </xdr:from>
    <xdr:to>
      <xdr:col>15</xdr:col>
      <xdr:colOff>0</xdr:colOff>
      <xdr:row>3</xdr:row>
      <xdr:rowOff>142875</xdr:rowOff>
    </xdr:to>
    <xdr:sp macro="" textlink="">
      <xdr:nvSpPr>
        <xdr:cNvPr id="2" name="Ellipse 1"/>
        <xdr:cNvSpPr/>
      </xdr:nvSpPr>
      <xdr:spPr>
        <a:xfrm>
          <a:off x="13649325"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2" name="Ellipse 1"/>
        <xdr:cNvSpPr/>
      </xdr:nvSpPr>
      <xdr:spPr>
        <a:xfrm>
          <a:off x="936307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34207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13</xdr:col>
      <xdr:colOff>85725</xdr:colOff>
      <xdr:row>0</xdr:row>
      <xdr:rowOff>0</xdr:rowOff>
    </xdr:from>
    <xdr:to>
      <xdr:col>13</xdr:col>
      <xdr:colOff>962025</xdr:colOff>
      <xdr:row>3</xdr:row>
      <xdr:rowOff>76200</xdr:rowOff>
    </xdr:to>
    <xdr:sp macro="" textlink="">
      <xdr:nvSpPr>
        <xdr:cNvPr id="2" name="Ellipse 1"/>
        <xdr:cNvSpPr/>
      </xdr:nvSpPr>
      <xdr:spPr>
        <a:xfrm>
          <a:off x="1089660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2658725"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14</xdr:col>
      <xdr:colOff>285750</xdr:colOff>
      <xdr:row>0</xdr:row>
      <xdr:rowOff>0</xdr:rowOff>
    </xdr:from>
    <xdr:to>
      <xdr:col>14</xdr:col>
      <xdr:colOff>1162050</xdr:colOff>
      <xdr:row>3</xdr:row>
      <xdr:rowOff>142875</xdr:rowOff>
    </xdr:to>
    <xdr:sp macro="" textlink="">
      <xdr:nvSpPr>
        <xdr:cNvPr id="2" name="Ellipse 1"/>
        <xdr:cNvSpPr/>
      </xdr:nvSpPr>
      <xdr:spPr>
        <a:xfrm>
          <a:off x="1125855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3" name="Ellipse 2"/>
        <xdr:cNvSpPr/>
      </xdr:nvSpPr>
      <xdr:spPr>
        <a:xfrm>
          <a:off x="1083945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1849100" y="0"/>
          <a:ext cx="876300" cy="8286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4135100" y="0"/>
          <a:ext cx="962025"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0839450"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34207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13</xdr:col>
      <xdr:colOff>352425</xdr:colOff>
      <xdr:row>0</xdr:row>
      <xdr:rowOff>0</xdr:rowOff>
    </xdr:from>
    <xdr:to>
      <xdr:col>14</xdr:col>
      <xdr:colOff>0</xdr:colOff>
      <xdr:row>3</xdr:row>
      <xdr:rowOff>142875</xdr:rowOff>
    </xdr:to>
    <xdr:sp macro="" textlink="">
      <xdr:nvSpPr>
        <xdr:cNvPr id="2" name="Ellipse 1"/>
        <xdr:cNvSpPr/>
      </xdr:nvSpPr>
      <xdr:spPr>
        <a:xfrm>
          <a:off x="1294447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2658725"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14</xdr:col>
      <xdr:colOff>352425</xdr:colOff>
      <xdr:row>0</xdr:row>
      <xdr:rowOff>0</xdr:rowOff>
    </xdr:from>
    <xdr:to>
      <xdr:col>15</xdr:col>
      <xdr:colOff>0</xdr:colOff>
      <xdr:row>3</xdr:row>
      <xdr:rowOff>142875</xdr:rowOff>
    </xdr:to>
    <xdr:sp macro="" textlink="">
      <xdr:nvSpPr>
        <xdr:cNvPr id="2" name="Ellipse 1"/>
        <xdr:cNvSpPr/>
      </xdr:nvSpPr>
      <xdr:spPr>
        <a:xfrm>
          <a:off x="1294447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3" name="Ellipse 2"/>
        <xdr:cNvSpPr/>
      </xdr:nvSpPr>
      <xdr:spPr>
        <a:xfrm>
          <a:off x="1062990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0839450"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14</xdr:col>
      <xdr:colOff>352425</xdr:colOff>
      <xdr:row>0</xdr:row>
      <xdr:rowOff>0</xdr:rowOff>
    </xdr:from>
    <xdr:to>
      <xdr:col>15</xdr:col>
      <xdr:colOff>0</xdr:colOff>
      <xdr:row>3</xdr:row>
      <xdr:rowOff>142875</xdr:rowOff>
    </xdr:to>
    <xdr:sp macro="" textlink="">
      <xdr:nvSpPr>
        <xdr:cNvPr id="2" name="Ellipse 1"/>
        <xdr:cNvSpPr/>
      </xdr:nvSpPr>
      <xdr:spPr>
        <a:xfrm>
          <a:off x="1303972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4135100" y="0"/>
          <a:ext cx="1047750" cy="8286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14</xdr:col>
      <xdr:colOff>0</xdr:colOff>
      <xdr:row>0</xdr:row>
      <xdr:rowOff>0</xdr:rowOff>
    </xdr:from>
    <xdr:to>
      <xdr:col>14</xdr:col>
      <xdr:colOff>876300</xdr:colOff>
      <xdr:row>3</xdr:row>
      <xdr:rowOff>171450</xdr:rowOff>
    </xdr:to>
    <xdr:sp macro="" textlink="">
      <xdr:nvSpPr>
        <xdr:cNvPr id="3" name="Ellipse 2"/>
        <xdr:cNvSpPr/>
      </xdr:nvSpPr>
      <xdr:spPr>
        <a:xfrm>
          <a:off x="1129665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4.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2" name="Ellipse 1"/>
        <xdr:cNvSpPr/>
      </xdr:nvSpPr>
      <xdr:spPr>
        <a:xfrm>
          <a:off x="11868150"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5.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1849100" y="0"/>
          <a:ext cx="876300" cy="8286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6.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34207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2658725"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0839450"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0839450"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13</xdr:col>
      <xdr:colOff>352425</xdr:colOff>
      <xdr:row>0</xdr:row>
      <xdr:rowOff>0</xdr:rowOff>
    </xdr:from>
    <xdr:to>
      <xdr:col>14</xdr:col>
      <xdr:colOff>0</xdr:colOff>
      <xdr:row>3</xdr:row>
      <xdr:rowOff>142875</xdr:rowOff>
    </xdr:to>
    <xdr:sp macro="" textlink="">
      <xdr:nvSpPr>
        <xdr:cNvPr id="2" name="Ellipse 1"/>
        <xdr:cNvSpPr/>
      </xdr:nvSpPr>
      <xdr:spPr>
        <a:xfrm>
          <a:off x="13649325"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0839450"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3" name="Ellipse 2"/>
        <xdr:cNvSpPr/>
      </xdr:nvSpPr>
      <xdr:spPr>
        <a:xfrm>
          <a:off x="1220152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14</xdr:col>
      <xdr:colOff>66675</xdr:colOff>
      <xdr:row>0</xdr:row>
      <xdr:rowOff>0</xdr:rowOff>
    </xdr:from>
    <xdr:to>
      <xdr:col>15</xdr:col>
      <xdr:colOff>9525</xdr:colOff>
      <xdr:row>3</xdr:row>
      <xdr:rowOff>171450</xdr:rowOff>
    </xdr:to>
    <xdr:sp macro="" textlink="">
      <xdr:nvSpPr>
        <xdr:cNvPr id="2" name="Ellipse 1"/>
        <xdr:cNvSpPr/>
      </xdr:nvSpPr>
      <xdr:spPr>
        <a:xfrm>
          <a:off x="134207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4.xml><?xml version="1.0" encoding="utf-8"?>
<xdr:wsDr xmlns:xdr="http://schemas.openxmlformats.org/drawingml/2006/spreadsheetDrawing" xmlns:a="http://schemas.openxmlformats.org/drawingml/2006/main">
  <xdr:twoCellAnchor>
    <xdr:from>
      <xdr:col>13</xdr:col>
      <xdr:colOff>352425</xdr:colOff>
      <xdr:row>0</xdr:row>
      <xdr:rowOff>0</xdr:rowOff>
    </xdr:from>
    <xdr:to>
      <xdr:col>14</xdr:col>
      <xdr:colOff>0</xdr:colOff>
      <xdr:row>3</xdr:row>
      <xdr:rowOff>142875</xdr:rowOff>
    </xdr:to>
    <xdr:sp macro="" textlink="">
      <xdr:nvSpPr>
        <xdr:cNvPr id="2" name="Ellipse 1"/>
        <xdr:cNvSpPr/>
      </xdr:nvSpPr>
      <xdr:spPr>
        <a:xfrm>
          <a:off x="1294447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5.xml><?xml version="1.0" encoding="utf-8"?>
<xdr:wsDr xmlns:xdr="http://schemas.openxmlformats.org/drawingml/2006/spreadsheetDrawing" xmlns:a="http://schemas.openxmlformats.org/drawingml/2006/main">
  <xdr:twoCellAnchor>
    <xdr:from>
      <xdr:col>14</xdr:col>
      <xdr:colOff>85725</xdr:colOff>
      <xdr:row>0</xdr:row>
      <xdr:rowOff>0</xdr:rowOff>
    </xdr:from>
    <xdr:to>
      <xdr:col>14</xdr:col>
      <xdr:colOff>962025</xdr:colOff>
      <xdr:row>4</xdr:row>
      <xdr:rowOff>38100</xdr:rowOff>
    </xdr:to>
    <xdr:sp macro="" textlink="">
      <xdr:nvSpPr>
        <xdr:cNvPr id="2" name="Ellipse 1"/>
        <xdr:cNvSpPr/>
      </xdr:nvSpPr>
      <xdr:spPr>
        <a:xfrm>
          <a:off x="10839450" y="0"/>
          <a:ext cx="876300" cy="79057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6.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2" name="Ellipse 1"/>
        <xdr:cNvSpPr/>
      </xdr:nvSpPr>
      <xdr:spPr>
        <a:xfrm>
          <a:off x="118586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7.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2" name="Ellipse 1"/>
        <xdr:cNvSpPr/>
      </xdr:nvSpPr>
      <xdr:spPr>
        <a:xfrm>
          <a:off x="118586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8.xml><?xml version="1.0" encoding="utf-8"?>
<xdr:wsDr xmlns:xdr="http://schemas.openxmlformats.org/drawingml/2006/spreadsheetDrawing" xmlns:a="http://schemas.openxmlformats.org/drawingml/2006/main">
  <xdr:twoCellAnchor>
    <xdr:from>
      <xdr:col>13</xdr:col>
      <xdr:colOff>352425</xdr:colOff>
      <xdr:row>0</xdr:row>
      <xdr:rowOff>0</xdr:rowOff>
    </xdr:from>
    <xdr:to>
      <xdr:col>14</xdr:col>
      <xdr:colOff>0</xdr:colOff>
      <xdr:row>3</xdr:row>
      <xdr:rowOff>142875</xdr:rowOff>
    </xdr:to>
    <xdr:sp macro="" textlink="">
      <xdr:nvSpPr>
        <xdr:cNvPr id="2" name="Ellipse 1"/>
        <xdr:cNvSpPr/>
      </xdr:nvSpPr>
      <xdr:spPr>
        <a:xfrm>
          <a:off x="1294447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59.xml><?xml version="1.0" encoding="utf-8"?>
<xdr:wsDr xmlns:xdr="http://schemas.openxmlformats.org/drawingml/2006/spreadsheetDrawing" xmlns:a="http://schemas.openxmlformats.org/drawingml/2006/main">
  <xdr:twoCellAnchor>
    <xdr:from>
      <xdr:col>14</xdr:col>
      <xdr:colOff>152400</xdr:colOff>
      <xdr:row>0</xdr:row>
      <xdr:rowOff>0</xdr:rowOff>
    </xdr:from>
    <xdr:to>
      <xdr:col>14</xdr:col>
      <xdr:colOff>1028700</xdr:colOff>
      <xdr:row>3</xdr:row>
      <xdr:rowOff>171450</xdr:rowOff>
    </xdr:to>
    <xdr:sp macro="" textlink="">
      <xdr:nvSpPr>
        <xdr:cNvPr id="2" name="Ellipse 1"/>
        <xdr:cNvSpPr/>
      </xdr:nvSpPr>
      <xdr:spPr>
        <a:xfrm>
          <a:off x="11858625" y="0"/>
          <a:ext cx="876300" cy="771525"/>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0.xml><?xml version="1.0" encoding="utf-8"?>
<xdr:wsDr xmlns:xdr="http://schemas.openxmlformats.org/drawingml/2006/spreadsheetDrawing" xmlns:a="http://schemas.openxmlformats.org/drawingml/2006/main">
  <xdr:twoCellAnchor>
    <xdr:from>
      <xdr:col>14</xdr:col>
      <xdr:colOff>457200</xdr:colOff>
      <xdr:row>0</xdr:row>
      <xdr:rowOff>0</xdr:rowOff>
    </xdr:from>
    <xdr:to>
      <xdr:col>15</xdr:col>
      <xdr:colOff>19050</xdr:colOff>
      <xdr:row>3</xdr:row>
      <xdr:rowOff>142875</xdr:rowOff>
    </xdr:to>
    <xdr:sp macro="" textlink="">
      <xdr:nvSpPr>
        <xdr:cNvPr id="3" name="Ellipse 2"/>
        <xdr:cNvSpPr/>
      </xdr:nvSpPr>
      <xdr:spPr>
        <a:xfrm>
          <a:off x="1155382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1.xml><?xml version="1.0" encoding="utf-8"?>
<xdr:wsDr xmlns:xdr="http://schemas.openxmlformats.org/drawingml/2006/spreadsheetDrawing" xmlns:a="http://schemas.openxmlformats.org/drawingml/2006/main">
  <xdr:twoCellAnchor>
    <xdr:from>
      <xdr:col>13</xdr:col>
      <xdr:colOff>285750</xdr:colOff>
      <xdr:row>0</xdr:row>
      <xdr:rowOff>0</xdr:rowOff>
    </xdr:from>
    <xdr:to>
      <xdr:col>13</xdr:col>
      <xdr:colOff>1162050</xdr:colOff>
      <xdr:row>3</xdr:row>
      <xdr:rowOff>142875</xdr:rowOff>
    </xdr:to>
    <xdr:sp macro="" textlink="">
      <xdr:nvSpPr>
        <xdr:cNvPr id="3" name="Ellipse 2"/>
        <xdr:cNvSpPr/>
      </xdr:nvSpPr>
      <xdr:spPr>
        <a:xfrm>
          <a:off x="10620375"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2.xml><?xml version="1.0" encoding="utf-8"?>
<xdr:wsDr xmlns:xdr="http://schemas.openxmlformats.org/drawingml/2006/spreadsheetDrawing" xmlns:a="http://schemas.openxmlformats.org/drawingml/2006/main">
  <xdr:twoCellAnchor>
    <xdr:from>
      <xdr:col>13</xdr:col>
      <xdr:colOff>85725</xdr:colOff>
      <xdr:row>0</xdr:row>
      <xdr:rowOff>0</xdr:rowOff>
    </xdr:from>
    <xdr:to>
      <xdr:col>13</xdr:col>
      <xdr:colOff>962025</xdr:colOff>
      <xdr:row>3</xdr:row>
      <xdr:rowOff>76200</xdr:rowOff>
    </xdr:to>
    <xdr:sp macro="" textlink="">
      <xdr:nvSpPr>
        <xdr:cNvPr id="3" name="Ellipse 2"/>
        <xdr:cNvSpPr/>
      </xdr:nvSpPr>
      <xdr:spPr>
        <a:xfrm>
          <a:off x="1089660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3.xml><?xml version="1.0" encoding="utf-8"?>
<xdr:wsDr xmlns:xdr="http://schemas.openxmlformats.org/drawingml/2006/spreadsheetDrawing" xmlns:a="http://schemas.openxmlformats.org/drawingml/2006/main">
  <xdr:twoCellAnchor>
    <xdr:from>
      <xdr:col>13</xdr:col>
      <xdr:colOff>190500</xdr:colOff>
      <xdr:row>0</xdr:row>
      <xdr:rowOff>0</xdr:rowOff>
    </xdr:from>
    <xdr:to>
      <xdr:col>13</xdr:col>
      <xdr:colOff>1066800</xdr:colOff>
      <xdr:row>3</xdr:row>
      <xdr:rowOff>114300</xdr:rowOff>
    </xdr:to>
    <xdr:sp macro="" textlink="">
      <xdr:nvSpPr>
        <xdr:cNvPr id="3" name="Ellipse 2"/>
        <xdr:cNvSpPr/>
      </xdr:nvSpPr>
      <xdr:spPr>
        <a:xfrm>
          <a:off x="10629900" y="0"/>
          <a:ext cx="876300" cy="762000"/>
        </a:xfrm>
        <a:prstGeom prst="ellipse">
          <a:avLst/>
        </a:prstGeom>
        <a:ln w="38100"/>
      </xdr:spPr>
      <xdr:style>
        <a:lnRef idx="2">
          <a:schemeClr val="accent2"/>
        </a:lnRef>
        <a:fillRef idx="1">
          <a:schemeClr val="lt1"/>
        </a:fillRef>
        <a:effectRef idx="0">
          <a:schemeClr val="accent2"/>
        </a:effectRef>
        <a:fontRef idx="minor">
          <a:schemeClr val="dk1"/>
        </a:fontRef>
      </xdr:style>
      <xdr:txBody>
        <a:bodyPr rtlCol="0" anchor="ctr">
          <a:scene3d>
            <a:camera prst="orthographicFront"/>
            <a:lightRig rig="flat" dir="tl">
              <a:rot lat="0" lon="0" rev="6600000"/>
            </a:lightRig>
          </a:scene3d>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4.xml><?xml version="1.0" encoding="utf-8"?>
<xdr:wsDr xmlns:xdr="http://schemas.openxmlformats.org/drawingml/2006/spreadsheetDrawing" xmlns:a="http://schemas.openxmlformats.org/drawingml/2006/main">
  <xdr:twoCellAnchor>
    <xdr:from>
      <xdr:col>5</xdr:col>
      <xdr:colOff>1076326</xdr:colOff>
      <xdr:row>0</xdr:row>
      <xdr:rowOff>0</xdr:rowOff>
    </xdr:from>
    <xdr:to>
      <xdr:col>5</xdr:col>
      <xdr:colOff>1838326</xdr:colOff>
      <xdr:row>2</xdr:row>
      <xdr:rowOff>66675</xdr:rowOff>
    </xdr:to>
    <xdr:sp macro="" textlink="">
      <xdr:nvSpPr>
        <xdr:cNvPr id="2" name="Ellipse 1"/>
        <xdr:cNvSpPr/>
      </xdr:nvSpPr>
      <xdr:spPr>
        <a:xfrm>
          <a:off x="5238751" y="0"/>
          <a:ext cx="762000" cy="485775"/>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32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twoCellAnchor>
    <xdr:from>
      <xdr:col>12</xdr:col>
      <xdr:colOff>581026</xdr:colOff>
      <xdr:row>0</xdr:row>
      <xdr:rowOff>0</xdr:rowOff>
    </xdr:from>
    <xdr:to>
      <xdr:col>12</xdr:col>
      <xdr:colOff>981076</xdr:colOff>
      <xdr:row>2</xdr:row>
      <xdr:rowOff>0</xdr:rowOff>
    </xdr:to>
    <xdr:sp macro="" textlink="">
      <xdr:nvSpPr>
        <xdr:cNvPr id="3" name="Ellipse 2"/>
        <xdr:cNvSpPr/>
      </xdr:nvSpPr>
      <xdr:spPr>
        <a:xfrm>
          <a:off x="9077326" y="0"/>
          <a:ext cx="400050" cy="323850"/>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2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5.xml><?xml version="1.0" encoding="utf-8"?>
<xdr:wsDr xmlns:xdr="http://schemas.openxmlformats.org/drawingml/2006/spreadsheetDrawing" xmlns:a="http://schemas.openxmlformats.org/drawingml/2006/main">
  <xdr:twoCellAnchor>
    <xdr:from>
      <xdr:col>9</xdr:col>
      <xdr:colOff>152400</xdr:colOff>
      <xdr:row>0</xdr:row>
      <xdr:rowOff>0</xdr:rowOff>
    </xdr:from>
    <xdr:to>
      <xdr:col>10</xdr:col>
      <xdr:colOff>0</xdr:colOff>
      <xdr:row>3</xdr:row>
      <xdr:rowOff>66675</xdr:rowOff>
    </xdr:to>
    <xdr:sp macro="" textlink="">
      <xdr:nvSpPr>
        <xdr:cNvPr id="2" name="Ellipse 1"/>
        <xdr:cNvSpPr/>
      </xdr:nvSpPr>
      <xdr:spPr>
        <a:xfrm>
          <a:off x="9201150" y="0"/>
          <a:ext cx="847725" cy="657225"/>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60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drawings/drawing66.xml><?xml version="1.0" encoding="utf-8"?>
<xdr:wsDr xmlns:xdr="http://schemas.openxmlformats.org/drawingml/2006/spreadsheetDrawing" xmlns:a="http://schemas.openxmlformats.org/drawingml/2006/main">
  <xdr:twoCellAnchor>
    <xdr:from>
      <xdr:col>15</xdr:col>
      <xdr:colOff>76200</xdr:colOff>
      <xdr:row>0</xdr:row>
      <xdr:rowOff>38100</xdr:rowOff>
    </xdr:from>
    <xdr:to>
      <xdr:col>15</xdr:col>
      <xdr:colOff>809624</xdr:colOff>
      <xdr:row>3</xdr:row>
      <xdr:rowOff>57150</xdr:rowOff>
    </xdr:to>
    <xdr:sp macro="" textlink="">
      <xdr:nvSpPr>
        <xdr:cNvPr id="2" name="Ellipse 1"/>
        <xdr:cNvSpPr/>
      </xdr:nvSpPr>
      <xdr:spPr>
        <a:xfrm>
          <a:off x="10439400" y="38100"/>
          <a:ext cx="733424" cy="600075"/>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4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twoCellAnchor>
    <xdr:from>
      <xdr:col>0</xdr:col>
      <xdr:colOff>409574</xdr:colOff>
      <xdr:row>8</xdr:row>
      <xdr:rowOff>28575</xdr:rowOff>
    </xdr:from>
    <xdr:to>
      <xdr:col>9</xdr:col>
      <xdr:colOff>152400</xdr:colOff>
      <xdr:row>20</xdr:row>
      <xdr:rowOff>47626</xdr:rowOff>
    </xdr:to>
    <xdr:graphicFrame macro="">
      <xdr:nvGraphicFramePr>
        <xdr:cNvPr id="7" name="Graphique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647700</xdr:colOff>
      <xdr:row>38</xdr:row>
      <xdr:rowOff>28575</xdr:rowOff>
    </xdr:from>
    <xdr:to>
      <xdr:col>0</xdr:col>
      <xdr:colOff>752475</xdr:colOff>
      <xdr:row>38</xdr:row>
      <xdr:rowOff>142875</xdr:rowOff>
    </xdr:to>
    <xdr:sp macro="" textlink="">
      <xdr:nvSpPr>
        <xdr:cNvPr id="8" name="Triangle isocèle 7"/>
        <xdr:cNvSpPr/>
      </xdr:nvSpPr>
      <xdr:spPr>
        <a:xfrm>
          <a:off x="647700" y="6657975"/>
          <a:ext cx="104775"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628650</xdr:colOff>
      <xdr:row>33</xdr:row>
      <xdr:rowOff>19050</xdr:rowOff>
    </xdr:from>
    <xdr:to>
      <xdr:col>0</xdr:col>
      <xdr:colOff>733425</xdr:colOff>
      <xdr:row>33</xdr:row>
      <xdr:rowOff>142875</xdr:rowOff>
    </xdr:to>
    <xdr:sp macro="" textlink="">
      <xdr:nvSpPr>
        <xdr:cNvPr id="9" name="Rectangle 8"/>
        <xdr:cNvSpPr/>
      </xdr:nvSpPr>
      <xdr:spPr>
        <a:xfrm>
          <a:off x="628650" y="5800725"/>
          <a:ext cx="104775"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638175</xdr:colOff>
      <xdr:row>29</xdr:row>
      <xdr:rowOff>28575</xdr:rowOff>
    </xdr:from>
    <xdr:to>
      <xdr:col>0</xdr:col>
      <xdr:colOff>742950</xdr:colOff>
      <xdr:row>29</xdr:row>
      <xdr:rowOff>171450</xdr:rowOff>
    </xdr:to>
    <xdr:sp macro="" textlink="">
      <xdr:nvSpPr>
        <xdr:cNvPr id="10" name="Organigramme : Décision 9"/>
        <xdr:cNvSpPr/>
      </xdr:nvSpPr>
      <xdr:spPr>
        <a:xfrm>
          <a:off x="638175" y="5124450"/>
          <a:ext cx="104775" cy="14287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wsDr>
</file>

<file path=xl/drawings/drawing67.xml><?xml version="1.0" encoding="utf-8"?>
<xdr:wsDr xmlns:xdr="http://schemas.openxmlformats.org/drawingml/2006/spreadsheetDrawing" xmlns:a="http://schemas.openxmlformats.org/drawingml/2006/main">
  <xdr:twoCellAnchor>
    <xdr:from>
      <xdr:col>0</xdr:col>
      <xdr:colOff>0</xdr:colOff>
      <xdr:row>24</xdr:row>
      <xdr:rowOff>57150</xdr:rowOff>
    </xdr:from>
    <xdr:to>
      <xdr:col>1</xdr:col>
      <xdr:colOff>571500</xdr:colOff>
      <xdr:row>24</xdr:row>
      <xdr:rowOff>66675</xdr:rowOff>
    </xdr:to>
    <xdr:sp macro="" textlink="">
      <xdr:nvSpPr>
        <xdr:cNvPr id="39937" name="AutoShape 1"/>
        <xdr:cNvSpPr>
          <a:spLocks noChangeShapeType="1"/>
        </xdr:cNvSpPr>
      </xdr:nvSpPr>
      <xdr:spPr bwMode="auto">
        <a:xfrm>
          <a:off x="0" y="9639300"/>
          <a:ext cx="1333500" cy="9525"/>
        </a:xfrm>
        <a:prstGeom prst="straightConnector1">
          <a:avLst/>
        </a:prstGeom>
        <a:noFill/>
        <a:ln w="9525">
          <a:solidFill>
            <a:srgbClr val="000000"/>
          </a:solidFill>
          <a:round/>
          <a:headEnd/>
          <a:tailEnd/>
        </a:ln>
      </xdr:spPr>
    </xdr:sp>
    <xdr:clientData/>
  </xdr:twoCellAnchor>
</xdr:wsDr>
</file>

<file path=xl/drawings/drawing68.xml><?xml version="1.0" encoding="utf-8"?>
<xdr:wsDr xmlns:xdr="http://schemas.openxmlformats.org/drawingml/2006/spreadsheetDrawing" xmlns:a="http://schemas.openxmlformats.org/drawingml/2006/main">
  <xdr:twoCellAnchor>
    <xdr:from>
      <xdr:col>18</xdr:col>
      <xdr:colOff>76200</xdr:colOff>
      <xdr:row>0</xdr:row>
      <xdr:rowOff>38100</xdr:rowOff>
    </xdr:from>
    <xdr:to>
      <xdr:col>18</xdr:col>
      <xdr:colOff>809624</xdr:colOff>
      <xdr:row>3</xdr:row>
      <xdr:rowOff>57150</xdr:rowOff>
    </xdr:to>
    <xdr:sp macro="" textlink="">
      <xdr:nvSpPr>
        <xdr:cNvPr id="2" name="Ellipse 1"/>
        <xdr:cNvSpPr/>
      </xdr:nvSpPr>
      <xdr:spPr>
        <a:xfrm>
          <a:off x="11068050" y="38100"/>
          <a:ext cx="733424" cy="600075"/>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4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twoCellAnchor>
    <xdr:from>
      <xdr:col>0</xdr:col>
      <xdr:colOff>647700</xdr:colOff>
      <xdr:row>64</xdr:row>
      <xdr:rowOff>28575</xdr:rowOff>
    </xdr:from>
    <xdr:to>
      <xdr:col>0</xdr:col>
      <xdr:colOff>752475</xdr:colOff>
      <xdr:row>64</xdr:row>
      <xdr:rowOff>142875</xdr:rowOff>
    </xdr:to>
    <xdr:sp macro="" textlink="">
      <xdr:nvSpPr>
        <xdr:cNvPr id="4" name="Triangle isocèle 3"/>
        <xdr:cNvSpPr/>
      </xdr:nvSpPr>
      <xdr:spPr>
        <a:xfrm>
          <a:off x="647700" y="7000875"/>
          <a:ext cx="104775" cy="1143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628650</xdr:colOff>
      <xdr:row>59</xdr:row>
      <xdr:rowOff>19050</xdr:rowOff>
    </xdr:from>
    <xdr:to>
      <xdr:col>0</xdr:col>
      <xdr:colOff>733425</xdr:colOff>
      <xdr:row>59</xdr:row>
      <xdr:rowOff>142875</xdr:rowOff>
    </xdr:to>
    <xdr:sp macro="" textlink="">
      <xdr:nvSpPr>
        <xdr:cNvPr id="5" name="Rectangle 4"/>
        <xdr:cNvSpPr/>
      </xdr:nvSpPr>
      <xdr:spPr>
        <a:xfrm>
          <a:off x="628650" y="6143625"/>
          <a:ext cx="104775" cy="123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638175</xdr:colOff>
      <xdr:row>55</xdr:row>
      <xdr:rowOff>28575</xdr:rowOff>
    </xdr:from>
    <xdr:to>
      <xdr:col>0</xdr:col>
      <xdr:colOff>742950</xdr:colOff>
      <xdr:row>55</xdr:row>
      <xdr:rowOff>171450</xdr:rowOff>
    </xdr:to>
    <xdr:sp macro="" textlink="">
      <xdr:nvSpPr>
        <xdr:cNvPr id="6" name="Organigramme : Décision 5"/>
        <xdr:cNvSpPr/>
      </xdr:nvSpPr>
      <xdr:spPr>
        <a:xfrm>
          <a:off x="638175" y="5467350"/>
          <a:ext cx="104775" cy="14287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104775</xdr:colOff>
      <xdr:row>4</xdr:row>
      <xdr:rowOff>104776</xdr:rowOff>
    </xdr:from>
    <xdr:to>
      <xdr:col>12</xdr:col>
      <xdr:colOff>323851</xdr:colOff>
      <xdr:row>19</xdr:row>
      <xdr:rowOff>66676</xdr:rowOff>
    </xdr:to>
    <xdr:graphicFrame macro="">
      <xdr:nvGraphicFramePr>
        <xdr:cNvPr id="8" name="Graphique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9.xml><?xml version="1.0" encoding="utf-8"?>
<xdr:wsDr xmlns:xdr="http://schemas.openxmlformats.org/drawingml/2006/spreadsheetDrawing" xmlns:a="http://schemas.openxmlformats.org/drawingml/2006/main">
  <xdr:twoCellAnchor>
    <xdr:from>
      <xdr:col>15</xdr:col>
      <xdr:colOff>76200</xdr:colOff>
      <xdr:row>0</xdr:row>
      <xdr:rowOff>38100</xdr:rowOff>
    </xdr:from>
    <xdr:to>
      <xdr:col>15</xdr:col>
      <xdr:colOff>809624</xdr:colOff>
      <xdr:row>3</xdr:row>
      <xdr:rowOff>57150</xdr:rowOff>
    </xdr:to>
    <xdr:sp macro="" textlink="">
      <xdr:nvSpPr>
        <xdr:cNvPr id="2" name="Ellipse 1"/>
        <xdr:cNvSpPr/>
      </xdr:nvSpPr>
      <xdr:spPr>
        <a:xfrm>
          <a:off x="12306300" y="38100"/>
          <a:ext cx="733424" cy="600075"/>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4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twoCellAnchor>
    <xdr:from>
      <xdr:col>0</xdr:col>
      <xdr:colOff>409574</xdr:colOff>
      <xdr:row>8</xdr:row>
      <xdr:rowOff>28575</xdr:rowOff>
    </xdr:from>
    <xdr:to>
      <xdr:col>9</xdr:col>
      <xdr:colOff>152400</xdr:colOff>
      <xdr:row>20</xdr:row>
      <xdr:rowOff>47626</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647700</xdr:colOff>
      <xdr:row>40</xdr:row>
      <xdr:rowOff>28575</xdr:rowOff>
    </xdr:from>
    <xdr:to>
      <xdr:col>0</xdr:col>
      <xdr:colOff>752475</xdr:colOff>
      <xdr:row>40</xdr:row>
      <xdr:rowOff>142875</xdr:rowOff>
    </xdr:to>
    <xdr:sp macro="" textlink="">
      <xdr:nvSpPr>
        <xdr:cNvPr id="4" name="Triangle isocèle 3"/>
        <xdr:cNvSpPr/>
      </xdr:nvSpPr>
      <xdr:spPr>
        <a:xfrm>
          <a:off x="647700" y="6562725"/>
          <a:ext cx="104775" cy="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628650</xdr:colOff>
      <xdr:row>35</xdr:row>
      <xdr:rowOff>19050</xdr:rowOff>
    </xdr:from>
    <xdr:to>
      <xdr:col>0</xdr:col>
      <xdr:colOff>733425</xdr:colOff>
      <xdr:row>35</xdr:row>
      <xdr:rowOff>142875</xdr:rowOff>
    </xdr:to>
    <xdr:sp macro="" textlink="">
      <xdr:nvSpPr>
        <xdr:cNvPr id="5" name="Rectangle 4"/>
        <xdr:cNvSpPr/>
      </xdr:nvSpPr>
      <xdr:spPr>
        <a:xfrm>
          <a:off x="628650" y="6562725"/>
          <a:ext cx="104775" cy="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twoCellAnchor>
    <xdr:from>
      <xdr:col>0</xdr:col>
      <xdr:colOff>638175</xdr:colOff>
      <xdr:row>31</xdr:row>
      <xdr:rowOff>28575</xdr:rowOff>
    </xdr:from>
    <xdr:to>
      <xdr:col>0</xdr:col>
      <xdr:colOff>742950</xdr:colOff>
      <xdr:row>31</xdr:row>
      <xdr:rowOff>171450</xdr:rowOff>
    </xdr:to>
    <xdr:sp macro="" textlink="">
      <xdr:nvSpPr>
        <xdr:cNvPr id="6" name="Organigramme : Décision 5"/>
        <xdr:cNvSpPr/>
      </xdr:nvSpPr>
      <xdr:spPr>
        <a:xfrm>
          <a:off x="638175" y="6562725"/>
          <a:ext cx="104775" cy="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fr-FR" sz="1100"/>
        </a:p>
      </xdr:txBody>
    </xdr:sp>
    <xdr:clientData/>
  </xdr:twoCellAnchor>
</xdr:wsDr>
</file>

<file path=xl/drawings/drawing70.xml><?xml version="1.0" encoding="utf-8"?>
<xdr:wsDr xmlns:xdr="http://schemas.openxmlformats.org/drawingml/2006/spreadsheetDrawing" xmlns:a="http://schemas.openxmlformats.org/drawingml/2006/main">
  <xdr:twoCellAnchor>
    <xdr:from>
      <xdr:col>5</xdr:col>
      <xdr:colOff>314325</xdr:colOff>
      <xdr:row>0</xdr:row>
      <xdr:rowOff>47625</xdr:rowOff>
    </xdr:from>
    <xdr:to>
      <xdr:col>6</xdr:col>
      <xdr:colOff>0</xdr:colOff>
      <xdr:row>3</xdr:row>
      <xdr:rowOff>19050</xdr:rowOff>
    </xdr:to>
    <xdr:sp macro="" textlink="">
      <xdr:nvSpPr>
        <xdr:cNvPr id="2" name="Ellipse 1"/>
        <xdr:cNvSpPr/>
      </xdr:nvSpPr>
      <xdr:spPr>
        <a:xfrm>
          <a:off x="3657600" y="47625"/>
          <a:ext cx="581025" cy="552450"/>
        </a:xfrm>
        <a:prstGeom prst="ellipse">
          <a:avLst/>
        </a:prstGeom>
        <a:ln w="57150"/>
        <a:scene3d>
          <a:camera prst="orthographicFront"/>
          <a:lightRig rig="flat" dir="tl">
            <a:rot lat="0" lon="0" rev="6600000"/>
          </a:lightRig>
        </a:scene3d>
        <a:sp3d>
          <a:bevelT/>
        </a:sp3d>
      </xdr:spPr>
      <xdr:style>
        <a:lnRef idx="2">
          <a:schemeClr val="accent2"/>
        </a:lnRef>
        <a:fillRef idx="1">
          <a:schemeClr val="lt1"/>
        </a:fillRef>
        <a:effectRef idx="0">
          <a:schemeClr val="accent2"/>
        </a:effectRef>
        <a:fontRef idx="minor">
          <a:schemeClr val="dk1"/>
        </a:fontRef>
      </xdr:style>
      <xdr:txBody>
        <a:bodyPr rtlCol="0" anchor="ctr">
          <a:sp3d extrusionH="25400" contourW="8890">
            <a:bevelT w="38100" h="31750"/>
            <a:contourClr>
              <a:schemeClr val="accent2">
                <a:shade val="75000"/>
              </a:schemeClr>
            </a:contourClr>
          </a:sp3d>
        </a:bodyPr>
        <a:lstStyle/>
        <a:p>
          <a:pPr algn="ctr"/>
          <a:r>
            <a:rPr lang="fr-FR" sz="2800" b="1" cap="none" spc="0">
              <a:ln w="11430"/>
              <a:gradFill>
                <a:gsLst>
                  <a:gs pos="0">
                    <a:schemeClr val="accent2">
                      <a:tint val="70000"/>
                      <a:satMod val="245000"/>
                    </a:schemeClr>
                  </a:gs>
                  <a:gs pos="75000">
                    <a:schemeClr val="accent2">
                      <a:tint val="90000"/>
                      <a:shade val="60000"/>
                      <a:satMod val="240000"/>
                    </a:schemeClr>
                  </a:gs>
                  <a:gs pos="100000">
                    <a:schemeClr val="accent2">
                      <a:tint val="100000"/>
                      <a:shade val="50000"/>
                      <a:satMod val="240000"/>
                    </a:schemeClr>
                  </a:gs>
                </a:gsLst>
                <a:lin ang="5400000"/>
              </a:gradFill>
              <a:effectLst>
                <a:outerShdw blurRad="50800" dist="39000" dir="5460000" algn="tl">
                  <a:srgbClr val="000000">
                    <a:alpha val="38000"/>
                  </a:srgbClr>
                </a:outerShdw>
              </a:effectLst>
              <a:latin typeface="Cooper Black" pitchFamily="18" charset="0"/>
            </a:rPr>
            <a:t>B</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salvie/yamazaky/dolbi/pelican/valide/octobre%202013/yassa%20%20OCTOBRE%2020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Administrateur/Application%20Data/Microsoft/Excel/EQUATIONDE%20CONTROLE%20fevrier%2020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nsalvie/yamazaky/dolbi/pelican/valide/JUIN%202016/JUIN%202018/DECOUVERT%20YASSA%20MAI%202018.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Administrateur/Application%20Data/Microsoft/Excel/Activit&#233;%20personnel%20de%20pisteNOVEMBREBR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ECOUVERT%20YASSA%20FEVRIER%20%20202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monsalvie/yamazaky/dolbi/pelican/valide/Janvier%202014/yassa%20janvier2014.xlsx%20recuperer.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onsalvie/yamazaky/dolbi/pelican/valide/JUILLET%20MALIEDJI%202015/Decouvert%20JUILLET%20-15%20xlsx%20recuper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C"/>
      <sheetName val="LL"/>
      <sheetName val="ventes"/>
      <sheetName val="Lub"/>
      <sheetName val="ecart p"/>
      <sheetName val="analyse stock "/>
      <sheetName val="vers&amp;dépenses "/>
      <sheetName val="Cont recet ss"/>
      <sheetName val="client station"/>
      <sheetName val="EVOLUTION ANNUEL DES VENTES"/>
      <sheetName val="comparaison ventes"/>
      <sheetName val="RC"/>
      <sheetName val="SOLDE DES STATION"/>
      <sheetName val="SODITRAT"/>
      <sheetName val="MMS"/>
      <sheetName val="KONFU"/>
      <sheetName val="NARESER"/>
      <sheetName val="BONIMEX"/>
      <sheetName val="HERAKLESS"/>
      <sheetName val="ABS"/>
      <sheetName val="BLESSING"/>
      <sheetName val="CAMTAI"/>
      <sheetName val="SG"/>
      <sheetName val="caisse de fonctionnement"/>
      <sheetName val="POUR IMPRESSION"/>
      <sheetName val="RAPPORT1 analyse de ventes"/>
      <sheetName val=" clients spéciaux"/>
      <sheetName val="Rapport2 equation de stock"/>
      <sheetName val="DEPENSES PTITE CAISSE"/>
      <sheetName val="DEPENSES PTITE CAISSE (2)"/>
      <sheetName val="PROGRMME POMPISTE"/>
      <sheetName val="fiche de depouillement"/>
      <sheetName val="equation de controle1"/>
      <sheetName val="etat enlevement"/>
      <sheetName val="petite caisse"/>
      <sheetName val="FICHES STOCK"/>
      <sheetName val="GRATIFICATION"/>
      <sheetName val="ACCESSOIRE"/>
      <sheetName val="FICHE BOUTIQUE"/>
      <sheetName val="Feuil2"/>
      <sheetName val="Feuil1"/>
    </sheetNames>
    <sheetDataSet>
      <sheetData sheetId="0"/>
      <sheetData sheetId="1"/>
      <sheetData sheetId="2"/>
      <sheetData sheetId="3">
        <row r="28">
          <cell r="Q28">
            <v>705</v>
          </cell>
        </row>
      </sheetData>
      <sheetData sheetId="4"/>
      <sheetData sheetId="5"/>
      <sheetData sheetId="6"/>
      <sheetData sheetId="7">
        <row r="35">
          <cell r="D35">
            <v>5933650</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12-13"/>
      <sheetName val="02-12-13"/>
      <sheetName val="03-12-13"/>
      <sheetName val="4-12-13 "/>
      <sheetName val="5-12-13  "/>
      <sheetName val="6-12-13  "/>
      <sheetName val="7-12-13   "/>
      <sheetName val="8-12-13    "/>
      <sheetName val="9-12-13    "/>
      <sheetName val="10-12-13   "/>
      <sheetName val="11-12-13    "/>
      <sheetName val="12-12-13    "/>
      <sheetName val="13-12-13    "/>
      <sheetName val="14-12-13     "/>
      <sheetName val="15-12-13     "/>
      <sheetName val="16-12-13"/>
      <sheetName val="17-12-13"/>
      <sheetName val="18-12-13"/>
      <sheetName val="19-12-13  "/>
      <sheetName val="20-12-13  "/>
      <sheetName val="21-12-13   "/>
      <sheetName val="22-12-13    "/>
      <sheetName val="23-12-13 "/>
      <sheetName val="24-12-13 "/>
      <sheetName val="25-12-13 "/>
      <sheetName val="26-12-13 "/>
      <sheetName val="27-12-13 "/>
      <sheetName val="28-12-13   "/>
      <sheetName val="29-12-13 "/>
      <sheetName val="30-12-13 "/>
      <sheetName val="31-12-13  "/>
      <sheetName val="01-1-14  "/>
      <sheetName val="31-10-13   (3)"/>
      <sheetName val="Feuil1"/>
      <sheetName val="Feuil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17">
          <cell r="H17">
            <v>0</v>
          </cell>
          <cell r="I17">
            <v>0</v>
          </cell>
          <cell r="J17">
            <v>0</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ART"/>
      <sheetName val="RECETTE"/>
      <sheetName val="VENTE LUB"/>
      <sheetName val="DEPENSES"/>
      <sheetName val="compte d'exploitation"/>
      <sheetName val="découvert au 08 - 09 - 2017"/>
      <sheetName val="Feuil1"/>
      <sheetName val="découvert au 12 - 09 - 2017 (2"/>
      <sheetName val="découvert reconstitue au 2-01- "/>
      <sheetName val="découvert au 31 - 12 - 2017 "/>
      <sheetName val="découvert jan-18 (2)"/>
      <sheetName val="INVENTAIRE LUB"/>
      <sheetName val="Motivation lubs"/>
      <sheetName val="Feuil2"/>
      <sheetName val="Feuil3"/>
      <sheetName val="INVENTAIRE LUB (3)"/>
      <sheetName val="découvert avril RECONSTITUE (2"/>
      <sheetName val="découvert AVRIL 2018"/>
      <sheetName val="découvert AVRIL 2018 A RECONSTI"/>
      <sheetName val="AVC-AVFC"/>
      <sheetName val="motivation lub"/>
      <sheetName val="INVENTAIRE LUB (2)"/>
      <sheetName val="Feuil4"/>
      <sheetName val="Feuil5"/>
      <sheetName val="Feuil6"/>
    </sheetNames>
    <sheetDataSet>
      <sheetData sheetId="0"/>
      <sheetData sheetId="1">
        <row r="36">
          <cell r="AY36">
            <v>7422150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ivi  FILLES"/>
      <sheetName val="Suivi garçons"/>
      <sheetName val="Mqt +abs"/>
      <sheetName val="ETAT DE MANQUANT"/>
      <sheetName val="Feuil2"/>
      <sheetName val="Feuil3"/>
      <sheetName val="Feuil1"/>
      <sheetName val="Feuil4"/>
      <sheetName val="Feuil5"/>
    </sheetNames>
    <sheetDataSet>
      <sheetData sheetId="0" refreshError="1"/>
      <sheetData sheetId="1" refreshError="1"/>
      <sheetData sheetId="2">
        <row r="9">
          <cell r="AP9">
            <v>-10823</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ART"/>
      <sheetName val="RECETTE"/>
      <sheetName val="VENTE LUB"/>
      <sheetName val="motivation LUB "/>
      <sheetName val="INVENTAIRE LUB"/>
      <sheetName val="DECOUVERT FEVRIER "/>
      <sheetName val="DECOUVERT AOUT"/>
      <sheetName val="DECOUVERT octobre"/>
      <sheetName val="manquant"/>
      <sheetName val="INVENTAIRE LUB (2)"/>
      <sheetName val="RECAP"/>
      <sheetName val="DECOUVERT SEPTEMBRE 1)"/>
      <sheetName val="DECOUVERT DECEMBRE"/>
      <sheetName val="DECOUVERT DECEMBRE  (2)"/>
      <sheetName val="DECOUVERT janvier "/>
      <sheetName val="DECOUVERT janvier  (2)"/>
      <sheetName val="PRESENCES"/>
      <sheetName val="MANQUANTS"/>
      <sheetName val="RECAPT"/>
      <sheetName val="suivi groupe "/>
      <sheetName val="DECOUVERT FEVRIER  (2)"/>
      <sheetName val="DECOUVERT FEVRIER 2"/>
      <sheetName val="DECOUVERT FEVRIER 2 (2)"/>
      <sheetName val="INVENTAIRE LUB (3)"/>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
      <sheetName val="LC"/>
      <sheetName val="analyse stock "/>
      <sheetName val="ventes"/>
      <sheetName val="Lub"/>
      <sheetName val="ecart p"/>
      <sheetName val="vers&amp;dépenses "/>
      <sheetName val="client station"/>
      <sheetName val="EVOLUT° VENTES"/>
      <sheetName val="Cont recet ss"/>
      <sheetName val="RC"/>
      <sheetName val="SOLDE DES STATION"/>
      <sheetName val="SODITRAT"/>
      <sheetName val="KONGFU"/>
      <sheetName val="MMS"/>
      <sheetName val="ACHOU"/>
      <sheetName val="NARESER"/>
      <sheetName val="BONIMEX"/>
      <sheetName val="HERAKLESS"/>
      <sheetName val="BLESSING"/>
      <sheetName val="YOSSI"/>
      <sheetName val="YOUSSOUFA"/>
      <sheetName val="MEZATRANS"/>
      <sheetName val="SOFOCAM"/>
      <sheetName val="HAMED"/>
      <sheetName val="FINEXS"/>
      <sheetName val="KESTRAL"/>
      <sheetName val="IHM"/>
      <sheetName val="POUR IMPRESSION"/>
      <sheetName val="RAPPORT1 analyse de ventes"/>
      <sheetName val=" clients spéciaux"/>
      <sheetName val="Rapport2 equation de stock"/>
      <sheetName val="DEPENSES PTITE CAISSE"/>
      <sheetName val="DEPENSES PTITE CAISSE (2)"/>
      <sheetName val="PROGRMME POMPISTE"/>
      <sheetName val="fiche de depouillement"/>
      <sheetName val="equation de controle1"/>
      <sheetName val="etat enlevement"/>
      <sheetName val="FICHES STOCK"/>
      <sheetName val="GRATIFICATION"/>
      <sheetName val="Feuil2"/>
      <sheetName val="Feuil3"/>
      <sheetName val="CONSO FINEXS"/>
      <sheetName val="Feuil4"/>
      <sheetName val="Feuil5"/>
      <sheetName val="Feuil6"/>
      <sheetName val="Boutique"/>
      <sheetName val="FICHE RCPT"/>
      <sheetName val="Boutique (2)"/>
      <sheetName val="Boutique janvier"/>
      <sheetName val="petite caisse"/>
      <sheetName val="FICHE LUB"/>
      <sheetName val="FICHE LUB (2)"/>
      <sheetName val="comparaison ventes"/>
      <sheetName val="EVOLUTION DES VENTES ANNUEL"/>
      <sheetName val="Feuil7"/>
      <sheetName val="receptin carb"/>
      <sheetName val="recept°carb"/>
      <sheetName val="Feuil1"/>
      <sheetName val="Feuil8"/>
      <sheetName val="Feuil9"/>
      <sheetName val="Feuil10"/>
      <sheetName val="engen"/>
      <sheetName val="Feuil12"/>
      <sheetName val="Feuil13"/>
      <sheetName val="Feuil14"/>
      <sheetName val="NESCAFE"/>
      <sheetName val="Feuil16"/>
      <sheetName val="Feuil11"/>
      <sheetName val="Feuil17"/>
      <sheetName val="Feuil19"/>
      <sheetName val="Feuil18"/>
      <sheetName val="Feuil15"/>
      <sheetName val="Feuil20"/>
      <sheetName val="Feuil21"/>
    </sheetNames>
    <sheetDataSet>
      <sheetData sheetId="0"/>
      <sheetData sheetId="1"/>
      <sheetData sheetId="2"/>
      <sheetData sheetId="3">
        <row r="41">
          <cell r="B41">
            <v>56546</v>
          </cell>
          <cell r="C41">
            <v>319934</v>
          </cell>
          <cell r="D41">
            <v>4592</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ART"/>
      <sheetName val="RECETTE"/>
      <sheetName val="REGLEMENT ESP"/>
      <sheetName val="VENTE LUB"/>
      <sheetName val="INVENTAIRE LUB"/>
      <sheetName val="DECOUVERT"/>
      <sheetName val="découvert yassa"/>
      <sheetName val="DEPENSES"/>
      <sheetName val="VERSEMENTS"/>
      <sheetName val="RELEVE D'ECHEANCE"/>
      <sheetName val="Feuil2"/>
    </sheetNames>
    <sheetDataSet>
      <sheetData sheetId="0"/>
      <sheetData sheetId="1"/>
      <sheetData sheetId="2"/>
      <sheetData sheetId="3"/>
      <sheetData sheetId="4"/>
      <sheetData sheetId="5"/>
      <sheetData sheetId="6"/>
      <sheetData sheetId="7"/>
      <sheetData sheetId="8"/>
      <sheetData sheetId="9">
        <row r="6">
          <cell r="B6" t="str">
            <v>SODITRA</v>
          </cell>
          <cell r="D6" t="str">
            <v>KONGFU</v>
          </cell>
          <cell r="F6" t="str">
            <v>SAPTRANS</v>
          </cell>
          <cell r="H6" t="str">
            <v>Mezatrans</v>
          </cell>
          <cell r="J6" t="str">
            <v>E-TRANSCOM</v>
          </cell>
          <cell r="L6" t="str">
            <v>SOFERCO</v>
          </cell>
          <cell r="N6" t="str">
            <v>JEAB</v>
          </cell>
          <cell r="P6" t="str">
            <v>STC</v>
          </cell>
          <cell r="R6" t="str">
            <v>PROGRES AUTO</v>
          </cell>
          <cell r="T6" t="str">
            <v>IHM</v>
          </cell>
          <cell r="V6" t="str">
            <v>X-TRADE</v>
          </cell>
          <cell r="X6" t="str">
            <v>Terminal</v>
          </cell>
          <cell r="Z6" t="str">
            <v>YOSSI</v>
          </cell>
          <cell r="AB6" t="str">
            <v>NEW GEX</v>
          </cell>
          <cell r="AD6" t="str">
            <v>GRD BETON</v>
          </cell>
          <cell r="AF6" t="str">
            <v>ABS</v>
          </cell>
          <cell r="AH6" t="str">
            <v>GSCI</v>
          </cell>
          <cell r="AJ6" t="str">
            <v>STBL</v>
          </cell>
          <cell r="AL6" t="str">
            <v>CTTC</v>
          </cell>
          <cell r="AN6" t="str">
            <v xml:space="preserve">HAMITEX </v>
          </cell>
        </row>
        <row r="7">
          <cell r="B7" t="str">
            <v>REGLEMENT</v>
          </cell>
          <cell r="C7" t="str">
            <v>REF</v>
          </cell>
          <cell r="D7" t="str">
            <v>REGLEMENT</v>
          </cell>
          <cell r="E7" t="str">
            <v>REF</v>
          </cell>
          <cell r="F7" t="str">
            <v>REGLEMENT</v>
          </cell>
          <cell r="G7" t="str">
            <v>REF</v>
          </cell>
          <cell r="H7" t="str">
            <v>REGLEMENT</v>
          </cell>
          <cell r="I7" t="str">
            <v>REF</v>
          </cell>
          <cell r="J7" t="str">
            <v>REGLEMENT</v>
          </cell>
          <cell r="K7" t="str">
            <v>REF</v>
          </cell>
          <cell r="L7" t="str">
            <v>REGLEMENT</v>
          </cell>
          <cell r="M7" t="str">
            <v>REF</v>
          </cell>
          <cell r="N7" t="str">
            <v>REGLEMENT</v>
          </cell>
          <cell r="O7" t="str">
            <v>REF</v>
          </cell>
          <cell r="P7" t="str">
            <v>REGLEMENT</v>
          </cell>
          <cell r="Q7" t="str">
            <v>REF</v>
          </cell>
          <cell r="R7" t="str">
            <v>REGLEMENT</v>
          </cell>
          <cell r="S7" t="str">
            <v>REF</v>
          </cell>
          <cell r="T7" t="str">
            <v>REGLEMENT</v>
          </cell>
          <cell r="U7" t="str">
            <v>REF</v>
          </cell>
          <cell r="V7" t="str">
            <v>REGLEMENT</v>
          </cell>
          <cell r="W7" t="str">
            <v>REF</v>
          </cell>
          <cell r="X7" t="str">
            <v>REGLEMENT</v>
          </cell>
          <cell r="Y7" t="str">
            <v>REF</v>
          </cell>
          <cell r="Z7" t="str">
            <v>REGLEMENT</v>
          </cell>
          <cell r="AA7" t="str">
            <v>REF</v>
          </cell>
          <cell r="AB7" t="str">
            <v>REGLEMENT</v>
          </cell>
          <cell r="AC7" t="str">
            <v>REF</v>
          </cell>
          <cell r="AD7" t="str">
            <v>REGLEMENT</v>
          </cell>
          <cell r="AE7" t="str">
            <v>REF</v>
          </cell>
          <cell r="AF7" t="str">
            <v>REGLEMENT</v>
          </cell>
          <cell r="AG7" t="str">
            <v>REF</v>
          </cell>
          <cell r="AH7" t="str">
            <v>REGLEMENT</v>
          </cell>
          <cell r="AI7" t="str">
            <v>REF</v>
          </cell>
          <cell r="AJ7" t="str">
            <v>REGLEMENT</v>
          </cell>
          <cell r="AK7" t="str">
            <v>REF</v>
          </cell>
          <cell r="AL7" t="str">
            <v>REGLEMENT</v>
          </cell>
          <cell r="AM7" t="str">
            <v>REF</v>
          </cell>
          <cell r="AN7" t="str">
            <v>REGLEMENT</v>
          </cell>
          <cell r="AO7" t="str">
            <v>REF</v>
          </cell>
        </row>
        <row r="8">
          <cell r="B8">
            <v>0</v>
          </cell>
          <cell r="C8">
            <v>0</v>
          </cell>
          <cell r="D8">
            <v>-20272</v>
          </cell>
          <cell r="E8" t="str">
            <v>FAE30312</v>
          </cell>
          <cell r="F8">
            <v>2380000</v>
          </cell>
          <cell r="G8" t="str">
            <v>SGBC8434102</v>
          </cell>
          <cell r="H8">
            <v>0</v>
          </cell>
          <cell r="I8">
            <v>0</v>
          </cell>
          <cell r="J8">
            <v>5000000</v>
          </cell>
          <cell r="K8" t="str">
            <v>Afrld6592741</v>
          </cell>
          <cell r="L8">
            <v>0</v>
          </cell>
          <cell r="M8">
            <v>0</v>
          </cell>
          <cell r="N8">
            <v>0</v>
          </cell>
          <cell r="O8">
            <v>0</v>
          </cell>
          <cell r="P8">
            <v>0</v>
          </cell>
          <cell r="Q8">
            <v>0</v>
          </cell>
          <cell r="R8">
            <v>-11925</v>
          </cell>
          <cell r="S8" t="str">
            <v>FAE30315</v>
          </cell>
          <cell r="T8">
            <v>0</v>
          </cell>
          <cell r="U8">
            <v>0</v>
          </cell>
          <cell r="V8">
            <v>-11925</v>
          </cell>
          <cell r="W8" t="str">
            <v>FAE30310</v>
          </cell>
          <cell r="X8">
            <v>0</v>
          </cell>
          <cell r="Y8">
            <v>0</v>
          </cell>
          <cell r="Z8">
            <v>0</v>
          </cell>
          <cell r="AA8">
            <v>0</v>
          </cell>
          <cell r="AB8">
            <v>0</v>
          </cell>
          <cell r="AC8">
            <v>0</v>
          </cell>
          <cell r="AD8">
            <v>-23850</v>
          </cell>
          <cell r="AE8" t="str">
            <v>FAE30309</v>
          </cell>
          <cell r="AF8">
            <v>-35775</v>
          </cell>
          <cell r="AG8" t="str">
            <v>FAE30313</v>
          </cell>
          <cell r="AH8">
            <v>-11925</v>
          </cell>
          <cell r="AI8" t="str">
            <v>FAE30314</v>
          </cell>
          <cell r="AJ8">
            <v>-10136</v>
          </cell>
          <cell r="AK8" t="str">
            <v>FAE30316</v>
          </cell>
          <cell r="AL8">
            <v>-40544</v>
          </cell>
          <cell r="AM8" t="str">
            <v>FAE30317</v>
          </cell>
          <cell r="AN8">
            <v>0</v>
          </cell>
          <cell r="AO8">
            <v>0</v>
          </cell>
        </row>
        <row r="9">
          <cell r="B9">
            <v>0</v>
          </cell>
          <cell r="C9">
            <v>0</v>
          </cell>
          <cell r="D9">
            <v>0</v>
          </cell>
          <cell r="E9">
            <v>0</v>
          </cell>
          <cell r="F9">
            <v>-20272</v>
          </cell>
          <cell r="G9" t="str">
            <v>FAE30318</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row>
        <row r="10">
          <cell r="B10">
            <v>0</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row>
        <row r="11">
          <cell r="B11">
            <v>0</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row>
        <row r="12">
          <cell r="B12">
            <v>0</v>
          </cell>
          <cell r="C12">
            <v>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row>
        <row r="13">
          <cell r="B13">
            <v>0</v>
          </cell>
          <cell r="C13">
            <v>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20397</v>
          </cell>
          <cell r="Y14" t="str">
            <v>SGBC1160215</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480000</v>
          </cell>
          <cell r="AO14" t="str">
            <v>RC8312</v>
          </cell>
        </row>
        <row r="15">
          <cell r="B15">
            <v>0</v>
          </cell>
          <cell r="C15">
            <v>0</v>
          </cell>
          <cell r="D15">
            <v>5950000</v>
          </cell>
          <cell r="E15" t="str">
            <v>SGBC5353564</v>
          </cell>
          <cell r="F15">
            <v>0</v>
          </cell>
          <cell r="G15">
            <v>0</v>
          </cell>
          <cell r="H15">
            <v>0</v>
          </cell>
          <cell r="I15">
            <v>0</v>
          </cell>
          <cell r="J15">
            <v>0</v>
          </cell>
          <cell r="K15">
            <v>0</v>
          </cell>
          <cell r="L15">
            <v>0</v>
          </cell>
          <cell r="M15">
            <v>0</v>
          </cell>
          <cell r="N15">
            <v>2000000</v>
          </cell>
          <cell r="O15" t="str">
            <v>SGBC8789680</v>
          </cell>
          <cell r="P15">
            <v>0</v>
          </cell>
          <cell r="Q15">
            <v>0</v>
          </cell>
          <cell r="R15">
            <v>0</v>
          </cell>
          <cell r="S15">
            <v>0</v>
          </cell>
          <cell r="T15">
            <v>0</v>
          </cell>
          <cell r="U15">
            <v>0</v>
          </cell>
          <cell r="V15">
            <v>2100000</v>
          </cell>
          <cell r="W15" t="str">
            <v>BICEC6983901</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row>
        <row r="16">
          <cell r="B16">
            <v>0</v>
          </cell>
          <cell r="C16">
            <v>0</v>
          </cell>
          <cell r="D16">
            <v>0</v>
          </cell>
          <cell r="E16">
            <v>0</v>
          </cell>
          <cell r="F16">
            <v>0</v>
          </cell>
          <cell r="G16">
            <v>0</v>
          </cell>
          <cell r="H16">
            <v>0</v>
          </cell>
          <cell r="I16">
            <v>0</v>
          </cell>
          <cell r="J16">
            <v>5600000</v>
          </cell>
          <cell r="K16" t="str">
            <v>AFRLD6592752</v>
          </cell>
          <cell r="L16">
            <v>0</v>
          </cell>
          <cell r="M16">
            <v>0</v>
          </cell>
          <cell r="N16">
            <v>0</v>
          </cell>
          <cell r="O16">
            <v>0</v>
          </cell>
          <cell r="P16">
            <v>0</v>
          </cell>
          <cell r="Q16">
            <v>0</v>
          </cell>
          <cell r="R16">
            <v>0</v>
          </cell>
          <cell r="S16">
            <v>0</v>
          </cell>
          <cell r="T16">
            <v>0</v>
          </cell>
          <cell r="U16">
            <v>0</v>
          </cell>
          <cell r="V16">
            <v>0</v>
          </cell>
          <cell r="W16">
            <v>0</v>
          </cell>
          <cell r="X16">
            <v>100000</v>
          </cell>
          <cell r="Y16" t="str">
            <v>SGBC160715</v>
          </cell>
          <cell r="Z16">
            <v>0</v>
          </cell>
          <cell r="AA16">
            <v>0</v>
          </cell>
          <cell r="AB16">
            <v>100000</v>
          </cell>
          <cell r="AC16" t="str">
            <v>AFRLD YDE080715</v>
          </cell>
          <cell r="AD16">
            <v>0</v>
          </cell>
          <cell r="AE16">
            <v>0</v>
          </cell>
          <cell r="AF16">
            <v>0</v>
          </cell>
          <cell r="AG16">
            <v>0</v>
          </cell>
          <cell r="AH16">
            <v>0</v>
          </cell>
          <cell r="AI16">
            <v>0</v>
          </cell>
          <cell r="AJ16">
            <v>0</v>
          </cell>
          <cell r="AK16">
            <v>0</v>
          </cell>
          <cell r="AL16">
            <v>0</v>
          </cell>
          <cell r="AM16">
            <v>0</v>
          </cell>
          <cell r="AN16">
            <v>0</v>
          </cell>
          <cell r="AO16">
            <v>0</v>
          </cell>
        </row>
        <row r="17">
          <cell r="B17">
            <v>0</v>
          </cell>
          <cell r="C17">
            <v>0</v>
          </cell>
          <cell r="D17">
            <v>0</v>
          </cell>
          <cell r="E17">
            <v>0</v>
          </cell>
          <cell r="F17">
            <v>2975000</v>
          </cell>
          <cell r="G17" t="str">
            <v>SGBC8434112</v>
          </cell>
          <cell r="H17">
            <v>2000000</v>
          </cell>
          <cell r="I17" t="str">
            <v>SGBC8399252</v>
          </cell>
          <cell r="J17">
            <v>0</v>
          </cell>
          <cell r="K17">
            <v>0</v>
          </cell>
          <cell r="L17">
            <v>0</v>
          </cell>
          <cell r="M17">
            <v>0</v>
          </cell>
          <cell r="N17">
            <v>0</v>
          </cell>
          <cell r="O17">
            <v>0</v>
          </cell>
          <cell r="P17">
            <v>0</v>
          </cell>
          <cell r="Q17">
            <v>0</v>
          </cell>
          <cell r="R17">
            <v>0</v>
          </cell>
          <cell r="S17">
            <v>0</v>
          </cell>
          <cell r="T17">
            <v>0</v>
          </cell>
          <cell r="U17">
            <v>0</v>
          </cell>
          <cell r="V17">
            <v>3000000</v>
          </cell>
          <cell r="W17" t="str">
            <v>BICEC 6983902</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row>
        <row r="18">
          <cell r="B18">
            <v>0</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row>
        <row r="19">
          <cell r="B19">
            <v>0</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row>
        <row r="20">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row>
        <row r="21">
          <cell r="B21">
            <v>0</v>
          </cell>
          <cell r="C21">
            <v>0</v>
          </cell>
          <cell r="D21">
            <v>5950000</v>
          </cell>
          <cell r="E21" t="str">
            <v>SGBC5353565</v>
          </cell>
          <cell r="F21">
            <v>2975000</v>
          </cell>
          <cell r="G21" t="str">
            <v>SGBC 8434115</v>
          </cell>
          <cell r="H21">
            <v>0</v>
          </cell>
          <cell r="I21">
            <v>0</v>
          </cell>
          <cell r="J21">
            <v>0</v>
          </cell>
          <cell r="K21">
            <v>0</v>
          </cell>
          <cell r="L21">
            <v>0</v>
          </cell>
          <cell r="M21">
            <v>0</v>
          </cell>
          <cell r="N21">
            <v>0</v>
          </cell>
          <cell r="O21">
            <v>0</v>
          </cell>
          <cell r="P21">
            <v>0</v>
          </cell>
          <cell r="Q21">
            <v>0</v>
          </cell>
          <cell r="R21">
            <v>3000000</v>
          </cell>
          <cell r="S21" t="str">
            <v>AFRLD3982399</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row>
        <row r="22">
          <cell r="B22">
            <v>0</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row>
        <row r="23">
          <cell r="B23">
            <v>0</v>
          </cell>
          <cell r="C23">
            <v>0</v>
          </cell>
          <cell r="D23">
            <v>11879728</v>
          </cell>
          <cell r="E23">
            <v>0</v>
          </cell>
          <cell r="F23">
            <v>8309728</v>
          </cell>
          <cell r="G23">
            <v>0</v>
          </cell>
          <cell r="H23">
            <v>2000000</v>
          </cell>
          <cell r="I23">
            <v>0</v>
          </cell>
          <cell r="J23">
            <v>10600000</v>
          </cell>
          <cell r="K23">
            <v>0</v>
          </cell>
          <cell r="L23">
            <v>0</v>
          </cell>
          <cell r="M23">
            <v>0</v>
          </cell>
          <cell r="N23">
            <v>2000000</v>
          </cell>
          <cell r="O23">
            <v>0</v>
          </cell>
          <cell r="P23">
            <v>0</v>
          </cell>
          <cell r="Q23">
            <v>0</v>
          </cell>
          <cell r="R23">
            <v>2988075</v>
          </cell>
          <cell r="S23">
            <v>0</v>
          </cell>
          <cell r="T23">
            <v>0</v>
          </cell>
          <cell r="U23">
            <v>0</v>
          </cell>
          <cell r="V23">
            <v>5088075</v>
          </cell>
          <cell r="W23">
            <v>0</v>
          </cell>
          <cell r="X23">
            <v>120397</v>
          </cell>
          <cell r="Y23">
            <v>0</v>
          </cell>
          <cell r="Z23">
            <v>0</v>
          </cell>
          <cell r="AA23">
            <v>0</v>
          </cell>
          <cell r="AB23">
            <v>100000</v>
          </cell>
          <cell r="AC23">
            <v>0</v>
          </cell>
          <cell r="AD23">
            <v>-23850</v>
          </cell>
          <cell r="AE23">
            <v>0</v>
          </cell>
          <cell r="AF23">
            <v>-35775</v>
          </cell>
          <cell r="AG23">
            <v>0</v>
          </cell>
          <cell r="AH23">
            <v>-11925</v>
          </cell>
          <cell r="AI23">
            <v>0</v>
          </cell>
          <cell r="AJ23">
            <v>-10136</v>
          </cell>
          <cell r="AK23">
            <v>0</v>
          </cell>
          <cell r="AL23">
            <v>-40544</v>
          </cell>
          <cell r="AM23">
            <v>0</v>
          </cell>
          <cell r="AN23">
            <v>480000</v>
          </cell>
          <cell r="AO23">
            <v>0</v>
          </cell>
        </row>
        <row r="24">
          <cell r="B24">
            <v>0</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row>
        <row r="25">
          <cell r="B25">
            <v>0</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row>
        <row r="26">
          <cell r="B26">
            <v>0</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row>
        <row r="27">
          <cell r="B27">
            <v>0</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t="str">
            <v>R0008110</v>
          </cell>
        </row>
        <row r="28">
          <cell r="B28">
            <v>0</v>
          </cell>
          <cell r="C28">
            <v>0</v>
          </cell>
          <cell r="D28">
            <v>0</v>
          </cell>
          <cell r="E28">
            <v>0</v>
          </cell>
          <cell r="F28">
            <v>5950000</v>
          </cell>
          <cell r="G28" t="str">
            <v>SGBC8434116</v>
          </cell>
          <cell r="H28">
            <v>0</v>
          </cell>
          <cell r="I28">
            <v>0</v>
          </cell>
          <cell r="J28">
            <v>0</v>
          </cell>
          <cell r="K28">
            <v>0</v>
          </cell>
          <cell r="L28">
            <v>0</v>
          </cell>
          <cell r="M28">
            <v>0</v>
          </cell>
          <cell r="N28">
            <v>0</v>
          </cell>
          <cell r="O28">
            <v>0</v>
          </cell>
          <cell r="P28">
            <v>0</v>
          </cell>
          <cell r="Q28">
            <v>0</v>
          </cell>
          <cell r="R28">
            <v>4855700</v>
          </cell>
          <cell r="S28" t="str">
            <v>AFRLD39872400</v>
          </cell>
          <cell r="T28">
            <v>0</v>
          </cell>
          <cell r="U28">
            <v>0</v>
          </cell>
          <cell r="V28">
            <v>2920000</v>
          </cell>
          <cell r="W28" t="str">
            <v>BICEC6983914</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row>
        <row r="29">
          <cell r="B29">
            <v>0</v>
          </cell>
          <cell r="C29">
            <v>0</v>
          </cell>
          <cell r="D29">
            <v>5950000</v>
          </cell>
          <cell r="E29" t="str">
            <v>SGBC5353568</v>
          </cell>
          <cell r="F29">
            <v>0</v>
          </cell>
          <cell r="G29">
            <v>0</v>
          </cell>
          <cell r="H29">
            <v>0</v>
          </cell>
          <cell r="I29">
            <v>0</v>
          </cell>
          <cell r="J29">
            <v>5000000</v>
          </cell>
          <cell r="K29" t="str">
            <v>AFRLD6592749</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row>
        <row r="30">
          <cell r="B30">
            <v>0</v>
          </cell>
          <cell r="C30">
            <v>0</v>
          </cell>
          <cell r="D30">
            <v>0</v>
          </cell>
          <cell r="E30">
            <v>0</v>
          </cell>
          <cell r="F30">
            <v>0</v>
          </cell>
          <cell r="G30">
            <v>0</v>
          </cell>
          <cell r="H30">
            <v>2500000</v>
          </cell>
          <cell r="I30" t="str">
            <v>SGBC8399253</v>
          </cell>
          <cell r="J30">
            <v>0</v>
          </cell>
          <cell r="K30">
            <v>0</v>
          </cell>
          <cell r="L30">
            <v>0</v>
          </cell>
          <cell r="M30">
            <v>0</v>
          </cell>
          <cell r="N30">
            <v>0</v>
          </cell>
          <cell r="O30">
            <v>0</v>
          </cell>
          <cell r="P30">
            <v>13008533</v>
          </cell>
          <cell r="Q30" t="str">
            <v>BICEC7831305</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row>
        <row r="31">
          <cell r="B31">
            <v>0</v>
          </cell>
          <cell r="C31">
            <v>0</v>
          </cell>
          <cell r="D31">
            <v>0</v>
          </cell>
          <cell r="E31">
            <v>0</v>
          </cell>
          <cell r="F31">
            <v>0</v>
          </cell>
          <cell r="G31">
            <v>0</v>
          </cell>
          <cell r="H31">
            <v>0</v>
          </cell>
          <cell r="I31">
            <v>0</v>
          </cell>
          <cell r="J31">
            <v>0</v>
          </cell>
          <cell r="K31">
            <v>0</v>
          </cell>
          <cell r="L31">
            <v>0</v>
          </cell>
          <cell r="M31">
            <v>0</v>
          </cell>
          <cell r="N31">
            <v>0</v>
          </cell>
          <cell r="O31">
            <v>0</v>
          </cell>
          <cell r="P31">
            <v>292627</v>
          </cell>
          <cell r="Q31" t="str">
            <v>BICEC7831305</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row>
        <row r="32">
          <cell r="B32">
            <v>0</v>
          </cell>
          <cell r="C32">
            <v>0</v>
          </cell>
          <cell r="D32">
            <v>0</v>
          </cell>
          <cell r="E32" t="str">
            <v>SGBC5353561</v>
          </cell>
          <cell r="F32">
            <v>2975000</v>
          </cell>
          <cell r="G32" t="str">
            <v>SGBC8434118</v>
          </cell>
          <cell r="H32">
            <v>0</v>
          </cell>
          <cell r="I32">
            <v>0</v>
          </cell>
          <cell r="J32">
            <v>0</v>
          </cell>
          <cell r="K32">
            <v>0</v>
          </cell>
          <cell r="L32">
            <v>0</v>
          </cell>
          <cell r="M32">
            <v>0</v>
          </cell>
          <cell r="N32">
            <v>0</v>
          </cell>
          <cell r="O32">
            <v>0</v>
          </cell>
          <cell r="P32">
            <v>104490</v>
          </cell>
          <cell r="Q32" t="str">
            <v>AVFC3836</v>
          </cell>
          <cell r="R32">
            <v>2000000</v>
          </cell>
          <cell r="S32" t="str">
            <v>AFRLD3982404</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row>
        <row r="33">
          <cell r="B33">
            <v>0</v>
          </cell>
          <cell r="C33">
            <v>0</v>
          </cell>
          <cell r="D33">
            <v>0</v>
          </cell>
          <cell r="E33" t="str">
            <v>AVFC3828</v>
          </cell>
          <cell r="F33">
            <v>0</v>
          </cell>
          <cell r="G33">
            <v>0</v>
          </cell>
          <cell r="H33">
            <v>0</v>
          </cell>
          <cell r="I33">
            <v>0</v>
          </cell>
          <cell r="J33">
            <v>0</v>
          </cell>
          <cell r="K33">
            <v>0</v>
          </cell>
          <cell r="L33">
            <v>0</v>
          </cell>
          <cell r="M33">
            <v>0</v>
          </cell>
          <cell r="N33">
            <v>0</v>
          </cell>
          <cell r="O33">
            <v>0</v>
          </cell>
          <cell r="P33">
            <v>55875</v>
          </cell>
          <cell r="Q33" t="str">
            <v>AVFC3837</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row>
        <row r="34">
          <cell r="B34">
            <v>0</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row>
        <row r="35">
          <cell r="B35">
            <v>0</v>
          </cell>
          <cell r="C35">
            <v>0</v>
          </cell>
          <cell r="D35">
            <v>0</v>
          </cell>
          <cell r="E35">
            <v>0</v>
          </cell>
          <cell r="F35">
            <v>2975000</v>
          </cell>
          <cell r="G35" t="str">
            <v>SGBC8434126</v>
          </cell>
          <cell r="H35">
            <v>0</v>
          </cell>
          <cell r="I35">
            <v>0</v>
          </cell>
          <cell r="J35">
            <v>0</v>
          </cell>
          <cell r="K35">
            <v>0</v>
          </cell>
          <cell r="L35">
            <v>0</v>
          </cell>
          <cell r="M35">
            <v>0</v>
          </cell>
          <cell r="N35">
            <v>0</v>
          </cell>
          <cell r="O35">
            <v>0</v>
          </cell>
          <cell r="P35">
            <v>695177</v>
          </cell>
          <cell r="Q35" t="str">
            <v>SGC8970887</v>
          </cell>
          <cell r="R35">
            <v>0</v>
          </cell>
          <cell r="S35">
            <v>0</v>
          </cell>
          <cell r="T35">
            <v>0</v>
          </cell>
          <cell r="U35">
            <v>0</v>
          </cell>
          <cell r="V35">
            <v>0</v>
          </cell>
          <cell r="W35">
            <v>0</v>
          </cell>
          <cell r="X35">
            <v>0</v>
          </cell>
          <cell r="Y35">
            <v>0</v>
          </cell>
          <cell r="Z35">
            <v>0</v>
          </cell>
          <cell r="AA35">
            <v>0</v>
          </cell>
          <cell r="AB35">
            <v>0</v>
          </cell>
          <cell r="AC35">
            <v>0</v>
          </cell>
          <cell r="AD35">
            <v>-25000</v>
          </cell>
          <cell r="AE35" t="str">
            <v>FAE30322</v>
          </cell>
          <cell r="AF35">
            <v>0</v>
          </cell>
          <cell r="AG35">
            <v>0</v>
          </cell>
          <cell r="AH35">
            <v>0</v>
          </cell>
          <cell r="AI35">
            <v>0</v>
          </cell>
          <cell r="AJ35">
            <v>0</v>
          </cell>
          <cell r="AK35">
            <v>0</v>
          </cell>
          <cell r="AL35">
            <v>0</v>
          </cell>
          <cell r="AM35">
            <v>0</v>
          </cell>
          <cell r="AN35">
            <v>0</v>
          </cell>
          <cell r="AO35">
            <v>0</v>
          </cell>
        </row>
        <row r="36">
          <cell r="B36">
            <v>0</v>
          </cell>
          <cell r="C36">
            <v>0</v>
          </cell>
          <cell r="D36">
            <v>2975000</v>
          </cell>
          <cell r="E36" t="str">
            <v>SGBC5353573</v>
          </cell>
          <cell r="F36">
            <v>43325</v>
          </cell>
          <cell r="G36" t="str">
            <v>AVFC3839</v>
          </cell>
          <cell r="H36">
            <v>0</v>
          </cell>
          <cell r="I36">
            <v>0</v>
          </cell>
          <cell r="J36">
            <v>0</v>
          </cell>
          <cell r="K36">
            <v>0</v>
          </cell>
          <cell r="L36">
            <v>0</v>
          </cell>
          <cell r="M36">
            <v>0</v>
          </cell>
          <cell r="N36">
            <v>1404</v>
          </cell>
          <cell r="O36" t="str">
            <v>AVFC3846</v>
          </cell>
          <cell r="P36">
            <v>0</v>
          </cell>
          <cell r="Q36">
            <v>0</v>
          </cell>
          <cell r="R36">
            <v>0</v>
          </cell>
          <cell r="S36">
            <v>0</v>
          </cell>
          <cell r="T36">
            <v>7426680</v>
          </cell>
          <cell r="U36" t="str">
            <v>SGBC9346709</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row>
        <row r="37">
          <cell r="B37">
            <v>0</v>
          </cell>
          <cell r="C37">
            <v>0</v>
          </cell>
          <cell r="D37">
            <v>0</v>
          </cell>
          <cell r="E37">
            <v>0</v>
          </cell>
          <cell r="F37">
            <v>71575</v>
          </cell>
          <cell r="G37" t="str">
            <v>AVFC3840</v>
          </cell>
          <cell r="H37">
            <v>0</v>
          </cell>
          <cell r="I37">
            <v>0</v>
          </cell>
          <cell r="J37">
            <v>0</v>
          </cell>
          <cell r="K37">
            <v>0</v>
          </cell>
          <cell r="L37">
            <v>0</v>
          </cell>
          <cell r="M37">
            <v>0</v>
          </cell>
          <cell r="N37">
            <v>600</v>
          </cell>
          <cell r="O37" t="str">
            <v>AVFC3847</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row>
        <row r="38">
          <cell r="B38">
            <v>0</v>
          </cell>
          <cell r="C38">
            <v>0</v>
          </cell>
          <cell r="D38">
            <v>25335</v>
          </cell>
          <cell r="E38" t="str">
            <v>AVFC3841</v>
          </cell>
          <cell r="F38">
            <v>0</v>
          </cell>
          <cell r="G38">
            <v>0</v>
          </cell>
          <cell r="H38">
            <v>0</v>
          </cell>
          <cell r="I38">
            <v>0</v>
          </cell>
          <cell r="J38">
            <v>0</v>
          </cell>
          <cell r="K38">
            <v>0</v>
          </cell>
          <cell r="L38">
            <v>0</v>
          </cell>
          <cell r="M38">
            <v>0</v>
          </cell>
          <cell r="N38">
            <v>1680</v>
          </cell>
          <cell r="O38" t="str">
            <v>AVFC3848</v>
          </cell>
          <cell r="P38">
            <v>0</v>
          </cell>
          <cell r="Q38">
            <v>0</v>
          </cell>
          <cell r="R38">
            <v>0</v>
          </cell>
          <cell r="S38">
            <v>0</v>
          </cell>
          <cell r="T38">
            <v>0</v>
          </cell>
          <cell r="U38">
            <v>0</v>
          </cell>
          <cell r="V38">
            <v>3000000</v>
          </cell>
          <cell r="W38" t="str">
            <v>RC8343</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row>
        <row r="39">
          <cell r="B39">
            <v>0</v>
          </cell>
          <cell r="C39">
            <v>0</v>
          </cell>
          <cell r="D39">
            <v>26655</v>
          </cell>
          <cell r="E39" t="str">
            <v>AVFC3842</v>
          </cell>
          <cell r="F39">
            <v>0</v>
          </cell>
          <cell r="G39">
            <v>0</v>
          </cell>
          <cell r="H39">
            <v>0</v>
          </cell>
          <cell r="I39">
            <v>0</v>
          </cell>
          <cell r="J39">
            <v>0</v>
          </cell>
          <cell r="K39">
            <v>0</v>
          </cell>
          <cell r="L39">
            <v>0</v>
          </cell>
          <cell r="M39">
            <v>0</v>
          </cell>
          <cell r="N39">
            <v>1170</v>
          </cell>
          <cell r="O39" t="str">
            <v>AVFC3849</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row>
        <row r="40">
          <cell r="B40">
            <v>0</v>
          </cell>
          <cell r="C40">
            <v>0</v>
          </cell>
          <cell r="D40">
            <v>35910</v>
          </cell>
          <cell r="E40" t="str">
            <v>AVFC3843</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row>
        <row r="41">
          <cell r="B41">
            <v>0</v>
          </cell>
          <cell r="C41">
            <v>0</v>
          </cell>
          <cell r="D41">
            <v>9012900</v>
          </cell>
          <cell r="E41">
            <v>0</v>
          </cell>
          <cell r="F41">
            <v>12014900</v>
          </cell>
          <cell r="G41">
            <v>0</v>
          </cell>
          <cell r="H41">
            <v>2500000</v>
          </cell>
          <cell r="I41">
            <v>0</v>
          </cell>
          <cell r="J41">
            <v>5000000</v>
          </cell>
          <cell r="K41">
            <v>0</v>
          </cell>
          <cell r="L41">
            <v>0</v>
          </cell>
          <cell r="M41">
            <v>0</v>
          </cell>
          <cell r="N41">
            <v>4854</v>
          </cell>
          <cell r="O41">
            <v>0</v>
          </cell>
          <cell r="P41">
            <v>14156702</v>
          </cell>
          <cell r="Q41">
            <v>0</v>
          </cell>
          <cell r="R41">
            <v>6855700</v>
          </cell>
          <cell r="S41">
            <v>0</v>
          </cell>
          <cell r="T41">
            <v>7426680</v>
          </cell>
          <cell r="U41">
            <v>0</v>
          </cell>
          <cell r="V41">
            <v>5920000</v>
          </cell>
          <cell r="W41">
            <v>0</v>
          </cell>
          <cell r="X41">
            <v>0</v>
          </cell>
          <cell r="Y41">
            <v>0</v>
          </cell>
          <cell r="Z41">
            <v>0</v>
          </cell>
          <cell r="AA41">
            <v>0</v>
          </cell>
          <cell r="AB41">
            <v>0</v>
          </cell>
          <cell r="AC41">
            <v>0</v>
          </cell>
          <cell r="AD41">
            <v>-25000</v>
          </cell>
          <cell r="AE41">
            <v>0</v>
          </cell>
          <cell r="AF41">
            <v>0</v>
          </cell>
          <cell r="AG41">
            <v>0</v>
          </cell>
          <cell r="AH41">
            <v>0</v>
          </cell>
          <cell r="AI41">
            <v>0</v>
          </cell>
          <cell r="AJ41">
            <v>0</v>
          </cell>
          <cell r="AK41">
            <v>0</v>
          </cell>
          <cell r="AL41">
            <v>0</v>
          </cell>
          <cell r="AM41">
            <v>0</v>
          </cell>
          <cell r="AN41">
            <v>0</v>
          </cell>
          <cell r="AO41">
            <v>0</v>
          </cell>
        </row>
        <row r="42">
          <cell r="B42">
            <v>0</v>
          </cell>
          <cell r="C42">
            <v>0</v>
          </cell>
          <cell r="D42">
            <v>20892628</v>
          </cell>
          <cell r="E42">
            <v>0</v>
          </cell>
          <cell r="F42">
            <v>20324628</v>
          </cell>
          <cell r="G42">
            <v>0</v>
          </cell>
          <cell r="H42">
            <v>4500000</v>
          </cell>
          <cell r="I42">
            <v>0</v>
          </cell>
          <cell r="J42">
            <v>15600000</v>
          </cell>
          <cell r="K42">
            <v>0</v>
          </cell>
          <cell r="L42">
            <v>0</v>
          </cell>
          <cell r="M42">
            <v>0</v>
          </cell>
          <cell r="N42">
            <v>2004854</v>
          </cell>
          <cell r="O42">
            <v>0</v>
          </cell>
          <cell r="P42">
            <v>14156702</v>
          </cell>
          <cell r="Q42">
            <v>0</v>
          </cell>
          <cell r="R42">
            <v>9843775</v>
          </cell>
          <cell r="S42">
            <v>0</v>
          </cell>
          <cell r="T42">
            <v>7426680</v>
          </cell>
          <cell r="U42">
            <v>0</v>
          </cell>
          <cell r="V42">
            <v>11008075</v>
          </cell>
          <cell r="W42">
            <v>0</v>
          </cell>
          <cell r="X42">
            <v>120397</v>
          </cell>
          <cell r="Y42">
            <v>0</v>
          </cell>
          <cell r="Z42">
            <v>0</v>
          </cell>
          <cell r="AA42">
            <v>0</v>
          </cell>
          <cell r="AB42">
            <v>100000</v>
          </cell>
          <cell r="AC42">
            <v>0</v>
          </cell>
          <cell r="AD42">
            <v>-48850</v>
          </cell>
          <cell r="AE42">
            <v>0</v>
          </cell>
          <cell r="AF42">
            <v>-35775</v>
          </cell>
          <cell r="AG42">
            <v>0</v>
          </cell>
          <cell r="AH42">
            <v>-11925</v>
          </cell>
          <cell r="AI42">
            <v>0</v>
          </cell>
          <cell r="AJ42">
            <v>-10136</v>
          </cell>
          <cell r="AK42">
            <v>0</v>
          </cell>
          <cell r="AL42">
            <v>-40544</v>
          </cell>
          <cell r="AM42">
            <v>0</v>
          </cell>
          <cell r="AN42">
            <v>480000</v>
          </cell>
          <cell r="AO42">
            <v>106310509</v>
          </cell>
        </row>
        <row r="46">
          <cell r="E46">
            <v>106310509</v>
          </cell>
        </row>
      </sheetData>
      <sheetData sheetId="10"/>
    </sheetDataSet>
  </externalBook>
</externalLink>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Angles">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Office Classique">
      <a:maj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Times New Roman"/>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ngle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20400000"/>
            </a:lightRig>
          </a:scene3d>
          <a:sp3d contourW="6350">
            <a:bevelT w="41275" h="19050" prst="angle"/>
            <a:contourClr>
              <a:schemeClr val="phClr">
                <a:shade val="25000"/>
                <a:satMod val="150000"/>
              </a:schemeClr>
            </a:contourClr>
          </a:sp3d>
        </a:effectStyle>
      </a:effectStyleLst>
      <a:bgFillStyleLst>
        <a:solidFill>
          <a:schemeClr val="phClr"/>
        </a:solidFill>
        <a:blipFill rotWithShape="1">
          <a:blip xmlns:r="http://schemas.openxmlformats.org/officeDocument/2006/relationships" r:embed="rId1">
            <a:duotone>
              <a:schemeClr val="phClr">
                <a:tint val="90000"/>
                <a:shade val="85000"/>
              </a:schemeClr>
              <a:schemeClr val="phClr">
                <a:tint val="95000"/>
                <a:shade val="99000"/>
              </a:schemeClr>
            </a:duotone>
          </a:blip>
          <a:tile tx="0" ty="0" sx="100000" sy="100000" flip="none" algn="tl"/>
        </a:blipFill>
        <a:blipFill rotWithShape="1">
          <a:blip xmlns:r="http://schemas.openxmlformats.org/officeDocument/2006/relationships" r:embed="rId2">
            <a:duotone>
              <a:schemeClr val="phClr">
                <a:tint val="93000"/>
                <a:shade val="85000"/>
              </a:schemeClr>
              <a:schemeClr val="phClr">
                <a:tint val="96000"/>
                <a:shade val="99000"/>
              </a:schemeClr>
            </a:duotone>
          </a:blip>
          <a:tile tx="0" ty="0" sx="90000" sy="9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11.bin"/><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1.xml"/><Relationship Id="rId1" Type="http://schemas.openxmlformats.org/officeDocument/2006/relationships/printerSettings" Target="../printerSettings/printerSettings24.bin"/><Relationship Id="rId4" Type="http://schemas.openxmlformats.org/officeDocument/2006/relationships/comments" Target="../comments3.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5.xml"/><Relationship Id="rId1" Type="http://schemas.openxmlformats.org/officeDocument/2006/relationships/printerSettings" Target="../printerSettings/printerSettings28.bin"/><Relationship Id="rId4" Type="http://schemas.openxmlformats.org/officeDocument/2006/relationships/comments" Target="../comments4.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8.xml"/><Relationship Id="rId1" Type="http://schemas.openxmlformats.org/officeDocument/2006/relationships/printerSettings" Target="../printerSettings/printerSettings31.bin"/><Relationship Id="rId4" Type="http://schemas.openxmlformats.org/officeDocument/2006/relationships/comments" Target="../comments5.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2.xml"/><Relationship Id="rId1" Type="http://schemas.openxmlformats.org/officeDocument/2006/relationships/printerSettings" Target="../printerSettings/printerSettings35.bin"/><Relationship Id="rId4" Type="http://schemas.openxmlformats.org/officeDocument/2006/relationships/comments" Target="../comments6.xm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58.xml"/><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62.xml"/><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3.xml"/><Relationship Id="rId1" Type="http://schemas.openxmlformats.org/officeDocument/2006/relationships/printerSettings" Target="../printerSettings/printerSettings66.bin"/><Relationship Id="rId4" Type="http://schemas.openxmlformats.org/officeDocument/2006/relationships/comments" Target="../comments7.xml"/></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4.xml"/><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65.xml"/><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80.xml.rels><?xml version="1.0" encoding="UTF-8" standalone="yes"?>
<Relationships xmlns="http://schemas.openxmlformats.org/package/2006/relationships"><Relationship Id="rId2" Type="http://schemas.openxmlformats.org/officeDocument/2006/relationships/drawing" Target="../drawings/drawing69.xml"/><Relationship Id="rId1" Type="http://schemas.openxmlformats.org/officeDocument/2006/relationships/printerSettings" Target="../printerSettings/printerSettings76.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100.xml.rels><?xml version="1.0" encoding="UTF-8" standalone="yes"?>
<Relationships xmlns="http://schemas.openxmlformats.org/package/2006/relationships"><Relationship Id="rId2" Type="http://schemas.openxmlformats.org/officeDocument/2006/relationships/drawing" Target="../drawings/drawing70.xml"/><Relationship Id="rId1" Type="http://schemas.openxmlformats.org/officeDocument/2006/relationships/printerSettings" Target="../printerSettings/printerSettings88.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108.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109.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13.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6">
    <tabColor rgb="FFFF0000"/>
    <pageSetUpPr fitToPage="1"/>
  </sheetPr>
  <dimension ref="A1:AI61"/>
  <sheetViews>
    <sheetView zoomScaleNormal="100" workbookViewId="0">
      <pane xSplit="1" ySplit="8" topLeftCell="B9" activePane="bottomRight" state="frozen"/>
      <selection activeCell="E79" sqref="E79"/>
      <selection pane="topRight" activeCell="E79" sqref="E79"/>
      <selection pane="bottomLeft" activeCell="E79" sqref="E79"/>
      <selection pane="bottomRight" activeCell="H8" sqref="H8"/>
    </sheetView>
  </sheetViews>
  <sheetFormatPr baseColWidth="10" defaultRowHeight="18" x14ac:dyDescent="0.25"/>
  <cols>
    <col min="1" max="1" width="10.42578125" style="38" customWidth="1"/>
    <col min="2" max="2" width="13.42578125" style="38" customWidth="1"/>
    <col min="3" max="3" width="14.140625" style="38" customWidth="1"/>
    <col min="4" max="4" width="13.5703125" style="38" customWidth="1"/>
    <col min="5" max="5" width="17.28515625" style="38" customWidth="1"/>
    <col min="6" max="6" width="15.5703125" style="74" customWidth="1"/>
    <col min="7" max="7" width="16.7109375" style="38" customWidth="1"/>
    <col min="8" max="8" width="19" style="38" customWidth="1"/>
    <col min="9" max="9" width="20.28515625" style="38" hidden="1" customWidth="1"/>
    <col min="10" max="10" width="21.85546875" style="38" hidden="1" customWidth="1"/>
    <col min="11" max="11" width="20.5703125" style="1043" hidden="1" customWidth="1"/>
    <col min="12" max="13" width="18.28515625" style="38" hidden="1" customWidth="1"/>
    <col min="14" max="14" width="19.140625" style="38" hidden="1" customWidth="1"/>
    <col min="15" max="15" width="17.7109375" style="38" hidden="1" customWidth="1"/>
    <col min="16" max="16" width="17.5703125" style="38" hidden="1" customWidth="1"/>
    <col min="17" max="17" width="19.5703125" style="38" hidden="1" customWidth="1"/>
    <col min="18" max="18" width="21.5703125" style="38" hidden="1" customWidth="1"/>
    <col min="19" max="19" width="18" style="38" hidden="1" customWidth="1"/>
    <col min="20" max="27" width="0" style="38" hidden="1" customWidth="1"/>
    <col min="28" max="16384" width="11.42578125" style="38"/>
  </cols>
  <sheetData>
    <row r="1" spans="1:18" ht="21" x14ac:dyDescent="0.35">
      <c r="A1" s="36" t="s">
        <v>118</v>
      </c>
      <c r="E1" s="52" t="s">
        <v>703</v>
      </c>
      <c r="J1" s="38" t="s">
        <v>405</v>
      </c>
      <c r="K1" s="38"/>
      <c r="M1" s="1684"/>
    </row>
    <row r="2" spans="1:18" ht="18.75" customHeight="1" x14ac:dyDescent="0.35">
      <c r="C2" s="159"/>
      <c r="I2" s="218">
        <f>4973283+1500000</f>
        <v>6473283</v>
      </c>
      <c r="K2" s="1653"/>
      <c r="L2" s="218"/>
      <c r="M2" s="667"/>
      <c r="N2" s="148"/>
    </row>
    <row r="3" spans="1:18" ht="27" customHeight="1" thickBot="1" x14ac:dyDescent="0.35">
      <c r="A3" s="36" t="s">
        <v>19</v>
      </c>
      <c r="B3" s="268">
        <v>42430</v>
      </c>
      <c r="C3" s="36"/>
      <c r="D3" s="142">
        <v>42522</v>
      </c>
      <c r="G3" s="218"/>
      <c r="H3" s="218"/>
      <c r="J3" s="268">
        <v>42491</v>
      </c>
      <c r="L3" s="218"/>
      <c r="M3" s="1673"/>
      <c r="N3" s="1685"/>
      <c r="O3" s="218"/>
      <c r="P3" s="37"/>
    </row>
    <row r="4" spans="1:18" ht="21.75" customHeight="1" x14ac:dyDescent="0.3">
      <c r="A4" s="36"/>
      <c r="B4" s="36"/>
      <c r="C4" s="815"/>
      <c r="D4" s="2912" t="s">
        <v>396</v>
      </c>
      <c r="E4" s="2913"/>
      <c r="F4" s="2913"/>
      <c r="G4" s="2913"/>
      <c r="H4" s="2914"/>
      <c r="I4" s="2915" t="s">
        <v>405</v>
      </c>
      <c r="J4" s="2916"/>
      <c r="K4" s="2916"/>
      <c r="L4" s="2916"/>
      <c r="M4" s="2916"/>
      <c r="N4" s="863"/>
      <c r="O4" s="218"/>
    </row>
    <row r="5" spans="1:18" ht="32.25" customHeight="1" x14ac:dyDescent="0.3">
      <c r="A5" s="912" t="s">
        <v>458</v>
      </c>
      <c r="B5" s="36"/>
      <c r="C5" s="815"/>
      <c r="D5" s="1047"/>
      <c r="E5" s="1048"/>
      <c r="F5" s="1048"/>
      <c r="G5" s="1048"/>
      <c r="H5" s="1329"/>
      <c r="I5" s="1203"/>
      <c r="J5" s="1033"/>
      <c r="K5" s="1044"/>
      <c r="L5" s="1034"/>
      <c r="M5" s="1034"/>
      <c r="N5" s="218"/>
      <c r="O5" s="218"/>
      <c r="Q5" s="634">
        <f>+M3-M8</f>
        <v>-8971791</v>
      </c>
    </row>
    <row r="6" spans="1:18" ht="16.5" customHeight="1" x14ac:dyDescent="0.25">
      <c r="A6" s="1804" t="s">
        <v>3</v>
      </c>
      <c r="B6" s="161" t="s">
        <v>15</v>
      </c>
      <c r="C6" s="797"/>
      <c r="D6" s="2917" t="s">
        <v>67</v>
      </c>
      <c r="E6" s="2918"/>
      <c r="F6" s="1802"/>
      <c r="G6" s="1802"/>
      <c r="H6" s="1330"/>
      <c r="I6" s="2905" t="s">
        <v>68</v>
      </c>
      <c r="J6" s="2906"/>
      <c r="K6" s="1041"/>
      <c r="L6" s="1803"/>
      <c r="M6" s="1803"/>
      <c r="N6" s="2919" t="s">
        <v>18</v>
      </c>
      <c r="O6" s="2910" t="s">
        <v>60</v>
      </c>
      <c r="P6" s="2901" t="s">
        <v>55</v>
      </c>
      <c r="Q6" s="2901" t="s">
        <v>120</v>
      </c>
    </row>
    <row r="7" spans="1:18" ht="21" customHeight="1" x14ac:dyDescent="0.25">
      <c r="A7" s="163"/>
      <c r="B7" s="164">
        <v>630</v>
      </c>
      <c r="C7" s="798"/>
      <c r="D7" s="2903">
        <v>575</v>
      </c>
      <c r="E7" s="2904"/>
      <c r="F7" s="1039" t="s">
        <v>490</v>
      </c>
      <c r="G7" s="1466" t="s">
        <v>60</v>
      </c>
      <c r="H7" s="1467" t="s">
        <v>55</v>
      </c>
      <c r="I7" s="2905">
        <v>575</v>
      </c>
      <c r="J7" s="2906"/>
      <c r="K7" s="1042" t="s">
        <v>490</v>
      </c>
      <c r="L7" s="1035" t="s">
        <v>60</v>
      </c>
      <c r="M7" s="1035" t="s">
        <v>55</v>
      </c>
      <c r="N7" s="2920"/>
      <c r="O7" s="2911"/>
      <c r="P7" s="2902"/>
      <c r="Q7" s="2902"/>
    </row>
    <row r="8" spans="1:18" ht="18" customHeight="1" x14ac:dyDescent="0.35">
      <c r="A8" s="1805"/>
      <c r="B8" s="166" t="s">
        <v>56</v>
      </c>
      <c r="C8" s="799" t="s">
        <v>37</v>
      </c>
      <c r="D8" s="1036" t="s">
        <v>56</v>
      </c>
      <c r="E8" s="371" t="s">
        <v>37</v>
      </c>
      <c r="F8" s="371"/>
      <c r="G8" s="106"/>
      <c r="H8" s="1331">
        <v>8620783</v>
      </c>
      <c r="I8" s="1204" t="s">
        <v>56</v>
      </c>
      <c r="J8" s="1093" t="s">
        <v>37</v>
      </c>
      <c r="K8" s="1045"/>
      <c r="L8" s="1418"/>
      <c r="M8" s="1258">
        <v>8971791</v>
      </c>
      <c r="N8" s="162"/>
      <c r="O8" s="182"/>
      <c r="P8" s="183">
        <f>H8+M8</f>
        <v>17592574</v>
      </c>
      <c r="Q8" s="168">
        <f>P8</f>
        <v>17592574</v>
      </c>
      <c r="R8" s="218"/>
    </row>
    <row r="9" spans="1:18" ht="15" customHeight="1" x14ac:dyDescent="0.25">
      <c r="A9" s="110">
        <f>+KONGFU!A9</f>
        <v>44105</v>
      </c>
      <c r="B9" s="174">
        <f t="shared" ref="B9:B39" si="0">+C9/569</f>
        <v>0</v>
      </c>
      <c r="C9" s="800"/>
      <c r="D9" s="1037">
        <f t="shared" ref="D9:D39" si="1">+E9/D$7</f>
        <v>0</v>
      </c>
      <c r="E9" s="114"/>
      <c r="F9" s="804"/>
      <c r="G9" s="114"/>
      <c r="H9" s="1332">
        <f>+H8+E9-G9</f>
        <v>8620783</v>
      </c>
      <c r="I9" s="1037">
        <f t="shared" ref="I9:I39" si="2">+J9/I$7</f>
        <v>2824.3478260869565</v>
      </c>
      <c r="J9" s="114">
        <v>1624000</v>
      </c>
      <c r="K9" s="1045"/>
      <c r="L9" s="114"/>
      <c r="M9" s="106">
        <f>+M8+J9-L9</f>
        <v>10595791</v>
      </c>
      <c r="N9" s="803">
        <f>+E9+J9</f>
        <v>1624000</v>
      </c>
      <c r="O9" s="172">
        <f>+G9+L9</f>
        <v>0</v>
      </c>
      <c r="P9" s="172">
        <f t="shared" ref="P9:P39" si="3">N9-O9</f>
        <v>1624000</v>
      </c>
      <c r="Q9" s="172">
        <f t="shared" ref="Q9:Q39" si="4">+Q8+N9-O9</f>
        <v>19216574</v>
      </c>
    </row>
    <row r="10" spans="1:18" ht="15" customHeight="1" x14ac:dyDescent="0.25">
      <c r="A10" s="110">
        <f>+A9+1</f>
        <v>44106</v>
      </c>
      <c r="B10" s="174">
        <f t="shared" si="0"/>
        <v>0</v>
      </c>
      <c r="C10" s="800"/>
      <c r="D10" s="1037">
        <f t="shared" si="1"/>
        <v>1500</v>
      </c>
      <c r="E10" s="66">
        <v>862500</v>
      </c>
      <c r="F10" s="804"/>
      <c r="G10" s="114"/>
      <c r="H10" s="1332">
        <f>+H9+E10-G10</f>
        <v>9483283</v>
      </c>
      <c r="I10" s="1037">
        <f t="shared" si="2"/>
        <v>590</v>
      </c>
      <c r="J10" s="114">
        <v>339250</v>
      </c>
      <c r="K10" s="999"/>
      <c r="L10" s="114"/>
      <c r="M10" s="106">
        <f>+M9+J10-L10</f>
        <v>10935041</v>
      </c>
      <c r="N10" s="803">
        <f t="shared" ref="N10:N39" si="5">+E10+J10</f>
        <v>1201750</v>
      </c>
      <c r="O10" s="172">
        <f t="shared" ref="O10:O39" si="6">+G10+L10</f>
        <v>0</v>
      </c>
      <c r="P10" s="172">
        <f t="shared" si="3"/>
        <v>1201750</v>
      </c>
      <c r="Q10" s="172">
        <f t="shared" si="4"/>
        <v>20418324</v>
      </c>
    </row>
    <row r="11" spans="1:18" ht="15" customHeight="1" x14ac:dyDescent="0.25">
      <c r="A11" s="110">
        <f t="shared" ref="A11:A39" si="7">+A10+1</f>
        <v>44107</v>
      </c>
      <c r="B11" s="174">
        <f t="shared" si="0"/>
        <v>0</v>
      </c>
      <c r="C11" s="801"/>
      <c r="D11" s="1037">
        <f t="shared" si="1"/>
        <v>0</v>
      </c>
      <c r="E11" s="114"/>
      <c r="F11" s="804"/>
      <c r="G11" s="114"/>
      <c r="H11" s="1332">
        <f>+H10+E11-G11</f>
        <v>9483283</v>
      </c>
      <c r="I11" s="1037">
        <f t="shared" si="2"/>
        <v>1030</v>
      </c>
      <c r="J11" s="114">
        <v>592250</v>
      </c>
      <c r="K11" s="950"/>
      <c r="L11" s="114"/>
      <c r="M11" s="106">
        <f t="shared" ref="M11:M39" si="8">+M10+J11-L11</f>
        <v>11527291</v>
      </c>
      <c r="N11" s="803">
        <f t="shared" si="5"/>
        <v>592250</v>
      </c>
      <c r="O11" s="172">
        <f t="shared" si="6"/>
        <v>0</v>
      </c>
      <c r="P11" s="172">
        <f t="shared" si="3"/>
        <v>592250</v>
      </c>
      <c r="Q11" s="172">
        <f t="shared" si="4"/>
        <v>21010574</v>
      </c>
    </row>
    <row r="12" spans="1:18" ht="15" customHeight="1" x14ac:dyDescent="0.25">
      <c r="A12" s="110">
        <f t="shared" si="7"/>
        <v>44108</v>
      </c>
      <c r="B12" s="174">
        <f t="shared" si="0"/>
        <v>0</v>
      </c>
      <c r="C12" s="801"/>
      <c r="D12" s="1037">
        <f>+E12/D$7</f>
        <v>0</v>
      </c>
      <c r="E12" s="114"/>
      <c r="F12" s="804"/>
      <c r="G12" s="114"/>
      <c r="H12" s="1332">
        <f>+H11+E12-G12</f>
        <v>9483283</v>
      </c>
      <c r="I12" s="1037">
        <f t="shared" si="2"/>
        <v>0</v>
      </c>
      <c r="J12" s="118"/>
      <c r="K12" s="1650"/>
      <c r="L12" s="114">
        <v>4000000</v>
      </c>
      <c r="M12" s="106">
        <f t="shared" si="8"/>
        <v>7527291</v>
      </c>
      <c r="N12" s="803">
        <f>+E12+J12</f>
        <v>0</v>
      </c>
      <c r="O12" s="172">
        <f t="shared" si="6"/>
        <v>4000000</v>
      </c>
      <c r="P12" s="172">
        <f t="shared" si="3"/>
        <v>-4000000</v>
      </c>
      <c r="Q12" s="172">
        <f t="shared" si="4"/>
        <v>17010574</v>
      </c>
    </row>
    <row r="13" spans="1:18" ht="15" customHeight="1" x14ac:dyDescent="0.25">
      <c r="A13" s="110">
        <f t="shared" si="7"/>
        <v>44109</v>
      </c>
      <c r="B13" s="174">
        <f t="shared" si="0"/>
        <v>0</v>
      </c>
      <c r="C13" s="805"/>
      <c r="D13" s="1037">
        <f>+E13/D$7</f>
        <v>0</v>
      </c>
      <c r="E13" s="114"/>
      <c r="F13" s="804"/>
      <c r="G13" s="114"/>
      <c r="H13" s="1332">
        <f>+H12+E13-G13</f>
        <v>9483283</v>
      </c>
      <c r="I13" s="1037">
        <f t="shared" si="2"/>
        <v>0</v>
      </c>
      <c r="J13" s="118"/>
      <c r="K13" s="950"/>
      <c r="L13" s="114"/>
      <c r="M13" s="106">
        <f t="shared" si="8"/>
        <v>7527291</v>
      </c>
      <c r="N13" s="803">
        <f>+E13+J13</f>
        <v>0</v>
      </c>
      <c r="O13" s="172">
        <f t="shared" si="6"/>
        <v>0</v>
      </c>
      <c r="P13" s="172">
        <f t="shared" si="3"/>
        <v>0</v>
      </c>
      <c r="Q13" s="172">
        <f t="shared" si="4"/>
        <v>17010574</v>
      </c>
    </row>
    <row r="14" spans="1:18" ht="15" customHeight="1" x14ac:dyDescent="0.25">
      <c r="A14" s="110">
        <f t="shared" si="7"/>
        <v>44110</v>
      </c>
      <c r="B14" s="174">
        <f t="shared" si="0"/>
        <v>0</v>
      </c>
      <c r="C14" s="800"/>
      <c r="D14" s="1037">
        <f t="shared" si="1"/>
        <v>1650</v>
      </c>
      <c r="E14" s="114">
        <v>948750</v>
      </c>
      <c r="F14" s="804" t="s">
        <v>419</v>
      </c>
      <c r="G14" s="114">
        <v>948750</v>
      </c>
      <c r="H14" s="1332">
        <f t="shared" ref="H14:H39" si="9">+H13+E14-G14</f>
        <v>9483283</v>
      </c>
      <c r="I14" s="1037">
        <f t="shared" si="2"/>
        <v>2417.8747826086956</v>
      </c>
      <c r="J14" s="118">
        <v>1390278</v>
      </c>
      <c r="K14" s="999"/>
      <c r="L14" s="114"/>
      <c r="M14" s="106">
        <f t="shared" si="8"/>
        <v>8917569</v>
      </c>
      <c r="N14" s="803">
        <f t="shared" si="5"/>
        <v>2339028</v>
      </c>
      <c r="O14" s="172">
        <f t="shared" si="6"/>
        <v>948750</v>
      </c>
      <c r="P14" s="172">
        <f t="shared" si="3"/>
        <v>1390278</v>
      </c>
      <c r="Q14" s="172">
        <f t="shared" si="4"/>
        <v>18400852</v>
      </c>
    </row>
    <row r="15" spans="1:18" ht="15" customHeight="1" x14ac:dyDescent="0.25">
      <c r="A15" s="110">
        <f t="shared" si="7"/>
        <v>44111</v>
      </c>
      <c r="B15" s="174">
        <f t="shared" si="0"/>
        <v>0</v>
      </c>
      <c r="C15" s="801"/>
      <c r="D15" s="1037">
        <f t="shared" si="1"/>
        <v>0</v>
      </c>
      <c r="E15" s="114"/>
      <c r="F15" s="173"/>
      <c r="G15" s="114"/>
      <c r="H15" s="1332">
        <f t="shared" si="9"/>
        <v>9483283</v>
      </c>
      <c r="I15" s="1037">
        <f t="shared" si="2"/>
        <v>1500</v>
      </c>
      <c r="J15" s="114">
        <v>862500</v>
      </c>
      <c r="K15" s="999"/>
      <c r="L15" s="114"/>
      <c r="M15" s="106">
        <f t="shared" si="8"/>
        <v>9780069</v>
      </c>
      <c r="N15" s="803">
        <f t="shared" si="5"/>
        <v>862500</v>
      </c>
      <c r="O15" s="172">
        <f t="shared" si="6"/>
        <v>0</v>
      </c>
      <c r="P15" s="172">
        <f t="shared" si="3"/>
        <v>862500</v>
      </c>
      <c r="Q15" s="172">
        <f t="shared" si="4"/>
        <v>19263352</v>
      </c>
    </row>
    <row r="16" spans="1:18" ht="16.5" customHeight="1" x14ac:dyDescent="0.25">
      <c r="A16" s="110">
        <f t="shared" si="7"/>
        <v>44112</v>
      </c>
      <c r="B16" s="174">
        <f t="shared" si="0"/>
        <v>0</v>
      </c>
      <c r="C16" s="801"/>
      <c r="D16" s="1037">
        <f t="shared" si="1"/>
        <v>0</v>
      </c>
      <c r="E16" s="114"/>
      <c r="F16" s="804" t="s">
        <v>419</v>
      </c>
      <c r="G16" s="114">
        <v>3000000</v>
      </c>
      <c r="H16" s="1332">
        <f t="shared" si="9"/>
        <v>6483283</v>
      </c>
      <c r="I16" s="1037">
        <f t="shared" si="2"/>
        <v>950</v>
      </c>
      <c r="J16" s="114">
        <v>546250</v>
      </c>
      <c r="K16" s="950"/>
      <c r="L16" s="114"/>
      <c r="M16" s="106">
        <f t="shared" si="8"/>
        <v>10326319</v>
      </c>
      <c r="N16" s="803">
        <f t="shared" si="5"/>
        <v>546250</v>
      </c>
      <c r="O16" s="172">
        <f t="shared" si="6"/>
        <v>3000000</v>
      </c>
      <c r="P16" s="172">
        <f t="shared" si="3"/>
        <v>-2453750</v>
      </c>
      <c r="Q16" s="172">
        <f t="shared" si="4"/>
        <v>16809602</v>
      </c>
    </row>
    <row r="17" spans="1:35" ht="15" customHeight="1" x14ac:dyDescent="0.25">
      <c r="A17" s="110">
        <f t="shared" si="7"/>
        <v>44113</v>
      </c>
      <c r="B17" s="174">
        <f t="shared" si="0"/>
        <v>0</v>
      </c>
      <c r="C17" s="802"/>
      <c r="D17" s="1037">
        <f t="shared" si="1"/>
        <v>0</v>
      </c>
      <c r="E17" s="114"/>
      <c r="F17" s="173"/>
      <c r="G17" s="114"/>
      <c r="H17" s="1332">
        <f t="shared" si="9"/>
        <v>6483283</v>
      </c>
      <c r="I17" s="1037">
        <f t="shared" si="2"/>
        <v>3248.2608695652175</v>
      </c>
      <c r="J17" s="118">
        <v>1867750</v>
      </c>
      <c r="K17" s="831"/>
      <c r="L17" s="118"/>
      <c r="M17" s="106">
        <f t="shared" si="8"/>
        <v>12194069</v>
      </c>
      <c r="N17" s="803">
        <f t="shared" si="5"/>
        <v>1867750</v>
      </c>
      <c r="O17" s="172">
        <f t="shared" si="6"/>
        <v>0</v>
      </c>
      <c r="P17" s="172">
        <f t="shared" si="3"/>
        <v>1867750</v>
      </c>
      <c r="Q17" s="172">
        <f t="shared" si="4"/>
        <v>18677352</v>
      </c>
    </row>
    <row r="18" spans="1:35" ht="15" customHeight="1" x14ac:dyDescent="0.25">
      <c r="A18" s="110">
        <f t="shared" si="7"/>
        <v>44114</v>
      </c>
      <c r="B18" s="174">
        <f t="shared" si="0"/>
        <v>0</v>
      </c>
      <c r="C18" s="802"/>
      <c r="D18" s="1037">
        <f t="shared" si="1"/>
        <v>0</v>
      </c>
      <c r="E18" s="114"/>
      <c r="F18" s="173"/>
      <c r="G18" s="114"/>
      <c r="H18" s="1332">
        <f t="shared" si="9"/>
        <v>6483283</v>
      </c>
      <c r="I18" s="1037">
        <f t="shared" si="2"/>
        <v>0</v>
      </c>
      <c r="J18" s="118"/>
      <c r="K18" s="831"/>
      <c r="L18" s="118"/>
      <c r="M18" s="106">
        <f t="shared" si="8"/>
        <v>12194069</v>
      </c>
      <c r="N18" s="803">
        <f t="shared" si="5"/>
        <v>0</v>
      </c>
      <c r="O18" s="172">
        <f t="shared" si="6"/>
        <v>0</v>
      </c>
      <c r="P18" s="172">
        <f t="shared" si="3"/>
        <v>0</v>
      </c>
      <c r="Q18" s="172">
        <f t="shared" si="4"/>
        <v>18677352</v>
      </c>
    </row>
    <row r="19" spans="1:35" ht="15" customHeight="1" x14ac:dyDescent="0.25">
      <c r="A19" s="110">
        <f t="shared" si="7"/>
        <v>44115</v>
      </c>
      <c r="B19" s="174">
        <f t="shared" si="0"/>
        <v>0</v>
      </c>
      <c r="C19" s="802"/>
      <c r="D19" s="1037">
        <f t="shared" si="1"/>
        <v>0</v>
      </c>
      <c r="E19" s="114"/>
      <c r="F19" s="173"/>
      <c r="G19" s="114"/>
      <c r="H19" s="1332">
        <f t="shared" si="9"/>
        <v>6483283</v>
      </c>
      <c r="I19" s="1037">
        <f t="shared" si="2"/>
        <v>0</v>
      </c>
      <c r="J19" s="118"/>
      <c r="K19" s="831"/>
      <c r="L19" s="118"/>
      <c r="M19" s="106">
        <f t="shared" si="8"/>
        <v>12194069</v>
      </c>
      <c r="N19" s="803">
        <f t="shared" si="5"/>
        <v>0</v>
      </c>
      <c r="O19" s="172">
        <f t="shared" si="6"/>
        <v>0</v>
      </c>
      <c r="P19" s="172">
        <f t="shared" si="3"/>
        <v>0</v>
      </c>
      <c r="Q19" s="172">
        <f t="shared" si="4"/>
        <v>18677352</v>
      </c>
    </row>
    <row r="20" spans="1:35" ht="15" customHeight="1" x14ac:dyDescent="0.25">
      <c r="A20" s="110">
        <f t="shared" si="7"/>
        <v>44116</v>
      </c>
      <c r="B20" s="174">
        <f t="shared" si="0"/>
        <v>0</v>
      </c>
      <c r="C20" s="802"/>
      <c r="D20" s="1037">
        <f t="shared" si="1"/>
        <v>0</v>
      </c>
      <c r="E20" s="114"/>
      <c r="F20" s="173"/>
      <c r="G20" s="114"/>
      <c r="H20" s="1332">
        <f t="shared" si="9"/>
        <v>6483283</v>
      </c>
      <c r="I20" s="1037">
        <f t="shared" si="2"/>
        <v>0</v>
      </c>
      <c r="J20" s="118"/>
      <c r="K20" s="820"/>
      <c r="L20" s="118"/>
      <c r="M20" s="106">
        <f t="shared" si="8"/>
        <v>12194069</v>
      </c>
      <c r="N20" s="803">
        <f t="shared" si="5"/>
        <v>0</v>
      </c>
      <c r="O20" s="172">
        <f t="shared" si="6"/>
        <v>0</v>
      </c>
      <c r="P20" s="172">
        <f t="shared" si="3"/>
        <v>0</v>
      </c>
      <c r="Q20" s="172">
        <f t="shared" si="4"/>
        <v>18677352</v>
      </c>
    </row>
    <row r="21" spans="1:35" ht="15" customHeight="1" x14ac:dyDescent="0.25">
      <c r="A21" s="110">
        <f t="shared" si="7"/>
        <v>44117</v>
      </c>
      <c r="B21" s="174">
        <f t="shared" si="0"/>
        <v>0</v>
      </c>
      <c r="C21" s="802"/>
      <c r="D21" s="1037">
        <f t="shared" si="1"/>
        <v>0</v>
      </c>
      <c r="E21" s="114"/>
      <c r="F21" s="173"/>
      <c r="G21" s="114"/>
      <c r="H21" s="1332">
        <f t="shared" si="9"/>
        <v>6483283</v>
      </c>
      <c r="I21" s="1037">
        <f t="shared" si="2"/>
        <v>0</v>
      </c>
      <c r="J21" s="118"/>
      <c r="K21" s="1383"/>
      <c r="L21" s="118"/>
      <c r="M21" s="106">
        <f t="shared" si="8"/>
        <v>12194069</v>
      </c>
      <c r="N21" s="803">
        <f t="shared" si="5"/>
        <v>0</v>
      </c>
      <c r="O21" s="172">
        <f t="shared" si="6"/>
        <v>0</v>
      </c>
      <c r="P21" s="172">
        <f t="shared" si="3"/>
        <v>0</v>
      </c>
      <c r="Q21" s="172">
        <f t="shared" si="4"/>
        <v>18677352</v>
      </c>
    </row>
    <row r="22" spans="1:35" ht="15" customHeight="1" x14ac:dyDescent="0.25">
      <c r="A22" s="110">
        <f t="shared" si="7"/>
        <v>44118</v>
      </c>
      <c r="B22" s="174">
        <f t="shared" si="0"/>
        <v>0</v>
      </c>
      <c r="C22" s="802"/>
      <c r="D22" s="1037">
        <f t="shared" si="1"/>
        <v>0</v>
      </c>
      <c r="E22" s="114"/>
      <c r="F22" s="173"/>
      <c r="G22" s="114"/>
      <c r="H22" s="1332">
        <f t="shared" si="9"/>
        <v>6483283</v>
      </c>
      <c r="I22" s="1037">
        <f t="shared" si="2"/>
        <v>0</v>
      </c>
      <c r="J22" s="118"/>
      <c r="K22" s="831"/>
      <c r="L22" s="118"/>
      <c r="M22" s="106">
        <f t="shared" si="8"/>
        <v>12194069</v>
      </c>
      <c r="N22" s="803">
        <f t="shared" si="5"/>
        <v>0</v>
      </c>
      <c r="O22" s="172">
        <f t="shared" si="6"/>
        <v>0</v>
      </c>
      <c r="P22" s="172">
        <f t="shared" si="3"/>
        <v>0</v>
      </c>
      <c r="Q22" s="172">
        <f t="shared" si="4"/>
        <v>18677352</v>
      </c>
    </row>
    <row r="23" spans="1:35" ht="15" customHeight="1" x14ac:dyDescent="0.25">
      <c r="A23" s="110">
        <f t="shared" si="7"/>
        <v>44119</v>
      </c>
      <c r="B23" s="174">
        <f t="shared" si="0"/>
        <v>0</v>
      </c>
      <c r="C23" s="802"/>
      <c r="D23" s="1037">
        <f t="shared" si="1"/>
        <v>0</v>
      </c>
      <c r="E23" s="114"/>
      <c r="F23" s="173"/>
      <c r="G23" s="114"/>
      <c r="H23" s="1332">
        <f t="shared" si="9"/>
        <v>6483283</v>
      </c>
      <c r="I23" s="1037">
        <f t="shared" si="2"/>
        <v>0</v>
      </c>
      <c r="J23" s="118"/>
      <c r="K23" s="831"/>
      <c r="L23" s="118"/>
      <c r="M23" s="106">
        <f t="shared" si="8"/>
        <v>12194069</v>
      </c>
      <c r="N23" s="803">
        <f t="shared" si="5"/>
        <v>0</v>
      </c>
      <c r="O23" s="172">
        <f t="shared" si="6"/>
        <v>0</v>
      </c>
      <c r="P23" s="172">
        <f t="shared" si="3"/>
        <v>0</v>
      </c>
      <c r="Q23" s="172">
        <f t="shared" si="4"/>
        <v>18677352</v>
      </c>
      <c r="R23" s="218"/>
    </row>
    <row r="24" spans="1:35" ht="15" customHeight="1" x14ac:dyDescent="0.25">
      <c r="A24" s="110">
        <f t="shared" si="7"/>
        <v>44120</v>
      </c>
      <c r="B24" s="174">
        <f t="shared" si="0"/>
        <v>0</v>
      </c>
      <c r="C24" s="802"/>
      <c r="D24" s="1037">
        <f t="shared" si="1"/>
        <v>0</v>
      </c>
      <c r="E24" s="118"/>
      <c r="G24" s="114"/>
      <c r="H24" s="1332">
        <f t="shared" si="9"/>
        <v>6483283</v>
      </c>
      <c r="I24" s="1037">
        <f t="shared" si="2"/>
        <v>0</v>
      </c>
      <c r="J24" s="118"/>
      <c r="K24" s="820"/>
      <c r="L24" s="118"/>
      <c r="M24" s="106">
        <f t="shared" si="8"/>
        <v>12194069</v>
      </c>
      <c r="N24" s="803">
        <f t="shared" si="5"/>
        <v>0</v>
      </c>
      <c r="O24" s="172">
        <f t="shared" si="6"/>
        <v>0</v>
      </c>
      <c r="P24" s="172">
        <f t="shared" si="3"/>
        <v>0</v>
      </c>
      <c r="Q24" s="172">
        <f t="shared" si="4"/>
        <v>18677352</v>
      </c>
      <c r="R24" s="139"/>
      <c r="S24" s="139"/>
      <c r="T24" s="139"/>
      <c r="U24" s="139"/>
      <c r="V24" s="139"/>
      <c r="W24" s="139"/>
      <c r="X24" s="139"/>
      <c r="Y24" s="139"/>
      <c r="Z24" s="139"/>
      <c r="AA24" s="139"/>
      <c r="AB24" s="139"/>
      <c r="AC24" s="139"/>
      <c r="AD24" s="139"/>
      <c r="AE24" s="139"/>
      <c r="AF24" s="139"/>
      <c r="AG24" s="139"/>
      <c r="AH24" s="139"/>
      <c r="AI24" s="139"/>
    </row>
    <row r="25" spans="1:35" ht="15" customHeight="1" x14ac:dyDescent="0.25">
      <c r="A25" s="110">
        <f t="shared" si="7"/>
        <v>44121</v>
      </c>
      <c r="B25" s="174">
        <f t="shared" si="0"/>
        <v>0</v>
      </c>
      <c r="C25" s="802"/>
      <c r="D25" s="1037">
        <f t="shared" si="1"/>
        <v>0</v>
      </c>
      <c r="E25" s="114"/>
      <c r="F25" s="804"/>
      <c r="G25" s="114"/>
      <c r="H25" s="1332">
        <f t="shared" si="9"/>
        <v>6483283</v>
      </c>
      <c r="I25" s="1037">
        <f>+J25/I$7</f>
        <v>0</v>
      </c>
      <c r="J25" s="118"/>
      <c r="K25" s="831"/>
      <c r="L25" s="118"/>
      <c r="M25" s="106">
        <f>+M24+J25-L25</f>
        <v>12194069</v>
      </c>
      <c r="N25" s="803">
        <f>+E25+J25</f>
        <v>0</v>
      </c>
      <c r="O25" s="172">
        <f t="shared" si="6"/>
        <v>0</v>
      </c>
      <c r="P25" s="172">
        <f t="shared" si="3"/>
        <v>0</v>
      </c>
      <c r="Q25" s="172">
        <f t="shared" si="4"/>
        <v>18677352</v>
      </c>
      <c r="R25" s="139"/>
      <c r="S25" s="139"/>
      <c r="T25" s="139"/>
      <c r="U25" s="139"/>
      <c r="V25" s="139"/>
      <c r="W25" s="139"/>
      <c r="X25" s="139"/>
      <c r="Y25" s="139"/>
      <c r="Z25" s="139"/>
      <c r="AA25" s="139"/>
      <c r="AB25" s="139"/>
      <c r="AC25" s="139"/>
      <c r="AD25" s="139"/>
      <c r="AE25" s="139"/>
      <c r="AF25" s="139"/>
      <c r="AG25" s="139"/>
      <c r="AH25" s="139"/>
      <c r="AI25" s="139"/>
    </row>
    <row r="26" spans="1:35" ht="15" customHeight="1" x14ac:dyDescent="0.25">
      <c r="A26" s="110">
        <f t="shared" si="7"/>
        <v>44122</v>
      </c>
      <c r="B26" s="174">
        <f t="shared" si="0"/>
        <v>0</v>
      </c>
      <c r="C26" s="802"/>
      <c r="D26" s="1037">
        <f t="shared" si="1"/>
        <v>0</v>
      </c>
      <c r="E26" s="114"/>
      <c r="F26" s="804"/>
      <c r="G26" s="114"/>
      <c r="H26" s="1332">
        <f t="shared" si="9"/>
        <v>6483283</v>
      </c>
      <c r="I26" s="1037">
        <f t="shared" si="2"/>
        <v>0</v>
      </c>
      <c r="J26" s="118"/>
      <c r="K26" s="1383"/>
      <c r="L26" s="118"/>
      <c r="M26" s="106">
        <f t="shared" si="8"/>
        <v>12194069</v>
      </c>
      <c r="N26" s="803">
        <f t="shared" si="5"/>
        <v>0</v>
      </c>
      <c r="O26" s="172">
        <f t="shared" si="6"/>
        <v>0</v>
      </c>
      <c r="P26" s="172">
        <f t="shared" si="3"/>
        <v>0</v>
      </c>
      <c r="Q26" s="172">
        <f t="shared" si="4"/>
        <v>18677352</v>
      </c>
      <c r="R26" s="139"/>
      <c r="S26" s="139"/>
      <c r="T26" s="139"/>
      <c r="U26" s="139"/>
      <c r="V26" s="139"/>
      <c r="W26" s="139"/>
      <c r="X26" s="139"/>
      <c r="Y26" s="139"/>
      <c r="Z26" s="139"/>
      <c r="AA26" s="139"/>
      <c r="AB26" s="139"/>
      <c r="AC26" s="139"/>
      <c r="AD26" s="139"/>
      <c r="AE26" s="139"/>
      <c r="AF26" s="139"/>
      <c r="AG26" s="139"/>
      <c r="AH26" s="139"/>
      <c r="AI26" s="139"/>
    </row>
    <row r="27" spans="1:35" ht="15" customHeight="1" x14ac:dyDescent="0.25">
      <c r="A27" s="110">
        <f t="shared" si="7"/>
        <v>44123</v>
      </c>
      <c r="B27" s="174">
        <f t="shared" si="0"/>
        <v>0</v>
      </c>
      <c r="C27" s="802"/>
      <c r="D27" s="1037">
        <f t="shared" si="1"/>
        <v>0</v>
      </c>
      <c r="E27" s="114"/>
      <c r="F27" s="804"/>
      <c r="G27" s="114"/>
      <c r="H27" s="1332">
        <f t="shared" si="9"/>
        <v>6483283</v>
      </c>
      <c r="I27" s="1037">
        <f t="shared" si="2"/>
        <v>0</v>
      </c>
      <c r="J27" s="118"/>
      <c r="K27" s="1383" t="s">
        <v>974</v>
      </c>
      <c r="L27" s="1383"/>
      <c r="M27" s="106">
        <f t="shared" si="8"/>
        <v>12194069</v>
      </c>
      <c r="N27" s="803">
        <f t="shared" si="5"/>
        <v>0</v>
      </c>
      <c r="O27" s="172">
        <f t="shared" si="6"/>
        <v>0</v>
      </c>
      <c r="P27" s="175">
        <f t="shared" si="3"/>
        <v>0</v>
      </c>
      <c r="Q27" s="172">
        <f t="shared" si="4"/>
        <v>18677352</v>
      </c>
      <c r="R27" s="139"/>
      <c r="S27" s="139"/>
      <c r="T27" s="139"/>
      <c r="U27" s="139"/>
      <c r="V27" s="139"/>
      <c r="W27" s="139"/>
      <c r="X27" s="139"/>
      <c r="Y27" s="139"/>
      <c r="Z27" s="139"/>
      <c r="AA27" s="139"/>
      <c r="AB27" s="139"/>
      <c r="AC27" s="139"/>
      <c r="AD27" s="139"/>
      <c r="AE27" s="139"/>
      <c r="AF27" s="139"/>
      <c r="AG27" s="139"/>
      <c r="AH27" s="139"/>
      <c r="AI27" s="139"/>
    </row>
    <row r="28" spans="1:35" ht="15" customHeight="1" x14ac:dyDescent="0.25">
      <c r="A28" s="110">
        <f t="shared" si="7"/>
        <v>44124</v>
      </c>
      <c r="B28" s="174">
        <f t="shared" si="0"/>
        <v>0</v>
      </c>
      <c r="C28" s="802"/>
      <c r="D28" s="1037">
        <f t="shared" si="1"/>
        <v>0</v>
      </c>
      <c r="E28" s="114"/>
      <c r="F28" s="804"/>
      <c r="G28" s="114"/>
      <c r="H28" s="1332">
        <f t="shared" si="9"/>
        <v>6483283</v>
      </c>
      <c r="I28" s="1037">
        <f t="shared" si="2"/>
        <v>0</v>
      </c>
      <c r="J28" s="118"/>
      <c r="K28" s="1383"/>
      <c r="L28" s="118"/>
      <c r="M28" s="106">
        <f t="shared" si="8"/>
        <v>12194069</v>
      </c>
      <c r="N28" s="803">
        <f t="shared" si="5"/>
        <v>0</v>
      </c>
      <c r="O28" s="172">
        <f t="shared" si="6"/>
        <v>0</v>
      </c>
      <c r="P28" s="175">
        <f t="shared" si="3"/>
        <v>0</v>
      </c>
      <c r="Q28" s="172">
        <f t="shared" si="4"/>
        <v>18677352</v>
      </c>
      <c r="R28" s="139"/>
      <c r="S28" s="139"/>
      <c r="T28" s="139"/>
      <c r="U28" s="139"/>
      <c r="V28" s="139"/>
      <c r="W28" s="139"/>
      <c r="X28" s="139"/>
      <c r="Y28" s="139"/>
      <c r="Z28" s="139"/>
      <c r="AA28" s="139"/>
      <c r="AB28" s="139"/>
      <c r="AC28" s="139"/>
      <c r="AD28" s="139"/>
      <c r="AE28" s="139"/>
      <c r="AF28" s="139"/>
      <c r="AG28" s="139"/>
      <c r="AH28" s="139"/>
      <c r="AI28" s="139"/>
    </row>
    <row r="29" spans="1:35" ht="15" customHeight="1" x14ac:dyDescent="0.25">
      <c r="A29" s="110">
        <f t="shared" si="7"/>
        <v>44125</v>
      </c>
      <c r="B29" s="174">
        <f t="shared" si="0"/>
        <v>0</v>
      </c>
      <c r="C29" s="802"/>
      <c r="D29" s="1037">
        <f t="shared" si="1"/>
        <v>0</v>
      </c>
      <c r="E29" s="114"/>
      <c r="F29" s="804"/>
      <c r="G29" s="114"/>
      <c r="H29" s="1332">
        <f t="shared" si="9"/>
        <v>6483283</v>
      </c>
      <c r="I29" s="1037">
        <f t="shared" si="2"/>
        <v>0</v>
      </c>
      <c r="J29" s="118"/>
      <c r="K29" s="831"/>
      <c r="L29" s="118"/>
      <c r="M29" s="106">
        <f t="shared" si="8"/>
        <v>12194069</v>
      </c>
      <c r="N29" s="803">
        <f t="shared" si="5"/>
        <v>0</v>
      </c>
      <c r="O29" s="172">
        <f t="shared" si="6"/>
        <v>0</v>
      </c>
      <c r="P29" s="175">
        <f t="shared" si="3"/>
        <v>0</v>
      </c>
      <c r="Q29" s="172">
        <f t="shared" si="4"/>
        <v>18677352</v>
      </c>
      <c r="R29" s="139"/>
      <c r="S29" s="139"/>
      <c r="T29" s="139"/>
      <c r="U29" s="139"/>
      <c r="V29" s="139"/>
      <c r="W29" s="139"/>
      <c r="X29" s="139"/>
      <c r="Y29" s="139"/>
      <c r="Z29" s="139"/>
      <c r="AA29" s="139"/>
      <c r="AB29" s="139"/>
      <c r="AC29" s="139"/>
      <c r="AD29" s="139"/>
      <c r="AE29" s="139"/>
      <c r="AF29" s="139"/>
      <c r="AG29" s="139"/>
      <c r="AH29" s="139"/>
      <c r="AI29" s="139"/>
    </row>
    <row r="30" spans="1:35" ht="15" customHeight="1" x14ac:dyDescent="0.25">
      <c r="A30" s="110">
        <f t="shared" si="7"/>
        <v>44126</v>
      </c>
      <c r="B30" s="174">
        <f t="shared" si="0"/>
        <v>0</v>
      </c>
      <c r="C30" s="802"/>
      <c r="D30" s="1037">
        <f t="shared" si="1"/>
        <v>0</v>
      </c>
      <c r="E30" s="114"/>
      <c r="F30" s="804"/>
      <c r="G30" s="114"/>
      <c r="H30" s="1332">
        <f t="shared" si="9"/>
        <v>6483283</v>
      </c>
      <c r="I30" s="1037">
        <f t="shared" si="2"/>
        <v>0</v>
      </c>
      <c r="J30" s="118"/>
      <c r="K30" s="1383"/>
      <c r="L30" s="118"/>
      <c r="M30" s="106">
        <f t="shared" si="8"/>
        <v>12194069</v>
      </c>
      <c r="N30" s="803">
        <f t="shared" si="5"/>
        <v>0</v>
      </c>
      <c r="O30" s="1672">
        <f t="shared" si="6"/>
        <v>0</v>
      </c>
      <c r="P30" s="175">
        <f t="shared" si="3"/>
        <v>0</v>
      </c>
      <c r="Q30" s="172">
        <f t="shared" si="4"/>
        <v>18677352</v>
      </c>
      <c r="R30" s="139"/>
      <c r="S30" s="139"/>
      <c r="T30" s="139"/>
      <c r="U30" s="139"/>
      <c r="V30" s="139"/>
      <c r="W30" s="139"/>
      <c r="X30" s="139"/>
      <c r="Y30" s="139"/>
      <c r="Z30" s="139"/>
      <c r="AA30" s="139"/>
      <c r="AB30" s="139"/>
      <c r="AC30" s="139"/>
      <c r="AD30" s="139"/>
      <c r="AE30" s="139"/>
      <c r="AF30" s="139"/>
      <c r="AG30" s="139"/>
      <c r="AH30" s="139"/>
      <c r="AI30" s="139"/>
    </row>
    <row r="31" spans="1:35" s="139" customFormat="1" ht="15" customHeight="1" x14ac:dyDescent="0.25">
      <c r="A31" s="110">
        <f t="shared" si="7"/>
        <v>44127</v>
      </c>
      <c r="B31" s="174">
        <f t="shared" si="0"/>
        <v>0</v>
      </c>
      <c r="C31" s="802"/>
      <c r="D31" s="1037">
        <f t="shared" si="1"/>
        <v>0</v>
      </c>
      <c r="E31" s="118"/>
      <c r="F31" s="820"/>
      <c r="G31" s="114"/>
      <c r="H31" s="1332">
        <f t="shared" si="9"/>
        <v>6483283</v>
      </c>
      <c r="I31" s="1037">
        <f t="shared" si="2"/>
        <v>0</v>
      </c>
      <c r="J31" s="118"/>
      <c r="K31" s="1463"/>
      <c r="L31" s="118"/>
      <c r="M31" s="106">
        <f t="shared" si="8"/>
        <v>12194069</v>
      </c>
      <c r="N31" s="1566">
        <f t="shared" si="5"/>
        <v>0</v>
      </c>
      <c r="O31" s="175">
        <f t="shared" si="6"/>
        <v>0</v>
      </c>
      <c r="P31" s="175">
        <f t="shared" si="3"/>
        <v>0</v>
      </c>
      <c r="Q31" s="175">
        <f t="shared" si="4"/>
        <v>18677352</v>
      </c>
    </row>
    <row r="32" spans="1:35" ht="15" customHeight="1" x14ac:dyDescent="0.25">
      <c r="A32" s="110">
        <f t="shared" si="7"/>
        <v>44128</v>
      </c>
      <c r="B32" s="174">
        <f t="shared" si="0"/>
        <v>0</v>
      </c>
      <c r="C32" s="801"/>
      <c r="D32" s="1037">
        <f t="shared" si="1"/>
        <v>0</v>
      </c>
      <c r="E32" s="114"/>
      <c r="F32" s="804"/>
      <c r="G32" s="114"/>
      <c r="H32" s="1332">
        <f t="shared" si="9"/>
        <v>6483283</v>
      </c>
      <c r="I32" s="1037">
        <f t="shared" si="2"/>
        <v>0</v>
      </c>
      <c r="J32" s="114"/>
      <c r="K32" s="1463"/>
      <c r="L32" s="114"/>
      <c r="M32" s="106">
        <f t="shared" si="8"/>
        <v>12194069</v>
      </c>
      <c r="N32" s="803">
        <f t="shared" si="5"/>
        <v>0</v>
      </c>
      <c r="O32" s="172">
        <f t="shared" si="6"/>
        <v>0</v>
      </c>
      <c r="P32" s="175">
        <f t="shared" si="3"/>
        <v>0</v>
      </c>
      <c r="Q32" s="172">
        <f t="shared" si="4"/>
        <v>18677352</v>
      </c>
      <c r="R32" s="139"/>
      <c r="S32" s="139"/>
      <c r="T32" s="139"/>
      <c r="U32" s="139"/>
      <c r="V32" s="139"/>
      <c r="W32" s="139"/>
      <c r="X32" s="139"/>
      <c r="Y32" s="139"/>
      <c r="Z32" s="139"/>
      <c r="AA32" s="139"/>
      <c r="AB32" s="139"/>
      <c r="AC32" s="139"/>
      <c r="AD32" s="139"/>
      <c r="AE32" s="139"/>
      <c r="AF32" s="139"/>
      <c r="AG32" s="139"/>
      <c r="AH32" s="139"/>
      <c r="AI32" s="139"/>
    </row>
    <row r="33" spans="1:35" ht="15" customHeight="1" x14ac:dyDescent="0.25">
      <c r="A33" s="110">
        <f t="shared" si="7"/>
        <v>44129</v>
      </c>
      <c r="B33" s="174">
        <f t="shared" si="0"/>
        <v>0</v>
      </c>
      <c r="C33" s="801"/>
      <c r="D33" s="1037">
        <f t="shared" si="1"/>
        <v>0</v>
      </c>
      <c r="E33" s="114"/>
      <c r="F33" s="804"/>
      <c r="G33" s="114"/>
      <c r="H33" s="1332">
        <f>+H32+E33-G33</f>
        <v>6483283</v>
      </c>
      <c r="I33" s="1037">
        <f t="shared" si="2"/>
        <v>0</v>
      </c>
      <c r="J33" s="114"/>
      <c r="K33" s="999"/>
      <c r="L33" s="114"/>
      <c r="M33" s="106">
        <f t="shared" si="8"/>
        <v>12194069</v>
      </c>
      <c r="N33" s="803">
        <f t="shared" si="5"/>
        <v>0</v>
      </c>
      <c r="O33" s="172">
        <f t="shared" si="6"/>
        <v>0</v>
      </c>
      <c r="P33" s="175">
        <f t="shared" si="3"/>
        <v>0</v>
      </c>
      <c r="Q33" s="172">
        <f t="shared" si="4"/>
        <v>18677352</v>
      </c>
      <c r="R33" s="139"/>
      <c r="S33" s="139"/>
      <c r="T33" s="139"/>
      <c r="U33" s="139"/>
      <c r="V33" s="139"/>
      <c r="W33" s="139"/>
      <c r="X33" s="139"/>
      <c r="Y33" s="139"/>
      <c r="Z33" s="139"/>
      <c r="AA33" s="139"/>
      <c r="AB33" s="139"/>
      <c r="AC33" s="139"/>
      <c r="AD33" s="139"/>
      <c r="AE33" s="139"/>
      <c r="AF33" s="139"/>
      <c r="AG33" s="139"/>
      <c r="AH33" s="139"/>
      <c r="AI33" s="139"/>
    </row>
    <row r="34" spans="1:35" ht="19.5" x14ac:dyDescent="0.25">
      <c r="A34" s="110">
        <f t="shared" si="7"/>
        <v>44130</v>
      </c>
      <c r="B34" s="174">
        <f t="shared" si="0"/>
        <v>0</v>
      </c>
      <c r="C34" s="801"/>
      <c r="D34" s="1037">
        <f t="shared" si="1"/>
        <v>0</v>
      </c>
      <c r="E34" s="114"/>
      <c r="F34" s="804"/>
      <c r="G34" s="114"/>
      <c r="H34" s="1332">
        <f t="shared" si="9"/>
        <v>6483283</v>
      </c>
      <c r="I34" s="1037">
        <f>+J34/I$7</f>
        <v>0</v>
      </c>
      <c r="J34" s="114"/>
      <c r="K34" s="999"/>
      <c r="L34" s="114"/>
      <c r="M34" s="106">
        <f t="shared" si="8"/>
        <v>12194069</v>
      </c>
      <c r="N34" s="803">
        <f t="shared" si="5"/>
        <v>0</v>
      </c>
      <c r="O34" s="172">
        <f t="shared" si="6"/>
        <v>0</v>
      </c>
      <c r="P34" s="175">
        <f t="shared" si="3"/>
        <v>0</v>
      </c>
      <c r="Q34" s="172">
        <f t="shared" si="4"/>
        <v>18677352</v>
      </c>
      <c r="R34" s="139"/>
      <c r="S34" s="139"/>
      <c r="T34" s="139"/>
      <c r="U34" s="139"/>
      <c r="V34" s="139"/>
      <c r="W34" s="139"/>
      <c r="X34" s="139"/>
      <c r="Y34" s="139"/>
      <c r="Z34" s="139"/>
      <c r="AA34" s="139"/>
      <c r="AB34" s="139"/>
      <c r="AC34" s="139"/>
      <c r="AD34" s="139"/>
      <c r="AE34" s="139"/>
      <c r="AF34" s="139"/>
      <c r="AG34" s="139"/>
      <c r="AH34" s="139"/>
      <c r="AI34" s="139"/>
    </row>
    <row r="35" spans="1:35" ht="19.5" x14ac:dyDescent="0.25">
      <c r="A35" s="110">
        <f t="shared" si="7"/>
        <v>44131</v>
      </c>
      <c r="B35" s="174">
        <f t="shared" si="0"/>
        <v>0</v>
      </c>
      <c r="C35" s="801"/>
      <c r="D35" s="1037">
        <f t="shared" si="1"/>
        <v>0</v>
      </c>
      <c r="E35" s="114"/>
      <c r="F35" s="804"/>
      <c r="G35" s="114"/>
      <c r="H35" s="1332">
        <f t="shared" si="9"/>
        <v>6483283</v>
      </c>
      <c r="I35" s="1037">
        <f t="shared" si="2"/>
        <v>0</v>
      </c>
      <c r="J35" s="114"/>
      <c r="K35" s="999"/>
      <c r="L35" s="114"/>
      <c r="M35" s="106">
        <f t="shared" si="8"/>
        <v>12194069</v>
      </c>
      <c r="N35" s="803">
        <f t="shared" si="5"/>
        <v>0</v>
      </c>
      <c r="O35" s="172">
        <f t="shared" si="6"/>
        <v>0</v>
      </c>
      <c r="P35" s="175">
        <f t="shared" si="3"/>
        <v>0</v>
      </c>
      <c r="Q35" s="172">
        <f t="shared" si="4"/>
        <v>18677352</v>
      </c>
      <c r="R35" s="139"/>
      <c r="S35" s="139"/>
      <c r="T35" s="139"/>
      <c r="U35" s="139"/>
      <c r="V35" s="139"/>
      <c r="W35" s="139"/>
      <c r="X35" s="139"/>
      <c r="Y35" s="139"/>
      <c r="Z35" s="139"/>
      <c r="AA35" s="139"/>
      <c r="AB35" s="139"/>
      <c r="AC35" s="139"/>
      <c r="AD35" s="139"/>
      <c r="AE35" s="139"/>
      <c r="AF35" s="139"/>
      <c r="AG35" s="139"/>
      <c r="AH35" s="139"/>
      <c r="AI35" s="139"/>
    </row>
    <row r="36" spans="1:35" ht="19.5" x14ac:dyDescent="0.25">
      <c r="A36" s="110">
        <f t="shared" si="7"/>
        <v>44132</v>
      </c>
      <c r="B36" s="174">
        <f t="shared" si="0"/>
        <v>0</v>
      </c>
      <c r="C36" s="801"/>
      <c r="D36" s="1037">
        <f>+E36/D$7</f>
        <v>0</v>
      </c>
      <c r="E36" s="114"/>
      <c r="F36" s="804"/>
      <c r="G36" s="114"/>
      <c r="H36" s="1332">
        <f t="shared" si="9"/>
        <v>6483283</v>
      </c>
      <c r="I36" s="1037">
        <f t="shared" si="2"/>
        <v>0</v>
      </c>
      <c r="J36" s="685"/>
      <c r="K36" s="999"/>
      <c r="L36" s="114"/>
      <c r="M36" s="106">
        <f t="shared" si="8"/>
        <v>12194069</v>
      </c>
      <c r="N36" s="803">
        <f t="shared" si="5"/>
        <v>0</v>
      </c>
      <c r="O36" s="172">
        <f t="shared" si="6"/>
        <v>0</v>
      </c>
      <c r="P36" s="175">
        <f t="shared" si="3"/>
        <v>0</v>
      </c>
      <c r="Q36" s="172">
        <f t="shared" si="4"/>
        <v>18677352</v>
      </c>
      <c r="R36" s="139"/>
      <c r="S36" s="139"/>
      <c r="T36" s="139"/>
      <c r="U36" s="139"/>
      <c r="V36" s="139"/>
      <c r="W36" s="139"/>
      <c r="X36" s="139"/>
      <c r="Y36" s="139"/>
      <c r="Z36" s="139"/>
      <c r="AA36" s="139"/>
      <c r="AB36" s="139"/>
      <c r="AC36" s="139"/>
      <c r="AD36" s="139"/>
      <c r="AE36" s="139"/>
      <c r="AF36" s="139"/>
      <c r="AG36" s="139"/>
      <c r="AH36" s="139"/>
      <c r="AI36" s="139"/>
    </row>
    <row r="37" spans="1:35" ht="19.5" x14ac:dyDescent="0.25">
      <c r="A37" s="110">
        <f t="shared" si="7"/>
        <v>44133</v>
      </c>
      <c r="B37" s="174">
        <f t="shared" si="0"/>
        <v>0</v>
      </c>
      <c r="C37" s="801"/>
      <c r="D37" s="1037">
        <f t="shared" si="1"/>
        <v>0</v>
      </c>
      <c r="E37" s="114"/>
      <c r="F37" s="804"/>
      <c r="G37" s="114"/>
      <c r="H37" s="1332">
        <f t="shared" si="9"/>
        <v>6483283</v>
      </c>
      <c r="I37" s="1037">
        <f t="shared" si="2"/>
        <v>0</v>
      </c>
      <c r="J37" s="114"/>
      <c r="K37" s="999"/>
      <c r="L37" s="114"/>
      <c r="M37" s="106">
        <f t="shared" si="8"/>
        <v>12194069</v>
      </c>
      <c r="N37" s="803">
        <f t="shared" si="5"/>
        <v>0</v>
      </c>
      <c r="O37" s="172">
        <f t="shared" si="6"/>
        <v>0</v>
      </c>
      <c r="P37" s="175">
        <f t="shared" si="3"/>
        <v>0</v>
      </c>
      <c r="Q37" s="172">
        <f t="shared" si="4"/>
        <v>18677352</v>
      </c>
      <c r="R37" s="139"/>
      <c r="S37" s="139"/>
      <c r="T37" s="139"/>
      <c r="U37" s="139"/>
      <c r="V37" s="139"/>
      <c r="W37" s="139"/>
      <c r="X37" s="139"/>
      <c r="Y37" s="139"/>
      <c r="Z37" s="139"/>
      <c r="AA37" s="139"/>
      <c r="AB37" s="139"/>
      <c r="AC37" s="139"/>
      <c r="AD37" s="139"/>
      <c r="AE37" s="139"/>
      <c r="AF37" s="139"/>
      <c r="AG37" s="139"/>
      <c r="AH37" s="139"/>
      <c r="AI37" s="139"/>
    </row>
    <row r="38" spans="1:35" ht="19.5" x14ac:dyDescent="0.25">
      <c r="A38" s="110">
        <f t="shared" si="7"/>
        <v>44134</v>
      </c>
      <c r="B38" s="174">
        <f t="shared" si="0"/>
        <v>0</v>
      </c>
      <c r="C38" s="801"/>
      <c r="D38" s="1037">
        <f t="shared" si="1"/>
        <v>0</v>
      </c>
      <c r="E38" s="114"/>
      <c r="F38" s="804"/>
      <c r="G38" s="114"/>
      <c r="H38" s="1332">
        <f t="shared" si="9"/>
        <v>6483283</v>
      </c>
      <c r="I38" s="1037">
        <f t="shared" si="2"/>
        <v>0</v>
      </c>
      <c r="J38" s="114"/>
      <c r="K38" s="999"/>
      <c r="L38" s="114"/>
      <c r="M38" s="106">
        <f t="shared" si="8"/>
        <v>12194069</v>
      </c>
      <c r="N38" s="803">
        <f t="shared" si="5"/>
        <v>0</v>
      </c>
      <c r="O38" s="172">
        <f t="shared" si="6"/>
        <v>0</v>
      </c>
      <c r="P38" s="175">
        <f t="shared" si="3"/>
        <v>0</v>
      </c>
      <c r="Q38" s="172">
        <f t="shared" si="4"/>
        <v>18677352</v>
      </c>
      <c r="R38" s="850"/>
      <c r="S38" s="139"/>
      <c r="T38" s="139"/>
      <c r="U38" s="139"/>
      <c r="V38" s="139"/>
      <c r="W38" s="139"/>
      <c r="X38" s="139"/>
      <c r="Y38" s="139"/>
      <c r="Z38" s="139"/>
      <c r="AA38" s="139"/>
      <c r="AB38" s="139"/>
      <c r="AC38" s="139"/>
      <c r="AD38" s="139"/>
      <c r="AE38" s="139"/>
      <c r="AF38" s="139"/>
      <c r="AG38" s="139"/>
      <c r="AH38" s="139"/>
      <c r="AI38" s="139"/>
    </row>
    <row r="39" spans="1:35" ht="20.25" thickBot="1" x14ac:dyDescent="0.3">
      <c r="A39" s="110">
        <f t="shared" si="7"/>
        <v>44135</v>
      </c>
      <c r="B39" s="1277">
        <f t="shared" si="0"/>
        <v>0</v>
      </c>
      <c r="C39" s="1278"/>
      <c r="D39" s="1279">
        <f t="shared" si="1"/>
        <v>0</v>
      </c>
      <c r="E39" s="1280"/>
      <c r="F39" s="1281"/>
      <c r="G39" s="1280"/>
      <c r="H39" s="1333">
        <f t="shared" si="9"/>
        <v>6483283</v>
      </c>
      <c r="I39" s="1037">
        <f t="shared" si="2"/>
        <v>0</v>
      </c>
      <c r="J39" s="1280"/>
      <c r="K39" s="1280"/>
      <c r="L39" s="1280"/>
      <c r="M39" s="1282">
        <f t="shared" si="8"/>
        <v>12194069</v>
      </c>
      <c r="N39" s="1283">
        <f t="shared" si="5"/>
        <v>0</v>
      </c>
      <c r="O39" s="1284">
        <f t="shared" si="6"/>
        <v>0</v>
      </c>
      <c r="P39" s="1273">
        <f t="shared" si="3"/>
        <v>0</v>
      </c>
      <c r="Q39" s="1284">
        <f t="shared" si="4"/>
        <v>18677352</v>
      </c>
      <c r="R39" s="139"/>
      <c r="S39" s="850"/>
      <c r="T39" s="139"/>
      <c r="U39" s="139"/>
      <c r="V39" s="139"/>
      <c r="W39" s="139"/>
      <c r="X39" s="139"/>
      <c r="Y39" s="139"/>
      <c r="Z39" s="139"/>
      <c r="AA39" s="139"/>
      <c r="AB39" s="139"/>
      <c r="AC39" s="139"/>
      <c r="AD39" s="139"/>
      <c r="AE39" s="139"/>
      <c r="AF39" s="139"/>
      <c r="AG39" s="139"/>
      <c r="AH39" s="139"/>
      <c r="AI39" s="139"/>
    </row>
    <row r="40" spans="1:35" ht="20.25" thickBot="1" x14ac:dyDescent="0.3">
      <c r="A40" s="1276" t="s">
        <v>18</v>
      </c>
      <c r="B40" s="1285">
        <f>SUM(B9:B39)</f>
        <v>0</v>
      </c>
      <c r="C40" s="1286">
        <f>SUM(C9:C39)</f>
        <v>0</v>
      </c>
      <c r="D40" s="1287">
        <f>SUM(D9:D39)</f>
        <v>3150</v>
      </c>
      <c r="E40" s="1316">
        <f>SUM(E9:E39)</f>
        <v>1811250</v>
      </c>
      <c r="F40" s="1288"/>
      <c r="G40" s="1288">
        <f>SUM(G9:G39)</f>
        <v>3948750</v>
      </c>
      <c r="H40" s="1333">
        <f>+H8+E40-G40</f>
        <v>6483283</v>
      </c>
      <c r="I40" s="1287">
        <f>SUM(I9:I39)</f>
        <v>12560.483478260869</v>
      </c>
      <c r="J40" s="1288">
        <f>SUM(J9:J39)</f>
        <v>7222278</v>
      </c>
      <c r="K40" s="1288"/>
      <c r="L40" s="1288">
        <f>SUM(L9:L39)</f>
        <v>4000000</v>
      </c>
      <c r="M40" s="1333">
        <f>+M8+J40-L40</f>
        <v>12194069</v>
      </c>
      <c r="N40" s="1289">
        <f>SUM(N9:N39)</f>
        <v>9033528</v>
      </c>
      <c r="O40" s="1290">
        <f>SUM(O9:O39)</f>
        <v>7948750</v>
      </c>
      <c r="P40" s="1291">
        <f>SUM(P8:P39)</f>
        <v>18677352</v>
      </c>
      <c r="Q40" s="1292"/>
      <c r="R40" s="139"/>
      <c r="S40" s="139"/>
      <c r="T40" s="139"/>
      <c r="U40" s="139"/>
      <c r="V40" s="139"/>
      <c r="W40" s="139"/>
      <c r="X40" s="139"/>
      <c r="Y40" s="139"/>
      <c r="Z40" s="139"/>
      <c r="AA40" s="139"/>
      <c r="AB40" s="139"/>
      <c r="AC40" s="139"/>
      <c r="AD40" s="139"/>
      <c r="AE40" s="139"/>
      <c r="AF40" s="139"/>
      <c r="AG40" s="139"/>
      <c r="AH40" s="139"/>
      <c r="AI40" s="139"/>
    </row>
    <row r="41" spans="1:35" s="283" customFormat="1" hidden="1" x14ac:dyDescent="0.25">
      <c r="A41" s="1674" t="s">
        <v>932</v>
      </c>
      <c r="F41" s="816"/>
      <c r="H41" s="903"/>
      <c r="K41" s="1046"/>
      <c r="M41" s="1274">
        <f>+M38+438000</f>
        <v>12632069</v>
      </c>
      <c r="N41" s="1275"/>
      <c r="O41" s="149"/>
      <c r="P41" s="149"/>
      <c r="Q41" s="720"/>
      <c r="R41" s="149"/>
      <c r="S41" s="149"/>
      <c r="T41" s="149"/>
      <c r="U41" s="149"/>
      <c r="V41" s="149"/>
      <c r="W41" s="149"/>
      <c r="X41" s="149"/>
      <c r="Y41" s="149"/>
      <c r="Z41" s="149"/>
      <c r="AA41" s="149"/>
      <c r="AB41" s="149"/>
      <c r="AC41" s="149"/>
      <c r="AD41" s="149"/>
      <c r="AE41" s="149"/>
      <c r="AF41" s="149"/>
      <c r="AG41" s="149"/>
      <c r="AH41" s="149"/>
      <c r="AI41" s="149"/>
    </row>
    <row r="42" spans="1:35" s="283" customFormat="1" ht="6" hidden="1" customHeight="1" x14ac:dyDescent="0.25">
      <c r="A42" s="911"/>
      <c r="F42" s="816"/>
      <c r="K42" s="1046"/>
      <c r="N42" s="149"/>
      <c r="O42" s="149"/>
      <c r="P42" s="149"/>
      <c r="Q42" s="149"/>
      <c r="R42" s="149"/>
      <c r="S42" s="149"/>
      <c r="T42" s="149"/>
      <c r="U42" s="149"/>
      <c r="V42" s="149"/>
      <c r="W42" s="149"/>
      <c r="X42" s="149"/>
      <c r="Y42" s="149"/>
      <c r="Z42" s="149"/>
      <c r="AA42" s="149"/>
      <c r="AB42" s="149"/>
      <c r="AC42" s="149"/>
      <c r="AD42" s="149"/>
      <c r="AE42" s="149"/>
      <c r="AF42" s="149"/>
      <c r="AG42" s="149"/>
      <c r="AH42" s="149"/>
      <c r="AI42" s="149"/>
    </row>
    <row r="43" spans="1:35" hidden="1" x14ac:dyDescent="0.25">
      <c r="E43" s="1508"/>
      <c r="F43" s="1040"/>
      <c r="G43" s="218"/>
      <c r="H43" s="903"/>
      <c r="I43" s="283"/>
      <c r="J43" s="903"/>
      <c r="K43" s="723"/>
      <c r="L43" s="283"/>
      <c r="M43" s="1497">
        <f>718000+182700+121800</f>
        <v>1022500</v>
      </c>
      <c r="N43" s="903">
        <f>5495141+J40-L40</f>
        <v>8717419</v>
      </c>
    </row>
    <row r="44" spans="1:35" ht="18" hidden="1" customHeight="1" x14ac:dyDescent="0.25">
      <c r="D44" s="1293"/>
      <c r="E44" s="1294"/>
      <c r="F44" s="1294"/>
      <c r="G44" s="1295" t="s">
        <v>39</v>
      </c>
      <c r="I44" s="1293" t="s">
        <v>121</v>
      </c>
      <c r="J44" s="1294" t="s">
        <v>61</v>
      </c>
      <c r="K44" s="1294" t="s">
        <v>122</v>
      </c>
      <c r="L44" s="1295"/>
      <c r="M44" s="903">
        <f>+M39+M43</f>
        <v>13216569</v>
      </c>
      <c r="N44" s="903">
        <f>+N43+H39</f>
        <v>15200702</v>
      </c>
    </row>
    <row r="45" spans="1:35" ht="18" hidden="1" customHeight="1" x14ac:dyDescent="0.25">
      <c r="D45" s="1205"/>
      <c r="E45" s="127"/>
      <c r="F45" s="57"/>
      <c r="G45" s="1296">
        <f>E45*F45</f>
        <v>0</v>
      </c>
      <c r="I45" s="1205" t="s">
        <v>15</v>
      </c>
      <c r="J45" s="127"/>
      <c r="K45" s="57"/>
      <c r="L45" s="1296"/>
      <c r="M45" s="903"/>
      <c r="N45" s="283"/>
    </row>
    <row r="46" spans="1:35" ht="18" hidden="1" customHeight="1" x14ac:dyDescent="0.25">
      <c r="D46" s="1205"/>
      <c r="E46" s="113"/>
      <c r="F46" s="57"/>
      <c r="G46" s="1297">
        <f>E46*F46</f>
        <v>0</v>
      </c>
      <c r="I46" s="1205" t="s">
        <v>16</v>
      </c>
      <c r="J46" s="113">
        <f>+I40</f>
        <v>12560.483478260869</v>
      </c>
      <c r="K46" s="57">
        <v>3</v>
      </c>
      <c r="L46" s="1297"/>
      <c r="M46" s="283"/>
      <c r="N46" s="283"/>
    </row>
    <row r="47" spans="1:35" ht="18" hidden="1" customHeight="1" x14ac:dyDescent="0.25">
      <c r="D47" s="1205"/>
      <c r="E47" s="127"/>
      <c r="F47" s="57"/>
      <c r="G47" s="1296">
        <f>E47*F47</f>
        <v>0</v>
      </c>
      <c r="I47" s="1205" t="s">
        <v>17</v>
      </c>
      <c r="J47" s="127"/>
      <c r="K47" s="57"/>
      <c r="L47" s="1296"/>
      <c r="M47" s="283">
        <v>182700</v>
      </c>
      <c r="N47" s="283"/>
    </row>
    <row r="48" spans="1:35" ht="18.75" hidden="1" customHeight="1" thickBot="1" x14ac:dyDescent="0.3">
      <c r="D48" s="2907"/>
      <c r="E48" s="2908"/>
      <c r="F48" s="2909"/>
      <c r="G48" s="1298">
        <f>SUM(G45:G47)</f>
        <v>0</v>
      </c>
      <c r="I48" s="2907" t="s">
        <v>18</v>
      </c>
      <c r="J48" s="2908"/>
      <c r="K48" s="2909"/>
      <c r="L48" s="1298"/>
      <c r="M48" s="283">
        <v>121800</v>
      </c>
      <c r="N48" s="283"/>
    </row>
    <row r="49" spans="1:18" ht="18" hidden="1" customHeight="1" x14ac:dyDescent="0.25">
      <c r="M49" s="283">
        <v>718000</v>
      </c>
      <c r="N49" s="283"/>
    </row>
    <row r="50" spans="1:18" hidden="1" x14ac:dyDescent="0.25">
      <c r="A50" s="38" t="s">
        <v>412</v>
      </c>
      <c r="I50" s="237" t="s">
        <v>934</v>
      </c>
      <c r="J50" s="237"/>
      <c r="K50" s="1681"/>
      <c r="L50" s="1682"/>
      <c r="M50" s="1684">
        <f>401940+30450</f>
        <v>432390</v>
      </c>
      <c r="O50" s="1656"/>
      <c r="Q50" s="218"/>
    </row>
    <row r="51" spans="1:18" hidden="1" x14ac:dyDescent="0.25">
      <c r="H51" s="218"/>
      <c r="I51" s="38" t="s">
        <v>935</v>
      </c>
      <c r="K51" s="1654"/>
      <c r="L51" s="1655"/>
      <c r="M51" s="1684"/>
      <c r="O51" s="283">
        <f>4112922+2705912</f>
        <v>6818834</v>
      </c>
    </row>
    <row r="52" spans="1:18" hidden="1" x14ac:dyDescent="0.25">
      <c r="H52" s="218"/>
      <c r="I52" s="1678" t="s">
        <v>936</v>
      </c>
      <c r="J52" s="1678"/>
      <c r="K52" s="1679"/>
      <c r="L52" s="1680"/>
      <c r="M52" s="1683">
        <f>+M39+M50-M51</f>
        <v>12626459</v>
      </c>
      <c r="N52" s="218"/>
      <c r="O52" s="1656"/>
      <c r="R52" s="218"/>
    </row>
    <row r="53" spans="1:18" hidden="1" x14ac:dyDescent="0.25">
      <c r="K53" s="1654"/>
      <c r="L53" s="1655"/>
      <c r="M53" s="218"/>
      <c r="O53" s="1656"/>
    </row>
    <row r="54" spans="1:18" x14ac:dyDescent="0.25">
      <c r="H54" s="218"/>
      <c r="K54" s="1654"/>
      <c r="L54" s="634"/>
      <c r="M54" s="218"/>
      <c r="O54" s="1656"/>
    </row>
    <row r="55" spans="1:18" x14ac:dyDescent="0.25">
      <c r="E55" s="38">
        <f>1500000+4973283+10000</f>
        <v>6483283</v>
      </c>
      <c r="G55" s="1686"/>
      <c r="K55" s="1654"/>
      <c r="L55" s="1655"/>
      <c r="O55" s="1656"/>
    </row>
    <row r="56" spans="1:18" x14ac:dyDescent="0.25">
      <c r="K56" s="1654"/>
      <c r="L56" s="1655"/>
    </row>
    <row r="57" spans="1:18" x14ac:dyDescent="0.25">
      <c r="K57" s="1654"/>
      <c r="L57" s="1655"/>
    </row>
    <row r="58" spans="1:18" x14ac:dyDescent="0.25">
      <c r="K58" s="1654"/>
      <c r="L58" s="1655"/>
      <c r="P58" s="218"/>
    </row>
    <row r="59" spans="1:18" x14ac:dyDescent="0.25">
      <c r="K59" s="1654"/>
      <c r="L59" s="1655"/>
      <c r="P59" s="1677"/>
      <c r="Q59" s="218"/>
    </row>
    <row r="60" spans="1:18" x14ac:dyDescent="0.25">
      <c r="Q60" s="218"/>
    </row>
    <row r="61" spans="1:18" x14ac:dyDescent="0.25">
      <c r="Q61" s="218"/>
    </row>
  </sheetData>
  <mergeCells count="12">
    <mergeCell ref="D4:H4"/>
    <mergeCell ref="I4:M4"/>
    <mergeCell ref="D6:E6"/>
    <mergeCell ref="I6:J6"/>
    <mergeCell ref="N6:N7"/>
    <mergeCell ref="P6:P7"/>
    <mergeCell ref="Q6:Q7"/>
    <mergeCell ref="D7:E7"/>
    <mergeCell ref="I7:J7"/>
    <mergeCell ref="D48:F48"/>
    <mergeCell ref="I48:K48"/>
    <mergeCell ref="O6:O7"/>
  </mergeCells>
  <printOptions horizontalCentered="1"/>
  <pageMargins left="0.19685039370078741" right="0.19685039370078741" top="0.39370078740157483" bottom="0.39370078740157483" header="0.31496062992125984" footer="0.31496062992125984"/>
  <pageSetup paperSize="9" scale="1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I30"/>
  <sheetViews>
    <sheetView zoomScaleNormal="100" workbookViewId="0">
      <selection activeCell="B29" sqref="B29"/>
    </sheetView>
  </sheetViews>
  <sheetFormatPr baseColWidth="10" defaultRowHeight="12.75" x14ac:dyDescent="0.2"/>
  <cols>
    <col min="1" max="1" width="32" style="39" bestFit="1" customWidth="1"/>
    <col min="2" max="2" width="11.42578125" style="39" customWidth="1"/>
    <col min="3" max="3" width="10.28515625" style="39" customWidth="1"/>
    <col min="4" max="4" width="38.28515625" style="39" customWidth="1"/>
    <col min="5" max="5" width="12.5703125" style="39" bestFit="1" customWidth="1"/>
    <col min="6" max="6" width="11.42578125" style="39"/>
    <col min="7" max="7" width="12.7109375" style="39" bestFit="1" customWidth="1"/>
    <col min="8" max="8" width="11.42578125" style="39" customWidth="1"/>
    <col min="9" max="16384" width="11.42578125" style="39"/>
  </cols>
  <sheetData>
    <row r="1" spans="1:9" ht="15" x14ac:dyDescent="0.2">
      <c r="A1" s="329" t="s">
        <v>170</v>
      </c>
      <c r="B1" s="329"/>
    </row>
    <row r="2" spans="1:9" ht="18" x14ac:dyDescent="0.25">
      <c r="A2" s="363" t="s">
        <v>212</v>
      </c>
      <c r="B2" s="363"/>
    </row>
    <row r="5" spans="1:9" x14ac:dyDescent="0.2">
      <c r="H5" s="387" t="s">
        <v>190</v>
      </c>
    </row>
    <row r="6" spans="1:9" ht="18.75" x14ac:dyDescent="0.2">
      <c r="C6" s="2921" t="s">
        <v>57</v>
      </c>
      <c r="D6" s="2921"/>
      <c r="E6" s="31"/>
      <c r="F6" s="31"/>
      <c r="G6" s="31"/>
      <c r="H6" s="31"/>
    </row>
    <row r="7" spans="1:9" ht="13.5" x14ac:dyDescent="0.25">
      <c r="A7" s="8"/>
      <c r="B7" s="8"/>
    </row>
    <row r="8" spans="1:9" ht="16.5" x14ac:dyDescent="0.3">
      <c r="A8" s="1" t="s">
        <v>19</v>
      </c>
      <c r="B8" s="1"/>
      <c r="C8" s="2">
        <v>43221</v>
      </c>
      <c r="D8" s="3"/>
    </row>
    <row r="10" spans="1:9" ht="13.5" x14ac:dyDescent="0.25">
      <c r="A10" s="349" t="s">
        <v>3</v>
      </c>
      <c r="B10" s="349" t="s">
        <v>440</v>
      </c>
      <c r="C10" s="349" t="s">
        <v>42</v>
      </c>
      <c r="D10" s="349" t="s">
        <v>109</v>
      </c>
      <c r="E10" s="349" t="s">
        <v>110</v>
      </c>
      <c r="F10" s="349" t="s">
        <v>61</v>
      </c>
      <c r="G10" s="349" t="s">
        <v>43</v>
      </c>
      <c r="H10" s="349" t="s">
        <v>39</v>
      </c>
    </row>
    <row r="11" spans="1:9" ht="15.75" x14ac:dyDescent="0.25">
      <c r="A11" s="2293"/>
      <c r="B11" s="2294"/>
      <c r="C11" s="1583"/>
      <c r="D11" s="305" t="s">
        <v>677</v>
      </c>
      <c r="E11" s="305" t="s">
        <v>391</v>
      </c>
      <c r="F11" s="2295">
        <f>5*4</f>
        <v>20</v>
      </c>
      <c r="G11" s="2301">
        <v>13750</v>
      </c>
      <c r="H11" s="2296">
        <f t="shared" ref="H11:H18" si="0">+F11*G11</f>
        <v>275000</v>
      </c>
      <c r="I11" s="39" t="s">
        <v>393</v>
      </c>
    </row>
    <row r="12" spans="1:9" ht="15.75" x14ac:dyDescent="0.25">
      <c r="A12" s="2293"/>
      <c r="B12" s="2294"/>
      <c r="C12" s="1583"/>
      <c r="D12" s="304"/>
      <c r="E12" s="305" t="s">
        <v>391</v>
      </c>
      <c r="F12" s="2295"/>
      <c r="G12" s="2301">
        <v>3050</v>
      </c>
      <c r="H12" s="2296">
        <f t="shared" si="0"/>
        <v>0</v>
      </c>
      <c r="I12" s="39" t="s">
        <v>394</v>
      </c>
    </row>
    <row r="13" spans="1:9" ht="15.75" x14ac:dyDescent="0.25">
      <c r="A13" s="2293"/>
      <c r="B13" s="2294"/>
      <c r="C13" s="1583"/>
      <c r="D13" s="304"/>
      <c r="E13" s="305" t="s">
        <v>444</v>
      </c>
      <c r="F13" s="2295"/>
      <c r="G13" s="2301">
        <v>60200</v>
      </c>
      <c r="H13" s="2296">
        <f t="shared" si="0"/>
        <v>0</v>
      </c>
      <c r="I13" s="39" t="s">
        <v>443</v>
      </c>
    </row>
    <row r="14" spans="1:9" ht="15.75" x14ac:dyDescent="0.25">
      <c r="A14" s="2293"/>
      <c r="B14" s="2294"/>
      <c r="C14" s="1583"/>
      <c r="D14" s="304"/>
      <c r="E14" s="305" t="s">
        <v>391</v>
      </c>
      <c r="F14" s="2295"/>
      <c r="G14" s="2301">
        <v>16600</v>
      </c>
      <c r="H14" s="2296">
        <f t="shared" si="0"/>
        <v>0</v>
      </c>
      <c r="I14" s="39" t="s">
        <v>442</v>
      </c>
    </row>
    <row r="15" spans="1:9" ht="15.75" x14ac:dyDescent="0.25">
      <c r="A15" s="2293"/>
      <c r="B15" s="2294"/>
      <c r="C15" s="1583"/>
      <c r="D15" s="304"/>
      <c r="E15" s="305" t="s">
        <v>391</v>
      </c>
      <c r="F15" s="2295"/>
      <c r="G15" s="2301">
        <v>12100</v>
      </c>
      <c r="H15" s="2296">
        <f t="shared" si="0"/>
        <v>0</v>
      </c>
      <c r="I15" s="39" t="s">
        <v>441</v>
      </c>
    </row>
    <row r="16" spans="1:9" ht="15.75" x14ac:dyDescent="0.25">
      <c r="A16" s="11"/>
      <c r="B16" s="2294"/>
      <c r="C16" s="1263"/>
      <c r="D16" s="304"/>
      <c r="E16" s="11" t="s">
        <v>392</v>
      </c>
      <c r="F16" s="25"/>
      <c r="G16" s="2301">
        <v>1700</v>
      </c>
      <c r="H16" s="2296">
        <f t="shared" si="0"/>
        <v>0</v>
      </c>
      <c r="I16" s="39" t="s">
        <v>395</v>
      </c>
    </row>
    <row r="17" spans="1:9" ht="15.75" x14ac:dyDescent="0.25">
      <c r="A17" s="250"/>
      <c r="B17" s="2294"/>
      <c r="C17" s="1263"/>
      <c r="D17" s="304"/>
      <c r="E17" s="11" t="s">
        <v>444</v>
      </c>
      <c r="F17" s="20"/>
      <c r="G17" s="732">
        <v>49200</v>
      </c>
      <c r="H17" s="2296">
        <f t="shared" si="0"/>
        <v>0</v>
      </c>
      <c r="I17" s="39" t="s">
        <v>445</v>
      </c>
    </row>
    <row r="18" spans="1:9" ht="15.75" x14ac:dyDescent="0.25">
      <c r="A18" s="2297"/>
      <c r="B18" s="2294"/>
      <c r="C18" s="1263"/>
      <c r="D18" s="304"/>
      <c r="E18" s="11" t="s">
        <v>392</v>
      </c>
      <c r="F18" s="20"/>
      <c r="G18" s="732">
        <v>1700</v>
      </c>
      <c r="H18" s="2296">
        <f t="shared" si="0"/>
        <v>0</v>
      </c>
      <c r="I18" s="39" t="s">
        <v>395</v>
      </c>
    </row>
    <row r="19" spans="1:9" ht="15" x14ac:dyDescent="0.25">
      <c r="A19" s="2298"/>
      <c r="B19" s="2298"/>
      <c r="C19" s="11"/>
      <c r="D19" s="304"/>
      <c r="E19" s="11" t="s">
        <v>391</v>
      </c>
      <c r="F19" s="2299"/>
      <c r="G19" s="2301">
        <v>12100</v>
      </c>
      <c r="H19" s="2300">
        <f>SUM(H11:H17)</f>
        <v>275000</v>
      </c>
      <c r="I19" s="39" t="s">
        <v>676</v>
      </c>
    </row>
    <row r="20" spans="1:9" ht="15" x14ac:dyDescent="0.25">
      <c r="A20" s="9"/>
      <c r="B20" s="9"/>
      <c r="C20" s="10"/>
      <c r="D20" s="10"/>
      <c r="E20" s="10" t="s">
        <v>391</v>
      </c>
      <c r="F20" s="6"/>
      <c r="G20" s="730">
        <v>13750</v>
      </c>
      <c r="H20" s="6">
        <f t="shared" ref="H20:H28" si="1">+F20*G20</f>
        <v>0</v>
      </c>
    </row>
    <row r="21" spans="1:9" ht="15" x14ac:dyDescent="0.25">
      <c r="A21" s="9">
        <v>42178</v>
      </c>
      <c r="B21" s="9" t="s">
        <v>906</v>
      </c>
      <c r="C21" s="10"/>
      <c r="D21" s="10" t="s">
        <v>907</v>
      </c>
      <c r="E21" s="10" t="s">
        <v>392</v>
      </c>
      <c r="F21" s="6"/>
      <c r="G21" s="730">
        <v>1700</v>
      </c>
      <c r="H21" s="6">
        <v>357000</v>
      </c>
    </row>
    <row r="22" spans="1:9" ht="15" x14ac:dyDescent="0.25">
      <c r="A22" s="9"/>
      <c r="B22" s="9" t="s">
        <v>906</v>
      </c>
      <c r="C22" s="10"/>
      <c r="D22" s="10" t="s">
        <v>908</v>
      </c>
      <c r="E22" s="10" t="s">
        <v>392</v>
      </c>
      <c r="F22" s="6"/>
      <c r="G22" s="730">
        <v>3680</v>
      </c>
      <c r="H22" s="6">
        <v>662400</v>
      </c>
    </row>
    <row r="23" spans="1:9" ht="15" x14ac:dyDescent="0.25">
      <c r="A23" s="9"/>
      <c r="B23" s="9"/>
      <c r="C23" s="10"/>
      <c r="D23" s="10"/>
      <c r="E23" s="10"/>
      <c r="F23" s="6"/>
      <c r="G23" s="730"/>
      <c r="H23" s="6">
        <f t="shared" si="1"/>
        <v>0</v>
      </c>
    </row>
    <row r="24" spans="1:9" ht="15" x14ac:dyDescent="0.25">
      <c r="A24" s="9"/>
      <c r="B24" s="9"/>
      <c r="C24" s="10"/>
      <c r="D24" s="10"/>
      <c r="E24" s="10"/>
      <c r="F24" s="6"/>
      <c r="G24" s="730"/>
      <c r="H24" s="6">
        <f t="shared" si="1"/>
        <v>0</v>
      </c>
    </row>
    <row r="25" spans="1:9" ht="15" x14ac:dyDescent="0.25">
      <c r="A25" s="9"/>
      <c r="B25" s="9"/>
      <c r="C25" s="10"/>
      <c r="D25" s="11"/>
      <c r="E25" s="11"/>
      <c r="F25" s="6"/>
      <c r="G25" s="730"/>
      <c r="H25" s="6">
        <f t="shared" si="1"/>
        <v>0</v>
      </c>
    </row>
    <row r="26" spans="1:9" ht="15" x14ac:dyDescent="0.25">
      <c r="A26" s="9"/>
      <c r="B26" s="9"/>
      <c r="C26" s="10"/>
      <c r="D26" s="10"/>
      <c r="E26" s="10"/>
      <c r="F26" s="6"/>
      <c r="G26" s="730"/>
      <c r="H26" s="6">
        <f t="shared" si="1"/>
        <v>0</v>
      </c>
    </row>
    <row r="27" spans="1:9" ht="15" x14ac:dyDescent="0.25">
      <c r="A27" s="9"/>
      <c r="B27" s="9"/>
      <c r="C27" s="10"/>
      <c r="D27" s="11"/>
      <c r="E27" s="11"/>
      <c r="F27" s="6"/>
      <c r="G27" s="730"/>
      <c r="H27" s="6">
        <f t="shared" si="1"/>
        <v>0</v>
      </c>
    </row>
    <row r="28" spans="1:9" ht="15" x14ac:dyDescent="0.25">
      <c r="A28" s="9"/>
      <c r="B28" s="9"/>
      <c r="C28" s="10"/>
      <c r="D28" s="11"/>
      <c r="E28" s="11"/>
      <c r="F28" s="10"/>
      <c r="G28" s="730"/>
      <c r="H28" s="6">
        <f t="shared" si="1"/>
        <v>0</v>
      </c>
    </row>
    <row r="29" spans="1:9" ht="13.5" x14ac:dyDescent="0.25">
      <c r="A29" s="10" t="s">
        <v>106</v>
      </c>
      <c r="B29" s="10"/>
      <c r="C29" s="10"/>
      <c r="D29" s="10"/>
      <c r="E29" s="10"/>
      <c r="F29" s="10"/>
      <c r="G29" s="10"/>
      <c r="H29" s="5">
        <f>SUM(H19:H28)</f>
        <v>1294400</v>
      </c>
    </row>
    <row r="30" spans="1:9" ht="13.5" x14ac:dyDescent="0.25">
      <c r="A30" s="10" t="s">
        <v>18</v>
      </c>
      <c r="B30" s="10"/>
      <c r="C30" s="10"/>
      <c r="D30" s="10"/>
      <c r="E30" s="10"/>
      <c r="F30" s="10"/>
      <c r="G30" s="10"/>
      <c r="H30" s="12">
        <f>H19+H29</f>
        <v>1569400</v>
      </c>
    </row>
  </sheetData>
  <mergeCells count="1">
    <mergeCell ref="C6:D6"/>
  </mergeCells>
  <pageMargins left="0.70866141732283472" right="0.70866141732283472" top="0.74803149606299213" bottom="0.74803149606299213"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7">
    <tabColor rgb="FF7030A0"/>
  </sheetPr>
  <dimension ref="A1:Q129"/>
  <sheetViews>
    <sheetView topLeftCell="A3" zoomScale="90" zoomScaleNormal="90" workbookViewId="0">
      <selection activeCell="C45" sqref="C45"/>
    </sheetView>
  </sheetViews>
  <sheetFormatPr baseColWidth="10" defaultRowHeight="12.75" x14ac:dyDescent="0.2"/>
  <cols>
    <col min="1" max="1" width="17.85546875" style="1663" customWidth="1"/>
    <col min="2" max="2" width="28.28515625" style="864" customWidth="1"/>
    <col min="3" max="3" width="22.140625" style="701" customWidth="1"/>
    <col min="4" max="4" width="10.7109375" customWidth="1"/>
    <col min="5" max="5" width="18" style="701" customWidth="1"/>
    <col min="6" max="6" width="21.7109375" bestFit="1" customWidth="1"/>
    <col min="7" max="7" width="20.5703125" customWidth="1"/>
    <col min="8" max="8" width="13.85546875" customWidth="1"/>
    <col min="9" max="9" width="18.42578125" customWidth="1"/>
    <col min="10" max="10" width="17.42578125" customWidth="1"/>
    <col min="14" max="14" width="19.28515625" customWidth="1"/>
    <col min="15" max="15" width="19.42578125" customWidth="1"/>
    <col min="16" max="16" width="24.7109375" customWidth="1"/>
  </cols>
  <sheetData>
    <row r="1" spans="1:10" ht="20.25" hidden="1" x14ac:dyDescent="0.3">
      <c r="A1" s="1848"/>
      <c r="C1" s="1125"/>
    </row>
    <row r="2" spans="1:10" ht="25.5" hidden="1" customHeight="1" x14ac:dyDescent="0.4">
      <c r="A2" s="1948" t="s">
        <v>62</v>
      </c>
      <c r="B2" s="1948"/>
      <c r="C2" s="1948"/>
      <c r="D2" s="1179"/>
      <c r="E2" s="1751"/>
      <c r="F2" s="1179"/>
    </row>
    <row r="3" spans="1:10" ht="18.75" x14ac:dyDescent="0.3">
      <c r="A3" s="1949" t="s">
        <v>1035</v>
      </c>
      <c r="B3" s="1949" t="s">
        <v>1093</v>
      </c>
      <c r="C3" s="1949"/>
    </row>
    <row r="4" spans="1:10" ht="22.5" customHeight="1" x14ac:dyDescent="0.3">
      <c r="A4" s="1662"/>
    </row>
    <row r="5" spans="1:10" ht="15" x14ac:dyDescent="0.25">
      <c r="A5" s="2922"/>
      <c r="B5" s="2922"/>
      <c r="C5" s="2922"/>
    </row>
    <row r="6" spans="1:10" ht="14.25" hidden="1" x14ac:dyDescent="0.2">
      <c r="H6" s="51"/>
      <c r="I6" s="51"/>
      <c r="J6" s="51"/>
    </row>
    <row r="7" spans="1:10" s="51" customFormat="1" ht="22.5" x14ac:dyDescent="0.55000000000000004">
      <c r="A7" s="1956" t="s">
        <v>148</v>
      </c>
      <c r="B7" s="1957" t="s">
        <v>1031</v>
      </c>
      <c r="C7" s="1958" t="s">
        <v>37</v>
      </c>
      <c r="D7" s="1125"/>
      <c r="E7" s="701"/>
      <c r="F7"/>
      <c r="G7"/>
    </row>
    <row r="8" spans="1:10" ht="15.75" x14ac:dyDescent="0.25">
      <c r="A8" s="1959" t="s">
        <v>0</v>
      </c>
      <c r="B8" s="1960">
        <v>965</v>
      </c>
      <c r="C8" s="2068">
        <v>607950</v>
      </c>
      <c r="D8" s="51"/>
      <c r="H8" s="51"/>
      <c r="I8" s="51"/>
      <c r="J8" s="51"/>
    </row>
    <row r="9" spans="1:10" ht="15.75" x14ac:dyDescent="0.25">
      <c r="A9" s="1959" t="s">
        <v>2</v>
      </c>
      <c r="B9" s="1960">
        <v>7545</v>
      </c>
      <c r="C9" s="2068">
        <v>4338375</v>
      </c>
      <c r="D9" s="51"/>
      <c r="E9"/>
      <c r="G9" s="51"/>
      <c r="H9" s="51"/>
      <c r="I9" s="51"/>
    </row>
    <row r="10" spans="1:10" ht="15.75" x14ac:dyDescent="0.25">
      <c r="A10" s="1959" t="s">
        <v>1</v>
      </c>
      <c r="B10" s="1961">
        <v>1080</v>
      </c>
      <c r="C10" s="2069">
        <v>378000</v>
      </c>
      <c r="D10" s="51"/>
      <c r="G10" s="39"/>
      <c r="H10" s="51"/>
      <c r="I10" s="51"/>
      <c r="J10" s="51"/>
    </row>
    <row r="11" spans="1:10" ht="16.5" thickBot="1" x14ac:dyDescent="0.3">
      <c r="A11" s="1959"/>
      <c r="B11" s="1960"/>
      <c r="C11" s="870"/>
      <c r="D11" s="51"/>
      <c r="E11" s="1954"/>
      <c r="H11" s="51"/>
      <c r="I11" s="51"/>
      <c r="J11" s="51"/>
    </row>
    <row r="12" spans="1:10" ht="16.5" thickBot="1" x14ac:dyDescent="0.3">
      <c r="A12" s="1667" t="s">
        <v>235</v>
      </c>
      <c r="B12" s="1962">
        <f>SUM(B8:B11)</f>
        <v>9590</v>
      </c>
      <c r="C12" s="2071">
        <f>SUM(C8:C11)</f>
        <v>5324325</v>
      </c>
      <c r="D12" s="323"/>
      <c r="E12" s="1954"/>
      <c r="H12" s="51"/>
      <c r="I12" s="51"/>
      <c r="J12" s="51"/>
    </row>
    <row r="13" spans="1:10" ht="15" customHeight="1" x14ac:dyDescent="0.25">
      <c r="A13" s="1959"/>
      <c r="B13" s="1963"/>
      <c r="C13" s="870"/>
      <c r="D13" s="51"/>
      <c r="E13" s="1954"/>
      <c r="H13" s="51"/>
      <c r="I13" s="51"/>
      <c r="J13" s="51"/>
    </row>
    <row r="14" spans="1:10" ht="21" customHeight="1" x14ac:dyDescent="0.25">
      <c r="A14" s="1964" t="s">
        <v>111</v>
      </c>
      <c r="B14" s="1969"/>
      <c r="C14" s="2070">
        <v>14600</v>
      </c>
      <c r="D14" s="1686"/>
      <c r="E14" s="1954"/>
      <c r="H14" s="51"/>
      <c r="I14" s="51"/>
      <c r="J14" s="51"/>
    </row>
    <row r="15" spans="1:10" ht="17.25" customHeight="1" thickBot="1" x14ac:dyDescent="0.3">
      <c r="A15" s="1964"/>
      <c r="B15" s="1965"/>
      <c r="C15" s="1966"/>
      <c r="D15" s="1686"/>
      <c r="E15" s="1954"/>
      <c r="H15" s="51"/>
      <c r="I15" s="51"/>
      <c r="J15" s="51"/>
    </row>
    <row r="16" spans="1:10" ht="21.75" customHeight="1" thickBot="1" x14ac:dyDescent="0.3">
      <c r="A16" s="1750" t="s">
        <v>408</v>
      </c>
      <c r="B16" s="1967">
        <f>B14+B12</f>
        <v>9590</v>
      </c>
      <c r="C16" s="1967">
        <f>C14+C12</f>
        <v>5338925</v>
      </c>
      <c r="E16" s="1954"/>
      <c r="F16" s="674"/>
      <c r="G16" s="1018"/>
      <c r="H16" s="866"/>
      <c r="I16" s="821"/>
      <c r="J16" s="51"/>
    </row>
    <row r="17" spans="1:10" ht="15.75" x14ac:dyDescent="0.25">
      <c r="A17" s="1959"/>
      <c r="B17" s="870"/>
      <c r="C17" s="870"/>
      <c r="D17" s="882"/>
      <c r="E17" s="1954"/>
      <c r="F17" s="427"/>
      <c r="G17" s="1020"/>
      <c r="H17" s="1019"/>
      <c r="I17" s="1019"/>
      <c r="J17" s="51"/>
    </row>
    <row r="18" spans="1:10" s="37" customFormat="1" ht="15" customHeight="1" x14ac:dyDescent="0.25">
      <c r="A18" s="2926" t="s">
        <v>678</v>
      </c>
      <c r="B18" s="2926"/>
      <c r="C18" s="2926"/>
      <c r="E18" s="1954"/>
      <c r="F18" s="466"/>
      <c r="G18" s="1020"/>
      <c r="H18" s="1019"/>
      <c r="I18" s="1019"/>
      <c r="J18" s="51"/>
    </row>
    <row r="19" spans="1:10" s="37" customFormat="1" ht="15.75" x14ac:dyDescent="0.25">
      <c r="A19" s="1968"/>
      <c r="B19" s="1969"/>
      <c r="C19" s="870"/>
      <c r="E19" s="1954"/>
      <c r="F19" s="466"/>
      <c r="G19" s="1020"/>
      <c r="H19" s="1752"/>
      <c r="I19" s="1019"/>
      <c r="J19" s="51"/>
    </row>
    <row r="20" spans="1:10" s="37" customFormat="1" ht="20.25" x14ac:dyDescent="0.3">
      <c r="A20" s="1970" t="s">
        <v>418</v>
      </c>
      <c r="B20" s="1971"/>
      <c r="C20" s="1966" t="s">
        <v>421</v>
      </c>
      <c r="E20" s="1390"/>
      <c r="F20" s="92"/>
      <c r="G20" s="1020"/>
      <c r="H20" s="1652"/>
      <c r="I20" s="1019"/>
      <c r="J20" s="51"/>
    </row>
    <row r="21" spans="1:10" s="1453" customFormat="1" ht="20.25" x14ac:dyDescent="0.3">
      <c r="A21" s="816" t="s">
        <v>405</v>
      </c>
      <c r="B21" s="2061"/>
      <c r="C21" s="2062">
        <v>212750</v>
      </c>
      <c r="D21" s="92"/>
      <c r="E21" s="2063"/>
      <c r="F21" s="401"/>
      <c r="G21" s="1020"/>
      <c r="H21" s="1652"/>
      <c r="I21" s="1019"/>
      <c r="J21" s="893"/>
    </row>
    <row r="22" spans="1:10" s="1453" customFormat="1" ht="20.25" hidden="1" x14ac:dyDescent="0.3">
      <c r="A22" s="816" t="s">
        <v>1092</v>
      </c>
      <c r="B22" s="2061"/>
      <c r="C22" s="2064"/>
      <c r="D22" s="92"/>
      <c r="E22" s="2063"/>
      <c r="F22" s="401"/>
      <c r="G22" s="1020"/>
      <c r="H22" s="1652"/>
      <c r="I22" s="1019"/>
      <c r="J22" s="893"/>
    </row>
    <row r="23" spans="1:10" s="1453" customFormat="1" ht="20.25" x14ac:dyDescent="0.3">
      <c r="A23" s="816" t="s">
        <v>456</v>
      </c>
      <c r="B23" s="2061"/>
      <c r="C23" s="2064">
        <v>1104000</v>
      </c>
      <c r="D23" s="368"/>
      <c r="E23" s="2063"/>
      <c r="F23" s="401"/>
      <c r="G23" s="1020"/>
      <c r="H23" s="1652"/>
      <c r="I23" s="1019"/>
      <c r="J23" s="893"/>
    </row>
    <row r="24" spans="1:10" s="1453" customFormat="1" ht="1.5" customHeight="1" x14ac:dyDescent="0.3">
      <c r="A24" s="816"/>
      <c r="B24" s="2061"/>
      <c r="C24" s="2064"/>
      <c r="D24" s="368"/>
      <c r="E24" s="2063"/>
      <c r="F24" s="401"/>
      <c r="G24" s="1020"/>
      <c r="H24" s="1652"/>
      <c r="I24" s="1019"/>
      <c r="J24" s="893"/>
    </row>
    <row r="25" spans="1:10" s="1453" customFormat="1" ht="0.75" hidden="1" customHeight="1" x14ac:dyDescent="0.3">
      <c r="A25" s="816" t="s">
        <v>593</v>
      </c>
      <c r="B25" s="2061"/>
      <c r="C25" s="2065">
        <v>38864</v>
      </c>
      <c r="D25" s="368"/>
      <c r="E25" s="2063"/>
      <c r="F25" s="401"/>
      <c r="G25" s="1020"/>
      <c r="H25" s="1652"/>
      <c r="I25" s="1019"/>
      <c r="J25" s="893"/>
    </row>
    <row r="26" spans="1:10" s="1453" customFormat="1" ht="20.25" x14ac:dyDescent="0.3">
      <c r="A26" s="816" t="s">
        <v>593</v>
      </c>
      <c r="B26" s="2061"/>
      <c r="C26" s="2065">
        <v>38864</v>
      </c>
      <c r="D26" s="368"/>
      <c r="E26" s="2063"/>
      <c r="F26" s="401"/>
      <c r="G26" s="1020"/>
      <c r="H26" s="1652"/>
      <c r="I26" s="1019"/>
      <c r="J26" s="893"/>
    </row>
    <row r="27" spans="1:10" s="1453" customFormat="1" ht="16.5" customHeight="1" x14ac:dyDescent="0.3">
      <c r="A27" s="816" t="s">
        <v>1094</v>
      </c>
      <c r="B27" s="2061"/>
      <c r="C27" s="2065">
        <v>5750</v>
      </c>
      <c r="D27" s="92"/>
      <c r="E27" s="2063"/>
      <c r="F27" s="401"/>
      <c r="G27" s="1020"/>
      <c r="H27" s="1652"/>
      <c r="I27" s="1019"/>
      <c r="J27" s="893"/>
    </row>
    <row r="28" spans="1:10" s="37" customFormat="1" ht="20.25" x14ac:dyDescent="0.3">
      <c r="A28" s="1750" t="s">
        <v>406</v>
      </c>
      <c r="B28" s="1955"/>
      <c r="C28" s="2072">
        <v>1023500</v>
      </c>
      <c r="D28" s="39"/>
      <c r="E28" s="1390"/>
      <c r="F28" s="401"/>
      <c r="G28" s="1020"/>
      <c r="H28" s="1652"/>
      <c r="I28" s="1019"/>
      <c r="J28" s="51"/>
    </row>
    <row r="29" spans="1:10" s="37" customFormat="1" ht="15" customHeight="1" x14ac:dyDescent="0.2">
      <c r="A29" s="1972"/>
      <c r="B29" s="1955"/>
      <c r="C29" s="1955"/>
      <c r="D29" s="39"/>
      <c r="E29" s="1390"/>
      <c r="F29" s="401"/>
      <c r="G29" s="1020"/>
      <c r="H29" s="1652"/>
      <c r="I29" s="1019"/>
      <c r="J29" s="51"/>
    </row>
    <row r="30" spans="1:10" s="37" customFormat="1" ht="13.5" customHeight="1" x14ac:dyDescent="0.2">
      <c r="A30" s="1972"/>
      <c r="B30" s="1955"/>
      <c r="C30" s="1955"/>
      <c r="D30" s="39"/>
      <c r="E30" s="1390"/>
      <c r="F30" s="401"/>
      <c r="G30" s="1020"/>
      <c r="H30" s="1652"/>
      <c r="I30" s="1019"/>
      <c r="J30" s="51"/>
    </row>
    <row r="31" spans="1:10" s="37" customFormat="1" ht="15" hidden="1" customHeight="1" x14ac:dyDescent="0.2">
      <c r="A31" s="1934"/>
      <c r="B31" s="1935"/>
      <c r="C31" s="1935"/>
      <c r="D31" s="39"/>
      <c r="E31" s="1390"/>
      <c r="F31" s="401"/>
      <c r="G31" s="1020"/>
      <c r="H31" s="1652"/>
      <c r="I31" s="1019"/>
      <c r="J31" s="51"/>
    </row>
    <row r="32" spans="1:10" s="37" customFormat="1" ht="14.25" hidden="1" customHeight="1" x14ac:dyDescent="0.2">
      <c r="A32" s="1934"/>
      <c r="B32" s="1935"/>
      <c r="C32" s="1935"/>
      <c r="D32" s="39"/>
      <c r="E32" s="1390"/>
      <c r="F32" s="401"/>
      <c r="G32" s="1020"/>
      <c r="H32" s="1652"/>
      <c r="I32" s="1019"/>
      <c r="J32" s="51"/>
    </row>
    <row r="33" spans="1:12" s="37" customFormat="1" ht="15" hidden="1" customHeight="1" x14ac:dyDescent="0.2">
      <c r="A33" s="1934"/>
      <c r="B33" s="1935"/>
      <c r="C33" s="1935"/>
      <c r="D33" s="39"/>
      <c r="E33" s="1390"/>
      <c r="F33" s="401"/>
      <c r="G33" s="1020"/>
      <c r="H33" s="1652"/>
      <c r="I33" s="1019"/>
      <c r="J33" s="51"/>
    </row>
    <row r="34" spans="1:12" s="37" customFormat="1" ht="15" hidden="1" customHeight="1" x14ac:dyDescent="0.2">
      <c r="A34" s="1934"/>
      <c r="B34" s="1935"/>
      <c r="C34" s="1935"/>
      <c r="D34" s="39"/>
      <c r="E34" s="1390"/>
      <c r="F34" s="401"/>
      <c r="G34" s="1020"/>
      <c r="H34" s="1652"/>
      <c r="I34" s="1019"/>
      <c r="J34" s="51"/>
    </row>
    <row r="35" spans="1:12" s="37" customFormat="1" ht="15" hidden="1" customHeight="1" x14ac:dyDescent="0.2">
      <c r="A35" s="1934"/>
      <c r="B35" s="1935"/>
      <c r="C35" s="1935"/>
      <c r="D35" s="39"/>
      <c r="E35" s="1390"/>
      <c r="F35" s="401"/>
      <c r="G35" s="1020"/>
      <c r="H35" s="1652"/>
      <c r="I35" s="1019"/>
      <c r="J35" s="51"/>
    </row>
    <row r="36" spans="1:12" s="37" customFormat="1" ht="15" hidden="1" customHeight="1" x14ac:dyDescent="0.2">
      <c r="A36" s="1934"/>
      <c r="B36" s="1935"/>
      <c r="C36" s="1935"/>
      <c r="D36" s="39"/>
      <c r="E36" s="1390"/>
      <c r="F36" s="401"/>
      <c r="G36" s="1020"/>
      <c r="H36" s="1652"/>
      <c r="I36" s="1019"/>
      <c r="J36" s="51"/>
    </row>
    <row r="37" spans="1:12" s="37" customFormat="1" ht="15" hidden="1" customHeight="1" x14ac:dyDescent="0.2">
      <c r="A37" s="1934"/>
      <c r="B37" s="1935"/>
      <c r="C37" s="1935"/>
      <c r="D37" s="39"/>
      <c r="E37" s="1390"/>
      <c r="F37" s="401"/>
      <c r="G37" s="1020"/>
      <c r="H37" s="1652"/>
      <c r="I37" s="1019"/>
      <c r="J37" s="51"/>
    </row>
    <row r="38" spans="1:12" s="37" customFormat="1" ht="20.25" hidden="1" customHeight="1" x14ac:dyDescent="0.25">
      <c r="A38" s="859"/>
      <c r="B38" s="1889"/>
      <c r="C38" s="865"/>
      <c r="E38" s="1390">
        <f>550*2</f>
        <v>1100</v>
      </c>
      <c r="F38" s="401"/>
      <c r="G38" s="1020"/>
      <c r="H38" s="1652"/>
      <c r="I38" s="1019"/>
      <c r="J38" s="51"/>
    </row>
    <row r="39" spans="1:12" s="37" customFormat="1" ht="18.75" hidden="1" customHeight="1" x14ac:dyDescent="0.3">
      <c r="A39" s="814"/>
      <c r="B39" s="1872">
        <f>+SUM(B21:B38)</f>
        <v>0</v>
      </c>
      <c r="C39" s="1872">
        <f>SUM(C21:C38)</f>
        <v>2423728</v>
      </c>
      <c r="D39" s="1180"/>
      <c r="E39" s="1390">
        <f>+E38*584</f>
        <v>642400</v>
      </c>
      <c r="F39" s="401"/>
      <c r="G39" s="1020"/>
      <c r="H39" s="1652"/>
      <c r="I39" s="1019"/>
      <c r="J39" s="893"/>
      <c r="K39" s="1453"/>
      <c r="L39" s="1453"/>
    </row>
    <row r="40" spans="1:12" s="37" customFormat="1" ht="18.75" hidden="1" customHeight="1" x14ac:dyDescent="0.3">
      <c r="A40" s="814"/>
      <c r="B40" s="1872"/>
      <c r="C40" s="2067"/>
      <c r="D40" s="1180"/>
      <c r="E40" s="1390"/>
      <c r="F40" s="401"/>
      <c r="G40" s="1020"/>
      <c r="H40" s="1652"/>
      <c r="I40" s="1019"/>
      <c r="J40" s="893"/>
      <c r="K40" s="1453"/>
      <c r="L40" s="1453"/>
    </row>
    <row r="41" spans="1:12" s="37" customFormat="1" ht="24" hidden="1" customHeight="1" x14ac:dyDescent="0.3">
      <c r="A41" s="814"/>
      <c r="B41" s="865"/>
      <c r="C41" s="1179"/>
      <c r="E41" s="1390"/>
      <c r="F41" s="401"/>
      <c r="G41" s="1020"/>
      <c r="H41" s="1652"/>
      <c r="I41" s="1019"/>
      <c r="J41" s="893"/>
      <c r="K41" s="1453"/>
      <c r="L41" s="1453"/>
    </row>
    <row r="42" spans="1:12" s="877" customFormat="1" ht="18.75" customHeight="1" x14ac:dyDescent="0.25">
      <c r="A42" s="1750" t="s">
        <v>411</v>
      </c>
      <c r="B42" s="991"/>
      <c r="C42" s="865">
        <v>17811</v>
      </c>
      <c r="D42" s="250"/>
      <c r="E42" s="1392"/>
      <c r="F42"/>
      <c r="G42"/>
      <c r="H42" s="401"/>
      <c r="I42" s="401"/>
      <c r="J42" s="467"/>
      <c r="K42" s="467"/>
      <c r="L42" s="467"/>
    </row>
    <row r="43" spans="1:12" s="877" customFormat="1" ht="18.75" customHeight="1" x14ac:dyDescent="0.25">
      <c r="A43" s="1750" t="s">
        <v>55</v>
      </c>
      <c r="B43" s="991"/>
      <c r="C43" s="1973">
        <v>2936250</v>
      </c>
      <c r="D43" s="250"/>
      <c r="E43" s="2043"/>
      <c r="F43"/>
      <c r="G43"/>
      <c r="H43" s="401"/>
      <c r="I43" s="401"/>
      <c r="J43" s="467"/>
      <c r="K43" s="467"/>
      <c r="L43" s="467"/>
    </row>
    <row r="44" spans="1:12" s="1317" customFormat="1" ht="19.5" customHeight="1" x14ac:dyDescent="0.35">
      <c r="A44" s="1974"/>
      <c r="B44" s="1975" t="s">
        <v>1047</v>
      </c>
      <c r="C44" s="1976"/>
      <c r="E44" s="1393"/>
      <c r="H44" s="1816"/>
      <c r="I44" s="1816"/>
      <c r="J44" s="1816"/>
      <c r="K44" s="1816"/>
      <c r="L44" s="1816"/>
    </row>
    <row r="45" spans="1:12" s="1317" customFormat="1" ht="15" customHeight="1" x14ac:dyDescent="0.2">
      <c r="A45" s="1939"/>
      <c r="B45" s="1756"/>
      <c r="C45" s="1471"/>
      <c r="D45" s="1318"/>
      <c r="E45" s="1394"/>
      <c r="H45" s="1816"/>
      <c r="I45" s="1816"/>
      <c r="J45" s="1816"/>
      <c r="K45" s="1816"/>
      <c r="L45" s="1816"/>
    </row>
    <row r="46" spans="1:12" s="1321" customFormat="1" ht="15.75" customHeight="1" x14ac:dyDescent="0.25">
      <c r="A46" s="1940"/>
      <c r="B46" s="1756"/>
      <c r="C46" s="1471"/>
      <c r="D46" s="1319"/>
      <c r="E46" s="1395"/>
      <c r="F46" s="1320"/>
      <c r="G46" s="1317" t="s">
        <v>62</v>
      </c>
      <c r="H46" s="1816"/>
      <c r="I46" s="1816"/>
      <c r="J46" s="1817"/>
      <c r="K46" s="1817"/>
      <c r="L46" s="1817"/>
    </row>
    <row r="47" spans="1:12" s="1321" customFormat="1" ht="15" customHeight="1" x14ac:dyDescent="0.25">
      <c r="A47" s="1940"/>
      <c r="B47" s="1756"/>
      <c r="C47" s="1472"/>
      <c r="D47" s="1322"/>
      <c r="E47" s="1396"/>
      <c r="H47" s="1817"/>
      <c r="I47" s="1817"/>
      <c r="J47" s="1817"/>
      <c r="K47" s="1817"/>
      <c r="L47" s="1817"/>
    </row>
    <row r="48" spans="1:12" s="1321" customFormat="1" ht="15" customHeight="1" x14ac:dyDescent="0.2">
      <c r="A48" s="1939"/>
      <c r="B48" s="1756"/>
      <c r="C48" s="1568"/>
      <c r="E48" s="1396"/>
      <c r="H48" s="1817"/>
      <c r="I48" s="1817"/>
      <c r="J48" s="1817"/>
      <c r="K48" s="1817"/>
      <c r="L48" s="1817"/>
    </row>
    <row r="49" spans="1:12" s="1321" customFormat="1" ht="15" customHeight="1" x14ac:dyDescent="0.2">
      <c r="A49" s="1864"/>
      <c r="B49" s="1756"/>
      <c r="C49" s="1472"/>
      <c r="D49" s="2923"/>
      <c r="E49" s="2923"/>
      <c r="F49" s="2923"/>
      <c r="H49" s="1817"/>
      <c r="I49" s="1817"/>
      <c r="J49" s="1817"/>
      <c r="K49" s="1817"/>
      <c r="L49" s="1817"/>
    </row>
    <row r="50" spans="1:12" s="1317" customFormat="1" ht="21" customHeight="1" x14ac:dyDescent="0.25">
      <c r="A50" s="1668" t="s">
        <v>18</v>
      </c>
      <c r="B50" s="1977"/>
      <c r="C50" s="1978">
        <f>SUM(C45:C49)</f>
        <v>0</v>
      </c>
      <c r="E50" s="1393"/>
      <c r="F50" s="1321"/>
      <c r="G50" s="1321"/>
      <c r="H50" s="1817"/>
      <c r="I50" s="1817"/>
      <c r="J50" s="1816"/>
      <c r="K50" s="1816"/>
      <c r="L50" s="1816"/>
    </row>
    <row r="51" spans="1:12" s="877" customFormat="1" ht="0.75" customHeight="1" x14ac:dyDescent="0.25">
      <c r="A51" s="1667"/>
      <c r="B51" s="991"/>
      <c r="C51" s="1873"/>
      <c r="D51" s="250"/>
      <c r="E51" s="1392"/>
      <c r="H51" s="467"/>
      <c r="I51" s="467"/>
      <c r="J51" s="467"/>
      <c r="K51" s="467"/>
      <c r="L51" s="467"/>
    </row>
    <row r="52" spans="1:12" s="877" customFormat="1" ht="17.25" customHeight="1" x14ac:dyDescent="0.25">
      <c r="A52" s="1667"/>
      <c r="B52" s="991"/>
      <c r="C52" s="1873"/>
      <c r="D52" s="250"/>
      <c r="E52" s="1392"/>
      <c r="F52" s="467"/>
      <c r="G52" s="467"/>
      <c r="H52" s="467"/>
      <c r="I52" s="1818"/>
      <c r="J52" s="467"/>
      <c r="K52" s="467"/>
      <c r="L52" s="467"/>
    </row>
    <row r="53" spans="1:12" ht="25.5" customHeight="1" x14ac:dyDescent="0.25">
      <c r="A53" s="1667" t="s">
        <v>55</v>
      </c>
      <c r="B53" s="1966"/>
      <c r="C53" s="1979"/>
      <c r="D53" s="850"/>
      <c r="E53" s="1390"/>
      <c r="F53" s="1919"/>
      <c r="G53" s="467"/>
      <c r="H53" s="879"/>
      <c r="I53" s="1818"/>
      <c r="J53" s="401"/>
      <c r="K53" s="401"/>
      <c r="L53" s="401"/>
    </row>
    <row r="54" spans="1:12" ht="37.5" customHeight="1" x14ac:dyDescent="0.25">
      <c r="A54" s="1868"/>
      <c r="B54" s="1869" t="s">
        <v>326</v>
      </c>
      <c r="C54" s="1351"/>
      <c r="D54" s="476"/>
      <c r="F54" s="401"/>
      <c r="G54" s="401"/>
      <c r="H54" s="893"/>
      <c r="I54" s="1819"/>
      <c r="J54" s="893"/>
      <c r="K54" s="401"/>
      <c r="L54" s="401"/>
    </row>
    <row r="55" spans="1:12" ht="20.25" customHeight="1" x14ac:dyDescent="0.55000000000000004">
      <c r="A55" s="1666" t="s">
        <v>48</v>
      </c>
      <c r="B55" s="817"/>
      <c r="C55" s="1874" t="s">
        <v>37</v>
      </c>
      <c r="F55" s="401"/>
      <c r="G55" s="401"/>
      <c r="H55" s="893"/>
      <c r="I55" s="1819"/>
      <c r="J55" s="893"/>
      <c r="K55" s="401"/>
      <c r="L55" s="401"/>
    </row>
    <row r="56" spans="1:12" s="904" customFormat="1" ht="21.75" customHeight="1" x14ac:dyDescent="0.25">
      <c r="A56" s="1867"/>
      <c r="B56" s="834"/>
      <c r="C56" s="1875"/>
      <c r="E56" s="1391"/>
      <c r="F56" s="1812"/>
      <c r="G56" s="1812"/>
      <c r="H56" s="1081"/>
      <c r="I56" s="1819"/>
      <c r="J56" s="1081"/>
      <c r="K56" s="1812"/>
      <c r="L56" s="1812"/>
    </row>
    <row r="57" spans="1:12" s="904" customFormat="1" ht="23.25" customHeight="1" x14ac:dyDescent="0.25">
      <c r="A57" s="1945"/>
      <c r="B57" s="834"/>
      <c r="C57" s="1875"/>
      <c r="D57" s="904" t="s">
        <v>102</v>
      </c>
      <c r="E57" s="1391"/>
      <c r="F57" s="1812"/>
      <c r="G57" s="1812"/>
      <c r="H57" s="1081"/>
      <c r="I57" s="1819"/>
      <c r="J57" s="1081"/>
      <c r="K57" s="1812"/>
      <c r="L57" s="1812"/>
    </row>
    <row r="58" spans="1:12" s="904" customFormat="1" ht="25.5" customHeight="1" x14ac:dyDescent="0.25">
      <c r="A58" s="1827"/>
      <c r="B58" s="834"/>
      <c r="C58" s="1875"/>
      <c r="E58" s="1391"/>
      <c r="F58" s="1812"/>
      <c r="G58" s="1812"/>
      <c r="H58" s="1081"/>
      <c r="I58" s="1819"/>
      <c r="J58" s="1081"/>
      <c r="K58" s="1812"/>
      <c r="L58" s="1812"/>
    </row>
    <row r="59" spans="1:12" s="904" customFormat="1" ht="22.5" customHeight="1" x14ac:dyDescent="0.25">
      <c r="A59" s="1827"/>
      <c r="B59" s="834"/>
      <c r="C59" s="1875">
        <v>0</v>
      </c>
      <c r="E59" s="1391"/>
      <c r="F59" s="1812"/>
      <c r="G59" s="1812"/>
      <c r="H59" s="1081"/>
      <c r="I59" s="1819"/>
      <c r="J59" s="1081"/>
      <c r="K59" s="1812"/>
      <c r="L59" s="1812"/>
    </row>
    <row r="60" spans="1:12" s="904" customFormat="1" ht="18" customHeight="1" x14ac:dyDescent="0.25">
      <c r="A60" s="1827"/>
      <c r="B60" s="834"/>
      <c r="C60" s="1875"/>
      <c r="E60" s="1391"/>
      <c r="F60" s="1812"/>
      <c r="G60" s="1812"/>
      <c r="H60" s="1081"/>
      <c r="I60" s="1819"/>
      <c r="J60" s="1081"/>
      <c r="K60" s="1812"/>
      <c r="L60" s="1812"/>
    </row>
    <row r="61" spans="1:12" ht="15.75" customHeight="1" x14ac:dyDescent="0.25">
      <c r="A61" s="1828"/>
      <c r="B61" s="1829"/>
      <c r="C61" s="1876"/>
      <c r="F61" s="401"/>
      <c r="G61" s="401"/>
      <c r="H61" s="893"/>
      <c r="I61" s="1819"/>
      <c r="J61" s="893"/>
      <c r="K61" s="401"/>
      <c r="L61" s="401"/>
    </row>
    <row r="62" spans="1:12" ht="15.75" customHeight="1" x14ac:dyDescent="0.25">
      <c r="A62" s="1830"/>
      <c r="B62" s="1986"/>
      <c r="C62" s="1876"/>
      <c r="F62" s="401"/>
      <c r="G62" s="401"/>
      <c r="H62" s="893"/>
      <c r="I62" s="1819"/>
      <c r="J62" s="893"/>
      <c r="K62" s="401"/>
      <c r="L62" s="401"/>
    </row>
    <row r="63" spans="1:12" s="1833" customFormat="1" ht="15" customHeight="1" x14ac:dyDescent="0.2">
      <c r="A63" s="1831" t="s">
        <v>18</v>
      </c>
      <c r="B63" s="1832"/>
      <c r="C63" s="1877">
        <f>SUM(C56:C62)</f>
        <v>0</v>
      </c>
      <c r="E63" s="1834"/>
      <c r="F63" s="1835"/>
      <c r="G63" s="1835"/>
      <c r="H63" s="1836"/>
      <c r="I63" s="1837"/>
      <c r="J63" s="1835"/>
      <c r="K63" s="1835"/>
      <c r="L63" s="1835"/>
    </row>
    <row r="64" spans="1:12" s="1833" customFormat="1" ht="15" customHeight="1" x14ac:dyDescent="0.2">
      <c r="A64" s="1838"/>
      <c r="B64" s="1839"/>
      <c r="C64" s="1878"/>
      <c r="E64" s="1834"/>
      <c r="F64" s="1835"/>
      <c r="G64" s="1835"/>
      <c r="H64" s="1836"/>
      <c r="I64" s="1837"/>
      <c r="J64" s="1835"/>
      <c r="K64" s="1835"/>
      <c r="L64" s="1835"/>
    </row>
    <row r="65" spans="1:16" s="1833" customFormat="1" ht="15" customHeight="1" x14ac:dyDescent="0.2">
      <c r="A65" s="1838"/>
      <c r="B65" s="1839"/>
      <c r="C65" s="1878"/>
      <c r="E65" s="1834"/>
      <c r="F65" s="1835"/>
      <c r="G65" s="1835"/>
      <c r="H65" s="1836"/>
      <c r="I65" s="1837"/>
      <c r="J65" s="1835"/>
      <c r="K65" s="1835"/>
      <c r="L65" s="1835"/>
    </row>
    <row r="66" spans="1:16" s="1833" customFormat="1" ht="15" customHeight="1" x14ac:dyDescent="0.2">
      <c r="A66" s="1840"/>
      <c r="B66" s="1841"/>
      <c r="C66" s="1841"/>
      <c r="E66" s="1834"/>
      <c r="F66" s="1835"/>
      <c r="G66" s="1835"/>
      <c r="H66" s="1835"/>
      <c r="I66" s="1842"/>
      <c r="J66" s="1835"/>
      <c r="K66" s="1835"/>
      <c r="L66" s="1835"/>
    </row>
    <row r="67" spans="1:16" s="1833" customFormat="1" ht="15" customHeight="1" x14ac:dyDescent="0.2">
      <c r="A67" s="1840"/>
      <c r="B67" s="1841"/>
      <c r="C67" s="1841"/>
      <c r="E67" s="1834"/>
      <c r="F67" s="1835"/>
      <c r="G67" s="1835"/>
      <c r="H67" s="1835"/>
      <c r="I67" s="1842"/>
      <c r="J67" s="1835"/>
      <c r="K67" s="1835"/>
      <c r="L67" s="1835"/>
    </row>
    <row r="68" spans="1:16" s="1833" customFormat="1" ht="15" customHeight="1" x14ac:dyDescent="0.2">
      <c r="A68" s="1840"/>
      <c r="B68" s="1841"/>
      <c r="C68" s="1841"/>
      <c r="E68" s="1834"/>
      <c r="F68" s="1835"/>
      <c r="G68" s="1835"/>
      <c r="H68" s="1835"/>
      <c r="I68" s="1842"/>
      <c r="J68" s="1835"/>
      <c r="K68" s="1835"/>
      <c r="L68" s="1835"/>
    </row>
    <row r="69" spans="1:16" s="1833" customFormat="1" ht="15" customHeight="1" x14ac:dyDescent="0.2">
      <c r="A69" s="1840"/>
      <c r="B69" s="1841"/>
      <c r="C69" s="1841"/>
      <c r="E69" s="1834"/>
      <c r="F69" s="1835"/>
      <c r="G69" s="1835"/>
      <c r="H69" s="1835"/>
      <c r="I69" s="1842"/>
      <c r="J69" s="1835"/>
      <c r="K69" s="1835"/>
      <c r="L69" s="1835"/>
    </row>
    <row r="70" spans="1:16" s="1833" customFormat="1" ht="15" customHeight="1" x14ac:dyDescent="0.2">
      <c r="A70" s="1840"/>
      <c r="B70" s="1841"/>
      <c r="C70" s="1841"/>
      <c r="E70" s="1834"/>
      <c r="F70" s="1835"/>
      <c r="G70" s="1835"/>
      <c r="H70" s="1835"/>
      <c r="I70" s="1842"/>
      <c r="J70" s="1835"/>
      <c r="K70" s="1835"/>
      <c r="L70" s="1835"/>
    </row>
    <row r="71" spans="1:16" s="1833" customFormat="1" ht="15" customHeight="1" x14ac:dyDescent="0.2">
      <c r="A71" s="1840"/>
      <c r="B71" s="1841"/>
      <c r="C71" s="1841"/>
      <c r="E71" s="1834"/>
      <c r="F71" s="1835"/>
      <c r="G71" s="1835"/>
      <c r="H71" s="1835"/>
      <c r="I71" s="1842"/>
      <c r="J71" s="1835"/>
      <c r="K71" s="1835"/>
      <c r="L71" s="1835"/>
    </row>
    <row r="72" spans="1:16" ht="18" x14ac:dyDescent="0.25">
      <c r="A72" s="1669" t="s">
        <v>419</v>
      </c>
      <c r="B72" s="1413"/>
      <c r="C72" s="1879">
        <f>+C43+C50-C63</f>
        <v>2936250</v>
      </c>
      <c r="D72" s="1414"/>
      <c r="E72" s="1415"/>
      <c r="F72" s="466"/>
      <c r="G72" s="466"/>
      <c r="H72" s="401"/>
      <c r="I72" s="1818"/>
      <c r="J72" s="401"/>
      <c r="K72" s="401"/>
      <c r="L72" s="401"/>
    </row>
    <row r="73" spans="1:16" ht="18.75" customHeight="1" x14ac:dyDescent="0.25">
      <c r="A73" s="1669"/>
      <c r="B73" s="1413"/>
      <c r="C73" s="1473"/>
      <c r="D73" s="1414"/>
      <c r="E73" s="1951"/>
      <c r="F73" s="466"/>
      <c r="G73" s="466"/>
      <c r="H73" s="401"/>
      <c r="I73" s="1818"/>
      <c r="J73" s="401"/>
      <c r="K73" s="401"/>
      <c r="L73" s="401"/>
    </row>
    <row r="74" spans="1:16" ht="20.100000000000001" customHeight="1" x14ac:dyDescent="0.25">
      <c r="A74" s="1952"/>
      <c r="B74" s="1768"/>
      <c r="C74" s="1473"/>
      <c r="F74" s="401"/>
      <c r="G74" s="401"/>
      <c r="H74" s="401"/>
      <c r="I74" s="1818"/>
      <c r="J74" s="401"/>
      <c r="K74" s="401"/>
      <c r="L74" s="401"/>
    </row>
    <row r="75" spans="1:16" s="818" customFormat="1" ht="20.25" x14ac:dyDescent="0.3">
      <c r="A75" s="1664" t="s">
        <v>160</v>
      </c>
      <c r="B75" s="1927" t="s">
        <v>409</v>
      </c>
      <c r="C75" s="1933" t="s">
        <v>410</v>
      </c>
      <c r="E75" s="1398"/>
      <c r="F75" s="1813"/>
      <c r="G75" s="1813"/>
      <c r="H75" s="1813"/>
      <c r="I75" s="1820"/>
      <c r="J75" s="1821"/>
      <c r="K75" s="1821"/>
      <c r="L75" s="1821"/>
    </row>
    <row r="76" spans="1:16" ht="20.100000000000001" customHeight="1" x14ac:dyDescent="0.3">
      <c r="A76" s="1665" t="s">
        <v>15</v>
      </c>
      <c r="B76" s="193">
        <v>13419</v>
      </c>
      <c r="C76" s="193">
        <v>121</v>
      </c>
      <c r="F76" s="1725"/>
      <c r="G76" s="1725"/>
      <c r="H76" s="1725"/>
      <c r="I76" s="1820"/>
      <c r="J76" s="401"/>
      <c r="K76" s="401"/>
      <c r="L76" s="401"/>
    </row>
    <row r="77" spans="1:16" ht="20.100000000000001" customHeight="1" x14ac:dyDescent="0.3">
      <c r="A77" s="1665" t="s">
        <v>16</v>
      </c>
      <c r="B77" s="193">
        <v>23690</v>
      </c>
      <c r="C77" s="193">
        <v>151</v>
      </c>
      <c r="D77" s="416"/>
      <c r="E77"/>
      <c r="F77" s="1725"/>
      <c r="G77" s="1725"/>
      <c r="H77" s="401"/>
      <c r="I77" s="1818"/>
      <c r="J77" s="401"/>
      <c r="K77" s="401"/>
      <c r="L77" s="401"/>
    </row>
    <row r="78" spans="1:16" ht="20.100000000000001" customHeight="1" x14ac:dyDescent="0.3">
      <c r="A78" s="1665" t="s">
        <v>17</v>
      </c>
      <c r="B78" s="193">
        <v>5213</v>
      </c>
      <c r="C78" s="193">
        <v>33</v>
      </c>
      <c r="E78"/>
      <c r="F78" s="1725"/>
      <c r="G78" s="401"/>
      <c r="H78" s="401"/>
      <c r="I78" s="1822"/>
      <c r="J78" s="401"/>
      <c r="K78" s="401"/>
      <c r="L78" s="401"/>
    </row>
    <row r="79" spans="1:16" ht="15" thickBot="1" x14ac:dyDescent="0.25">
      <c r="A79" s="1665"/>
      <c r="B79" s="1393"/>
      <c r="E79"/>
      <c r="F79" s="401"/>
      <c r="G79" s="401"/>
      <c r="H79" s="401"/>
      <c r="I79" s="1818"/>
      <c r="J79" s="401"/>
      <c r="K79" s="401"/>
      <c r="L79" s="401"/>
    </row>
    <row r="80" spans="1:16" ht="21" thickBot="1" x14ac:dyDescent="0.35">
      <c r="A80" s="1956" t="s">
        <v>986</v>
      </c>
      <c r="B80" s="1980"/>
      <c r="C80" s="1499"/>
      <c r="F80" s="401"/>
      <c r="G80" s="401"/>
      <c r="H80" s="401"/>
      <c r="I80" s="1818"/>
      <c r="J80" s="401"/>
      <c r="K80" s="401"/>
      <c r="L80" s="401"/>
      <c r="N80" s="1851" t="s">
        <v>988</v>
      </c>
      <c r="O80" s="1852" t="s">
        <v>989</v>
      </c>
      <c r="P80" s="1852" t="s">
        <v>990</v>
      </c>
    </row>
    <row r="81" spans="1:17" ht="21" thickBot="1" x14ac:dyDescent="0.35">
      <c r="A81" s="1981" t="s">
        <v>1096</v>
      </c>
      <c r="B81" s="1982"/>
      <c r="C81" s="1499"/>
      <c r="F81" s="401"/>
      <c r="G81" s="401"/>
      <c r="H81" s="401"/>
      <c r="I81" s="1818"/>
      <c r="J81" s="401"/>
      <c r="K81" s="401"/>
      <c r="L81" s="401"/>
      <c r="N81" s="1865"/>
      <c r="O81" s="1866"/>
      <c r="P81" s="1866"/>
    </row>
    <row r="82" spans="1:17" ht="21" thickBot="1" x14ac:dyDescent="0.35">
      <c r="A82" s="1981" t="s">
        <v>1095</v>
      </c>
      <c r="B82" s="1982"/>
      <c r="C82" s="1499"/>
      <c r="F82" s="401"/>
      <c r="G82" s="401"/>
      <c r="H82" s="401"/>
      <c r="I82" s="1818"/>
      <c r="J82" s="401"/>
      <c r="K82" s="401"/>
      <c r="L82" s="401"/>
      <c r="N82" s="1865"/>
      <c r="O82" s="1866"/>
      <c r="P82" s="1866"/>
    </row>
    <row r="83" spans="1:17" ht="21" thickBot="1" x14ac:dyDescent="0.35">
      <c r="A83" s="1981"/>
      <c r="B83" s="1982"/>
      <c r="C83" s="1499"/>
      <c r="F83" s="401"/>
      <c r="G83" s="401"/>
      <c r="H83" s="401"/>
      <c r="I83" s="1818"/>
      <c r="J83" s="401"/>
      <c r="K83" s="401"/>
      <c r="L83" s="401"/>
      <c r="N83" s="1865"/>
      <c r="O83" s="1866"/>
      <c r="P83" s="1866"/>
    </row>
    <row r="84" spans="1:17" ht="21" thickBot="1" x14ac:dyDescent="0.35">
      <c r="A84" s="1981"/>
      <c r="B84" s="1982"/>
      <c r="C84" s="1499"/>
      <c r="F84" s="401"/>
      <c r="G84" s="401"/>
      <c r="H84" s="401"/>
      <c r="I84" s="1818"/>
      <c r="J84" s="401"/>
      <c r="K84" s="401"/>
      <c r="L84" s="401"/>
      <c r="N84" s="1865"/>
      <c r="O84" s="1866"/>
      <c r="P84" s="1866"/>
    </row>
    <row r="85" spans="1:17" ht="1.5" customHeight="1" thickBot="1" x14ac:dyDescent="0.35">
      <c r="A85" s="1981"/>
      <c r="B85" s="1982"/>
      <c r="C85" s="1499"/>
      <c r="F85" s="401"/>
      <c r="G85" s="401"/>
      <c r="H85" s="401"/>
      <c r="I85" s="1818"/>
      <c r="J85" s="401"/>
      <c r="K85" s="401"/>
      <c r="L85" s="401"/>
      <c r="N85" s="1865"/>
      <c r="O85" s="1866"/>
      <c r="P85" s="1866"/>
    </row>
    <row r="86" spans="1:17" ht="12" hidden="1" customHeight="1" thickBot="1" x14ac:dyDescent="0.35">
      <c r="A86" s="1750"/>
      <c r="B86" s="1982"/>
      <c r="C86" s="1499"/>
      <c r="F86" s="401"/>
      <c r="G86" s="401"/>
      <c r="H86" s="401"/>
      <c r="I86" s="1818"/>
      <c r="J86" s="401"/>
      <c r="K86" s="401"/>
      <c r="L86" s="401"/>
      <c r="N86" s="1865"/>
      <c r="O86" s="1866"/>
      <c r="P86" s="1866"/>
    </row>
    <row r="87" spans="1:17" ht="21" hidden="1" thickBot="1" x14ac:dyDescent="0.35">
      <c r="A87" s="1981"/>
      <c r="B87" s="1982"/>
      <c r="C87" s="1499"/>
      <c r="F87" s="401"/>
      <c r="G87" s="401"/>
      <c r="H87" s="401"/>
      <c r="I87" s="1818"/>
      <c r="J87" s="401"/>
      <c r="K87" s="401"/>
      <c r="L87" s="401"/>
      <c r="N87" s="1865"/>
      <c r="O87" s="1866"/>
      <c r="P87" s="1866"/>
    </row>
    <row r="88" spans="1:17" ht="21" hidden="1" thickBot="1" x14ac:dyDescent="0.35">
      <c r="A88" s="1981"/>
      <c r="B88" s="2003"/>
      <c r="C88" s="1499"/>
      <c r="F88" s="401"/>
      <c r="G88" s="401"/>
      <c r="H88" s="401"/>
      <c r="I88" s="1818"/>
      <c r="J88" s="401"/>
      <c r="K88" s="401"/>
      <c r="L88" s="401"/>
      <c r="N88" s="1865"/>
      <c r="O88" s="1866"/>
      <c r="P88" s="1866"/>
    </row>
    <row r="89" spans="1:17" ht="18.75" hidden="1" thickBot="1" x14ac:dyDescent="0.3">
      <c r="B89" s="1663"/>
      <c r="C89" s="1981"/>
      <c r="D89" s="1499"/>
      <c r="E89"/>
      <c r="F89" s="701"/>
      <c r="G89" s="401"/>
      <c r="H89" s="401"/>
      <c r="I89" s="401"/>
      <c r="J89" s="1818"/>
      <c r="K89" s="401"/>
      <c r="L89" s="401"/>
      <c r="M89" s="401"/>
      <c r="O89" s="1865"/>
      <c r="P89" s="1866"/>
      <c r="Q89" s="1866"/>
    </row>
    <row r="90" spans="1:17" ht="18.75" hidden="1" thickBot="1" x14ac:dyDescent="0.3">
      <c r="A90" s="1934"/>
      <c r="B90" s="1663"/>
      <c r="C90" s="1981"/>
      <c r="D90" s="1499"/>
      <c r="E90"/>
      <c r="F90" s="701"/>
      <c r="G90" s="401"/>
      <c r="H90" s="401"/>
      <c r="I90" s="401"/>
      <c r="J90" s="1818"/>
      <c r="K90" s="401"/>
      <c r="L90" s="401"/>
      <c r="M90" s="401"/>
      <c r="O90" s="1866"/>
      <c r="P90" s="1866"/>
      <c r="Q90" s="2018"/>
    </row>
    <row r="91" spans="1:17" ht="18.75" hidden="1" thickBot="1" x14ac:dyDescent="0.3">
      <c r="A91" s="1934"/>
      <c r="B91" s="1663"/>
      <c r="C91" s="1981"/>
      <c r="D91" s="1499"/>
      <c r="E91"/>
      <c r="F91" s="701"/>
      <c r="G91" s="401"/>
      <c r="H91" s="401"/>
      <c r="I91" s="401"/>
      <c r="J91" s="1818"/>
      <c r="K91" s="401"/>
      <c r="L91" s="401"/>
      <c r="M91" s="401"/>
      <c r="O91" s="1866"/>
      <c r="P91" s="1866"/>
      <c r="Q91" s="2018"/>
    </row>
    <row r="92" spans="1:17" ht="18.75" hidden="1" thickBot="1" x14ac:dyDescent="0.3">
      <c r="A92" s="1934"/>
      <c r="B92" s="1663"/>
      <c r="C92" s="1981"/>
      <c r="D92" s="1499"/>
      <c r="E92"/>
      <c r="F92" s="701"/>
      <c r="G92" s="401"/>
      <c r="H92" s="401"/>
      <c r="I92" s="401"/>
      <c r="J92" s="1818"/>
      <c r="K92" s="401"/>
      <c r="L92" s="401"/>
      <c r="M92" s="401"/>
      <c r="O92" s="1866"/>
      <c r="P92" s="1866"/>
      <c r="Q92" s="2018"/>
    </row>
    <row r="93" spans="1:17" ht="18.75" hidden="1" thickBot="1" x14ac:dyDescent="0.3">
      <c r="B93" s="1663"/>
      <c r="C93" s="1981"/>
      <c r="D93" s="1499"/>
      <c r="E93"/>
      <c r="F93" s="701"/>
      <c r="G93" s="401"/>
      <c r="H93" s="401"/>
      <c r="I93" s="401"/>
      <c r="J93" s="1818"/>
      <c r="K93" s="401"/>
      <c r="L93" s="401"/>
      <c r="M93" s="401"/>
      <c r="O93" s="1866"/>
      <c r="P93" s="1866"/>
      <c r="Q93" s="2018"/>
    </row>
    <row r="94" spans="1:17" ht="18.75" hidden="1" thickBot="1" x14ac:dyDescent="0.3">
      <c r="B94" s="1663"/>
      <c r="C94" s="1981"/>
      <c r="D94" s="1499"/>
      <c r="E94"/>
      <c r="F94" s="701"/>
      <c r="G94" s="401"/>
      <c r="H94" s="401"/>
      <c r="I94" s="401"/>
      <c r="J94" s="1818"/>
      <c r="K94" s="401"/>
      <c r="L94" s="401"/>
      <c r="M94" s="401"/>
      <c r="O94" s="1866"/>
      <c r="P94" s="1866"/>
      <c r="Q94" s="2018"/>
    </row>
    <row r="95" spans="1:17" ht="18.75" thickBot="1" x14ac:dyDescent="0.3">
      <c r="A95" s="1750" t="s">
        <v>18</v>
      </c>
      <c r="B95" s="1983" t="s">
        <v>1097</v>
      </c>
      <c r="C95" s="1944">
        <f>14600</f>
        <v>14600</v>
      </c>
      <c r="D95" t="s">
        <v>62</v>
      </c>
      <c r="F95" s="401"/>
      <c r="G95" s="401"/>
      <c r="H95" s="401"/>
      <c r="I95" s="1818"/>
      <c r="J95" s="401"/>
      <c r="K95" s="401"/>
      <c r="L95" s="401"/>
      <c r="N95" s="1865"/>
      <c r="O95" s="1866"/>
      <c r="P95" s="1866"/>
    </row>
    <row r="96" spans="1:17" ht="21" thickBot="1" x14ac:dyDescent="0.35">
      <c r="A96" s="1981"/>
      <c r="B96" s="1982"/>
      <c r="C96" s="1944"/>
      <c r="F96" s="401"/>
      <c r="G96" s="401"/>
      <c r="H96" s="401"/>
      <c r="I96" s="1818"/>
      <c r="J96" s="401"/>
      <c r="K96" s="401"/>
      <c r="L96" s="401"/>
      <c r="N96" s="1865"/>
      <c r="O96" s="1866"/>
      <c r="P96" s="1866"/>
    </row>
    <row r="97" spans="1:16" ht="21" thickBot="1" x14ac:dyDescent="0.35">
      <c r="A97" s="1984"/>
      <c r="B97" s="1985"/>
      <c r="C97" s="1499"/>
      <c r="F97" s="401"/>
      <c r="G97" s="401"/>
      <c r="H97" s="401"/>
      <c r="I97" s="1818"/>
      <c r="J97" s="401"/>
      <c r="K97" s="401"/>
      <c r="L97" s="401"/>
      <c r="N97" s="1865"/>
      <c r="O97" s="1866"/>
      <c r="P97" s="1866"/>
    </row>
    <row r="98" spans="1:16" ht="21" customHeight="1" thickBot="1" x14ac:dyDescent="0.3">
      <c r="A98" s="2925"/>
      <c r="B98" s="2925"/>
      <c r="C98" s="2925"/>
      <c r="F98" s="401"/>
      <c r="G98" s="401"/>
      <c r="H98" s="401"/>
      <c r="I98" s="1818"/>
      <c r="J98" s="401"/>
      <c r="K98" s="401"/>
      <c r="L98" s="401"/>
      <c r="N98" s="1865"/>
      <c r="O98" s="1866"/>
      <c r="P98" s="1866"/>
    </row>
    <row r="99" spans="1:16" s="877" customFormat="1" ht="21.75" thickBot="1" x14ac:dyDescent="0.4">
      <c r="A99" s="1863"/>
      <c r="B99" s="1928"/>
      <c r="C99" s="1929"/>
      <c r="E99" s="1392"/>
      <c r="G99" s="467"/>
      <c r="H99" s="467"/>
      <c r="I99" s="467"/>
      <c r="J99" s="467"/>
      <c r="K99" s="467"/>
      <c r="N99" s="1882" t="s">
        <v>993</v>
      </c>
      <c r="O99" s="1883" t="s">
        <v>992</v>
      </c>
      <c r="P99" s="1884">
        <v>0</v>
      </c>
    </row>
    <row r="100" spans="1:16" s="877" customFormat="1" ht="21.75" thickBot="1" x14ac:dyDescent="0.4">
      <c r="A100" s="1845"/>
      <c r="B100" s="1928"/>
      <c r="C100" s="1929"/>
      <c r="E100" s="1392"/>
      <c r="G100" s="467"/>
      <c r="H100" s="467"/>
      <c r="I100" s="467"/>
      <c r="J100" s="467"/>
      <c r="K100" s="467"/>
      <c r="N100" s="1882" t="s">
        <v>994</v>
      </c>
      <c r="O100" s="1883" t="s">
        <v>992</v>
      </c>
      <c r="P100" s="1884">
        <v>0</v>
      </c>
    </row>
    <row r="101" spans="1:16" s="877" customFormat="1" ht="32.25" thickBot="1" x14ac:dyDescent="0.55000000000000004">
      <c r="A101" s="1885"/>
      <c r="B101" s="1930"/>
      <c r="C101" s="1929"/>
      <c r="E101" s="1392"/>
      <c r="G101" s="467"/>
      <c r="H101" s="467"/>
      <c r="I101" s="467"/>
      <c r="J101" s="467"/>
      <c r="K101" s="467"/>
      <c r="N101" s="1882" t="s">
        <v>995</v>
      </c>
      <c r="O101" s="1883" t="s">
        <v>992</v>
      </c>
      <c r="P101" s="1884">
        <v>0</v>
      </c>
    </row>
    <row r="102" spans="1:16" s="877" customFormat="1" ht="24" thickBot="1" x14ac:dyDescent="0.4">
      <c r="A102" s="1862"/>
      <c r="B102" s="1931"/>
      <c r="C102" s="1929"/>
      <c r="E102" s="1392"/>
      <c r="G102" s="467"/>
      <c r="H102" s="467"/>
      <c r="I102" s="467"/>
      <c r="J102" s="467"/>
      <c r="K102" s="467"/>
      <c r="N102" s="1882" t="s">
        <v>996</v>
      </c>
      <c r="O102" s="1883" t="s">
        <v>992</v>
      </c>
      <c r="P102" s="1884">
        <v>0</v>
      </c>
    </row>
    <row r="103" spans="1:16" ht="30" customHeight="1" thickBot="1" x14ac:dyDescent="0.3">
      <c r="A103" s="2924"/>
      <c r="B103" s="2924"/>
      <c r="C103" s="1932"/>
      <c r="E103" s="1797"/>
      <c r="F103" s="401"/>
      <c r="G103" s="1797"/>
      <c r="H103" s="1797"/>
      <c r="I103" s="1797"/>
      <c r="J103" s="401"/>
      <c r="K103" s="401"/>
      <c r="L103" s="401"/>
      <c r="N103" s="1856" t="s">
        <v>997</v>
      </c>
      <c r="O103" s="1857" t="s">
        <v>992</v>
      </c>
      <c r="P103" s="1858">
        <v>0</v>
      </c>
    </row>
    <row r="104" spans="1:16" ht="40.5" customHeight="1" thickBot="1" x14ac:dyDescent="0.4">
      <c r="A104" s="1405"/>
      <c r="B104" s="1932"/>
      <c r="C104" s="1932"/>
      <c r="E104" s="816"/>
      <c r="F104" s="1886"/>
      <c r="G104" s="1886"/>
      <c r="H104" s="1886"/>
      <c r="I104" s="1886"/>
      <c r="J104" s="1886"/>
      <c r="K104" s="401"/>
      <c r="L104" s="401"/>
      <c r="N104" s="1853" t="s">
        <v>998</v>
      </c>
      <c r="O104" s="1854" t="s">
        <v>999</v>
      </c>
      <c r="P104" s="1855">
        <v>1</v>
      </c>
    </row>
    <row r="105" spans="1:16" ht="45.75" customHeight="1" thickBot="1" x14ac:dyDescent="0.4">
      <c r="A105" s="1792"/>
      <c r="B105" s="1792"/>
      <c r="C105" s="1792"/>
      <c r="D105" s="1792"/>
      <c r="E105" s="816"/>
      <c r="F105" s="1886"/>
      <c r="G105" s="1886"/>
      <c r="H105" s="1886"/>
      <c r="I105" s="1886"/>
      <c r="J105" s="1887"/>
      <c r="K105" s="401"/>
      <c r="L105" s="401"/>
      <c r="N105" s="1856" t="s">
        <v>998</v>
      </c>
      <c r="O105" s="1857" t="s">
        <v>1000</v>
      </c>
      <c r="P105" s="1858">
        <v>1</v>
      </c>
    </row>
    <row r="106" spans="1:16" ht="16.5" thickBot="1" x14ac:dyDescent="0.3">
      <c r="A106" s="1789"/>
      <c r="B106" s="1926"/>
      <c r="C106" s="1926"/>
      <c r="D106" s="1789"/>
      <c r="E106" s="428"/>
      <c r="F106" s="1938"/>
      <c r="G106" s="1888"/>
      <c r="H106" s="1888"/>
      <c r="I106" s="1888"/>
      <c r="J106" s="401"/>
      <c r="K106" s="401"/>
      <c r="L106" s="401"/>
      <c r="N106" s="1853" t="s">
        <v>998</v>
      </c>
      <c r="O106" s="1854" t="s">
        <v>1001</v>
      </c>
      <c r="P106" s="1855">
        <v>2</v>
      </c>
    </row>
    <row r="107" spans="1:16" ht="16.5" thickBot="1" x14ac:dyDescent="0.3">
      <c r="A107" s="1789"/>
      <c r="B107" s="1926"/>
      <c r="C107" s="1926"/>
      <c r="D107" s="1789"/>
      <c r="E107" s="401"/>
      <c r="F107" s="401"/>
      <c r="G107" s="401"/>
      <c r="H107" s="401"/>
      <c r="I107" s="401"/>
      <c r="J107" s="401"/>
      <c r="K107" s="401"/>
      <c r="L107" s="401"/>
      <c r="N107" s="1856" t="s">
        <v>998</v>
      </c>
      <c r="O107" s="1857" t="s">
        <v>1002</v>
      </c>
      <c r="P107" s="1858">
        <v>2</v>
      </c>
    </row>
    <row r="108" spans="1:16" ht="16.5" thickBot="1" x14ac:dyDescent="0.3">
      <c r="A108" s="1789"/>
      <c r="B108" s="1790"/>
      <c r="C108" s="1926"/>
      <c r="D108" s="1789"/>
      <c r="E108" s="401"/>
      <c r="F108" s="401"/>
      <c r="G108" s="401"/>
      <c r="H108" s="401"/>
      <c r="I108" s="401"/>
      <c r="J108" s="401"/>
      <c r="K108" s="401"/>
      <c r="L108" s="401"/>
      <c r="N108" s="1853" t="s">
        <v>1003</v>
      </c>
      <c r="O108" s="1854" t="s">
        <v>1004</v>
      </c>
      <c r="P108" s="1855">
        <v>2</v>
      </c>
    </row>
    <row r="109" spans="1:16" ht="16.5" thickBot="1" x14ac:dyDescent="0.3">
      <c r="A109" s="1789"/>
      <c r="B109" s="1926"/>
      <c r="C109" s="1926"/>
      <c r="D109" s="1789"/>
      <c r="E109"/>
      <c r="N109" s="1856" t="s">
        <v>1005</v>
      </c>
      <c r="O109" s="1857" t="s">
        <v>1004</v>
      </c>
      <c r="P109" s="1858">
        <v>2</v>
      </c>
    </row>
    <row r="110" spans="1:16" ht="16.5" thickBot="1" x14ac:dyDescent="0.3">
      <c r="A110" s="1405"/>
      <c r="B110" s="1932"/>
      <c r="C110" s="1926"/>
      <c r="D110" s="1791"/>
      <c r="E110"/>
      <c r="N110" s="1853" t="s">
        <v>993</v>
      </c>
      <c r="O110" s="1854" t="s">
        <v>1004</v>
      </c>
      <c r="P110" s="1855">
        <v>2</v>
      </c>
    </row>
    <row r="111" spans="1:16" ht="16.5" thickBot="1" x14ac:dyDescent="0.3">
      <c r="A111" s="1405"/>
      <c r="B111" s="1932"/>
      <c r="C111" s="1932"/>
      <c r="D111" s="1405"/>
      <c r="E111"/>
      <c r="N111" s="1856" t="s">
        <v>994</v>
      </c>
      <c r="O111" s="1857" t="s">
        <v>1004</v>
      </c>
      <c r="P111" s="1858">
        <v>2</v>
      </c>
    </row>
    <row r="112" spans="1:16" ht="16.5" thickBot="1" x14ac:dyDescent="0.3">
      <c r="N112" s="1853" t="s">
        <v>1006</v>
      </c>
      <c r="O112" s="1854" t="s">
        <v>1004</v>
      </c>
      <c r="P112" s="1855">
        <v>2</v>
      </c>
    </row>
    <row r="113" spans="1:16" ht="16.5" thickBot="1" x14ac:dyDescent="0.3">
      <c r="N113" s="1856" t="s">
        <v>991</v>
      </c>
      <c r="O113" s="1857" t="s">
        <v>985</v>
      </c>
      <c r="P113" s="1858">
        <v>2</v>
      </c>
    </row>
    <row r="114" spans="1:16" ht="16.5" thickBot="1" x14ac:dyDescent="0.3">
      <c r="N114" s="1853" t="s">
        <v>995</v>
      </c>
      <c r="O114" s="1854" t="s">
        <v>985</v>
      </c>
      <c r="P114" s="1855">
        <v>2</v>
      </c>
    </row>
    <row r="115" spans="1:16" ht="16.5" thickBot="1" x14ac:dyDescent="0.3">
      <c r="N115" s="1856" t="s">
        <v>996</v>
      </c>
      <c r="O115" s="1857" t="s">
        <v>985</v>
      </c>
      <c r="P115" s="1858">
        <v>2</v>
      </c>
    </row>
    <row r="116" spans="1:16" ht="16.5" thickBot="1" x14ac:dyDescent="0.3">
      <c r="N116" s="1853" t="s">
        <v>1007</v>
      </c>
      <c r="O116" s="1854" t="s">
        <v>983</v>
      </c>
      <c r="P116" s="1855">
        <v>3</v>
      </c>
    </row>
    <row r="117" spans="1:16" ht="16.5" thickBot="1" x14ac:dyDescent="0.3">
      <c r="N117" s="1856" t="s">
        <v>996</v>
      </c>
      <c r="O117" s="1857" t="s">
        <v>983</v>
      </c>
      <c r="P117" s="1858">
        <v>3</v>
      </c>
    </row>
    <row r="118" spans="1:16" ht="16.5" thickBot="1" x14ac:dyDescent="0.3">
      <c r="N118" s="1853" t="s">
        <v>994</v>
      </c>
      <c r="O118" s="1854" t="s">
        <v>983</v>
      </c>
      <c r="P118" s="1855">
        <v>3</v>
      </c>
    </row>
    <row r="119" spans="1:16" ht="16.5" thickBot="1" x14ac:dyDescent="0.3">
      <c r="N119" s="1856" t="s">
        <v>1006</v>
      </c>
      <c r="O119" s="1857" t="s">
        <v>983</v>
      </c>
      <c r="P119" s="1858">
        <v>3</v>
      </c>
    </row>
    <row r="120" spans="1:16" ht="16.5" thickBot="1" x14ac:dyDescent="0.3">
      <c r="N120" s="1853" t="s">
        <v>1008</v>
      </c>
      <c r="O120" s="1854" t="s">
        <v>983</v>
      </c>
      <c r="P120" s="1855">
        <v>3</v>
      </c>
    </row>
    <row r="121" spans="1:16" ht="16.5" thickBot="1" x14ac:dyDescent="0.3">
      <c r="N121" s="1856" t="s">
        <v>1009</v>
      </c>
      <c r="O121" s="1857" t="s">
        <v>1010</v>
      </c>
      <c r="P121" s="1858">
        <v>3</v>
      </c>
    </row>
    <row r="122" spans="1:16" ht="16.5" thickBot="1" x14ac:dyDescent="0.3">
      <c r="N122" s="1853" t="s">
        <v>1011</v>
      </c>
      <c r="O122" s="1854" t="s">
        <v>983</v>
      </c>
      <c r="P122" s="1855">
        <v>3</v>
      </c>
    </row>
    <row r="123" spans="1:16" ht="16.5" thickBot="1" x14ac:dyDescent="0.3">
      <c r="N123" s="1856" t="s">
        <v>1012</v>
      </c>
      <c r="O123" s="1857" t="s">
        <v>1013</v>
      </c>
      <c r="P123" s="1858">
        <v>4</v>
      </c>
    </row>
    <row r="124" spans="1:16" ht="16.5" thickBot="1" x14ac:dyDescent="0.3">
      <c r="A124"/>
      <c r="B124"/>
      <c r="C124"/>
      <c r="E124"/>
      <c r="N124" s="1853" t="s">
        <v>993</v>
      </c>
      <c r="O124" s="1854" t="s">
        <v>1014</v>
      </c>
      <c r="P124" s="1855">
        <v>4</v>
      </c>
    </row>
    <row r="125" spans="1:16" ht="16.5" thickBot="1" x14ac:dyDescent="0.3">
      <c r="A125"/>
      <c r="B125"/>
      <c r="C125"/>
      <c r="E125"/>
      <c r="N125" s="1856" t="s">
        <v>994</v>
      </c>
      <c r="O125" s="1857" t="s">
        <v>1014</v>
      </c>
      <c r="P125" s="1858">
        <v>4</v>
      </c>
    </row>
    <row r="126" spans="1:16" ht="16.5" thickBot="1" x14ac:dyDescent="0.3">
      <c r="A126"/>
      <c r="B126"/>
      <c r="C126"/>
      <c r="E126"/>
      <c r="N126" s="1853" t="s">
        <v>1015</v>
      </c>
      <c r="O126" s="1854" t="s">
        <v>1014</v>
      </c>
      <c r="P126" s="1855">
        <v>4</v>
      </c>
    </row>
    <row r="127" spans="1:16" ht="16.5" thickBot="1" x14ac:dyDescent="0.3">
      <c r="A127"/>
      <c r="B127"/>
      <c r="C127"/>
      <c r="E127"/>
      <c r="N127" s="1856" t="s">
        <v>1016</v>
      </c>
      <c r="O127" s="1857" t="s">
        <v>1014</v>
      </c>
      <c r="P127" s="1858">
        <v>4</v>
      </c>
    </row>
    <row r="128" spans="1:16" ht="16.5" thickBot="1" x14ac:dyDescent="0.3">
      <c r="A128"/>
      <c r="B128"/>
      <c r="C128"/>
      <c r="E128"/>
      <c r="N128" s="1853" t="s">
        <v>1011</v>
      </c>
      <c r="O128" s="1854" t="s">
        <v>984</v>
      </c>
      <c r="P128" s="1855">
        <v>4</v>
      </c>
    </row>
    <row r="129" spans="1:16" ht="16.5" thickBot="1" x14ac:dyDescent="0.3">
      <c r="A129"/>
      <c r="B129"/>
      <c r="C129"/>
      <c r="E129"/>
      <c r="N129" s="1856" t="s">
        <v>1006</v>
      </c>
      <c r="O129" s="1857" t="s">
        <v>984</v>
      </c>
      <c r="P129" s="1858">
        <v>4</v>
      </c>
    </row>
  </sheetData>
  <mergeCells count="5">
    <mergeCell ref="A5:C5"/>
    <mergeCell ref="D49:F49"/>
    <mergeCell ref="A103:B103"/>
    <mergeCell ref="A98:C98"/>
    <mergeCell ref="A18:C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CC85"/>
  <sheetViews>
    <sheetView zoomScale="86" zoomScaleNormal="86" workbookViewId="0">
      <selection activeCell="G12" sqref="G12:G19"/>
    </sheetView>
  </sheetViews>
  <sheetFormatPr baseColWidth="10" defaultRowHeight="12.75" x14ac:dyDescent="0.2"/>
  <cols>
    <col min="1" max="1" width="27.42578125" style="250" customWidth="1"/>
    <col min="2" max="2" width="16.28515625" style="250" customWidth="1"/>
    <col min="3" max="3" width="14.5703125" style="250" customWidth="1"/>
    <col min="4" max="4" width="13.5703125" style="250" bestFit="1" customWidth="1"/>
    <col min="5" max="5" width="14.28515625" style="250" customWidth="1"/>
    <col min="6" max="6" width="3.85546875" style="250" customWidth="1"/>
    <col min="7" max="7" width="31" style="250" customWidth="1"/>
    <col min="8" max="8" width="17.28515625" style="250" customWidth="1"/>
    <col min="9" max="9" width="18.42578125" style="250" customWidth="1"/>
    <col min="10" max="10" width="17" style="250" customWidth="1"/>
    <col min="11" max="11" width="4.85546875" style="250" customWidth="1"/>
    <col min="12" max="12" width="15.7109375" style="250" customWidth="1"/>
    <col min="13" max="13" width="13.42578125" style="250" customWidth="1"/>
    <col min="14" max="14" width="11.42578125" style="250" customWidth="1"/>
    <col min="15" max="15" width="13.140625" style="250" customWidth="1"/>
    <col min="16" max="16" width="23.85546875" style="250" customWidth="1"/>
    <col min="17" max="17" width="11.85546875" style="900" bestFit="1" customWidth="1"/>
    <col min="18" max="81" width="11.42578125" style="900"/>
    <col min="82" max="16384" width="11.42578125" style="250"/>
  </cols>
  <sheetData>
    <row r="1" spans="1:81" ht="27" x14ac:dyDescent="0.35">
      <c r="A1" s="291" t="s">
        <v>170</v>
      </c>
      <c r="B1" s="19"/>
      <c r="C1" s="19"/>
      <c r="D1" s="19"/>
      <c r="M1" s="186"/>
    </row>
    <row r="2" spans="1:81" ht="30.75" thickBot="1" x14ac:dyDescent="0.45">
      <c r="A2" s="80" t="s">
        <v>212</v>
      </c>
      <c r="B2" s="19"/>
      <c r="C2" s="19"/>
      <c r="D2" s="19"/>
    </row>
    <row r="3" spans="1:81" ht="26.25" customHeight="1" thickBot="1" x14ac:dyDescent="0.25">
      <c r="G3" s="2927" t="s">
        <v>357</v>
      </c>
      <c r="H3" s="2928"/>
      <c r="I3" s="2928"/>
      <c r="J3" s="2928"/>
      <c r="K3" s="2928"/>
      <c r="L3" s="2928"/>
      <c r="M3" s="2928"/>
      <c r="N3" s="2929"/>
      <c r="P3" s="389" t="s">
        <v>190</v>
      </c>
    </row>
    <row r="4" spans="1:81" ht="15.75" x14ac:dyDescent="0.25">
      <c r="C4" s="220"/>
      <c r="D4" s="220"/>
    </row>
    <row r="5" spans="1:81" ht="16.5" x14ac:dyDescent="0.3">
      <c r="A5" s="221" t="s">
        <v>19</v>
      </c>
      <c r="B5" s="765">
        <f>+LL!C8</f>
        <v>43221</v>
      </c>
      <c r="C5" s="222">
        <f>LL!C8</f>
        <v>43221</v>
      </c>
      <c r="D5" s="220"/>
    </row>
    <row r="6" spans="1:81" ht="22.5" customHeight="1" x14ac:dyDescent="0.3">
      <c r="A6" s="221" t="s">
        <v>153</v>
      </c>
      <c r="B6" s="592" t="s">
        <v>1046</v>
      </c>
      <c r="C6" s="222"/>
      <c r="D6" s="220"/>
    </row>
    <row r="7" spans="1:81" ht="16.5" x14ac:dyDescent="0.3">
      <c r="A7" s="221"/>
      <c r="B7" s="222"/>
      <c r="C7" s="220"/>
      <c r="D7" s="220"/>
    </row>
    <row r="9" spans="1:81" ht="16.5" x14ac:dyDescent="0.3">
      <c r="A9" s="260"/>
      <c r="B9" s="2933" t="s">
        <v>0</v>
      </c>
      <c r="C9" s="2933"/>
      <c r="D9" s="2933"/>
      <c r="E9" s="2933"/>
      <c r="F9" s="223"/>
      <c r="G9" s="2933" t="s">
        <v>2</v>
      </c>
      <c r="H9" s="2933"/>
      <c r="I9" s="2933"/>
      <c r="J9" s="2933"/>
      <c r="K9" s="223"/>
      <c r="L9" s="2933" t="s">
        <v>1</v>
      </c>
      <c r="M9" s="2933"/>
      <c r="N9" s="2933"/>
      <c r="O9" s="2933"/>
      <c r="P9" s="11"/>
    </row>
    <row r="10" spans="1:81" ht="15.75" x14ac:dyDescent="0.25">
      <c r="A10" s="260"/>
      <c r="B10" s="2934">
        <v>630</v>
      </c>
      <c r="C10" s="2934"/>
      <c r="D10" s="2934"/>
      <c r="E10" s="2934"/>
      <c r="F10" s="20"/>
      <c r="G10" s="2934">
        <v>575</v>
      </c>
      <c r="H10" s="2934"/>
      <c r="I10" s="2934"/>
      <c r="J10" s="2934"/>
      <c r="K10" s="20"/>
      <c r="L10" s="2934">
        <v>350</v>
      </c>
      <c r="M10" s="2934"/>
      <c r="N10" s="2934"/>
      <c r="O10" s="2934"/>
      <c r="P10" s="11"/>
    </row>
    <row r="11" spans="1:81" s="252" customFormat="1" ht="16.5" x14ac:dyDescent="0.3">
      <c r="A11" s="269" t="s">
        <v>3</v>
      </c>
      <c r="B11" s="269" t="s">
        <v>134</v>
      </c>
      <c r="C11" s="269" t="s">
        <v>4</v>
      </c>
      <c r="D11" s="269" t="s">
        <v>135</v>
      </c>
      <c r="E11" s="271" t="s">
        <v>215</v>
      </c>
      <c r="F11" s="271"/>
      <c r="G11" s="269" t="s">
        <v>134</v>
      </c>
      <c r="H11" s="269" t="s">
        <v>7</v>
      </c>
      <c r="I11" s="269" t="s">
        <v>135</v>
      </c>
      <c r="J11" s="271" t="s">
        <v>8</v>
      </c>
      <c r="K11" s="271"/>
      <c r="L11" s="269" t="s">
        <v>134</v>
      </c>
      <c r="M11" s="269" t="s">
        <v>5</v>
      </c>
      <c r="N11" s="269" t="s">
        <v>135</v>
      </c>
      <c r="O11" s="271" t="s">
        <v>6</v>
      </c>
      <c r="P11" s="269" t="s">
        <v>9</v>
      </c>
      <c r="Q11" s="900"/>
      <c r="R11" s="900"/>
      <c r="S11" s="900"/>
      <c r="T11" s="900"/>
      <c r="U11" s="900"/>
      <c r="V11" s="900"/>
      <c r="W11" s="900"/>
      <c r="X11" s="900"/>
      <c r="Y11" s="900"/>
      <c r="Z11" s="900"/>
      <c r="AA11" s="900"/>
      <c r="AB11" s="900"/>
      <c r="AC11" s="900"/>
      <c r="AD11" s="900"/>
      <c r="AE11" s="900"/>
      <c r="AF11" s="900"/>
      <c r="AG11" s="900"/>
      <c r="AH11" s="900"/>
      <c r="AI11" s="900"/>
      <c r="AJ11" s="900"/>
      <c r="AK11" s="900"/>
      <c r="AL11" s="900"/>
      <c r="AM11" s="900"/>
      <c r="AN11" s="900"/>
      <c r="AO11" s="900"/>
      <c r="AP11" s="900"/>
      <c r="AQ11" s="900"/>
      <c r="AR11" s="900"/>
      <c r="AS11" s="900"/>
      <c r="AT11" s="900"/>
      <c r="AU11" s="900"/>
      <c r="AV11" s="900"/>
      <c r="AW11" s="900"/>
      <c r="AX11" s="900"/>
      <c r="AY11" s="900"/>
      <c r="AZ11" s="900"/>
      <c r="BA11" s="900"/>
      <c r="BB11" s="900"/>
      <c r="BC11" s="900"/>
      <c r="BD11" s="900"/>
      <c r="BE11" s="900"/>
      <c r="BF11" s="900"/>
      <c r="BG11" s="900"/>
      <c r="BH11" s="900"/>
      <c r="BI11" s="900"/>
      <c r="BJ11" s="900"/>
      <c r="BK11" s="900"/>
      <c r="BL11" s="900"/>
      <c r="BM11" s="900"/>
      <c r="BN11" s="900"/>
      <c r="BO11" s="900"/>
      <c r="BP11" s="900"/>
      <c r="BQ11" s="900"/>
      <c r="BR11" s="900"/>
      <c r="BS11" s="900"/>
      <c r="BT11" s="900"/>
      <c r="BU11" s="900"/>
      <c r="BV11" s="900"/>
      <c r="BW11" s="900"/>
      <c r="BX11" s="900"/>
      <c r="BY11" s="900"/>
      <c r="BZ11" s="900"/>
      <c r="CA11" s="900"/>
      <c r="CB11" s="900"/>
      <c r="CC11" s="900"/>
    </row>
    <row r="12" spans="1:81" ht="16.5" x14ac:dyDescent="0.3">
      <c r="A12" s="1341">
        <v>44105</v>
      </c>
      <c r="B12" s="1861"/>
      <c r="C12" s="1861"/>
      <c r="D12" s="1861"/>
      <c r="E12" s="1342">
        <f t="shared" ref="E12:E20" si="0">+C12-D12</f>
        <v>0</v>
      </c>
      <c r="F12" s="1734"/>
      <c r="G12" s="2162" t="s">
        <v>2115</v>
      </c>
      <c r="H12" s="2236">
        <v>20000</v>
      </c>
      <c r="I12" s="2236">
        <v>20000</v>
      </c>
      <c r="J12" s="1342">
        <f>+H12-I12</f>
        <v>0</v>
      </c>
      <c r="K12" s="1343"/>
      <c r="L12" s="1343"/>
      <c r="M12" s="1344"/>
      <c r="N12" s="1344"/>
      <c r="O12" s="1345">
        <f t="shared" ref="O12:O50" si="1">+M12-N12</f>
        <v>0</v>
      </c>
      <c r="P12" s="1346">
        <f t="shared" ref="P12:P30" si="2">C12*B$10+H12*G$10+M12*L$10</f>
        <v>11500000</v>
      </c>
    </row>
    <row r="13" spans="1:81" s="252" customFormat="1" ht="16.5" x14ac:dyDescent="0.3">
      <c r="A13" s="1341">
        <v>44106</v>
      </c>
      <c r="B13" s="2302"/>
      <c r="C13" s="2302"/>
      <c r="D13" s="2302"/>
      <c r="E13" s="713">
        <f t="shared" si="0"/>
        <v>0</v>
      </c>
      <c r="F13" s="2303"/>
      <c r="G13" s="2304"/>
      <c r="H13" s="2488"/>
      <c r="I13" s="2488"/>
      <c r="J13" s="713">
        <f>+H13-I13</f>
        <v>0</v>
      </c>
      <c r="K13" s="271"/>
      <c r="L13" s="2305"/>
      <c r="M13" s="2306"/>
      <c r="N13" s="2307"/>
      <c r="O13" s="713">
        <f t="shared" si="1"/>
        <v>0</v>
      </c>
      <c r="P13" s="270">
        <f t="shared" si="2"/>
        <v>0</v>
      </c>
      <c r="Q13" s="2308"/>
      <c r="R13" s="2308"/>
      <c r="S13" s="2308"/>
      <c r="T13" s="2308"/>
      <c r="U13" s="2308"/>
      <c r="V13" s="2308"/>
      <c r="W13" s="2308"/>
      <c r="X13" s="2308"/>
      <c r="Y13" s="2308"/>
      <c r="Z13" s="2308"/>
      <c r="AA13" s="2308"/>
      <c r="AB13" s="2308"/>
      <c r="AC13" s="2308"/>
      <c r="AD13" s="2308"/>
      <c r="AE13" s="2308"/>
      <c r="AF13" s="2308"/>
      <c r="AG13" s="2308"/>
      <c r="AH13" s="2308"/>
      <c r="AI13" s="2308"/>
      <c r="AJ13" s="2308"/>
      <c r="AK13" s="2308"/>
      <c r="AL13" s="2308"/>
      <c r="AM13" s="2308"/>
      <c r="AN13" s="2308"/>
      <c r="AO13" s="2308"/>
      <c r="AP13" s="2308"/>
      <c r="AQ13" s="2308"/>
      <c r="AR13" s="2308"/>
      <c r="AS13" s="2308"/>
      <c r="AT13" s="2308"/>
      <c r="AU13" s="2308"/>
      <c r="AV13" s="2308"/>
      <c r="AW13" s="2308"/>
      <c r="AX13" s="2308"/>
      <c r="AY13" s="2308"/>
      <c r="AZ13" s="2308"/>
      <c r="BA13" s="2308"/>
      <c r="BB13" s="2308"/>
      <c r="BC13" s="2308"/>
      <c r="BD13" s="2308"/>
      <c r="BE13" s="2308"/>
      <c r="BF13" s="2308"/>
      <c r="BG13" s="2308"/>
      <c r="BH13" s="2308"/>
      <c r="BI13" s="2308"/>
      <c r="BJ13" s="2308"/>
      <c r="BK13" s="2308"/>
      <c r="BL13" s="2308"/>
      <c r="BM13" s="2308"/>
      <c r="BN13" s="2308"/>
      <c r="BO13" s="2308"/>
      <c r="BP13" s="2308"/>
      <c r="BQ13" s="2308"/>
      <c r="BR13" s="2308"/>
      <c r="BS13" s="2308"/>
      <c r="BT13" s="2308"/>
      <c r="BU13" s="2308"/>
      <c r="BV13" s="2308"/>
      <c r="BW13" s="2308"/>
      <c r="BX13" s="2308"/>
      <c r="BY13" s="2308"/>
      <c r="BZ13" s="2308"/>
      <c r="CA13" s="2308"/>
      <c r="CB13" s="2308"/>
      <c r="CC13" s="2308"/>
    </row>
    <row r="14" spans="1:81" s="252" customFormat="1" ht="16.5" x14ac:dyDescent="0.3">
      <c r="A14" s="1341">
        <v>44107</v>
      </c>
      <c r="B14" s="2471"/>
      <c r="C14" s="2472"/>
      <c r="D14" s="2472"/>
      <c r="E14" s="2473">
        <f t="shared" si="0"/>
        <v>0</v>
      </c>
      <c r="F14" s="2474"/>
      <c r="G14" s="2475"/>
      <c r="H14" s="2476"/>
      <c r="I14" s="2476"/>
      <c r="J14" s="713">
        <f t="shared" ref="J14:J44" si="3">+H14-I14</f>
        <v>0</v>
      </c>
      <c r="K14" s="271"/>
      <c r="L14" s="2305"/>
      <c r="M14" s="2306"/>
      <c r="N14" s="2306"/>
      <c r="O14" s="270">
        <f t="shared" si="1"/>
        <v>0</v>
      </c>
      <c r="P14" s="270">
        <f t="shared" si="2"/>
        <v>0</v>
      </c>
      <c r="Q14" s="2308"/>
      <c r="R14" s="2308"/>
      <c r="S14" s="2308"/>
      <c r="T14" s="2308"/>
      <c r="U14" s="2308"/>
      <c r="V14" s="2308"/>
      <c r="W14" s="2308"/>
      <c r="X14" s="2308"/>
      <c r="Y14" s="2308"/>
      <c r="Z14" s="2308"/>
      <c r="AA14" s="2308"/>
      <c r="AB14" s="2308"/>
      <c r="AC14" s="2308"/>
      <c r="AD14" s="2308"/>
      <c r="AE14" s="2308"/>
      <c r="AF14" s="2308"/>
      <c r="AG14" s="2308"/>
      <c r="AH14" s="2308"/>
      <c r="AI14" s="2308"/>
      <c r="AJ14" s="2308"/>
      <c r="AK14" s="2308"/>
      <c r="AL14" s="2308"/>
      <c r="AM14" s="2308"/>
      <c r="AN14" s="2308"/>
      <c r="AO14" s="2308"/>
      <c r="AP14" s="2308"/>
      <c r="AQ14" s="2308"/>
      <c r="AR14" s="2308"/>
      <c r="AS14" s="2308"/>
      <c r="AT14" s="2308"/>
      <c r="AU14" s="2308"/>
      <c r="AV14" s="2308"/>
      <c r="AW14" s="2308"/>
      <c r="AX14" s="2308"/>
      <c r="AY14" s="2308"/>
      <c r="AZ14" s="2308"/>
      <c r="BA14" s="2308"/>
      <c r="BB14" s="2308"/>
      <c r="BC14" s="2308"/>
      <c r="BD14" s="2308"/>
      <c r="BE14" s="2308"/>
      <c r="BF14" s="2308"/>
      <c r="BG14" s="2308"/>
      <c r="BH14" s="2308"/>
      <c r="BI14" s="2308"/>
      <c r="BJ14" s="2308"/>
      <c r="BK14" s="2308"/>
      <c r="BL14" s="2308"/>
      <c r="BM14" s="2308"/>
      <c r="BN14" s="2308"/>
      <c r="BO14" s="2308"/>
      <c r="BP14" s="2308"/>
      <c r="BQ14" s="2308"/>
      <c r="BR14" s="2308"/>
      <c r="BS14" s="2308"/>
      <c r="BT14" s="2308"/>
      <c r="BU14" s="2308"/>
      <c r="BV14" s="2308"/>
      <c r="BW14" s="2308"/>
      <c r="BX14" s="2308"/>
      <c r="BY14" s="2308"/>
      <c r="BZ14" s="2308"/>
      <c r="CA14" s="2308"/>
      <c r="CB14" s="2308"/>
      <c r="CC14" s="2308"/>
    </row>
    <row r="15" spans="1:81" s="252" customFormat="1" ht="16.5" x14ac:dyDescent="0.3">
      <c r="A15" s="1341">
        <v>44108</v>
      </c>
      <c r="B15" s="2490"/>
      <c r="C15" s="2489"/>
      <c r="D15" s="2489"/>
      <c r="E15" s="2473">
        <f t="shared" si="0"/>
        <v>0</v>
      </c>
      <c r="F15" s="2474"/>
      <c r="G15" s="2484"/>
      <c r="H15" s="2652"/>
      <c r="I15" s="2652"/>
      <c r="J15" s="713">
        <f t="shared" si="3"/>
        <v>0</v>
      </c>
      <c r="K15" s="271"/>
      <c r="L15" s="2305"/>
      <c r="M15" s="2306"/>
      <c r="N15" s="2306"/>
      <c r="O15" s="270"/>
      <c r="P15" s="270">
        <f t="shared" si="2"/>
        <v>0</v>
      </c>
      <c r="Q15" s="2308"/>
      <c r="R15" s="2308"/>
      <c r="S15" s="2308"/>
      <c r="T15" s="2308"/>
      <c r="U15" s="2308"/>
      <c r="V15" s="2308"/>
      <c r="W15" s="2308"/>
      <c r="X15" s="2308"/>
      <c r="Y15" s="2308"/>
      <c r="Z15" s="2308"/>
      <c r="AA15" s="2308"/>
      <c r="AB15" s="2308"/>
      <c r="AC15" s="2308"/>
      <c r="AD15" s="2308"/>
      <c r="AE15" s="2308"/>
      <c r="AF15" s="2308"/>
      <c r="AG15" s="2308"/>
      <c r="AH15" s="2308"/>
      <c r="AI15" s="2308"/>
      <c r="AJ15" s="2308"/>
      <c r="AK15" s="2308"/>
      <c r="AL15" s="2308"/>
      <c r="AM15" s="2308"/>
      <c r="AN15" s="2308"/>
      <c r="AO15" s="2308"/>
      <c r="AP15" s="2308"/>
      <c r="AQ15" s="2308"/>
      <c r="AR15" s="2308"/>
      <c r="AS15" s="2308"/>
      <c r="AT15" s="2308"/>
      <c r="AU15" s="2308"/>
      <c r="AV15" s="2308"/>
      <c r="AW15" s="2308"/>
      <c r="AX15" s="2308"/>
      <c r="AY15" s="2308"/>
      <c r="AZ15" s="2308"/>
      <c r="BA15" s="2308"/>
      <c r="BB15" s="2308"/>
      <c r="BC15" s="2308"/>
      <c r="BD15" s="2308"/>
      <c r="BE15" s="2308"/>
      <c r="BF15" s="2308"/>
      <c r="BG15" s="2308"/>
      <c r="BH15" s="2308"/>
      <c r="BI15" s="2308"/>
      <c r="BJ15" s="2308"/>
      <c r="BK15" s="2308"/>
      <c r="BL15" s="2308"/>
      <c r="BM15" s="2308"/>
      <c r="BN15" s="2308"/>
      <c r="BO15" s="2308"/>
      <c r="BP15" s="2308"/>
      <c r="BQ15" s="2308"/>
      <c r="BR15" s="2308"/>
      <c r="BS15" s="2308"/>
      <c r="BT15" s="2308"/>
      <c r="BU15" s="2308"/>
      <c r="BV15" s="2308"/>
      <c r="BW15" s="2308"/>
      <c r="BX15" s="2308"/>
      <c r="BY15" s="2308"/>
      <c r="BZ15" s="2308"/>
      <c r="CA15" s="2308"/>
      <c r="CB15" s="2308"/>
      <c r="CC15" s="2308"/>
    </row>
    <row r="16" spans="1:81" s="252" customFormat="1" ht="16.5" x14ac:dyDescent="0.3">
      <c r="A16" s="1341">
        <v>44109</v>
      </c>
      <c r="B16" s="2471"/>
      <c r="C16" s="2477"/>
      <c r="D16" s="2477"/>
      <c r="E16" s="2473">
        <f t="shared" si="0"/>
        <v>0</v>
      </c>
      <c r="F16" s="2469"/>
      <c r="G16" s="2475"/>
      <c r="H16" s="2476"/>
      <c r="I16" s="2476"/>
      <c r="J16" s="713">
        <f t="shared" si="3"/>
        <v>0</v>
      </c>
      <c r="K16" s="2311"/>
      <c r="L16" s="2305"/>
      <c r="M16" s="2312"/>
      <c r="N16" s="2312"/>
      <c r="O16" s="713">
        <f t="shared" si="1"/>
        <v>0</v>
      </c>
      <c r="P16" s="270">
        <f t="shared" si="2"/>
        <v>0</v>
      </c>
      <c r="Q16" s="2308"/>
      <c r="R16" s="2308"/>
      <c r="S16" s="2308"/>
      <c r="T16" s="2308"/>
      <c r="U16" s="2308"/>
      <c r="V16" s="2308"/>
      <c r="W16" s="2308"/>
      <c r="X16" s="2308"/>
      <c r="Y16" s="2308"/>
      <c r="Z16" s="2308"/>
      <c r="AA16" s="2308"/>
      <c r="AB16" s="2308"/>
      <c r="AC16" s="2308"/>
      <c r="AD16" s="2308"/>
      <c r="AE16" s="2308"/>
      <c r="AF16" s="2308"/>
      <c r="AG16" s="2308"/>
      <c r="AH16" s="2308"/>
      <c r="AI16" s="2308"/>
      <c r="AJ16" s="2308"/>
      <c r="AK16" s="2308"/>
      <c r="AL16" s="2308"/>
      <c r="AM16" s="2308"/>
      <c r="AN16" s="2308"/>
      <c r="AO16" s="2308"/>
      <c r="AP16" s="2308"/>
      <c r="AQ16" s="2308"/>
      <c r="AR16" s="2308"/>
      <c r="AS16" s="2308"/>
      <c r="AT16" s="2308"/>
      <c r="AU16" s="2308"/>
      <c r="AV16" s="2308"/>
      <c r="AW16" s="2308"/>
      <c r="AX16" s="2308"/>
      <c r="AY16" s="2308"/>
      <c r="AZ16" s="2308"/>
      <c r="BA16" s="2308"/>
      <c r="BB16" s="2308"/>
      <c r="BC16" s="2308"/>
      <c r="BD16" s="2308"/>
      <c r="BE16" s="2308"/>
      <c r="BF16" s="2308"/>
      <c r="BG16" s="2308"/>
      <c r="BH16" s="2308"/>
      <c r="BI16" s="2308"/>
      <c r="BJ16" s="2308"/>
      <c r="BK16" s="2308"/>
      <c r="BL16" s="2308"/>
      <c r="BM16" s="2308"/>
      <c r="BN16" s="2308"/>
      <c r="BO16" s="2308"/>
      <c r="BP16" s="2308"/>
      <c r="BQ16" s="2308"/>
      <c r="BR16" s="2308"/>
      <c r="BS16" s="2308"/>
      <c r="BT16" s="2308"/>
      <c r="BU16" s="2308"/>
      <c r="BV16" s="2308"/>
      <c r="BW16" s="2308"/>
      <c r="BX16" s="2308"/>
      <c r="BY16" s="2308"/>
      <c r="BZ16" s="2308"/>
      <c r="CA16" s="2308"/>
      <c r="CB16" s="2308"/>
      <c r="CC16" s="2308"/>
    </row>
    <row r="17" spans="1:81" s="252" customFormat="1" ht="16.5" x14ac:dyDescent="0.3">
      <c r="A17" s="1341">
        <v>44110</v>
      </c>
      <c r="B17" s="2471"/>
      <c r="C17" s="2467"/>
      <c r="D17" s="2467"/>
      <c r="E17" s="2468">
        <f t="shared" si="0"/>
        <v>0</v>
      </c>
      <c r="F17" s="2469"/>
      <c r="G17" s="2475" t="s">
        <v>2117</v>
      </c>
      <c r="H17" s="2478">
        <v>20000</v>
      </c>
      <c r="I17" s="2478">
        <v>20000</v>
      </c>
      <c r="J17" s="713">
        <f t="shared" si="3"/>
        <v>0</v>
      </c>
      <c r="K17" s="273"/>
      <c r="L17" s="2315"/>
      <c r="M17" s="2316"/>
      <c r="N17" s="2316"/>
      <c r="O17" s="713">
        <f t="shared" si="1"/>
        <v>0</v>
      </c>
      <c r="P17" s="270">
        <f t="shared" si="2"/>
        <v>11500000</v>
      </c>
      <c r="Q17" s="2308"/>
      <c r="R17" s="2308"/>
      <c r="S17" s="2308"/>
      <c r="T17" s="2308"/>
      <c r="U17" s="2308"/>
      <c r="V17" s="2308"/>
      <c r="W17" s="2308"/>
      <c r="X17" s="2308"/>
      <c r="Y17" s="2308"/>
      <c r="Z17" s="2308"/>
      <c r="AA17" s="2308"/>
      <c r="AB17" s="2308"/>
      <c r="AC17" s="2308"/>
      <c r="AD17" s="2308"/>
      <c r="AE17" s="2308"/>
      <c r="AF17" s="2308"/>
      <c r="AG17" s="2308"/>
      <c r="AH17" s="2308"/>
      <c r="AI17" s="2308"/>
      <c r="AJ17" s="2308"/>
      <c r="AK17" s="2308"/>
      <c r="AL17" s="2308"/>
      <c r="AM17" s="2308"/>
      <c r="AN17" s="2308"/>
      <c r="AO17" s="2308"/>
      <c r="AP17" s="2308"/>
      <c r="AQ17" s="2308"/>
      <c r="AR17" s="2308"/>
      <c r="AS17" s="2308"/>
      <c r="AT17" s="2308"/>
      <c r="AU17" s="2308"/>
      <c r="AV17" s="2308"/>
      <c r="AW17" s="2308"/>
      <c r="AX17" s="2308"/>
      <c r="AY17" s="2308"/>
      <c r="AZ17" s="2308"/>
      <c r="BA17" s="2308"/>
      <c r="BB17" s="2308"/>
      <c r="BC17" s="2308"/>
      <c r="BD17" s="2308"/>
      <c r="BE17" s="2308"/>
      <c r="BF17" s="2308"/>
      <c r="BG17" s="2308"/>
      <c r="BH17" s="2308"/>
      <c r="BI17" s="2308"/>
      <c r="BJ17" s="2308"/>
      <c r="BK17" s="2308"/>
      <c r="BL17" s="2308"/>
      <c r="BM17" s="2308"/>
      <c r="BN17" s="2308"/>
      <c r="BO17" s="2308"/>
      <c r="BP17" s="2308"/>
      <c r="BQ17" s="2308"/>
      <c r="BR17" s="2308"/>
      <c r="BS17" s="2308"/>
      <c r="BT17" s="2308"/>
      <c r="BU17" s="2308"/>
      <c r="BV17" s="2308"/>
      <c r="BW17" s="2308"/>
      <c r="BX17" s="2308"/>
      <c r="BY17" s="2308"/>
      <c r="BZ17" s="2308"/>
      <c r="CA17" s="2308"/>
      <c r="CB17" s="2308"/>
      <c r="CC17" s="2308"/>
    </row>
    <row r="18" spans="1:81" s="252" customFormat="1" ht="16.5" x14ac:dyDescent="0.3">
      <c r="A18" s="1341">
        <v>44111</v>
      </c>
      <c r="B18" s="2466"/>
      <c r="C18" s="2467"/>
      <c r="D18" s="2467"/>
      <c r="E18" s="2468">
        <f t="shared" si="0"/>
        <v>0</v>
      </c>
      <c r="F18" s="2469"/>
      <c r="G18" s="2475"/>
      <c r="H18" s="2470"/>
      <c r="I18" s="2470"/>
      <c r="J18" s="713">
        <f t="shared" si="3"/>
        <v>0</v>
      </c>
      <c r="K18" s="273"/>
      <c r="L18" s="2318"/>
      <c r="M18" s="2316"/>
      <c r="N18" s="2316"/>
      <c r="O18" s="713">
        <f t="shared" si="1"/>
        <v>0</v>
      </c>
      <c r="P18" s="270">
        <f t="shared" si="2"/>
        <v>0</v>
      </c>
      <c r="Q18" s="2308"/>
      <c r="R18" s="2308"/>
      <c r="S18" s="2308"/>
      <c r="T18" s="2308"/>
      <c r="U18" s="2308"/>
      <c r="V18" s="2308"/>
      <c r="W18" s="2308"/>
      <c r="X18" s="2308"/>
      <c r="Y18" s="2308"/>
      <c r="Z18" s="2308"/>
      <c r="AA18" s="2308"/>
      <c r="AB18" s="2308"/>
      <c r="AC18" s="2308"/>
      <c r="AD18" s="2308"/>
      <c r="AE18" s="2308"/>
      <c r="AF18" s="2308"/>
      <c r="AG18" s="2308"/>
      <c r="AH18" s="2308"/>
      <c r="AI18" s="2308"/>
      <c r="AJ18" s="2308"/>
      <c r="AK18" s="2308"/>
      <c r="AL18" s="2308"/>
      <c r="AM18" s="2308"/>
      <c r="AN18" s="2308"/>
      <c r="AO18" s="2308"/>
      <c r="AP18" s="2308"/>
      <c r="AQ18" s="2308"/>
      <c r="AR18" s="2308"/>
      <c r="AS18" s="2308"/>
      <c r="AT18" s="2308"/>
      <c r="AU18" s="2308"/>
      <c r="AV18" s="2308"/>
      <c r="AW18" s="2308"/>
      <c r="AX18" s="2308"/>
      <c r="AY18" s="2308"/>
      <c r="AZ18" s="2308"/>
      <c r="BA18" s="2308"/>
      <c r="BB18" s="2308"/>
      <c r="BC18" s="2308"/>
      <c r="BD18" s="2308"/>
      <c r="BE18" s="2308"/>
      <c r="BF18" s="2308"/>
      <c r="BG18" s="2308"/>
      <c r="BH18" s="2308"/>
      <c r="BI18" s="2308"/>
      <c r="BJ18" s="2308"/>
      <c r="BK18" s="2308"/>
      <c r="BL18" s="2308"/>
      <c r="BM18" s="2308"/>
      <c r="BN18" s="2308"/>
      <c r="BO18" s="2308"/>
      <c r="BP18" s="2308"/>
      <c r="BQ18" s="2308"/>
      <c r="BR18" s="2308"/>
      <c r="BS18" s="2308"/>
      <c r="BT18" s="2308"/>
      <c r="BU18" s="2308"/>
      <c r="BV18" s="2308"/>
      <c r="BW18" s="2308"/>
      <c r="BX18" s="2308"/>
      <c r="BY18" s="2308"/>
      <c r="BZ18" s="2308"/>
      <c r="CA18" s="2308"/>
      <c r="CB18" s="2308"/>
      <c r="CC18" s="2308"/>
    </row>
    <row r="19" spans="1:81" s="252" customFormat="1" ht="19.5" x14ac:dyDescent="0.35">
      <c r="A19" s="1341">
        <v>44112</v>
      </c>
      <c r="B19" s="2641"/>
      <c r="C19" s="2642"/>
      <c r="D19" s="2642"/>
      <c r="E19" s="2313">
        <f t="shared" si="0"/>
        <v>0</v>
      </c>
      <c r="F19" s="2310"/>
      <c r="G19" s="2317" t="s">
        <v>2262</v>
      </c>
      <c r="H19" s="2319">
        <v>5000</v>
      </c>
      <c r="I19" s="2319">
        <v>5000</v>
      </c>
      <c r="J19" s="713">
        <f t="shared" si="3"/>
        <v>0</v>
      </c>
      <c r="K19" s="273"/>
      <c r="L19" s="2318"/>
      <c r="M19" s="2316"/>
      <c r="N19" s="2316"/>
      <c r="O19" s="713">
        <f t="shared" si="1"/>
        <v>0</v>
      </c>
      <c r="P19" s="270">
        <f t="shared" si="2"/>
        <v>2875000</v>
      </c>
      <c r="Q19" s="2308"/>
      <c r="R19" s="2308"/>
      <c r="S19" s="2308"/>
      <c r="T19" s="2308"/>
      <c r="U19" s="2308"/>
      <c r="V19" s="2308"/>
      <c r="W19" s="2308"/>
      <c r="X19" s="2308"/>
      <c r="Y19" s="2308"/>
      <c r="Z19" s="2308"/>
      <c r="AA19" s="2308"/>
      <c r="AB19" s="2308"/>
      <c r="AC19" s="2308"/>
      <c r="AD19" s="2308"/>
      <c r="AE19" s="2308"/>
      <c r="AF19" s="2308"/>
      <c r="AG19" s="2308"/>
      <c r="AH19" s="2308"/>
      <c r="AI19" s="2308"/>
      <c r="AJ19" s="2308"/>
      <c r="AK19" s="2308"/>
      <c r="AL19" s="2308"/>
      <c r="AM19" s="2308"/>
      <c r="AN19" s="2308"/>
      <c r="AO19" s="2308"/>
      <c r="AP19" s="2308"/>
      <c r="AQ19" s="2308"/>
      <c r="AR19" s="2308"/>
      <c r="AS19" s="2308"/>
      <c r="AT19" s="2308"/>
      <c r="AU19" s="2308"/>
      <c r="AV19" s="2308"/>
      <c r="AW19" s="2308"/>
      <c r="AX19" s="2308"/>
      <c r="AY19" s="2308"/>
      <c r="AZ19" s="2308"/>
      <c r="BA19" s="2308"/>
      <c r="BB19" s="2308"/>
      <c r="BC19" s="2308"/>
      <c r="BD19" s="2308"/>
      <c r="BE19" s="2308"/>
      <c r="BF19" s="2308"/>
      <c r="BG19" s="2308"/>
      <c r="BH19" s="2308"/>
      <c r="BI19" s="2308"/>
      <c r="BJ19" s="2308"/>
      <c r="BK19" s="2308"/>
      <c r="BL19" s="2308"/>
      <c r="BM19" s="2308"/>
      <c r="BN19" s="2308"/>
      <c r="BO19" s="2308"/>
      <c r="BP19" s="2308"/>
      <c r="BQ19" s="2308"/>
      <c r="BR19" s="2308"/>
      <c r="BS19" s="2308"/>
      <c r="BT19" s="2308"/>
      <c r="BU19" s="2308"/>
      <c r="BV19" s="2308"/>
      <c r="BW19" s="2308"/>
      <c r="BX19" s="2308"/>
      <c r="BY19" s="2308"/>
      <c r="BZ19" s="2308"/>
      <c r="CA19" s="2308"/>
      <c r="CB19" s="2308"/>
      <c r="CC19" s="2308"/>
    </row>
    <row r="20" spans="1:81" s="252" customFormat="1" ht="19.5" customHeight="1" x14ac:dyDescent="0.3">
      <c r="A20" s="1341">
        <v>44113</v>
      </c>
      <c r="B20" s="2302"/>
      <c r="C20" s="2593"/>
      <c r="D20" s="2593"/>
      <c r="E20" s="2313">
        <f t="shared" si="0"/>
        <v>0</v>
      </c>
      <c r="F20" s="2310"/>
      <c r="G20" s="2321"/>
      <c r="H20" s="2322"/>
      <c r="I20" s="2322"/>
      <c r="J20" s="713">
        <f t="shared" si="3"/>
        <v>0</v>
      </c>
      <c r="K20" s="273"/>
      <c r="L20" s="272"/>
      <c r="M20" s="301"/>
      <c r="N20" s="301"/>
      <c r="O20" s="713">
        <f t="shared" si="1"/>
        <v>0</v>
      </c>
      <c r="P20" s="270">
        <f t="shared" si="2"/>
        <v>0</v>
      </c>
      <c r="Q20" s="2308"/>
      <c r="R20" s="2308"/>
      <c r="S20" s="2308"/>
      <c r="T20" s="2308"/>
      <c r="U20" s="2308"/>
      <c r="V20" s="2308"/>
      <c r="W20" s="2308"/>
      <c r="X20" s="2308"/>
      <c r="Y20" s="2308"/>
      <c r="Z20" s="2308"/>
      <c r="AA20" s="2308"/>
      <c r="AB20" s="2308"/>
      <c r="AC20" s="2308"/>
      <c r="AD20" s="2308"/>
      <c r="AE20" s="2308"/>
      <c r="AF20" s="2308"/>
      <c r="AG20" s="2308"/>
      <c r="AH20" s="2308"/>
      <c r="AI20" s="2308"/>
      <c r="AJ20" s="2308"/>
      <c r="AK20" s="2308"/>
      <c r="AL20" s="2308"/>
      <c r="AM20" s="2308"/>
      <c r="AN20" s="2308"/>
      <c r="AO20" s="2308"/>
      <c r="AP20" s="2308"/>
      <c r="AQ20" s="2308"/>
      <c r="AR20" s="2308"/>
      <c r="AS20" s="2308"/>
      <c r="AT20" s="2308"/>
      <c r="AU20" s="2308"/>
      <c r="AV20" s="2308"/>
      <c r="AW20" s="2308"/>
      <c r="AX20" s="2308"/>
      <c r="AY20" s="2308"/>
      <c r="AZ20" s="2308"/>
      <c r="BA20" s="2308"/>
      <c r="BB20" s="2308"/>
      <c r="BC20" s="2308"/>
      <c r="BD20" s="2308"/>
      <c r="BE20" s="2308"/>
      <c r="BF20" s="2308"/>
      <c r="BG20" s="2308"/>
      <c r="BH20" s="2308"/>
      <c r="BI20" s="2308"/>
      <c r="BJ20" s="2308"/>
      <c r="BK20" s="2308"/>
      <c r="BL20" s="2308"/>
      <c r="BM20" s="2308"/>
      <c r="BN20" s="2308"/>
      <c r="BO20" s="2308"/>
      <c r="BP20" s="2308"/>
      <c r="BQ20" s="2308"/>
      <c r="BR20" s="2308"/>
      <c r="BS20" s="2308"/>
      <c r="BT20" s="2308"/>
      <c r="BU20" s="2308"/>
      <c r="BV20" s="2308"/>
      <c r="BW20" s="2308"/>
      <c r="BX20" s="2308"/>
      <c r="BY20" s="2308"/>
      <c r="BZ20" s="2308"/>
      <c r="CA20" s="2308"/>
      <c r="CB20" s="2308"/>
      <c r="CC20" s="2308"/>
    </row>
    <row r="21" spans="1:81" s="252" customFormat="1" ht="16.5" x14ac:dyDescent="0.3">
      <c r="A21" s="1341">
        <v>44114</v>
      </c>
      <c r="B21" s="2331"/>
      <c r="C21" s="2594"/>
      <c r="D21" s="2594"/>
      <c r="E21" s="2313">
        <f t="shared" ref="E21:E47" si="4">+C21-D21</f>
        <v>0</v>
      </c>
      <c r="F21" s="2323"/>
      <c r="G21" s="2321"/>
      <c r="H21" s="2314"/>
      <c r="I21" s="2314"/>
      <c r="J21" s="713">
        <f t="shared" si="3"/>
        <v>0</v>
      </c>
      <c r="K21" s="273"/>
      <c r="L21" s="2309"/>
      <c r="M21" s="301"/>
      <c r="N21" s="301"/>
      <c r="O21" s="713">
        <f t="shared" si="1"/>
        <v>0</v>
      </c>
      <c r="P21" s="270">
        <f t="shared" si="2"/>
        <v>0</v>
      </c>
      <c r="Q21" s="2324">
        <f>J21*600</f>
        <v>0</v>
      </c>
      <c r="R21" s="2308"/>
      <c r="S21" s="2308"/>
      <c r="T21" s="2308"/>
      <c r="U21" s="2308"/>
      <c r="V21" s="2308"/>
      <c r="W21" s="2308"/>
      <c r="X21" s="2308"/>
      <c r="Y21" s="2308"/>
      <c r="Z21" s="2308"/>
      <c r="AA21" s="2308"/>
      <c r="AB21" s="2308"/>
      <c r="AC21" s="2308"/>
      <c r="AD21" s="2308"/>
      <c r="AE21" s="2308"/>
      <c r="AF21" s="2308"/>
      <c r="AG21" s="2308"/>
      <c r="AH21" s="2308"/>
      <c r="AI21" s="2308"/>
      <c r="AJ21" s="2308"/>
      <c r="AK21" s="2308"/>
      <c r="AL21" s="2308"/>
      <c r="AM21" s="2308"/>
      <c r="AN21" s="2308"/>
      <c r="AO21" s="2308"/>
      <c r="AP21" s="2308"/>
      <c r="AQ21" s="2308"/>
      <c r="AR21" s="2308"/>
      <c r="AS21" s="2308"/>
      <c r="AT21" s="2308"/>
      <c r="AU21" s="2308"/>
      <c r="AV21" s="2308"/>
      <c r="AW21" s="2308"/>
      <c r="AX21" s="2308"/>
      <c r="AY21" s="2308"/>
      <c r="AZ21" s="2308"/>
      <c r="BA21" s="2308"/>
      <c r="BB21" s="2308"/>
      <c r="BC21" s="2308"/>
      <c r="BD21" s="2308"/>
      <c r="BE21" s="2308"/>
      <c r="BF21" s="2308"/>
      <c r="BG21" s="2308"/>
      <c r="BH21" s="2308"/>
      <c r="BI21" s="2308"/>
      <c r="BJ21" s="2308"/>
      <c r="BK21" s="2308"/>
      <c r="BL21" s="2308"/>
      <c r="BM21" s="2308"/>
      <c r="BN21" s="2308"/>
      <c r="BO21" s="2308"/>
      <c r="BP21" s="2308"/>
      <c r="BQ21" s="2308"/>
      <c r="BR21" s="2308"/>
      <c r="BS21" s="2308"/>
      <c r="BT21" s="2308"/>
      <c r="BU21" s="2308"/>
      <c r="BV21" s="2308"/>
      <c r="BW21" s="2308"/>
      <c r="BX21" s="2308"/>
      <c r="BY21" s="2308"/>
      <c r="BZ21" s="2308"/>
      <c r="CA21" s="2308"/>
      <c r="CB21" s="2308"/>
      <c r="CC21" s="2308"/>
    </row>
    <row r="22" spans="1:81" s="252" customFormat="1" ht="18.75" x14ac:dyDescent="0.3">
      <c r="A22" s="1341">
        <v>44115</v>
      </c>
      <c r="B22" s="2302"/>
      <c r="C22" s="2320"/>
      <c r="D22" s="2320"/>
      <c r="E22" s="2313">
        <f t="shared" si="4"/>
        <v>0</v>
      </c>
      <c r="F22" s="2323"/>
      <c r="G22" s="2321"/>
      <c r="H22" s="2532"/>
      <c r="I22" s="2532"/>
      <c r="J22" s="713">
        <f t="shared" si="3"/>
        <v>0</v>
      </c>
      <c r="K22" s="273"/>
      <c r="L22" s="272"/>
      <c r="M22" s="301"/>
      <c r="N22" s="301"/>
      <c r="O22" s="713">
        <f t="shared" si="1"/>
        <v>0</v>
      </c>
      <c r="P22" s="270">
        <f t="shared" si="2"/>
        <v>0</v>
      </c>
      <c r="Q22" s="2324">
        <f>J22*600</f>
        <v>0</v>
      </c>
      <c r="R22" s="2308"/>
      <c r="S22" s="2308"/>
      <c r="T22" s="2308"/>
      <c r="U22" s="2308"/>
      <c r="V22" s="2308"/>
      <c r="W22" s="2308"/>
      <c r="X22" s="2308"/>
      <c r="Y22" s="2308"/>
      <c r="Z22" s="2308"/>
      <c r="AA22" s="2308"/>
      <c r="AB22" s="2308"/>
      <c r="AC22" s="2308"/>
      <c r="AD22" s="2308"/>
      <c r="AE22" s="2308"/>
      <c r="AF22" s="2308"/>
      <c r="AG22" s="2308"/>
      <c r="AH22" s="2308"/>
      <c r="AI22" s="2308"/>
      <c r="AJ22" s="2308"/>
      <c r="AK22" s="2308"/>
      <c r="AL22" s="2308"/>
      <c r="AM22" s="2308"/>
      <c r="AN22" s="2308"/>
      <c r="AO22" s="2308"/>
      <c r="AP22" s="2308"/>
      <c r="AQ22" s="2308"/>
      <c r="AR22" s="2308"/>
      <c r="AS22" s="2308"/>
      <c r="AT22" s="2308"/>
      <c r="AU22" s="2308"/>
      <c r="AV22" s="2308"/>
      <c r="AW22" s="2308"/>
      <c r="AX22" s="2308"/>
      <c r="AY22" s="2308"/>
      <c r="AZ22" s="2308"/>
      <c r="BA22" s="2308"/>
      <c r="BB22" s="2308"/>
      <c r="BC22" s="2308"/>
      <c r="BD22" s="2308"/>
      <c r="BE22" s="2308"/>
      <c r="BF22" s="2308"/>
      <c r="BG22" s="2308"/>
      <c r="BH22" s="2308"/>
      <c r="BI22" s="2308"/>
      <c r="BJ22" s="2308"/>
      <c r="BK22" s="2308"/>
      <c r="BL22" s="2308"/>
      <c r="BM22" s="2308"/>
      <c r="BN22" s="2308"/>
      <c r="BO22" s="2308"/>
      <c r="BP22" s="2308"/>
      <c r="BQ22" s="2308"/>
      <c r="BR22" s="2308"/>
      <c r="BS22" s="2308"/>
      <c r="BT22" s="2308"/>
      <c r="BU22" s="2308"/>
      <c r="BV22" s="2308"/>
      <c r="BW22" s="2308"/>
      <c r="BX22" s="2308"/>
      <c r="BY22" s="2308"/>
      <c r="BZ22" s="2308"/>
      <c r="CA22" s="2308"/>
      <c r="CB22" s="2308"/>
      <c r="CC22" s="2308"/>
    </row>
    <row r="23" spans="1:81" s="252" customFormat="1" ht="16.5" x14ac:dyDescent="0.3">
      <c r="A23" s="1341">
        <v>44116</v>
      </c>
      <c r="B23" s="2302"/>
      <c r="C23" s="2320"/>
      <c r="D23" s="2320"/>
      <c r="E23" s="2313">
        <f t="shared" si="4"/>
        <v>0</v>
      </c>
      <c r="F23" s="2323"/>
      <c r="G23" s="2325"/>
      <c r="H23" s="2326"/>
      <c r="I23" s="2326"/>
      <c r="J23" s="713">
        <f t="shared" si="3"/>
        <v>0</v>
      </c>
      <c r="K23" s="273"/>
      <c r="L23" s="2327"/>
      <c r="M23" s="301"/>
      <c r="N23" s="301"/>
      <c r="O23" s="713">
        <f t="shared" si="1"/>
        <v>0</v>
      </c>
      <c r="P23" s="270">
        <f t="shared" si="2"/>
        <v>0</v>
      </c>
      <c r="Q23" s="2308"/>
      <c r="R23" s="2308"/>
      <c r="S23" s="2308"/>
      <c r="T23" s="2308"/>
      <c r="U23" s="2308"/>
      <c r="V23" s="2308"/>
      <c r="W23" s="2308"/>
      <c r="X23" s="2308"/>
      <c r="Y23" s="2308"/>
      <c r="Z23" s="2308"/>
      <c r="AA23" s="2308"/>
      <c r="AB23" s="2308"/>
      <c r="AC23" s="2308"/>
      <c r="AD23" s="2308"/>
      <c r="AE23" s="2308"/>
      <c r="AF23" s="2308"/>
      <c r="AG23" s="2308"/>
      <c r="AH23" s="2308"/>
      <c r="AI23" s="2308"/>
      <c r="AJ23" s="2308"/>
      <c r="AK23" s="2308"/>
      <c r="AL23" s="2308"/>
      <c r="AM23" s="2308"/>
      <c r="AN23" s="2308"/>
      <c r="AO23" s="2308"/>
      <c r="AP23" s="2308"/>
      <c r="AQ23" s="2308"/>
      <c r="AR23" s="2308"/>
      <c r="AS23" s="2308"/>
      <c r="AT23" s="2308"/>
      <c r="AU23" s="2308"/>
      <c r="AV23" s="2308"/>
      <c r="AW23" s="2308"/>
      <c r="AX23" s="2308"/>
      <c r="AY23" s="2308"/>
      <c r="AZ23" s="2308"/>
      <c r="BA23" s="2308"/>
      <c r="BB23" s="2308"/>
      <c r="BC23" s="2308"/>
      <c r="BD23" s="2308"/>
      <c r="BE23" s="2308"/>
      <c r="BF23" s="2308"/>
      <c r="BG23" s="2308"/>
      <c r="BH23" s="2308"/>
      <c r="BI23" s="2308"/>
      <c r="BJ23" s="2308"/>
      <c r="BK23" s="2308"/>
      <c r="BL23" s="2308"/>
      <c r="BM23" s="2308"/>
      <c r="BN23" s="2308"/>
      <c r="BO23" s="2308"/>
      <c r="BP23" s="2308"/>
      <c r="BQ23" s="2308"/>
      <c r="BR23" s="2308"/>
      <c r="BS23" s="2308"/>
      <c r="BT23" s="2308"/>
      <c r="BU23" s="2308"/>
      <c r="BV23" s="2308"/>
      <c r="BW23" s="2308"/>
      <c r="BX23" s="2308"/>
      <c r="BY23" s="2308"/>
      <c r="BZ23" s="2308"/>
      <c r="CA23" s="2308"/>
      <c r="CB23" s="2308"/>
      <c r="CC23" s="2308"/>
    </row>
    <row r="24" spans="1:81" s="252" customFormat="1" ht="21" x14ac:dyDescent="0.3">
      <c r="A24" s="1341">
        <v>44117</v>
      </c>
      <c r="B24" s="2302"/>
      <c r="C24" s="2328"/>
      <c r="D24" s="2328"/>
      <c r="E24" s="2313">
        <f t="shared" si="4"/>
        <v>0</v>
      </c>
      <c r="F24" s="2323"/>
      <c r="G24" s="2325"/>
      <c r="H24" s="2533"/>
      <c r="I24" s="2533"/>
      <c r="J24" s="713">
        <f t="shared" si="3"/>
        <v>0</v>
      </c>
      <c r="K24" s="273"/>
      <c r="L24" s="2329"/>
      <c r="M24" s="301"/>
      <c r="N24" s="301"/>
      <c r="O24" s="713">
        <f t="shared" si="1"/>
        <v>0</v>
      </c>
      <c r="P24" s="270">
        <f t="shared" si="2"/>
        <v>0</v>
      </c>
      <c r="Q24" s="2308"/>
      <c r="R24" s="2308"/>
      <c r="S24" s="2308"/>
      <c r="T24" s="2308"/>
      <c r="U24" s="2308"/>
      <c r="V24" s="2308"/>
      <c r="W24" s="2308"/>
      <c r="X24" s="2308"/>
      <c r="Y24" s="2308"/>
      <c r="Z24" s="2308"/>
      <c r="AA24" s="2308"/>
      <c r="AB24" s="2308"/>
      <c r="AC24" s="2308"/>
      <c r="AD24" s="2308"/>
      <c r="AE24" s="2308"/>
      <c r="AF24" s="2308"/>
      <c r="AG24" s="2308"/>
      <c r="AH24" s="2308"/>
      <c r="AI24" s="2308"/>
      <c r="AJ24" s="2308"/>
      <c r="AK24" s="2308"/>
      <c r="AL24" s="2308"/>
      <c r="AM24" s="2308"/>
      <c r="AN24" s="2308"/>
      <c r="AO24" s="2308"/>
      <c r="AP24" s="2308"/>
      <c r="AQ24" s="2308"/>
      <c r="AR24" s="2308"/>
      <c r="AS24" s="2308"/>
      <c r="AT24" s="2308"/>
      <c r="AU24" s="2308"/>
      <c r="AV24" s="2308"/>
      <c r="AW24" s="2308"/>
      <c r="AX24" s="2308"/>
      <c r="AY24" s="2308"/>
      <c r="AZ24" s="2308"/>
      <c r="BA24" s="2308"/>
      <c r="BB24" s="2308"/>
      <c r="BC24" s="2308"/>
      <c r="BD24" s="2308"/>
      <c r="BE24" s="2308"/>
      <c r="BF24" s="2308"/>
      <c r="BG24" s="2308"/>
      <c r="BH24" s="2308"/>
      <c r="BI24" s="2308"/>
      <c r="BJ24" s="2308"/>
      <c r="BK24" s="2308"/>
      <c r="BL24" s="2308"/>
      <c r="BM24" s="2308"/>
      <c r="BN24" s="2308"/>
      <c r="BO24" s="2308"/>
      <c r="BP24" s="2308"/>
      <c r="BQ24" s="2308"/>
      <c r="BR24" s="2308"/>
      <c r="BS24" s="2308"/>
      <c r="BT24" s="2308"/>
      <c r="BU24" s="2308"/>
      <c r="BV24" s="2308"/>
      <c r="BW24" s="2308"/>
      <c r="BX24" s="2308"/>
      <c r="BY24" s="2308"/>
      <c r="BZ24" s="2308"/>
      <c r="CA24" s="2308"/>
      <c r="CB24" s="2308"/>
      <c r="CC24" s="2308"/>
    </row>
    <row r="25" spans="1:81" s="252" customFormat="1" ht="21" x14ac:dyDescent="0.3">
      <c r="A25" s="1341">
        <v>44118</v>
      </c>
      <c r="B25" s="2302"/>
      <c r="C25" s="2328"/>
      <c r="D25" s="2328"/>
      <c r="E25" s="2313">
        <f t="shared" si="4"/>
        <v>0</v>
      </c>
      <c r="F25" s="2323"/>
      <c r="G25" s="2325"/>
      <c r="H25" s="2533"/>
      <c r="I25" s="2533"/>
      <c r="J25" s="713">
        <f t="shared" si="3"/>
        <v>0</v>
      </c>
      <c r="K25" s="273"/>
      <c r="L25" s="2330"/>
      <c r="M25" s="301"/>
      <c r="N25" s="301"/>
      <c r="O25" s="713">
        <f t="shared" si="1"/>
        <v>0</v>
      </c>
      <c r="P25" s="270">
        <f t="shared" si="2"/>
        <v>0</v>
      </c>
      <c r="Q25" s="2308"/>
      <c r="R25" s="2308"/>
      <c r="S25" s="2308"/>
      <c r="T25" s="2308"/>
      <c r="U25" s="2308"/>
      <c r="V25" s="2308"/>
      <c r="W25" s="2308"/>
      <c r="X25" s="2308"/>
      <c r="Y25" s="2308"/>
      <c r="Z25" s="2308"/>
      <c r="AA25" s="2308"/>
      <c r="AB25" s="2308"/>
      <c r="AC25" s="2308"/>
      <c r="AD25" s="2308"/>
      <c r="AE25" s="2308"/>
      <c r="AF25" s="2308"/>
      <c r="AG25" s="2308"/>
      <c r="AH25" s="2308"/>
      <c r="AI25" s="2308"/>
      <c r="AJ25" s="2308"/>
      <c r="AK25" s="2308"/>
      <c r="AL25" s="2308"/>
      <c r="AM25" s="2308"/>
      <c r="AN25" s="2308"/>
      <c r="AO25" s="2308"/>
      <c r="AP25" s="2308"/>
      <c r="AQ25" s="2308"/>
      <c r="AR25" s="2308"/>
      <c r="AS25" s="2308"/>
      <c r="AT25" s="2308"/>
      <c r="AU25" s="2308"/>
      <c r="AV25" s="2308"/>
      <c r="AW25" s="2308"/>
      <c r="AX25" s="2308"/>
      <c r="AY25" s="2308"/>
      <c r="AZ25" s="2308"/>
      <c r="BA25" s="2308"/>
      <c r="BB25" s="2308"/>
      <c r="BC25" s="2308"/>
      <c r="BD25" s="2308"/>
      <c r="BE25" s="2308"/>
      <c r="BF25" s="2308"/>
      <c r="BG25" s="2308"/>
      <c r="BH25" s="2308"/>
      <c r="BI25" s="2308"/>
      <c r="BJ25" s="2308"/>
      <c r="BK25" s="2308"/>
      <c r="BL25" s="2308"/>
      <c r="BM25" s="2308"/>
      <c r="BN25" s="2308"/>
      <c r="BO25" s="2308"/>
      <c r="BP25" s="2308"/>
      <c r="BQ25" s="2308"/>
      <c r="BR25" s="2308"/>
      <c r="BS25" s="2308"/>
      <c r="BT25" s="2308"/>
      <c r="BU25" s="2308"/>
      <c r="BV25" s="2308"/>
      <c r="BW25" s="2308"/>
      <c r="BX25" s="2308"/>
      <c r="BY25" s="2308"/>
      <c r="BZ25" s="2308"/>
      <c r="CA25" s="2308"/>
      <c r="CB25" s="2308"/>
      <c r="CC25" s="2308"/>
    </row>
    <row r="26" spans="1:81" s="252" customFormat="1" ht="16.5" x14ac:dyDescent="0.3">
      <c r="A26" s="1341">
        <v>44119</v>
      </c>
      <c r="B26" s="2331"/>
      <c r="C26" s="406"/>
      <c r="D26" s="406"/>
      <c r="E26" s="2313">
        <f t="shared" si="4"/>
        <v>0</v>
      </c>
      <c r="F26" s="2323"/>
      <c r="G26" s="2332"/>
      <c r="H26" s="2314"/>
      <c r="I26" s="2314"/>
      <c r="J26" s="713">
        <f t="shared" si="3"/>
        <v>0</v>
      </c>
      <c r="K26" s="273"/>
      <c r="L26" s="2329"/>
      <c r="M26" s="301"/>
      <c r="N26" s="301"/>
      <c r="O26" s="713">
        <f t="shared" si="1"/>
        <v>0</v>
      </c>
      <c r="P26" s="270">
        <f t="shared" si="2"/>
        <v>0</v>
      </c>
      <c r="Q26" s="2308"/>
      <c r="R26" s="2308"/>
      <c r="S26" s="2308"/>
      <c r="T26" s="2308"/>
      <c r="U26" s="2308"/>
      <c r="V26" s="2308"/>
      <c r="W26" s="2308"/>
      <c r="X26" s="2308"/>
      <c r="Y26" s="2308"/>
      <c r="Z26" s="2308"/>
      <c r="AA26" s="2308"/>
      <c r="AB26" s="2308"/>
      <c r="AC26" s="2308"/>
      <c r="AD26" s="2308"/>
      <c r="AE26" s="2308"/>
      <c r="AF26" s="2308"/>
      <c r="AG26" s="2308"/>
      <c r="AH26" s="2308"/>
      <c r="AI26" s="2308"/>
      <c r="AJ26" s="2308"/>
      <c r="AK26" s="2308"/>
      <c r="AL26" s="2308"/>
      <c r="AM26" s="2308"/>
      <c r="AN26" s="2308"/>
      <c r="AO26" s="2308"/>
      <c r="AP26" s="2308"/>
      <c r="AQ26" s="2308"/>
      <c r="AR26" s="2308"/>
      <c r="AS26" s="2308"/>
      <c r="AT26" s="2308"/>
      <c r="AU26" s="2308"/>
      <c r="AV26" s="2308"/>
      <c r="AW26" s="2308"/>
      <c r="AX26" s="2308"/>
      <c r="AY26" s="2308"/>
      <c r="AZ26" s="2308"/>
      <c r="BA26" s="2308"/>
      <c r="BB26" s="2308"/>
      <c r="BC26" s="2308"/>
      <c r="BD26" s="2308"/>
      <c r="BE26" s="2308"/>
      <c r="BF26" s="2308"/>
      <c r="BG26" s="2308"/>
      <c r="BH26" s="2308"/>
      <c r="BI26" s="2308"/>
      <c r="BJ26" s="2308"/>
      <c r="BK26" s="2308"/>
      <c r="BL26" s="2308"/>
      <c r="BM26" s="2308"/>
      <c r="BN26" s="2308"/>
      <c r="BO26" s="2308"/>
      <c r="BP26" s="2308"/>
      <c r="BQ26" s="2308"/>
      <c r="BR26" s="2308"/>
      <c r="BS26" s="2308"/>
      <c r="BT26" s="2308"/>
      <c r="BU26" s="2308"/>
      <c r="BV26" s="2308"/>
      <c r="BW26" s="2308"/>
      <c r="BX26" s="2308"/>
      <c r="BY26" s="2308"/>
      <c r="BZ26" s="2308"/>
      <c r="CA26" s="2308"/>
      <c r="CB26" s="2308"/>
      <c r="CC26" s="2308"/>
    </row>
    <row r="27" spans="1:81" s="252" customFormat="1" ht="18.75" x14ac:dyDescent="0.3">
      <c r="A27" s="1341">
        <v>44120</v>
      </c>
      <c r="B27" s="2306"/>
      <c r="C27" s="2646"/>
      <c r="D27" s="2646"/>
      <c r="E27" s="2313">
        <f t="shared" si="4"/>
        <v>0</v>
      </c>
      <c r="F27" s="2323"/>
      <c r="G27" s="2332"/>
      <c r="H27" s="2314"/>
      <c r="I27" s="2314"/>
      <c r="J27" s="713">
        <f t="shared" si="3"/>
        <v>0</v>
      </c>
      <c r="K27" s="273"/>
      <c r="L27" s="2333"/>
      <c r="M27" s="301"/>
      <c r="N27" s="301"/>
      <c r="O27" s="713">
        <f t="shared" si="1"/>
        <v>0</v>
      </c>
      <c r="P27" s="270">
        <f t="shared" si="2"/>
        <v>0</v>
      </c>
      <c r="Q27" s="2308"/>
      <c r="R27" s="2308"/>
      <c r="S27" s="2308"/>
      <c r="T27" s="2308"/>
      <c r="U27" s="2308"/>
      <c r="V27" s="2308"/>
      <c r="W27" s="2308"/>
      <c r="X27" s="2308"/>
      <c r="Y27" s="2308"/>
      <c r="Z27" s="2308"/>
      <c r="AA27" s="2308"/>
      <c r="AB27" s="2308"/>
      <c r="AC27" s="2308"/>
      <c r="AD27" s="2308"/>
      <c r="AE27" s="2308"/>
      <c r="AF27" s="2308"/>
      <c r="AG27" s="2308"/>
      <c r="AH27" s="2308"/>
      <c r="AI27" s="2308"/>
      <c r="AJ27" s="2308"/>
      <c r="AK27" s="2308"/>
      <c r="AL27" s="2308"/>
      <c r="AM27" s="2308"/>
      <c r="AN27" s="2308"/>
      <c r="AO27" s="2308"/>
      <c r="AP27" s="2308"/>
      <c r="AQ27" s="2308"/>
      <c r="AR27" s="2308"/>
      <c r="AS27" s="2308"/>
      <c r="AT27" s="2308"/>
      <c r="AU27" s="2308"/>
      <c r="AV27" s="2308"/>
      <c r="AW27" s="2308"/>
      <c r="AX27" s="2308"/>
      <c r="AY27" s="2308"/>
      <c r="AZ27" s="2308"/>
      <c r="BA27" s="2308"/>
      <c r="BB27" s="2308"/>
      <c r="BC27" s="2308"/>
      <c r="BD27" s="2308"/>
      <c r="BE27" s="2308"/>
      <c r="BF27" s="2308"/>
      <c r="BG27" s="2308"/>
      <c r="BH27" s="2308"/>
      <c r="BI27" s="2308"/>
      <c r="BJ27" s="2308"/>
      <c r="BK27" s="2308"/>
      <c r="BL27" s="2308"/>
      <c r="BM27" s="2308"/>
      <c r="BN27" s="2308"/>
      <c r="BO27" s="2308"/>
      <c r="BP27" s="2308"/>
      <c r="BQ27" s="2308"/>
      <c r="BR27" s="2308"/>
      <c r="BS27" s="2308"/>
      <c r="BT27" s="2308"/>
      <c r="BU27" s="2308"/>
      <c r="BV27" s="2308"/>
      <c r="BW27" s="2308"/>
      <c r="BX27" s="2308"/>
      <c r="BY27" s="2308"/>
      <c r="BZ27" s="2308"/>
      <c r="CA27" s="2308"/>
      <c r="CB27" s="2308"/>
      <c r="CC27" s="2308"/>
    </row>
    <row r="28" spans="1:81" s="252" customFormat="1" ht="20.25" x14ac:dyDescent="0.3">
      <c r="A28" s="1341">
        <v>44121</v>
      </c>
      <c r="B28" s="2306"/>
      <c r="C28" s="301"/>
      <c r="D28" s="301"/>
      <c r="E28" s="2313">
        <f t="shared" si="4"/>
        <v>0</v>
      </c>
      <c r="F28" s="2323"/>
      <c r="G28" s="2332"/>
      <c r="H28" s="2546"/>
      <c r="I28" s="2532"/>
      <c r="J28" s="713">
        <f t="shared" si="3"/>
        <v>0</v>
      </c>
      <c r="K28" s="273"/>
      <c r="L28" s="272"/>
      <c r="M28" s="301"/>
      <c r="N28" s="301"/>
      <c r="O28" s="713">
        <f t="shared" si="1"/>
        <v>0</v>
      </c>
      <c r="P28" s="270">
        <f t="shared" si="2"/>
        <v>0</v>
      </c>
      <c r="Q28" s="2308"/>
      <c r="R28" s="2308"/>
      <c r="S28" s="2308"/>
      <c r="T28" s="2308"/>
      <c r="U28" s="2308"/>
      <c r="V28" s="2308"/>
      <c r="W28" s="2308"/>
      <c r="X28" s="2308"/>
      <c r="Y28" s="2308"/>
      <c r="Z28" s="2308"/>
      <c r="AA28" s="2308"/>
      <c r="AB28" s="2308"/>
      <c r="AC28" s="2308"/>
      <c r="AD28" s="2308"/>
      <c r="AE28" s="2308"/>
      <c r="AF28" s="2308"/>
      <c r="AG28" s="2308"/>
      <c r="AH28" s="2308"/>
      <c r="AI28" s="2308"/>
      <c r="AJ28" s="2308"/>
      <c r="AK28" s="2308"/>
      <c r="AL28" s="2308"/>
      <c r="AM28" s="2308"/>
      <c r="AN28" s="2308"/>
      <c r="AO28" s="2308"/>
      <c r="AP28" s="2308"/>
      <c r="AQ28" s="2308"/>
      <c r="AR28" s="2308"/>
      <c r="AS28" s="2308"/>
      <c r="AT28" s="2308"/>
      <c r="AU28" s="2308"/>
      <c r="AV28" s="2308"/>
      <c r="AW28" s="2308"/>
      <c r="AX28" s="2308"/>
      <c r="AY28" s="2308"/>
      <c r="AZ28" s="2308"/>
      <c r="BA28" s="2308"/>
      <c r="BB28" s="2308"/>
      <c r="BC28" s="2308"/>
      <c r="BD28" s="2308"/>
      <c r="BE28" s="2308"/>
      <c r="BF28" s="2308"/>
      <c r="BG28" s="2308"/>
      <c r="BH28" s="2308"/>
      <c r="BI28" s="2308"/>
      <c r="BJ28" s="2308"/>
      <c r="BK28" s="2308"/>
      <c r="BL28" s="2308"/>
      <c r="BM28" s="2308"/>
      <c r="BN28" s="2308"/>
      <c r="BO28" s="2308"/>
      <c r="BP28" s="2308"/>
      <c r="BQ28" s="2308"/>
      <c r="BR28" s="2308"/>
      <c r="BS28" s="2308"/>
      <c r="BT28" s="2308"/>
      <c r="BU28" s="2308"/>
      <c r="BV28" s="2308"/>
      <c r="BW28" s="2308"/>
      <c r="BX28" s="2308"/>
      <c r="BY28" s="2308"/>
      <c r="BZ28" s="2308"/>
      <c r="CA28" s="2308"/>
      <c r="CB28" s="2308"/>
      <c r="CC28" s="2308"/>
    </row>
    <row r="29" spans="1:81" s="252" customFormat="1" ht="23.25" x14ac:dyDescent="0.3">
      <c r="A29" s="1341">
        <v>44122</v>
      </c>
      <c r="B29" s="2306"/>
      <c r="C29" s="301"/>
      <c r="D29" s="301"/>
      <c r="E29" s="2313">
        <f>+C29-D29</f>
        <v>0</v>
      </c>
      <c r="F29" s="2323"/>
      <c r="G29" s="2334"/>
      <c r="H29" s="2647"/>
      <c r="I29" s="2647"/>
      <c r="J29" s="713">
        <f t="shared" si="3"/>
        <v>0</v>
      </c>
      <c r="K29" s="273"/>
      <c r="L29" s="272"/>
      <c r="M29" s="272"/>
      <c r="N29" s="272"/>
      <c r="O29" s="713">
        <f t="shared" si="1"/>
        <v>0</v>
      </c>
      <c r="P29" s="270">
        <f t="shared" si="2"/>
        <v>0</v>
      </c>
      <c r="Q29" s="2308"/>
      <c r="R29" s="2308"/>
      <c r="S29" s="2308"/>
      <c r="T29" s="2308"/>
      <c r="U29" s="2308"/>
      <c r="V29" s="2308"/>
      <c r="W29" s="2308"/>
      <c r="X29" s="2308"/>
      <c r="Y29" s="2308"/>
      <c r="Z29" s="2308"/>
      <c r="AA29" s="2308"/>
      <c r="AB29" s="2308"/>
      <c r="AC29" s="2308"/>
      <c r="AD29" s="2308"/>
      <c r="AE29" s="2308"/>
      <c r="AF29" s="2308"/>
      <c r="AG29" s="2308"/>
      <c r="AH29" s="2308"/>
      <c r="AI29" s="2308"/>
      <c r="AJ29" s="2308"/>
      <c r="AK29" s="2308"/>
      <c r="AL29" s="2308"/>
      <c r="AM29" s="2308"/>
      <c r="AN29" s="2308"/>
      <c r="AO29" s="2308"/>
      <c r="AP29" s="2308"/>
      <c r="AQ29" s="2308"/>
      <c r="AR29" s="2308"/>
      <c r="AS29" s="2308"/>
      <c r="AT29" s="2308"/>
      <c r="AU29" s="2308"/>
      <c r="AV29" s="2308"/>
      <c r="AW29" s="2308"/>
      <c r="AX29" s="2308"/>
      <c r="AY29" s="2308"/>
      <c r="AZ29" s="2308"/>
      <c r="BA29" s="2308"/>
      <c r="BB29" s="2308"/>
      <c r="BC29" s="2308"/>
      <c r="BD29" s="2308"/>
      <c r="BE29" s="2308"/>
      <c r="BF29" s="2308"/>
      <c r="BG29" s="2308"/>
      <c r="BH29" s="2308"/>
      <c r="BI29" s="2308"/>
      <c r="BJ29" s="2308"/>
      <c r="BK29" s="2308"/>
      <c r="BL29" s="2308"/>
      <c r="BM29" s="2308"/>
      <c r="BN29" s="2308"/>
      <c r="BO29" s="2308"/>
      <c r="BP29" s="2308"/>
      <c r="BQ29" s="2308"/>
      <c r="BR29" s="2308"/>
      <c r="BS29" s="2308"/>
      <c r="BT29" s="2308"/>
      <c r="BU29" s="2308"/>
      <c r="BV29" s="2308"/>
      <c r="BW29" s="2308"/>
      <c r="BX29" s="2308"/>
      <c r="BY29" s="2308"/>
      <c r="BZ29" s="2308"/>
      <c r="CA29" s="2308"/>
      <c r="CB29" s="2308"/>
      <c r="CC29" s="2308"/>
    </row>
    <row r="30" spans="1:81" s="252" customFormat="1" ht="21" x14ac:dyDescent="0.3">
      <c r="A30" s="1341">
        <v>44123</v>
      </c>
      <c r="B30" s="2334"/>
      <c r="C30" s="301"/>
      <c r="D30" s="301"/>
      <c r="E30" s="713">
        <f t="shared" si="4"/>
        <v>0</v>
      </c>
      <c r="F30" s="2323"/>
      <c r="G30" s="2493"/>
      <c r="H30" s="2533"/>
      <c r="I30" s="2829"/>
      <c r="J30" s="713">
        <f t="shared" si="3"/>
        <v>0</v>
      </c>
      <c r="K30" s="273"/>
      <c r="L30" s="272"/>
      <c r="M30" s="301"/>
      <c r="N30" s="301"/>
      <c r="O30" s="713">
        <f t="shared" si="1"/>
        <v>0</v>
      </c>
      <c r="P30" s="270">
        <f t="shared" si="2"/>
        <v>0</v>
      </c>
      <c r="Q30" s="2308"/>
      <c r="R30" s="2308"/>
      <c r="S30" s="2308"/>
      <c r="T30" s="2308"/>
      <c r="U30" s="2308"/>
      <c r="V30" s="2308"/>
      <c r="W30" s="2308"/>
      <c r="X30" s="2308"/>
      <c r="Y30" s="2308"/>
      <c r="Z30" s="2308"/>
      <c r="AA30" s="2308"/>
      <c r="AB30" s="2308"/>
      <c r="AC30" s="2308"/>
      <c r="AD30" s="2308"/>
      <c r="AE30" s="2308"/>
      <c r="AF30" s="2308"/>
      <c r="AG30" s="2308"/>
      <c r="AH30" s="2308"/>
      <c r="AI30" s="2308"/>
      <c r="AJ30" s="2308"/>
      <c r="AK30" s="2308"/>
      <c r="AL30" s="2308"/>
      <c r="AM30" s="2308"/>
      <c r="AN30" s="2308"/>
      <c r="AO30" s="2308"/>
      <c r="AP30" s="2308"/>
      <c r="AQ30" s="2308"/>
      <c r="AR30" s="2308"/>
      <c r="AS30" s="2308"/>
      <c r="AT30" s="2308"/>
      <c r="AU30" s="2308"/>
      <c r="AV30" s="2308"/>
      <c r="AW30" s="2308"/>
      <c r="AX30" s="2308"/>
      <c r="AY30" s="2308"/>
      <c r="AZ30" s="2308"/>
      <c r="BA30" s="2308"/>
      <c r="BB30" s="2308"/>
      <c r="BC30" s="2308"/>
      <c r="BD30" s="2308"/>
      <c r="BE30" s="2308"/>
      <c r="BF30" s="2308"/>
      <c r="BG30" s="2308"/>
      <c r="BH30" s="2308"/>
      <c r="BI30" s="2308"/>
      <c r="BJ30" s="2308"/>
      <c r="BK30" s="2308"/>
      <c r="BL30" s="2308"/>
      <c r="BM30" s="2308"/>
      <c r="BN30" s="2308"/>
      <c r="BO30" s="2308"/>
      <c r="BP30" s="2308"/>
      <c r="BQ30" s="2308"/>
      <c r="BR30" s="2308"/>
      <c r="BS30" s="2308"/>
      <c r="BT30" s="2308"/>
      <c r="BU30" s="2308"/>
      <c r="BV30" s="2308"/>
      <c r="BW30" s="2308"/>
      <c r="BX30" s="2308"/>
      <c r="BY30" s="2308"/>
      <c r="BZ30" s="2308"/>
      <c r="CA30" s="2308"/>
      <c r="CB30" s="2308"/>
      <c r="CC30" s="2308"/>
    </row>
    <row r="31" spans="1:81" s="252" customFormat="1" ht="16.5" x14ac:dyDescent="0.3">
      <c r="A31" s="1341">
        <v>44124</v>
      </c>
      <c r="B31" s="2306"/>
      <c r="C31" s="301"/>
      <c r="D31" s="301"/>
      <c r="E31" s="713">
        <f t="shared" si="4"/>
        <v>0</v>
      </c>
      <c r="F31" s="2323"/>
      <c r="G31" s="2334"/>
      <c r="H31" s="2314"/>
      <c r="I31" s="2314"/>
      <c r="J31" s="713">
        <f t="shared" si="3"/>
        <v>0</v>
      </c>
      <c r="K31" s="273"/>
      <c r="L31" s="272"/>
      <c r="M31" s="2486"/>
      <c r="N31" s="2486"/>
      <c r="O31" s="713">
        <f t="shared" si="1"/>
        <v>0</v>
      </c>
      <c r="P31" s="270">
        <f>C31*B$10+H31*G$10+M31*L$10</f>
        <v>0</v>
      </c>
      <c r="Q31" s="2308"/>
      <c r="R31" s="2308"/>
      <c r="S31" s="2308"/>
      <c r="T31" s="2308"/>
      <c r="U31" s="2308"/>
      <c r="V31" s="2308"/>
      <c r="W31" s="2308"/>
      <c r="X31" s="2308"/>
      <c r="Y31" s="2308"/>
      <c r="Z31" s="2308"/>
      <c r="AA31" s="2308"/>
      <c r="AB31" s="2308"/>
      <c r="AC31" s="2308"/>
      <c r="AD31" s="2308"/>
      <c r="AE31" s="2308"/>
      <c r="AF31" s="2308"/>
      <c r="AG31" s="2308"/>
      <c r="AH31" s="2308"/>
      <c r="AI31" s="2308"/>
      <c r="AJ31" s="2308"/>
      <c r="AK31" s="2308"/>
      <c r="AL31" s="2308"/>
      <c r="AM31" s="2308"/>
      <c r="AN31" s="2308"/>
      <c r="AO31" s="2308"/>
      <c r="AP31" s="2308"/>
      <c r="AQ31" s="2308"/>
      <c r="AR31" s="2308"/>
      <c r="AS31" s="2308"/>
      <c r="AT31" s="2308"/>
      <c r="AU31" s="2308"/>
      <c r="AV31" s="2308"/>
      <c r="AW31" s="2308"/>
      <c r="AX31" s="2308"/>
      <c r="AY31" s="2308"/>
      <c r="AZ31" s="2308"/>
      <c r="BA31" s="2308"/>
      <c r="BB31" s="2308"/>
      <c r="BC31" s="2308"/>
      <c r="BD31" s="2308"/>
      <c r="BE31" s="2308"/>
      <c r="BF31" s="2308"/>
      <c r="BG31" s="2308"/>
      <c r="BH31" s="2308"/>
      <c r="BI31" s="2308"/>
      <c r="BJ31" s="2308"/>
      <c r="BK31" s="2308"/>
      <c r="BL31" s="2308"/>
      <c r="BM31" s="2308"/>
      <c r="BN31" s="2308"/>
      <c r="BO31" s="2308"/>
      <c r="BP31" s="2308"/>
      <c r="BQ31" s="2308"/>
      <c r="BR31" s="2308"/>
      <c r="BS31" s="2308"/>
      <c r="BT31" s="2308"/>
      <c r="BU31" s="2308"/>
      <c r="BV31" s="2308"/>
      <c r="BW31" s="2308"/>
      <c r="BX31" s="2308"/>
      <c r="BY31" s="2308"/>
      <c r="BZ31" s="2308"/>
      <c r="CA31" s="2308"/>
      <c r="CB31" s="2308"/>
      <c r="CC31" s="2308"/>
    </row>
    <row r="32" spans="1:81" s="252" customFormat="1" ht="16.5" customHeight="1" x14ac:dyDescent="0.3">
      <c r="A32" s="1341">
        <v>44125</v>
      </c>
      <c r="B32" s="2306"/>
      <c r="C32" s="301"/>
      <c r="D32" s="301"/>
      <c r="E32" s="713">
        <f t="shared" si="4"/>
        <v>0</v>
      </c>
      <c r="F32" s="274"/>
      <c r="G32" s="2334"/>
      <c r="H32" s="2314"/>
      <c r="I32" s="2314"/>
      <c r="J32" s="713">
        <f t="shared" si="3"/>
        <v>0</v>
      </c>
      <c r="K32" s="273"/>
      <c r="L32" s="272"/>
      <c r="M32" s="2486"/>
      <c r="N32" s="2486"/>
      <c r="O32" s="713">
        <f t="shared" si="1"/>
        <v>0</v>
      </c>
      <c r="P32" s="270">
        <f t="shared" ref="P32:P50" si="5">C32*B$10+H32*G$10+M32*L$10</f>
        <v>0</v>
      </c>
      <c r="Q32" s="2308"/>
      <c r="R32" s="2308"/>
      <c r="S32" s="2308"/>
      <c r="T32" s="2308"/>
      <c r="U32" s="2308"/>
      <c r="V32" s="2308"/>
      <c r="W32" s="2308"/>
      <c r="X32" s="2308"/>
      <c r="Y32" s="2308"/>
      <c r="Z32" s="2308"/>
      <c r="AA32" s="2308"/>
      <c r="AB32" s="2308"/>
      <c r="AC32" s="2308"/>
      <c r="AD32" s="2308"/>
      <c r="AE32" s="2308"/>
      <c r="AF32" s="2308"/>
      <c r="AG32" s="2308"/>
      <c r="AH32" s="2308"/>
      <c r="AI32" s="2308"/>
      <c r="AJ32" s="2308"/>
      <c r="AK32" s="2308"/>
      <c r="AL32" s="2308"/>
      <c r="AM32" s="2308"/>
      <c r="AN32" s="2308"/>
      <c r="AO32" s="2308"/>
      <c r="AP32" s="2308"/>
      <c r="AQ32" s="2308"/>
      <c r="AR32" s="2308"/>
      <c r="AS32" s="2308"/>
      <c r="AT32" s="2308"/>
      <c r="AU32" s="2308"/>
      <c r="AV32" s="2308"/>
      <c r="AW32" s="2308"/>
      <c r="AX32" s="2308"/>
      <c r="AY32" s="2308"/>
      <c r="AZ32" s="2308"/>
      <c r="BA32" s="2308"/>
      <c r="BB32" s="2308"/>
      <c r="BC32" s="2308"/>
      <c r="BD32" s="2308"/>
      <c r="BE32" s="2308"/>
      <c r="BF32" s="2308"/>
      <c r="BG32" s="2308"/>
      <c r="BH32" s="2308"/>
      <c r="BI32" s="2308"/>
      <c r="BJ32" s="2308"/>
      <c r="BK32" s="2308"/>
      <c r="BL32" s="2308"/>
      <c r="BM32" s="2308"/>
      <c r="BN32" s="2308"/>
      <c r="BO32" s="2308"/>
      <c r="BP32" s="2308"/>
      <c r="BQ32" s="2308"/>
      <c r="BR32" s="2308"/>
      <c r="BS32" s="2308"/>
      <c r="BT32" s="2308"/>
      <c r="BU32" s="2308"/>
      <c r="BV32" s="2308"/>
      <c r="BW32" s="2308"/>
      <c r="BX32" s="2308"/>
      <c r="BY32" s="2308"/>
      <c r="BZ32" s="2308"/>
      <c r="CA32" s="2308"/>
      <c r="CB32" s="2308"/>
      <c r="CC32" s="2308"/>
    </row>
    <row r="33" spans="1:81" s="252" customFormat="1" ht="16.5" x14ac:dyDescent="0.3">
      <c r="A33" s="1341">
        <v>44126</v>
      </c>
      <c r="B33" s="2306"/>
      <c r="C33" s="301"/>
      <c r="D33" s="301"/>
      <c r="E33" s="713">
        <f t="shared" si="4"/>
        <v>0</v>
      </c>
      <c r="F33" s="274"/>
      <c r="G33" s="2334"/>
      <c r="H33" s="2238"/>
      <c r="I33" s="2238"/>
      <c r="J33" s="713">
        <f t="shared" si="3"/>
        <v>0</v>
      </c>
      <c r="K33" s="273"/>
      <c r="L33" s="272"/>
      <c r="M33" s="301"/>
      <c r="N33" s="301"/>
      <c r="O33" s="713">
        <f t="shared" si="1"/>
        <v>0</v>
      </c>
      <c r="P33" s="270">
        <f t="shared" si="5"/>
        <v>0</v>
      </c>
      <c r="Q33" s="2308"/>
      <c r="R33" s="2308"/>
      <c r="S33" s="2308"/>
      <c r="T33" s="2308"/>
      <c r="U33" s="2308"/>
      <c r="V33" s="2308"/>
      <c r="W33" s="2308"/>
      <c r="X33" s="2308"/>
      <c r="Y33" s="2308"/>
      <c r="Z33" s="2308"/>
      <c r="AA33" s="2308"/>
      <c r="AB33" s="2308"/>
      <c r="AC33" s="2308"/>
      <c r="AD33" s="2308"/>
      <c r="AE33" s="2308"/>
      <c r="AF33" s="2308"/>
      <c r="AG33" s="2308"/>
      <c r="AH33" s="2308"/>
      <c r="AI33" s="2308"/>
      <c r="AJ33" s="2308"/>
      <c r="AK33" s="2308"/>
      <c r="AL33" s="2308"/>
      <c r="AM33" s="2308"/>
      <c r="AN33" s="2308"/>
      <c r="AO33" s="2308"/>
      <c r="AP33" s="2308"/>
      <c r="AQ33" s="2308"/>
      <c r="AR33" s="2308"/>
      <c r="AS33" s="2308"/>
      <c r="AT33" s="2308"/>
      <c r="AU33" s="2308"/>
      <c r="AV33" s="2308"/>
      <c r="AW33" s="2308"/>
      <c r="AX33" s="2308"/>
      <c r="AY33" s="2308"/>
      <c r="AZ33" s="2308"/>
      <c r="BA33" s="2308"/>
      <c r="BB33" s="2308"/>
      <c r="BC33" s="2308"/>
      <c r="BD33" s="2308"/>
      <c r="BE33" s="2308"/>
      <c r="BF33" s="2308"/>
      <c r="BG33" s="2308"/>
      <c r="BH33" s="2308"/>
      <c r="BI33" s="2308"/>
      <c r="BJ33" s="2308"/>
      <c r="BK33" s="2308"/>
      <c r="BL33" s="2308"/>
      <c r="BM33" s="2308"/>
      <c r="BN33" s="2308"/>
      <c r="BO33" s="2308"/>
      <c r="BP33" s="2308"/>
      <c r="BQ33" s="2308"/>
      <c r="BR33" s="2308"/>
      <c r="BS33" s="2308"/>
      <c r="BT33" s="2308"/>
      <c r="BU33" s="2308"/>
      <c r="BV33" s="2308"/>
      <c r="BW33" s="2308"/>
      <c r="BX33" s="2308"/>
      <c r="BY33" s="2308"/>
      <c r="BZ33" s="2308"/>
      <c r="CA33" s="2308"/>
      <c r="CB33" s="2308"/>
      <c r="CC33" s="2308"/>
    </row>
    <row r="34" spans="1:81" s="252" customFormat="1" ht="16.5" x14ac:dyDescent="0.3">
      <c r="A34" s="1341">
        <v>44127</v>
      </c>
      <c r="B34" s="2306"/>
      <c r="C34" s="301"/>
      <c r="D34" s="301"/>
      <c r="E34" s="713">
        <f t="shared" si="4"/>
        <v>0</v>
      </c>
      <c r="F34" s="274"/>
      <c r="G34" s="2317"/>
      <c r="H34" s="2238"/>
      <c r="I34" s="2238"/>
      <c r="J34" s="713">
        <f t="shared" si="3"/>
        <v>0</v>
      </c>
      <c r="K34" s="273"/>
      <c r="L34" s="2317"/>
      <c r="M34" s="301"/>
      <c r="N34" s="301"/>
      <c r="O34" s="713">
        <f t="shared" si="1"/>
        <v>0</v>
      </c>
      <c r="P34" s="270">
        <f t="shared" si="5"/>
        <v>0</v>
      </c>
      <c r="Q34" s="2308"/>
      <c r="R34" s="2308"/>
      <c r="S34" s="2308"/>
      <c r="T34" s="2308"/>
      <c r="U34" s="2308"/>
      <c r="V34" s="2308"/>
      <c r="W34" s="2308"/>
      <c r="X34" s="2308"/>
      <c r="Y34" s="2308"/>
      <c r="Z34" s="2308"/>
      <c r="AA34" s="2308"/>
      <c r="AB34" s="2308"/>
      <c r="AC34" s="2308"/>
      <c r="AD34" s="2308"/>
      <c r="AE34" s="2308"/>
      <c r="AF34" s="2308"/>
      <c r="AG34" s="2308"/>
      <c r="AH34" s="2308"/>
      <c r="AI34" s="2308"/>
      <c r="AJ34" s="2308"/>
      <c r="AK34" s="2308"/>
      <c r="AL34" s="2308"/>
      <c r="AM34" s="2308"/>
      <c r="AN34" s="2308"/>
      <c r="AO34" s="2308"/>
      <c r="AP34" s="2308"/>
      <c r="AQ34" s="2308"/>
      <c r="AR34" s="2308"/>
      <c r="AS34" s="2308"/>
      <c r="AT34" s="2308"/>
      <c r="AU34" s="2308"/>
      <c r="AV34" s="2308"/>
      <c r="AW34" s="2308"/>
      <c r="AX34" s="2308"/>
      <c r="AY34" s="2308"/>
      <c r="AZ34" s="2308"/>
      <c r="BA34" s="2308"/>
      <c r="BB34" s="2308"/>
      <c r="BC34" s="2308"/>
      <c r="BD34" s="2308"/>
      <c r="BE34" s="2308"/>
      <c r="BF34" s="2308"/>
      <c r="BG34" s="2308"/>
      <c r="BH34" s="2308"/>
      <c r="BI34" s="2308"/>
      <c r="BJ34" s="2308"/>
      <c r="BK34" s="2308"/>
      <c r="BL34" s="2308"/>
      <c r="BM34" s="2308"/>
      <c r="BN34" s="2308"/>
      <c r="BO34" s="2308"/>
      <c r="BP34" s="2308"/>
      <c r="BQ34" s="2308"/>
      <c r="BR34" s="2308"/>
      <c r="BS34" s="2308"/>
      <c r="BT34" s="2308"/>
      <c r="BU34" s="2308"/>
      <c r="BV34" s="2308"/>
      <c r="BW34" s="2308"/>
      <c r="BX34" s="2308"/>
      <c r="BY34" s="2308"/>
      <c r="BZ34" s="2308"/>
      <c r="CA34" s="2308"/>
      <c r="CB34" s="2308"/>
      <c r="CC34" s="2308"/>
    </row>
    <row r="35" spans="1:81" s="252" customFormat="1" ht="16.5" x14ac:dyDescent="0.3">
      <c r="A35" s="1341">
        <v>44128</v>
      </c>
      <c r="B35" s="2306"/>
      <c r="C35" s="301"/>
      <c r="D35" s="301"/>
      <c r="E35" s="713">
        <f t="shared" si="4"/>
        <v>0</v>
      </c>
      <c r="F35" s="274"/>
      <c r="G35" s="2317"/>
      <c r="H35" s="2238"/>
      <c r="I35" s="2238"/>
      <c r="J35" s="713">
        <f t="shared" si="3"/>
        <v>0</v>
      </c>
      <c r="K35" s="273"/>
      <c r="L35" s="2317"/>
      <c r="M35" s="301"/>
      <c r="N35" s="301"/>
      <c r="O35" s="713">
        <f t="shared" si="1"/>
        <v>0</v>
      </c>
      <c r="P35" s="270">
        <f t="shared" si="5"/>
        <v>0</v>
      </c>
      <c r="Q35" s="2308"/>
      <c r="R35" s="2308"/>
      <c r="S35" s="2308"/>
      <c r="T35" s="2308"/>
      <c r="U35" s="2308"/>
      <c r="V35" s="2308"/>
      <c r="W35" s="2308"/>
      <c r="X35" s="2308"/>
      <c r="Y35" s="2308"/>
      <c r="Z35" s="2308"/>
      <c r="AA35" s="2308"/>
      <c r="AB35" s="2308"/>
      <c r="AC35" s="2308"/>
      <c r="AD35" s="2308"/>
      <c r="AE35" s="2308"/>
      <c r="AF35" s="2308"/>
      <c r="AG35" s="2308"/>
      <c r="AH35" s="2308"/>
      <c r="AI35" s="2308"/>
      <c r="AJ35" s="2308"/>
      <c r="AK35" s="2308"/>
      <c r="AL35" s="2308"/>
      <c r="AM35" s="2308"/>
      <c r="AN35" s="2308"/>
      <c r="AO35" s="2308"/>
      <c r="AP35" s="2308"/>
      <c r="AQ35" s="2308"/>
      <c r="AR35" s="2308"/>
      <c r="AS35" s="2308"/>
      <c r="AT35" s="2308"/>
      <c r="AU35" s="2308"/>
      <c r="AV35" s="2308"/>
      <c r="AW35" s="2308"/>
      <c r="AX35" s="2308"/>
      <c r="AY35" s="2308"/>
      <c r="AZ35" s="2308"/>
      <c r="BA35" s="2308"/>
      <c r="BB35" s="2308"/>
      <c r="BC35" s="2308"/>
      <c r="BD35" s="2308"/>
      <c r="BE35" s="2308"/>
      <c r="BF35" s="2308"/>
      <c r="BG35" s="2308"/>
      <c r="BH35" s="2308"/>
      <c r="BI35" s="2308"/>
      <c r="BJ35" s="2308"/>
      <c r="BK35" s="2308"/>
      <c r="BL35" s="2308"/>
      <c r="BM35" s="2308"/>
      <c r="BN35" s="2308"/>
      <c r="BO35" s="2308"/>
      <c r="BP35" s="2308"/>
      <c r="BQ35" s="2308"/>
      <c r="BR35" s="2308"/>
      <c r="BS35" s="2308"/>
      <c r="BT35" s="2308"/>
      <c r="BU35" s="2308"/>
      <c r="BV35" s="2308"/>
      <c r="BW35" s="2308"/>
      <c r="BX35" s="2308"/>
      <c r="BY35" s="2308"/>
      <c r="BZ35" s="2308"/>
      <c r="CA35" s="2308"/>
      <c r="CB35" s="2308"/>
      <c r="CC35" s="2308"/>
    </row>
    <row r="36" spans="1:81" s="252" customFormat="1" ht="16.5" x14ac:dyDescent="0.3">
      <c r="A36" s="1341">
        <v>44129</v>
      </c>
      <c r="B36" s="2306"/>
      <c r="C36" s="301"/>
      <c r="D36" s="301"/>
      <c r="E36" s="713">
        <f t="shared" si="4"/>
        <v>0</v>
      </c>
      <c r="F36" s="274"/>
      <c r="G36" s="2317"/>
      <c r="H36" s="2238"/>
      <c r="I36" s="2238"/>
      <c r="J36" s="713">
        <f t="shared" si="3"/>
        <v>0</v>
      </c>
      <c r="K36" s="273"/>
      <c r="L36" s="272"/>
      <c r="M36" s="301"/>
      <c r="N36" s="2335"/>
      <c r="O36" s="713">
        <f t="shared" si="1"/>
        <v>0</v>
      </c>
      <c r="P36" s="270">
        <f t="shared" si="5"/>
        <v>0</v>
      </c>
      <c r="Q36" s="2308"/>
      <c r="R36" s="2308"/>
      <c r="S36" s="2308"/>
      <c r="T36" s="2308"/>
      <c r="U36" s="2308"/>
      <c r="V36" s="2308"/>
      <c r="W36" s="2308"/>
      <c r="X36" s="2308"/>
      <c r="Y36" s="2308"/>
      <c r="Z36" s="2308"/>
      <c r="AA36" s="2308"/>
      <c r="AB36" s="2308"/>
      <c r="AC36" s="2308"/>
      <c r="AD36" s="2308"/>
      <c r="AE36" s="2308"/>
      <c r="AF36" s="2308"/>
      <c r="AG36" s="2308"/>
      <c r="AH36" s="2308"/>
      <c r="AI36" s="2308"/>
      <c r="AJ36" s="2308"/>
      <c r="AK36" s="2308"/>
      <c r="AL36" s="2308"/>
      <c r="AM36" s="2308"/>
      <c r="AN36" s="2308"/>
      <c r="AO36" s="2308"/>
      <c r="AP36" s="2308"/>
      <c r="AQ36" s="2308"/>
      <c r="AR36" s="2308"/>
      <c r="AS36" s="2308"/>
      <c r="AT36" s="2308"/>
      <c r="AU36" s="2308"/>
      <c r="AV36" s="2308"/>
      <c r="AW36" s="2308"/>
      <c r="AX36" s="2308"/>
      <c r="AY36" s="2308"/>
      <c r="AZ36" s="2308"/>
      <c r="BA36" s="2308"/>
      <c r="BB36" s="2308"/>
      <c r="BC36" s="2308"/>
      <c r="BD36" s="2308"/>
      <c r="BE36" s="2308"/>
      <c r="BF36" s="2308"/>
      <c r="BG36" s="2308"/>
      <c r="BH36" s="2308"/>
      <c r="BI36" s="2308"/>
      <c r="BJ36" s="2308"/>
      <c r="BK36" s="2308"/>
      <c r="BL36" s="2308"/>
      <c r="BM36" s="2308"/>
      <c r="BN36" s="2308"/>
      <c r="BO36" s="2308"/>
      <c r="BP36" s="2308"/>
      <c r="BQ36" s="2308"/>
      <c r="BR36" s="2308"/>
      <c r="BS36" s="2308"/>
      <c r="BT36" s="2308"/>
      <c r="BU36" s="2308"/>
      <c r="BV36" s="2308"/>
      <c r="BW36" s="2308"/>
      <c r="BX36" s="2308"/>
      <c r="BY36" s="2308"/>
      <c r="BZ36" s="2308"/>
      <c r="CA36" s="2308"/>
      <c r="CB36" s="2308"/>
      <c r="CC36" s="2308"/>
    </row>
    <row r="37" spans="1:81" s="252" customFormat="1" ht="16.5" x14ac:dyDescent="0.3">
      <c r="A37" s="1341">
        <v>44130</v>
      </c>
      <c r="B37" s="2306"/>
      <c r="C37" s="301"/>
      <c r="D37" s="301"/>
      <c r="E37" s="713">
        <f t="shared" si="4"/>
        <v>0</v>
      </c>
      <c r="F37" s="274"/>
      <c r="G37" s="2317"/>
      <c r="H37" s="2238"/>
      <c r="I37" s="2238"/>
      <c r="J37" s="713">
        <f t="shared" si="3"/>
        <v>0</v>
      </c>
      <c r="K37" s="273"/>
      <c r="L37" s="272"/>
      <c r="M37" s="301"/>
      <c r="N37" s="2336"/>
      <c r="O37" s="713">
        <f t="shared" si="1"/>
        <v>0</v>
      </c>
      <c r="P37" s="270">
        <f t="shared" si="5"/>
        <v>0</v>
      </c>
      <c r="Q37" s="2308"/>
      <c r="R37" s="2308"/>
      <c r="S37" s="2308"/>
      <c r="T37" s="2308"/>
      <c r="U37" s="2308"/>
      <c r="V37" s="2308"/>
      <c r="W37" s="2308"/>
      <c r="X37" s="2308"/>
      <c r="Y37" s="2308"/>
      <c r="Z37" s="2308"/>
      <c r="AA37" s="2308"/>
      <c r="AB37" s="2308"/>
      <c r="AC37" s="2308"/>
      <c r="AD37" s="2308"/>
      <c r="AE37" s="2308"/>
      <c r="AF37" s="2308"/>
      <c r="AG37" s="2308"/>
      <c r="AH37" s="2308"/>
      <c r="AI37" s="2308"/>
      <c r="AJ37" s="2308"/>
      <c r="AK37" s="2308"/>
      <c r="AL37" s="2308"/>
      <c r="AM37" s="2308"/>
      <c r="AN37" s="2308"/>
      <c r="AO37" s="2308"/>
      <c r="AP37" s="2308"/>
      <c r="AQ37" s="2308"/>
      <c r="AR37" s="2308"/>
      <c r="AS37" s="2308"/>
      <c r="AT37" s="2308"/>
      <c r="AU37" s="2308"/>
      <c r="AV37" s="2308"/>
      <c r="AW37" s="2308"/>
      <c r="AX37" s="2308"/>
      <c r="AY37" s="2308"/>
      <c r="AZ37" s="2308"/>
      <c r="BA37" s="2308"/>
      <c r="BB37" s="2308"/>
      <c r="BC37" s="2308"/>
      <c r="BD37" s="2308"/>
      <c r="BE37" s="2308"/>
      <c r="BF37" s="2308"/>
      <c r="BG37" s="2308"/>
      <c r="BH37" s="2308"/>
      <c r="BI37" s="2308"/>
      <c r="BJ37" s="2308"/>
      <c r="BK37" s="2308"/>
      <c r="BL37" s="2308"/>
      <c r="BM37" s="2308"/>
      <c r="BN37" s="2308"/>
      <c r="BO37" s="2308"/>
      <c r="BP37" s="2308"/>
      <c r="BQ37" s="2308"/>
      <c r="BR37" s="2308"/>
      <c r="BS37" s="2308"/>
      <c r="BT37" s="2308"/>
      <c r="BU37" s="2308"/>
      <c r="BV37" s="2308"/>
      <c r="BW37" s="2308"/>
      <c r="BX37" s="2308"/>
      <c r="BY37" s="2308"/>
      <c r="BZ37" s="2308"/>
      <c r="CA37" s="2308"/>
      <c r="CB37" s="2308"/>
      <c r="CC37" s="2308"/>
    </row>
    <row r="38" spans="1:81" s="252" customFormat="1" ht="16.5" x14ac:dyDescent="0.3">
      <c r="A38" s="1341">
        <v>44131</v>
      </c>
      <c r="B38" s="2306"/>
      <c r="C38" s="301"/>
      <c r="D38" s="301"/>
      <c r="E38" s="713">
        <f t="shared" si="4"/>
        <v>0</v>
      </c>
      <c r="F38" s="274"/>
      <c r="G38" s="406"/>
      <c r="H38" s="2238"/>
      <c r="I38" s="2238"/>
      <c r="J38" s="713">
        <f t="shared" si="3"/>
        <v>0</v>
      </c>
      <c r="K38" s="273"/>
      <c r="L38" s="272"/>
      <c r="M38" s="301"/>
      <c r="N38" s="301"/>
      <c r="O38" s="713">
        <f t="shared" si="1"/>
        <v>0</v>
      </c>
      <c r="P38" s="270">
        <f t="shared" si="5"/>
        <v>0</v>
      </c>
      <c r="Q38" s="2308"/>
      <c r="R38" s="2308"/>
      <c r="S38" s="2308"/>
      <c r="T38" s="2308"/>
      <c r="U38" s="2308"/>
      <c r="V38" s="2308"/>
      <c r="W38" s="2308"/>
      <c r="X38" s="2308"/>
      <c r="Y38" s="2308"/>
      <c r="Z38" s="2308"/>
      <c r="AA38" s="2308"/>
      <c r="AB38" s="2308"/>
      <c r="AC38" s="2308"/>
      <c r="AD38" s="2308"/>
      <c r="AE38" s="2308"/>
      <c r="AF38" s="2308"/>
      <c r="AG38" s="2308"/>
      <c r="AH38" s="2308"/>
      <c r="AI38" s="2308"/>
      <c r="AJ38" s="2308"/>
      <c r="AK38" s="2308"/>
      <c r="AL38" s="2308"/>
      <c r="AM38" s="2308"/>
      <c r="AN38" s="2308"/>
      <c r="AO38" s="2308"/>
      <c r="AP38" s="2308"/>
      <c r="AQ38" s="2308"/>
      <c r="AR38" s="2308"/>
      <c r="AS38" s="2308"/>
      <c r="AT38" s="2308"/>
      <c r="AU38" s="2308"/>
      <c r="AV38" s="2308"/>
      <c r="AW38" s="2308"/>
      <c r="AX38" s="2308"/>
      <c r="AY38" s="2308"/>
      <c r="AZ38" s="2308"/>
      <c r="BA38" s="2308"/>
      <c r="BB38" s="2308"/>
      <c r="BC38" s="2308"/>
      <c r="BD38" s="2308"/>
      <c r="BE38" s="2308"/>
      <c r="BF38" s="2308"/>
      <c r="BG38" s="2308"/>
      <c r="BH38" s="2308"/>
      <c r="BI38" s="2308"/>
      <c r="BJ38" s="2308"/>
      <c r="BK38" s="2308"/>
      <c r="BL38" s="2308"/>
      <c r="BM38" s="2308"/>
      <c r="BN38" s="2308"/>
      <c r="BO38" s="2308"/>
      <c r="BP38" s="2308"/>
      <c r="BQ38" s="2308"/>
      <c r="BR38" s="2308"/>
      <c r="BS38" s="2308"/>
      <c r="BT38" s="2308"/>
      <c r="BU38" s="2308"/>
      <c r="BV38" s="2308"/>
      <c r="BW38" s="2308"/>
      <c r="BX38" s="2308"/>
      <c r="BY38" s="2308"/>
      <c r="BZ38" s="2308"/>
      <c r="CA38" s="2308"/>
      <c r="CB38" s="2308"/>
      <c r="CC38" s="2308"/>
    </row>
    <row r="39" spans="1:81" ht="16.5" x14ac:dyDescent="0.3">
      <c r="A39" s="1341">
        <v>44132</v>
      </c>
      <c r="B39" s="1344"/>
      <c r="C39" s="313"/>
      <c r="D39" s="313"/>
      <c r="E39" s="713">
        <f t="shared" si="4"/>
        <v>0</v>
      </c>
      <c r="F39" s="1349"/>
      <c r="G39" s="1348"/>
      <c r="H39" s="2237"/>
      <c r="I39" s="2237"/>
      <c r="J39" s="1342">
        <f t="shared" si="3"/>
        <v>0</v>
      </c>
      <c r="K39" s="1347"/>
      <c r="L39" s="1350"/>
      <c r="M39" s="313"/>
      <c r="N39" s="313"/>
      <c r="O39" s="1342">
        <f t="shared" si="1"/>
        <v>0</v>
      </c>
      <c r="P39" s="1346">
        <f t="shared" si="5"/>
        <v>0</v>
      </c>
    </row>
    <row r="40" spans="1:81" ht="16.5" x14ac:dyDescent="0.3">
      <c r="A40" s="1341">
        <v>44133</v>
      </c>
      <c r="B40" s="1344"/>
      <c r="C40" s="313"/>
      <c r="D40" s="313"/>
      <c r="E40" s="1342">
        <f t="shared" si="4"/>
        <v>0</v>
      </c>
      <c r="F40" s="1349"/>
      <c r="G40" s="1348"/>
      <c r="H40" s="2237"/>
      <c r="I40" s="2237"/>
      <c r="J40" s="1342">
        <f t="shared" si="3"/>
        <v>0</v>
      </c>
      <c r="K40" s="1347"/>
      <c r="L40" s="1350"/>
      <c r="M40" s="313"/>
      <c r="N40" s="313"/>
      <c r="O40" s="1342">
        <f t="shared" si="1"/>
        <v>0</v>
      </c>
      <c r="P40" s="1346">
        <f t="shared" si="5"/>
        <v>0</v>
      </c>
    </row>
    <row r="41" spans="1:81" ht="16.5" x14ac:dyDescent="0.3">
      <c r="A41" s="1341">
        <v>44134</v>
      </c>
      <c r="B41" s="1344"/>
      <c r="C41" s="313"/>
      <c r="D41" s="313"/>
      <c r="E41" s="1342">
        <f t="shared" si="4"/>
        <v>0</v>
      </c>
      <c r="F41" s="1349"/>
      <c r="G41" s="1348"/>
      <c r="H41" s="2237"/>
      <c r="I41" s="2237"/>
      <c r="J41" s="1342">
        <f t="shared" si="3"/>
        <v>0</v>
      </c>
      <c r="K41" s="1347"/>
      <c r="L41" s="1350"/>
      <c r="M41" s="313"/>
      <c r="N41" s="313"/>
      <c r="O41" s="1342">
        <f t="shared" si="1"/>
        <v>0</v>
      </c>
      <c r="P41" s="1346">
        <f t="shared" si="5"/>
        <v>0</v>
      </c>
    </row>
    <row r="42" spans="1:81" ht="16.5" x14ac:dyDescent="0.3">
      <c r="A42" s="1341">
        <v>44135</v>
      </c>
      <c r="B42" s="1344"/>
      <c r="C42" s="313"/>
      <c r="D42" s="313"/>
      <c r="E42" s="1342">
        <f t="shared" si="4"/>
        <v>0</v>
      </c>
      <c r="F42" s="1349"/>
      <c r="G42" s="1348"/>
      <c r="H42" s="2237"/>
      <c r="I42" s="2237"/>
      <c r="J42" s="1342">
        <f t="shared" si="3"/>
        <v>0</v>
      </c>
      <c r="K42" s="1347"/>
      <c r="L42" s="1350"/>
      <c r="M42" s="313"/>
      <c r="N42" s="313"/>
      <c r="O42" s="1342">
        <f t="shared" si="1"/>
        <v>0</v>
      </c>
      <c r="P42" s="1346">
        <f t="shared" si="5"/>
        <v>0</v>
      </c>
    </row>
    <row r="43" spans="1:81" s="252" customFormat="1" ht="16.5" x14ac:dyDescent="0.3">
      <c r="A43" s="1341">
        <v>44136</v>
      </c>
      <c r="B43" s="1344"/>
      <c r="C43" s="301"/>
      <c r="D43" s="301"/>
      <c r="E43" s="1342">
        <f t="shared" si="4"/>
        <v>0</v>
      </c>
      <c r="F43" s="274"/>
      <c r="G43" s="1348"/>
      <c r="H43" s="2238"/>
      <c r="I43" s="2238"/>
      <c r="J43" s="1342">
        <f t="shared" si="3"/>
        <v>0</v>
      </c>
      <c r="K43" s="273"/>
      <c r="L43" s="272"/>
      <c r="M43" s="301"/>
      <c r="N43" s="301"/>
      <c r="O43" s="1342">
        <f t="shared" si="1"/>
        <v>0</v>
      </c>
      <c r="P43" s="270">
        <f t="shared" si="5"/>
        <v>0</v>
      </c>
      <c r="Q43" s="900"/>
      <c r="R43" s="900"/>
      <c r="S43" s="900"/>
      <c r="T43" s="900"/>
      <c r="U43" s="900"/>
      <c r="V43" s="900"/>
      <c r="W43" s="900"/>
      <c r="X43" s="900"/>
      <c r="Y43" s="900"/>
      <c r="Z43" s="900"/>
      <c r="AA43" s="900"/>
      <c r="AB43" s="900"/>
      <c r="AC43" s="900"/>
      <c r="AD43" s="900"/>
      <c r="AE43" s="900"/>
      <c r="AF43" s="900"/>
      <c r="AG43" s="900"/>
      <c r="AH43" s="900"/>
      <c r="AI43" s="900"/>
      <c r="AJ43" s="900"/>
      <c r="AK43" s="900"/>
      <c r="AL43" s="900"/>
      <c r="AM43" s="900"/>
      <c r="AN43" s="900"/>
      <c r="AO43" s="900"/>
      <c r="AP43" s="900"/>
      <c r="AQ43" s="900"/>
      <c r="AR43" s="900"/>
      <c r="AS43" s="900"/>
      <c r="AT43" s="900"/>
      <c r="AU43" s="900"/>
      <c r="AV43" s="900"/>
      <c r="AW43" s="900"/>
      <c r="AX43" s="900"/>
      <c r="AY43" s="900"/>
      <c r="AZ43" s="900"/>
      <c r="BA43" s="900"/>
      <c r="BB43" s="900"/>
      <c r="BC43" s="900"/>
      <c r="BD43" s="900"/>
      <c r="BE43" s="900"/>
      <c r="BF43" s="900"/>
      <c r="BG43" s="900"/>
      <c r="BH43" s="900"/>
      <c r="BI43" s="900"/>
      <c r="BJ43" s="900"/>
      <c r="BK43" s="900"/>
      <c r="BL43" s="900"/>
      <c r="BM43" s="900"/>
      <c r="BN43" s="900"/>
      <c r="BO43" s="900"/>
      <c r="BP43" s="900"/>
      <c r="BQ43" s="900"/>
      <c r="BR43" s="900"/>
      <c r="BS43" s="900"/>
      <c r="BT43" s="900"/>
      <c r="BU43" s="900"/>
      <c r="BV43" s="900"/>
      <c r="BW43" s="900"/>
      <c r="BX43" s="900"/>
      <c r="BY43" s="900"/>
      <c r="BZ43" s="900"/>
      <c r="CA43" s="900"/>
      <c r="CB43" s="900"/>
      <c r="CC43" s="900"/>
    </row>
    <row r="44" spans="1:81" s="252" customFormat="1" ht="16.5" x14ac:dyDescent="0.3">
      <c r="A44" s="1341">
        <v>44137</v>
      </c>
      <c r="B44" s="1344"/>
      <c r="C44" s="301"/>
      <c r="D44" s="301"/>
      <c r="E44" s="1342">
        <f t="shared" si="4"/>
        <v>0</v>
      </c>
      <c r="F44" s="274"/>
      <c r="G44" s="1348"/>
      <c r="H44" s="2163"/>
      <c r="I44" s="2163"/>
      <c r="J44" s="1342">
        <f t="shared" si="3"/>
        <v>0</v>
      </c>
      <c r="K44" s="273"/>
      <c r="L44" s="272"/>
      <c r="M44" s="301"/>
      <c r="N44" s="301"/>
      <c r="O44" s="1342">
        <f t="shared" si="1"/>
        <v>0</v>
      </c>
      <c r="P44" s="270">
        <f t="shared" si="5"/>
        <v>0</v>
      </c>
      <c r="Q44" s="900"/>
      <c r="R44" s="900"/>
      <c r="S44" s="900"/>
      <c r="T44" s="900"/>
      <c r="U44" s="900"/>
      <c r="V44" s="900"/>
      <c r="W44" s="900"/>
      <c r="X44" s="900"/>
      <c r="Y44" s="900"/>
      <c r="Z44" s="900"/>
      <c r="AA44" s="900"/>
      <c r="AB44" s="900"/>
      <c r="AC44" s="900"/>
      <c r="AD44" s="900"/>
      <c r="AE44" s="900"/>
      <c r="AF44" s="900"/>
      <c r="AG44" s="900"/>
      <c r="AH44" s="900"/>
      <c r="AI44" s="900"/>
      <c r="AJ44" s="900"/>
      <c r="AK44" s="900"/>
      <c r="AL44" s="900"/>
      <c r="AM44" s="900"/>
      <c r="AN44" s="900"/>
      <c r="AO44" s="900"/>
      <c r="AP44" s="900"/>
      <c r="AQ44" s="900"/>
      <c r="AR44" s="900"/>
      <c r="AS44" s="900"/>
      <c r="AT44" s="900"/>
      <c r="AU44" s="900"/>
      <c r="AV44" s="900"/>
      <c r="AW44" s="900"/>
      <c r="AX44" s="900"/>
      <c r="AY44" s="900"/>
      <c r="AZ44" s="900"/>
      <c r="BA44" s="900"/>
      <c r="BB44" s="900"/>
      <c r="BC44" s="900"/>
      <c r="BD44" s="900"/>
      <c r="BE44" s="900"/>
      <c r="BF44" s="900"/>
      <c r="BG44" s="900"/>
      <c r="BH44" s="900"/>
      <c r="BI44" s="900"/>
      <c r="BJ44" s="900"/>
      <c r="BK44" s="900"/>
      <c r="BL44" s="900"/>
      <c r="BM44" s="900"/>
      <c r="BN44" s="900"/>
      <c r="BO44" s="900"/>
      <c r="BP44" s="900"/>
      <c r="BQ44" s="900"/>
      <c r="BR44" s="900"/>
      <c r="BS44" s="900"/>
      <c r="BT44" s="900"/>
      <c r="BU44" s="900"/>
      <c r="BV44" s="900"/>
      <c r="BW44" s="900"/>
      <c r="BX44" s="900"/>
      <c r="BY44" s="900"/>
      <c r="BZ44" s="900"/>
      <c r="CA44" s="900"/>
      <c r="CB44" s="900"/>
      <c r="CC44" s="900"/>
    </row>
    <row r="45" spans="1:81" s="252" customFormat="1" ht="16.5" x14ac:dyDescent="0.3">
      <c r="A45" s="1341">
        <v>44138</v>
      </c>
      <c r="B45" s="1344"/>
      <c r="C45" s="301"/>
      <c r="D45" s="301"/>
      <c r="E45" s="1342">
        <f t="shared" si="4"/>
        <v>0</v>
      </c>
      <c r="F45" s="274"/>
      <c r="G45" s="1348"/>
      <c r="H45" s="2163"/>
      <c r="I45" s="2163"/>
      <c r="J45" s="713">
        <f>+H45-I45</f>
        <v>0</v>
      </c>
      <c r="K45" s="273"/>
      <c r="L45" s="272"/>
      <c r="M45" s="301"/>
      <c r="N45" s="301"/>
      <c r="O45" s="1342">
        <f t="shared" si="1"/>
        <v>0</v>
      </c>
      <c r="P45" s="270">
        <f t="shared" si="5"/>
        <v>0</v>
      </c>
      <c r="Q45" s="900"/>
      <c r="R45" s="900"/>
      <c r="S45" s="900"/>
      <c r="T45" s="900"/>
      <c r="U45" s="900"/>
      <c r="V45" s="900"/>
      <c r="W45" s="900"/>
      <c r="X45" s="900"/>
      <c r="Y45" s="900"/>
      <c r="Z45" s="900"/>
      <c r="AA45" s="900"/>
      <c r="AB45" s="900"/>
      <c r="AC45" s="900"/>
      <c r="AD45" s="900"/>
      <c r="AE45" s="900"/>
      <c r="AF45" s="900"/>
      <c r="AG45" s="900"/>
      <c r="AH45" s="900"/>
      <c r="AI45" s="900"/>
      <c r="AJ45" s="900"/>
      <c r="AK45" s="900"/>
      <c r="AL45" s="900"/>
      <c r="AM45" s="900"/>
      <c r="AN45" s="900"/>
      <c r="AO45" s="900"/>
      <c r="AP45" s="900"/>
      <c r="AQ45" s="900"/>
      <c r="AR45" s="900"/>
      <c r="AS45" s="900"/>
      <c r="AT45" s="900"/>
      <c r="AU45" s="900"/>
      <c r="AV45" s="900"/>
      <c r="AW45" s="900"/>
      <c r="AX45" s="900"/>
      <c r="AY45" s="900"/>
      <c r="AZ45" s="900"/>
      <c r="BA45" s="900"/>
      <c r="BB45" s="900"/>
      <c r="BC45" s="900"/>
      <c r="BD45" s="900"/>
      <c r="BE45" s="900"/>
      <c r="BF45" s="900"/>
      <c r="BG45" s="900"/>
      <c r="BH45" s="900"/>
      <c r="BI45" s="900"/>
      <c r="BJ45" s="900"/>
      <c r="BK45" s="900"/>
      <c r="BL45" s="900"/>
      <c r="BM45" s="900"/>
      <c r="BN45" s="900"/>
      <c r="BO45" s="900"/>
      <c r="BP45" s="900"/>
      <c r="BQ45" s="900"/>
      <c r="BR45" s="900"/>
      <c r="BS45" s="900"/>
      <c r="BT45" s="900"/>
      <c r="BU45" s="900"/>
      <c r="BV45" s="900"/>
      <c r="BW45" s="900"/>
      <c r="BX45" s="900"/>
      <c r="BY45" s="900"/>
      <c r="BZ45" s="900"/>
      <c r="CA45" s="900"/>
      <c r="CB45" s="900"/>
      <c r="CC45" s="900"/>
    </row>
    <row r="46" spans="1:81" s="252" customFormat="1" ht="16.5" x14ac:dyDescent="0.3">
      <c r="A46" s="1341">
        <v>44139</v>
      </c>
      <c r="B46" s="1344"/>
      <c r="C46" s="301"/>
      <c r="D46" s="301"/>
      <c r="E46" s="1342">
        <f t="shared" si="4"/>
        <v>0</v>
      </c>
      <c r="F46" s="274"/>
      <c r="G46" s="1348"/>
      <c r="H46" s="301"/>
      <c r="I46" s="301"/>
      <c r="J46" s="713">
        <f>+H46-I46</f>
        <v>0</v>
      </c>
      <c r="K46" s="273"/>
      <c r="L46" s="272"/>
      <c r="M46" s="301"/>
      <c r="N46" s="301"/>
      <c r="O46" s="1342">
        <f t="shared" si="1"/>
        <v>0</v>
      </c>
      <c r="P46" s="270">
        <f t="shared" si="5"/>
        <v>0</v>
      </c>
      <c r="Q46" s="900"/>
      <c r="R46" s="900"/>
      <c r="S46" s="900"/>
      <c r="T46" s="900"/>
      <c r="U46" s="900"/>
      <c r="V46" s="900"/>
      <c r="W46" s="900"/>
      <c r="X46" s="900"/>
      <c r="Y46" s="900"/>
      <c r="Z46" s="900"/>
      <c r="AA46" s="900"/>
      <c r="AB46" s="900"/>
      <c r="AC46" s="900"/>
      <c r="AD46" s="900"/>
      <c r="AE46" s="900"/>
      <c r="AF46" s="900"/>
      <c r="AG46" s="900"/>
      <c r="AH46" s="900"/>
      <c r="AI46" s="900"/>
      <c r="AJ46" s="900"/>
      <c r="AK46" s="900"/>
      <c r="AL46" s="900"/>
      <c r="AM46" s="900"/>
      <c r="AN46" s="900"/>
      <c r="AO46" s="900"/>
      <c r="AP46" s="900"/>
      <c r="AQ46" s="900"/>
      <c r="AR46" s="900"/>
      <c r="AS46" s="900"/>
      <c r="AT46" s="900"/>
      <c r="AU46" s="900"/>
      <c r="AV46" s="900"/>
      <c r="AW46" s="900"/>
      <c r="AX46" s="900"/>
      <c r="AY46" s="900"/>
      <c r="AZ46" s="900"/>
      <c r="BA46" s="900"/>
      <c r="BB46" s="900"/>
      <c r="BC46" s="900"/>
      <c r="BD46" s="900"/>
      <c r="BE46" s="900"/>
      <c r="BF46" s="900"/>
      <c r="BG46" s="900"/>
      <c r="BH46" s="900"/>
      <c r="BI46" s="900"/>
      <c r="BJ46" s="900"/>
      <c r="BK46" s="900"/>
      <c r="BL46" s="900"/>
      <c r="BM46" s="900"/>
      <c r="BN46" s="900"/>
      <c r="BO46" s="900"/>
      <c r="BP46" s="900"/>
      <c r="BQ46" s="900"/>
      <c r="BR46" s="900"/>
      <c r="BS46" s="900"/>
      <c r="BT46" s="900"/>
      <c r="BU46" s="900"/>
      <c r="BV46" s="900"/>
      <c r="BW46" s="900"/>
      <c r="BX46" s="900"/>
      <c r="BY46" s="900"/>
      <c r="BZ46" s="900"/>
      <c r="CA46" s="900"/>
      <c r="CB46" s="900"/>
      <c r="CC46" s="900"/>
    </row>
    <row r="47" spans="1:81" s="252" customFormat="1" ht="26.25" customHeight="1" x14ac:dyDescent="0.3">
      <c r="A47" s="1341"/>
      <c r="B47" s="1344"/>
      <c r="C47" s="301"/>
      <c r="D47" s="301"/>
      <c r="E47" s="1342">
        <f t="shared" si="4"/>
        <v>0</v>
      </c>
      <c r="F47" s="274"/>
      <c r="G47" s="1348"/>
      <c r="H47" s="301"/>
      <c r="I47" s="301"/>
      <c r="J47" s="713">
        <f>+H47-I47</f>
        <v>0</v>
      </c>
      <c r="K47" s="273"/>
      <c r="L47" s="272"/>
      <c r="M47" s="301"/>
      <c r="N47" s="301"/>
      <c r="O47" s="1342">
        <f t="shared" si="1"/>
        <v>0</v>
      </c>
      <c r="P47" s="270"/>
      <c r="Q47" s="900"/>
      <c r="R47" s="900"/>
      <c r="S47" s="900"/>
      <c r="T47" s="900"/>
      <c r="U47" s="900"/>
      <c r="V47" s="900"/>
      <c r="W47" s="900"/>
      <c r="X47" s="900"/>
      <c r="Y47" s="900"/>
      <c r="Z47" s="900"/>
      <c r="AA47" s="900"/>
      <c r="AB47" s="900"/>
      <c r="AC47" s="900"/>
      <c r="AD47" s="900"/>
      <c r="AE47" s="900"/>
      <c r="AF47" s="900"/>
      <c r="AG47" s="900"/>
      <c r="AH47" s="900"/>
      <c r="AI47" s="900"/>
      <c r="AJ47" s="900"/>
      <c r="AK47" s="900"/>
      <c r="AL47" s="900"/>
      <c r="AM47" s="900"/>
      <c r="AN47" s="900"/>
      <c r="AO47" s="900"/>
      <c r="AP47" s="900"/>
      <c r="AQ47" s="900"/>
      <c r="AR47" s="900"/>
      <c r="AS47" s="900"/>
      <c r="AT47" s="900"/>
      <c r="AU47" s="900"/>
      <c r="AV47" s="900"/>
      <c r="AW47" s="900"/>
      <c r="AX47" s="900"/>
      <c r="AY47" s="900"/>
      <c r="AZ47" s="900"/>
      <c r="BA47" s="900"/>
      <c r="BB47" s="900"/>
      <c r="BC47" s="900"/>
      <c r="BD47" s="900"/>
      <c r="BE47" s="900"/>
      <c r="BF47" s="900"/>
      <c r="BG47" s="900"/>
      <c r="BH47" s="900"/>
      <c r="BI47" s="900"/>
      <c r="BJ47" s="900"/>
      <c r="BK47" s="900"/>
      <c r="BL47" s="900"/>
      <c r="BM47" s="900"/>
      <c r="BN47" s="900"/>
      <c r="BO47" s="900"/>
      <c r="BP47" s="900"/>
      <c r="BQ47" s="900"/>
      <c r="BR47" s="900"/>
      <c r="BS47" s="900"/>
      <c r="BT47" s="900"/>
      <c r="BU47" s="900"/>
      <c r="BV47" s="900"/>
      <c r="BW47" s="900"/>
      <c r="BX47" s="900"/>
      <c r="BY47" s="900"/>
      <c r="BZ47" s="900"/>
      <c r="CA47" s="900"/>
      <c r="CB47" s="900"/>
      <c r="CC47" s="900"/>
    </row>
    <row r="48" spans="1:81" s="252" customFormat="1" ht="26.25" customHeight="1" x14ac:dyDescent="0.3">
      <c r="A48" s="1341"/>
      <c r="B48" s="1344"/>
      <c r="C48" s="301"/>
      <c r="D48" s="301"/>
      <c r="E48" s="1342"/>
      <c r="F48" s="274"/>
      <c r="G48" s="1348"/>
      <c r="H48" s="301"/>
      <c r="I48" s="301"/>
      <c r="J48" s="713"/>
      <c r="K48" s="273"/>
      <c r="L48" s="272"/>
      <c r="M48" s="301"/>
      <c r="N48" s="301"/>
      <c r="O48" s="1342"/>
      <c r="P48" s="270"/>
      <c r="Q48" s="900"/>
      <c r="R48" s="900"/>
      <c r="S48" s="900"/>
      <c r="T48" s="900"/>
      <c r="U48" s="900"/>
      <c r="V48" s="900"/>
      <c r="W48" s="900"/>
      <c r="X48" s="900"/>
      <c r="Y48" s="900"/>
      <c r="Z48" s="900"/>
      <c r="AA48" s="900"/>
      <c r="AB48" s="900"/>
      <c r="AC48" s="900"/>
      <c r="AD48" s="900"/>
      <c r="AE48" s="900"/>
      <c r="AF48" s="900"/>
      <c r="AG48" s="900"/>
      <c r="AH48" s="900"/>
      <c r="AI48" s="900"/>
      <c r="AJ48" s="900"/>
      <c r="AK48" s="900"/>
      <c r="AL48" s="900"/>
      <c r="AM48" s="900"/>
      <c r="AN48" s="900"/>
      <c r="AO48" s="900"/>
      <c r="AP48" s="900"/>
      <c r="AQ48" s="900"/>
      <c r="AR48" s="900"/>
      <c r="AS48" s="900"/>
      <c r="AT48" s="900"/>
      <c r="AU48" s="900"/>
      <c r="AV48" s="900"/>
      <c r="AW48" s="900"/>
      <c r="AX48" s="900"/>
      <c r="AY48" s="900"/>
      <c r="AZ48" s="900"/>
      <c r="BA48" s="900"/>
      <c r="BB48" s="900"/>
      <c r="BC48" s="900"/>
      <c r="BD48" s="900"/>
      <c r="BE48" s="900"/>
      <c r="BF48" s="900"/>
      <c r="BG48" s="900"/>
      <c r="BH48" s="900"/>
      <c r="BI48" s="900"/>
      <c r="BJ48" s="900"/>
      <c r="BK48" s="900"/>
      <c r="BL48" s="900"/>
      <c r="BM48" s="900"/>
      <c r="BN48" s="900"/>
      <c r="BO48" s="900"/>
      <c r="BP48" s="900"/>
      <c r="BQ48" s="900"/>
      <c r="BR48" s="900"/>
      <c r="BS48" s="900"/>
      <c r="BT48" s="900"/>
      <c r="BU48" s="900"/>
      <c r="BV48" s="900"/>
      <c r="BW48" s="900"/>
      <c r="BX48" s="900"/>
      <c r="BY48" s="900"/>
      <c r="BZ48" s="900"/>
      <c r="CA48" s="900"/>
      <c r="CB48" s="900"/>
      <c r="CC48" s="900"/>
    </row>
    <row r="49" spans="1:81" s="252" customFormat="1" ht="26.25" customHeight="1" x14ac:dyDescent="0.3">
      <c r="A49" s="1341"/>
      <c r="B49" s="1344"/>
      <c r="C49" s="301"/>
      <c r="D49" s="301"/>
      <c r="E49" s="1342"/>
      <c r="F49" s="274"/>
      <c r="G49" s="406"/>
      <c r="H49" s="301"/>
      <c r="I49" s="301"/>
      <c r="J49" s="713"/>
      <c r="K49" s="273"/>
      <c r="L49" s="272"/>
      <c r="M49" s="301"/>
      <c r="N49" s="301"/>
      <c r="O49" s="1342"/>
      <c r="P49" s="270"/>
      <c r="Q49" s="900"/>
      <c r="R49" s="900"/>
      <c r="S49" s="900"/>
      <c r="T49" s="900"/>
      <c r="U49" s="900"/>
      <c r="V49" s="900"/>
      <c r="W49" s="900"/>
      <c r="X49" s="900"/>
      <c r="Y49" s="900"/>
      <c r="Z49" s="900"/>
      <c r="AA49" s="900"/>
      <c r="AB49" s="900"/>
      <c r="AC49" s="900"/>
      <c r="AD49" s="900"/>
      <c r="AE49" s="900"/>
      <c r="AF49" s="900"/>
      <c r="AG49" s="900"/>
      <c r="AH49" s="900"/>
      <c r="AI49" s="900"/>
      <c r="AJ49" s="900"/>
      <c r="AK49" s="900"/>
      <c r="AL49" s="900"/>
      <c r="AM49" s="900"/>
      <c r="AN49" s="900"/>
      <c r="AO49" s="900"/>
      <c r="AP49" s="900"/>
      <c r="AQ49" s="900"/>
      <c r="AR49" s="900"/>
      <c r="AS49" s="900"/>
      <c r="AT49" s="900"/>
      <c r="AU49" s="900"/>
      <c r="AV49" s="900"/>
      <c r="AW49" s="900"/>
      <c r="AX49" s="900"/>
      <c r="AY49" s="900"/>
      <c r="AZ49" s="900"/>
      <c r="BA49" s="900"/>
      <c r="BB49" s="900"/>
      <c r="BC49" s="900"/>
      <c r="BD49" s="900"/>
      <c r="BE49" s="900"/>
      <c r="BF49" s="900"/>
      <c r="BG49" s="900"/>
      <c r="BH49" s="900"/>
      <c r="BI49" s="900"/>
      <c r="BJ49" s="900"/>
      <c r="BK49" s="900"/>
      <c r="BL49" s="900"/>
      <c r="BM49" s="900"/>
      <c r="BN49" s="900"/>
      <c r="BO49" s="900"/>
      <c r="BP49" s="900"/>
      <c r="BQ49" s="900"/>
      <c r="BR49" s="900"/>
      <c r="BS49" s="900"/>
      <c r="BT49" s="900"/>
      <c r="BU49" s="900"/>
      <c r="BV49" s="900"/>
      <c r="BW49" s="900"/>
      <c r="BX49" s="900"/>
      <c r="BY49" s="900"/>
      <c r="BZ49" s="900"/>
      <c r="CA49" s="900"/>
      <c r="CB49" s="900"/>
      <c r="CC49" s="900"/>
    </row>
    <row r="50" spans="1:81" s="252" customFormat="1" ht="16.5" x14ac:dyDescent="0.3">
      <c r="A50" s="1341"/>
      <c r="B50" s="1344"/>
      <c r="C50" s="301"/>
      <c r="D50" s="301"/>
      <c r="E50" s="1342">
        <f>+C41-D41</f>
        <v>0</v>
      </c>
      <c r="F50" s="274"/>
      <c r="G50" s="302">
        <f>SUM(G12:G49)</f>
        <v>0</v>
      </c>
      <c r="H50" s="301"/>
      <c r="I50" s="301"/>
      <c r="J50" s="713">
        <f>+H50-I50</f>
        <v>0</v>
      </c>
      <c r="K50" s="273"/>
      <c r="L50" s="272"/>
      <c r="M50" s="301"/>
      <c r="N50" s="301"/>
      <c r="O50" s="1342">
        <f t="shared" si="1"/>
        <v>0</v>
      </c>
      <c r="P50" s="270">
        <f t="shared" si="5"/>
        <v>0</v>
      </c>
      <c r="Q50" s="900"/>
      <c r="R50" s="900"/>
      <c r="S50" s="900"/>
      <c r="T50" s="900"/>
      <c r="U50" s="900"/>
      <c r="V50" s="900"/>
      <c r="W50" s="900"/>
      <c r="X50" s="900"/>
      <c r="Y50" s="900"/>
      <c r="Z50" s="900"/>
      <c r="AA50" s="900"/>
      <c r="AB50" s="900"/>
      <c r="AC50" s="900"/>
      <c r="AD50" s="900"/>
      <c r="AE50" s="900"/>
      <c r="AF50" s="900"/>
      <c r="AG50" s="900"/>
      <c r="AH50" s="900"/>
      <c r="AI50" s="900"/>
      <c r="AJ50" s="900"/>
      <c r="AK50" s="900"/>
      <c r="AL50" s="900"/>
      <c r="AM50" s="900"/>
      <c r="AN50" s="900"/>
      <c r="AO50" s="900"/>
      <c r="AP50" s="900"/>
      <c r="AQ50" s="900"/>
      <c r="AR50" s="900"/>
      <c r="AS50" s="900"/>
      <c r="AT50" s="900"/>
      <c r="AU50" s="900"/>
      <c r="AV50" s="900"/>
      <c r="AW50" s="900"/>
      <c r="AX50" s="900"/>
      <c r="AY50" s="900"/>
      <c r="AZ50" s="900"/>
      <c r="BA50" s="900"/>
      <c r="BB50" s="900"/>
      <c r="BC50" s="900"/>
      <c r="BD50" s="900"/>
      <c r="BE50" s="900"/>
      <c r="BF50" s="900"/>
      <c r="BG50" s="900"/>
      <c r="BH50" s="900"/>
      <c r="BI50" s="900"/>
      <c r="BJ50" s="900"/>
      <c r="BK50" s="900"/>
      <c r="BL50" s="900"/>
      <c r="BM50" s="900"/>
      <c r="BN50" s="900"/>
      <c r="BO50" s="900"/>
      <c r="BP50" s="900"/>
      <c r="BQ50" s="900"/>
      <c r="BR50" s="900"/>
      <c r="BS50" s="900"/>
      <c r="BT50" s="900"/>
      <c r="BU50" s="900"/>
      <c r="BV50" s="900"/>
      <c r="BW50" s="900"/>
      <c r="BX50" s="900"/>
      <c r="BY50" s="900"/>
      <c r="BZ50" s="900"/>
      <c r="CA50" s="900"/>
      <c r="CB50" s="900"/>
      <c r="CC50" s="900"/>
    </row>
    <row r="51" spans="1:81" s="303" customFormat="1" ht="16.5" x14ac:dyDescent="0.3">
      <c r="A51" s="269" t="s">
        <v>10</v>
      </c>
      <c r="B51" s="1344"/>
      <c r="C51" s="300">
        <f>SUM(C12:C50)</f>
        <v>0</v>
      </c>
      <c r="D51" s="300">
        <f>SUM(D12:D50)</f>
        <v>0</v>
      </c>
      <c r="E51" s="714">
        <f>SUM(E12:F50)</f>
        <v>0</v>
      </c>
      <c r="F51" s="302"/>
      <c r="G51" s="252"/>
      <c r="H51" s="300">
        <f>SUM(H12:H50)</f>
        <v>45000</v>
      </c>
      <c r="I51" s="300">
        <f>SUM(I12:I50)</f>
        <v>45000</v>
      </c>
      <c r="J51" s="714">
        <f>SUM(J12:J50)</f>
        <v>0</v>
      </c>
      <c r="K51" s="714"/>
      <c r="L51" s="302">
        <f>SUM(L12:L38)</f>
        <v>0</v>
      </c>
      <c r="M51" s="300">
        <f>SUM(M12:M40)</f>
        <v>0</v>
      </c>
      <c r="N51" s="300">
        <f>SUM(N12:N41)</f>
        <v>0</v>
      </c>
      <c r="O51" s="714">
        <f>SUM(O12:O40)</f>
        <v>0</v>
      </c>
      <c r="P51" s="302">
        <f>SUM(P12:P41)</f>
        <v>25875000</v>
      </c>
      <c r="Q51" s="900"/>
      <c r="R51" s="900"/>
      <c r="S51" s="900"/>
      <c r="T51" s="900"/>
      <c r="U51" s="900"/>
      <c r="V51" s="900"/>
      <c r="W51" s="900"/>
      <c r="X51" s="900"/>
      <c r="Y51" s="900"/>
      <c r="Z51" s="900"/>
      <c r="AA51" s="900"/>
      <c r="AB51" s="900"/>
      <c r="AC51" s="900"/>
      <c r="AD51" s="900"/>
      <c r="AE51" s="900"/>
      <c r="AF51" s="900"/>
      <c r="AG51" s="900"/>
      <c r="AH51" s="900"/>
      <c r="AI51" s="900"/>
      <c r="AJ51" s="900"/>
      <c r="AK51" s="900"/>
      <c r="AL51" s="900"/>
      <c r="AM51" s="900"/>
      <c r="AN51" s="900"/>
      <c r="AO51" s="900"/>
      <c r="AP51" s="900"/>
      <c r="AQ51" s="900"/>
      <c r="AR51" s="900"/>
      <c r="AS51" s="900"/>
      <c r="AT51" s="900"/>
      <c r="AU51" s="900"/>
      <c r="AV51" s="900"/>
      <c r="AW51" s="900"/>
      <c r="AX51" s="900"/>
      <c r="AY51" s="900"/>
      <c r="AZ51" s="900"/>
      <c r="BA51" s="900"/>
      <c r="BB51" s="900"/>
      <c r="BC51" s="900"/>
      <c r="BD51" s="900"/>
      <c r="BE51" s="900"/>
      <c r="BF51" s="900"/>
      <c r="BG51" s="900"/>
      <c r="BH51" s="900"/>
      <c r="BI51" s="900"/>
      <c r="BJ51" s="900"/>
      <c r="BK51" s="900"/>
      <c r="BL51" s="900"/>
      <c r="BM51" s="900"/>
      <c r="BN51" s="900"/>
      <c r="BO51" s="900"/>
      <c r="BP51" s="900"/>
      <c r="BQ51" s="900"/>
      <c r="BR51" s="900"/>
      <c r="BS51" s="900"/>
      <c r="BT51" s="900"/>
      <c r="BU51" s="900"/>
      <c r="BV51" s="900"/>
      <c r="BW51" s="900"/>
      <c r="BX51" s="900"/>
      <c r="BY51" s="900"/>
      <c r="BZ51" s="900"/>
      <c r="CA51" s="900"/>
      <c r="CB51" s="900"/>
      <c r="CC51" s="900"/>
    </row>
    <row r="52" spans="1:81" s="252" customFormat="1" x14ac:dyDescent="0.2">
      <c r="G52" s="250"/>
      <c r="Q52" s="900"/>
      <c r="R52" s="900"/>
      <c r="S52" s="900"/>
      <c r="T52" s="900"/>
      <c r="U52" s="900"/>
      <c r="V52" s="900"/>
      <c r="W52" s="900"/>
      <c r="X52" s="900"/>
      <c r="Y52" s="900"/>
      <c r="Z52" s="900"/>
      <c r="AA52" s="900"/>
      <c r="AB52" s="900"/>
      <c r="AC52" s="900"/>
      <c r="AD52" s="900"/>
      <c r="AE52" s="900"/>
      <c r="AF52" s="900"/>
      <c r="AG52" s="900"/>
      <c r="AH52" s="900"/>
      <c r="AI52" s="900"/>
      <c r="AJ52" s="900"/>
      <c r="AK52" s="900"/>
      <c r="AL52" s="900"/>
      <c r="AM52" s="900"/>
      <c r="AN52" s="900"/>
      <c r="AO52" s="900"/>
      <c r="AP52" s="900"/>
      <c r="AQ52" s="900"/>
      <c r="AR52" s="900"/>
      <c r="AS52" s="900"/>
      <c r="AT52" s="900"/>
      <c r="AU52" s="900"/>
      <c r="AV52" s="900"/>
      <c r="AW52" s="900"/>
      <c r="AX52" s="900"/>
      <c r="AY52" s="900"/>
      <c r="AZ52" s="900"/>
      <c r="BA52" s="900"/>
      <c r="BB52" s="900"/>
      <c r="BC52" s="900"/>
      <c r="BD52" s="900"/>
      <c r="BE52" s="900"/>
      <c r="BF52" s="900"/>
      <c r="BG52" s="900"/>
      <c r="BH52" s="900"/>
      <c r="BI52" s="900"/>
      <c r="BJ52" s="900"/>
      <c r="BK52" s="900"/>
      <c r="BL52" s="900"/>
      <c r="BM52" s="900"/>
      <c r="BN52" s="900"/>
      <c r="BO52" s="900"/>
      <c r="BP52" s="900"/>
      <c r="BQ52" s="900"/>
      <c r="BR52" s="900"/>
      <c r="BS52" s="900"/>
      <c r="BT52" s="900"/>
      <c r="BU52" s="900"/>
      <c r="BV52" s="900"/>
      <c r="BW52" s="900"/>
      <c r="BX52" s="900"/>
      <c r="BY52" s="900"/>
      <c r="BZ52" s="900"/>
      <c r="CA52" s="900"/>
      <c r="CB52" s="900"/>
      <c r="CC52" s="900"/>
    </row>
    <row r="53" spans="1:81" ht="13.5" x14ac:dyDescent="0.25">
      <c r="A53" s="224" t="s">
        <v>11</v>
      </c>
      <c r="B53" s="224"/>
      <c r="C53" s="224"/>
      <c r="D53" s="224"/>
    </row>
    <row r="54" spans="1:81" ht="13.5" thickBot="1" x14ac:dyDescent="0.25"/>
    <row r="55" spans="1:81" ht="14.25" thickBot="1" x14ac:dyDescent="0.3">
      <c r="B55" s="2930" t="s">
        <v>136</v>
      </c>
      <c r="C55" s="2931"/>
      <c r="D55" s="2932"/>
      <c r="H55" s="966" t="s">
        <v>12</v>
      </c>
      <c r="I55" s="967"/>
      <c r="J55" s="968"/>
      <c r="Q55" s="250"/>
      <c r="R55" s="250"/>
      <c r="S55" s="250"/>
    </row>
    <row r="56" spans="1:81" ht="13.5" x14ac:dyDescent="0.25">
      <c r="B56" s="225" t="s">
        <v>13</v>
      </c>
      <c r="C56" s="17" t="s">
        <v>43</v>
      </c>
      <c r="D56" s="225" t="s">
        <v>14</v>
      </c>
      <c r="G56" s="13" t="s">
        <v>15</v>
      </c>
      <c r="H56" s="225" t="s">
        <v>13</v>
      </c>
      <c r="I56" s="225" t="s">
        <v>137</v>
      </c>
      <c r="J56" s="225" t="s">
        <v>14</v>
      </c>
      <c r="Q56" s="250"/>
      <c r="R56" s="250"/>
      <c r="S56" s="250"/>
    </row>
    <row r="57" spans="1:81" ht="13.5" x14ac:dyDescent="0.25">
      <c r="A57" s="13" t="s">
        <v>15</v>
      </c>
      <c r="B57" s="226">
        <f>C51</f>
        <v>0</v>
      </c>
      <c r="C57" s="362">
        <v>630</v>
      </c>
      <c r="D57" s="227">
        <f>B57*B10</f>
        <v>0</v>
      </c>
      <c r="G57" s="13" t="s">
        <v>15</v>
      </c>
      <c r="H57" s="408">
        <f>+E51</f>
        <v>0</v>
      </c>
      <c r="I57" s="25">
        <v>630</v>
      </c>
      <c r="J57" s="228">
        <f>+H57*I57</f>
        <v>0</v>
      </c>
      <c r="Q57" s="250"/>
      <c r="R57" s="250"/>
      <c r="S57" s="250"/>
    </row>
    <row r="58" spans="1:81" ht="13.5" x14ac:dyDescent="0.25">
      <c r="A58" s="13" t="s">
        <v>16</v>
      </c>
      <c r="B58" s="226">
        <f>H51</f>
        <v>45000</v>
      </c>
      <c r="C58" s="362">
        <v>575</v>
      </c>
      <c r="D58" s="227">
        <f>B58*G10</f>
        <v>25875000</v>
      </c>
      <c r="G58" s="13" t="s">
        <v>16</v>
      </c>
      <c r="H58" s="409">
        <f>+J51</f>
        <v>0</v>
      </c>
      <c r="I58" s="229">
        <v>575</v>
      </c>
      <c r="J58" s="228">
        <f>+H58*I58</f>
        <v>0</v>
      </c>
      <c r="K58" s="40">
        <f>E51</f>
        <v>0</v>
      </c>
      <c r="Q58" s="250"/>
      <c r="R58" s="250"/>
      <c r="S58" s="250"/>
    </row>
    <row r="59" spans="1:81" ht="13.5" x14ac:dyDescent="0.25">
      <c r="A59" s="13" t="s">
        <v>17</v>
      </c>
      <c r="B59" s="226">
        <f>N51</f>
        <v>0</v>
      </c>
      <c r="C59" s="362">
        <v>350</v>
      </c>
      <c r="D59" s="227">
        <f>B59*L10</f>
        <v>0</v>
      </c>
      <c r="G59" s="13" t="s">
        <v>17</v>
      </c>
      <c r="H59" s="408">
        <f>+O51</f>
        <v>0</v>
      </c>
      <c r="I59" s="25">
        <v>350</v>
      </c>
      <c r="J59" s="228">
        <f>+H59*I59</f>
        <v>0</v>
      </c>
      <c r="K59" s="230">
        <f>J51</f>
        <v>0</v>
      </c>
      <c r="Q59" s="250"/>
      <c r="R59" s="250"/>
      <c r="S59" s="250"/>
    </row>
    <row r="60" spans="1:81" s="592" customFormat="1" ht="13.5" x14ac:dyDescent="0.25">
      <c r="A60" s="13" t="s">
        <v>18</v>
      </c>
      <c r="B60" s="593">
        <f>SUM(B57:B59)</f>
        <v>45000</v>
      </c>
      <c r="C60" s="261"/>
      <c r="D60" s="594">
        <f>SUM(D57:D59)</f>
        <v>25875000</v>
      </c>
      <c r="G60" s="250"/>
      <c r="H60" s="254">
        <f>SUM(H57:H59)</f>
        <v>0</v>
      </c>
      <c r="I60" s="254"/>
      <c r="J60" s="594">
        <f>SUM(J57:J59)</f>
        <v>0</v>
      </c>
      <c r="K60" s="595">
        <f>O51</f>
        <v>0</v>
      </c>
      <c r="T60" s="900"/>
      <c r="U60" s="900"/>
      <c r="V60" s="900"/>
      <c r="W60" s="900"/>
      <c r="X60" s="900"/>
      <c r="Y60" s="900"/>
      <c r="Z60" s="900"/>
      <c r="AA60" s="900"/>
      <c r="AB60" s="900"/>
      <c r="AC60" s="900"/>
      <c r="AD60" s="900"/>
      <c r="AE60" s="900"/>
      <c r="AF60" s="900"/>
      <c r="AG60" s="900"/>
      <c r="AH60" s="900"/>
      <c r="AI60" s="900"/>
      <c r="AJ60" s="900"/>
      <c r="AK60" s="900"/>
      <c r="AL60" s="900"/>
      <c r="AM60" s="900"/>
      <c r="AN60" s="900"/>
      <c r="AO60" s="900"/>
      <c r="AP60" s="900"/>
      <c r="AQ60" s="900"/>
      <c r="AR60" s="900"/>
      <c r="AS60" s="900"/>
      <c r="AT60" s="900"/>
      <c r="AU60" s="900"/>
      <c r="AV60" s="900"/>
      <c r="AW60" s="900"/>
      <c r="AX60" s="900"/>
      <c r="AY60" s="900"/>
      <c r="AZ60" s="900"/>
      <c r="BA60" s="900"/>
      <c r="BB60" s="900"/>
      <c r="BC60" s="900"/>
      <c r="BD60" s="900"/>
      <c r="BE60" s="900"/>
      <c r="BF60" s="900"/>
      <c r="BG60" s="900"/>
      <c r="BH60" s="900"/>
      <c r="BI60" s="900"/>
      <c r="BJ60" s="900"/>
      <c r="BK60" s="900"/>
      <c r="BL60" s="900"/>
      <c r="BM60" s="900"/>
      <c r="BN60" s="900"/>
      <c r="BO60" s="900"/>
      <c r="BP60" s="900"/>
      <c r="BQ60" s="900"/>
      <c r="BR60" s="900"/>
      <c r="BS60" s="900"/>
      <c r="BT60" s="900"/>
      <c r="BU60" s="900"/>
      <c r="BV60" s="900"/>
      <c r="BW60" s="900"/>
      <c r="BX60" s="900"/>
      <c r="BY60" s="900"/>
      <c r="BZ60" s="900"/>
      <c r="CA60" s="900"/>
      <c r="CB60" s="900"/>
      <c r="CC60" s="900"/>
    </row>
    <row r="61" spans="1:81" ht="13.5" x14ac:dyDescent="0.25">
      <c r="K61" s="40">
        <f>SUM(K58:K60)</f>
        <v>0</v>
      </c>
      <c r="Q61" s="250"/>
      <c r="R61" s="250"/>
      <c r="S61" s="250"/>
    </row>
    <row r="65" spans="2:4" x14ac:dyDescent="0.2">
      <c r="B65" s="250">
        <f>448500-333500</f>
        <v>115000</v>
      </c>
    </row>
    <row r="73" spans="2:4" x14ac:dyDescent="0.2">
      <c r="D73" s="2058"/>
    </row>
    <row r="85" spans="5:5" x14ac:dyDescent="0.2">
      <c r="E85" s="2058"/>
    </row>
  </sheetData>
  <mergeCells count="8">
    <mergeCell ref="G3:N3"/>
    <mergeCell ref="B55:D55"/>
    <mergeCell ref="L9:O9"/>
    <mergeCell ref="G9:J9"/>
    <mergeCell ref="B9:E9"/>
    <mergeCell ref="G10:J10"/>
    <mergeCell ref="B10:E10"/>
    <mergeCell ref="L10:O10"/>
  </mergeCells>
  <printOptions horizontalCentered="1"/>
  <pageMargins left="0.19685039370078741" right="0.19685039370078741" top="0.39370078740157483" bottom="0.39370078740157483" header="0.31496062992125984" footer="0.31496062992125984"/>
  <pageSetup paperSize="9" scale="6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XFD119"/>
  <sheetViews>
    <sheetView topLeftCell="A2" zoomScale="85" zoomScaleNormal="85" workbookViewId="0">
      <selection activeCell="G42" sqref="G42"/>
    </sheetView>
  </sheetViews>
  <sheetFormatPr baseColWidth="10" defaultRowHeight="13.5" x14ac:dyDescent="0.25"/>
  <cols>
    <col min="1" max="1" width="41.28515625" style="2395" customWidth="1"/>
    <col min="2" max="2" width="25.140625" style="7" customWidth="1"/>
    <col min="3" max="3" width="34" style="7" customWidth="1"/>
    <col min="4" max="4" width="62.7109375" style="2368" customWidth="1"/>
    <col min="5" max="5" width="16.28515625" style="7" customWidth="1"/>
    <col min="6" max="6" width="12.140625" style="7" bestFit="1" customWidth="1"/>
    <col min="7" max="7" width="16.85546875" style="7" customWidth="1"/>
    <col min="8" max="8" width="11.42578125" style="7"/>
    <col min="9" max="9" width="9.85546875" style="7" customWidth="1"/>
    <col min="10" max="10" width="15.42578125" style="7" bestFit="1" customWidth="1"/>
    <col min="11" max="11" width="14.5703125" style="7" customWidth="1"/>
    <col min="12" max="12" width="14.140625" style="7" customWidth="1"/>
    <col min="13" max="13" width="15.28515625" style="7" bestFit="1" customWidth="1"/>
    <col min="14" max="16384" width="11.42578125" style="7"/>
  </cols>
  <sheetData>
    <row r="1" spans="1:7" ht="13.5" hidden="1" customHeight="1" x14ac:dyDescent="0.25"/>
    <row r="2" spans="1:7" ht="27.75" customHeight="1" x14ac:dyDescent="0.35">
      <c r="A2" s="2485" t="s">
        <v>2264</v>
      </c>
      <c r="C2" s="2110"/>
    </row>
    <row r="3" spans="1:7" ht="22.5" customHeight="1" thickBot="1" x14ac:dyDescent="0.4">
      <c r="A3" s="2446"/>
      <c r="B3" s="2446"/>
      <c r="C3" s="2446"/>
      <c r="D3" s="2446"/>
      <c r="E3" s="18"/>
    </row>
    <row r="4" spans="1:7" s="8" customFormat="1" ht="19.5" thickBot="1" x14ac:dyDescent="0.35">
      <c r="A4" s="2396" t="s">
        <v>160</v>
      </c>
      <c r="B4" s="2142" t="s">
        <v>61</v>
      </c>
      <c r="C4" s="2143" t="s">
        <v>1098</v>
      </c>
      <c r="D4" s="2143" t="s">
        <v>39</v>
      </c>
      <c r="E4" s="2275"/>
    </row>
    <row r="5" spans="1:7" ht="21.75" customHeight="1" thickBot="1" x14ac:dyDescent="0.4">
      <c r="A5" s="2397" t="s">
        <v>0</v>
      </c>
      <c r="B5" s="2087">
        <v>473</v>
      </c>
      <c r="C5" s="2076">
        <v>630</v>
      </c>
      <c r="D5" s="2832">
        <f>+B5*C5</f>
        <v>297990</v>
      </c>
      <c r="E5" s="2274"/>
    </row>
    <row r="6" spans="1:7" s="2075" customFormat="1" ht="21.75" thickBot="1" x14ac:dyDescent="0.4">
      <c r="A6" s="2398" t="s">
        <v>2</v>
      </c>
      <c r="B6" s="2343">
        <v>2885</v>
      </c>
      <c r="C6" s="2076">
        <v>575</v>
      </c>
      <c r="D6" s="2832">
        <f>+B6*C6</f>
        <v>1658875</v>
      </c>
      <c r="E6" s="2274"/>
    </row>
    <row r="7" spans="1:7" ht="21.75" thickBot="1" x14ac:dyDescent="0.4">
      <c r="A7" s="2398" t="s">
        <v>1</v>
      </c>
      <c r="B7" s="2088">
        <v>0</v>
      </c>
      <c r="C7" s="2076">
        <v>350</v>
      </c>
      <c r="D7" s="2369">
        <f>+B7*C7</f>
        <v>0</v>
      </c>
      <c r="E7" s="2274"/>
    </row>
    <row r="8" spans="1:7" ht="24.75" thickBot="1" x14ac:dyDescent="0.4">
      <c r="A8" s="2399" t="s">
        <v>235</v>
      </c>
      <c r="B8" s="2223">
        <f>SUM(B5:B7)</f>
        <v>3358</v>
      </c>
      <c r="C8" s="2223"/>
      <c r="D8" s="2833">
        <f>SUM(D5:D7)</f>
        <v>1956865</v>
      </c>
      <c r="E8" s="2274"/>
    </row>
    <row r="9" spans="1:7" ht="21.75" thickBot="1" x14ac:dyDescent="0.4">
      <c r="A9" s="2398" t="s">
        <v>52</v>
      </c>
      <c r="B9" s="2172">
        <v>30</v>
      </c>
      <c r="C9" s="2078"/>
      <c r="D9" s="2370">
        <v>71500</v>
      </c>
      <c r="E9" s="2274"/>
    </row>
    <row r="10" spans="1:7" ht="19.5" customHeight="1" x14ac:dyDescent="0.25">
      <c r="A10" s="2447" t="s">
        <v>1099</v>
      </c>
      <c r="B10" s="2842">
        <f>D8+D9</f>
        <v>2028365</v>
      </c>
      <c r="C10" s="2843"/>
      <c r="D10" s="2844"/>
      <c r="E10" s="2083"/>
    </row>
    <row r="11" spans="1:7" ht="20.25" customHeight="1" thickBot="1" x14ac:dyDescent="0.3">
      <c r="A11" s="2633"/>
      <c r="B11" s="2858"/>
      <c r="C11" s="2859"/>
      <c r="D11" s="2860"/>
      <c r="E11" s="2083"/>
    </row>
    <row r="12" spans="1:7" ht="44.25" customHeight="1" thickBot="1" x14ac:dyDescent="0.3">
      <c r="A12" s="2848" t="s">
        <v>638</v>
      </c>
      <c r="B12" s="2849"/>
      <c r="C12" s="2849"/>
      <c r="D12" s="2850"/>
      <c r="E12" s="2083"/>
      <c r="G12" s="7" t="s">
        <v>2091</v>
      </c>
    </row>
    <row r="13" spans="1:7" s="2638" customFormat="1" ht="21.75" customHeight="1" x14ac:dyDescent="0.4">
      <c r="A13" s="2634" t="s">
        <v>638</v>
      </c>
      <c r="B13" s="2635" t="s">
        <v>1974</v>
      </c>
      <c r="C13" s="2635" t="s">
        <v>161</v>
      </c>
      <c r="D13" s="2636" t="s">
        <v>39</v>
      </c>
      <c r="E13" s="2637"/>
    </row>
    <row r="14" spans="1:7" ht="26.25" customHeight="1" x14ac:dyDescent="0.4">
      <c r="A14" s="2863" t="s">
        <v>2162</v>
      </c>
      <c r="B14" s="2692" t="s">
        <v>1826</v>
      </c>
      <c r="C14" s="2164">
        <f t="shared" ref="C14:C19" si="0">+D14/575</f>
        <v>918</v>
      </c>
      <c r="D14" s="2754">
        <v>527850</v>
      </c>
      <c r="E14" s="2637"/>
    </row>
    <row r="15" spans="1:7" ht="26.25" customHeight="1" x14ac:dyDescent="0.4">
      <c r="A15" s="2863" t="s">
        <v>2263</v>
      </c>
      <c r="B15" s="2692" t="s">
        <v>1826</v>
      </c>
      <c r="C15" s="2164">
        <f t="shared" si="0"/>
        <v>40.144347826086957</v>
      </c>
      <c r="D15" s="2754">
        <v>23083</v>
      </c>
      <c r="E15" s="2637"/>
    </row>
    <row r="16" spans="1:7" ht="26.25" customHeight="1" x14ac:dyDescent="0.4">
      <c r="A16" s="2863" t="s">
        <v>352</v>
      </c>
      <c r="B16" s="2692" t="s">
        <v>2265</v>
      </c>
      <c r="C16" s="2164">
        <f t="shared" si="0"/>
        <v>92.173913043478265</v>
      </c>
      <c r="D16" s="2754">
        <v>53000</v>
      </c>
      <c r="E16" s="2637"/>
    </row>
    <row r="17" spans="1:16384" ht="26.25" customHeight="1" x14ac:dyDescent="0.4">
      <c r="A17" s="2863"/>
      <c r="B17" s="2692"/>
      <c r="C17" s="2164">
        <f t="shared" si="0"/>
        <v>0</v>
      </c>
      <c r="D17" s="2754"/>
      <c r="E17" s="2637"/>
    </row>
    <row r="18" spans="1:16384" ht="26.25" hidden="1" customHeight="1" x14ac:dyDescent="0.4">
      <c r="A18" s="2863"/>
      <c r="B18" s="2692" t="s">
        <v>2094</v>
      </c>
      <c r="C18" s="2164">
        <f t="shared" si="0"/>
        <v>0</v>
      </c>
      <c r="D18" s="2754"/>
      <c r="E18" s="2637"/>
    </row>
    <row r="19" spans="1:16384" ht="26.25" hidden="1" customHeight="1" x14ac:dyDescent="0.4">
      <c r="A19" s="2759"/>
      <c r="B19" s="2692"/>
      <c r="C19" s="2164">
        <f t="shared" si="0"/>
        <v>0</v>
      </c>
      <c r="D19" s="2754"/>
      <c r="E19" s="2637"/>
    </row>
    <row r="20" spans="1:16384" ht="26.25" hidden="1" customHeight="1" x14ac:dyDescent="0.4">
      <c r="A20" s="2759"/>
      <c r="B20" s="2692" t="s">
        <v>2094</v>
      </c>
      <c r="C20" s="2164">
        <f t="shared" ref="C20:C25" si="1">+D20/575</f>
        <v>0</v>
      </c>
      <c r="D20" s="2754"/>
      <c r="E20" s="2637"/>
    </row>
    <row r="21" spans="1:16384" s="3" customFormat="1" ht="32.25" hidden="1" customHeight="1" x14ac:dyDescent="0.35">
      <c r="A21" s="2654"/>
      <c r="B21" s="2639" t="s">
        <v>1826</v>
      </c>
      <c r="C21" s="2164">
        <f t="shared" si="1"/>
        <v>0</v>
      </c>
      <c r="D21" s="2655"/>
      <c r="E21" s="2274"/>
    </row>
    <row r="22" spans="1:16384" s="3" customFormat="1" ht="32.25" hidden="1" customHeight="1" x14ac:dyDescent="0.35">
      <c r="A22" s="2654"/>
      <c r="B22" s="2639" t="s">
        <v>1826</v>
      </c>
      <c r="C22" s="2164">
        <f t="shared" si="1"/>
        <v>0</v>
      </c>
      <c r="D22" s="2655"/>
      <c r="E22" s="2274"/>
    </row>
    <row r="23" spans="1:16384" s="3" customFormat="1" ht="32.25" hidden="1" customHeight="1" x14ac:dyDescent="0.35">
      <c r="A23" s="2654"/>
      <c r="B23" s="2639" t="s">
        <v>1826</v>
      </c>
      <c r="C23" s="2164">
        <f t="shared" si="1"/>
        <v>0</v>
      </c>
      <c r="D23" s="2655"/>
      <c r="E23" s="2274"/>
    </row>
    <row r="24" spans="1:16384" s="3" customFormat="1" ht="32.25" hidden="1" customHeight="1" x14ac:dyDescent="0.35">
      <c r="A24" s="2851"/>
      <c r="B24" s="2639"/>
      <c r="C24" s="2164">
        <f t="shared" si="1"/>
        <v>0</v>
      </c>
      <c r="D24" s="2655"/>
      <c r="E24" s="2274"/>
    </row>
    <row r="25" spans="1:16384" s="3" customFormat="1" ht="32.25" hidden="1" customHeight="1" x14ac:dyDescent="0.35">
      <c r="A25" s="2851"/>
      <c r="B25" s="2639"/>
      <c r="C25" s="2164">
        <f t="shared" si="1"/>
        <v>0</v>
      </c>
      <c r="D25" s="2655"/>
      <c r="E25" s="2274"/>
    </row>
    <row r="26" spans="1:16384" s="3" customFormat="1" ht="32.25" hidden="1" customHeight="1" x14ac:dyDescent="0.25">
      <c r="A26" s="2692"/>
      <c r="B26" s="2692"/>
      <c r="C26" s="2692"/>
      <c r="D26" s="2692"/>
      <c r="E26" s="2692"/>
      <c r="F26" s="2692"/>
      <c r="G26" s="2692"/>
      <c r="H26" s="2692"/>
      <c r="I26" s="2692"/>
      <c r="J26" s="2692"/>
      <c r="K26" s="2692"/>
      <c r="L26" s="2692"/>
      <c r="M26" s="2692"/>
      <c r="N26" s="2692"/>
      <c r="O26" s="2692"/>
      <c r="P26" s="2692"/>
      <c r="Q26" s="2692"/>
      <c r="R26" s="2692"/>
      <c r="S26" s="2692"/>
      <c r="T26" s="2692"/>
      <c r="U26" s="2692"/>
      <c r="V26" s="2692"/>
      <c r="W26" s="2692"/>
      <c r="X26" s="2692"/>
      <c r="Y26" s="2692"/>
      <c r="Z26" s="2692"/>
      <c r="AA26" s="2692"/>
      <c r="AB26" s="2692"/>
      <c r="AC26" s="2692"/>
      <c r="AD26" s="2692"/>
      <c r="AE26" s="2692"/>
      <c r="AF26" s="2692"/>
      <c r="AG26" s="2692"/>
      <c r="AH26" s="2692"/>
      <c r="AI26" s="2692"/>
      <c r="AJ26" s="2692"/>
      <c r="AK26" s="2692"/>
      <c r="AL26" s="2692"/>
      <c r="AM26" s="2692"/>
      <c r="AN26" s="2692"/>
      <c r="AO26" s="2692"/>
      <c r="AP26" s="2692"/>
      <c r="AQ26" s="2692"/>
      <c r="AR26" s="2692"/>
      <c r="AS26" s="2692"/>
      <c r="AT26" s="2692"/>
      <c r="AU26" s="2692"/>
      <c r="AV26" s="2692"/>
      <c r="AW26" s="2692"/>
      <c r="AX26" s="2692"/>
      <c r="AY26" s="2692"/>
      <c r="AZ26" s="2692"/>
      <c r="BA26" s="2692"/>
      <c r="BB26" s="2692"/>
      <c r="BC26" s="2692"/>
      <c r="BD26" s="2692"/>
      <c r="BE26" s="2692"/>
      <c r="BF26" s="2692"/>
      <c r="BG26" s="2692"/>
      <c r="BH26" s="2692"/>
      <c r="BI26" s="2692"/>
      <c r="BJ26" s="2692"/>
      <c r="BK26" s="2692"/>
      <c r="BL26" s="2692"/>
      <c r="BM26" s="2692"/>
      <c r="BN26" s="2692"/>
      <c r="BO26" s="2692"/>
      <c r="BP26" s="2692"/>
      <c r="BQ26" s="2692"/>
      <c r="BR26" s="2692"/>
      <c r="BS26" s="2692"/>
      <c r="BT26" s="2692"/>
      <c r="BU26" s="2692"/>
      <c r="BV26" s="2692"/>
      <c r="BW26" s="2692"/>
      <c r="BX26" s="2692"/>
      <c r="BY26" s="2692"/>
      <c r="BZ26" s="2692"/>
      <c r="CA26" s="2692"/>
      <c r="CB26" s="2692"/>
      <c r="CC26" s="2692"/>
      <c r="CD26" s="2692"/>
      <c r="CE26" s="2692"/>
      <c r="CF26" s="2692"/>
      <c r="CG26" s="2692"/>
      <c r="CH26" s="2692"/>
      <c r="CI26" s="2692"/>
      <c r="CJ26" s="2692"/>
      <c r="CK26" s="2692"/>
      <c r="CL26" s="2692"/>
      <c r="CM26" s="2692"/>
      <c r="CN26" s="2692"/>
      <c r="CO26" s="2692"/>
      <c r="CP26" s="2692"/>
      <c r="CQ26" s="2692"/>
      <c r="CR26" s="2692"/>
      <c r="CS26" s="2692"/>
      <c r="CT26" s="2692"/>
      <c r="CU26" s="2692"/>
      <c r="CV26" s="2692"/>
      <c r="CW26" s="2692"/>
      <c r="CX26" s="2692"/>
      <c r="CY26" s="2692"/>
      <c r="CZ26" s="2692"/>
      <c r="DA26" s="2692"/>
      <c r="DB26" s="2692"/>
      <c r="DC26" s="2692"/>
      <c r="DD26" s="2692"/>
      <c r="DE26" s="2692"/>
      <c r="DF26" s="2692"/>
      <c r="DG26" s="2692"/>
      <c r="DH26" s="2692"/>
      <c r="DI26" s="2692"/>
      <c r="DJ26" s="2692"/>
      <c r="DK26" s="2692"/>
      <c r="DL26" s="2692"/>
      <c r="DM26" s="2692"/>
      <c r="DN26" s="2692"/>
      <c r="DO26" s="2692"/>
      <c r="DP26" s="2692"/>
      <c r="DQ26" s="2692"/>
      <c r="DR26" s="2692"/>
      <c r="DS26" s="2692"/>
      <c r="DT26" s="2692"/>
      <c r="DU26" s="2692"/>
      <c r="DV26" s="2692"/>
      <c r="DW26" s="2692"/>
      <c r="DX26" s="2692"/>
      <c r="DY26" s="2692"/>
      <c r="DZ26" s="2692"/>
      <c r="EA26" s="2692"/>
      <c r="EB26" s="2692"/>
      <c r="EC26" s="2692"/>
      <c r="ED26" s="2692"/>
      <c r="EE26" s="2692"/>
      <c r="EF26" s="2692"/>
      <c r="EG26" s="2692"/>
      <c r="EH26" s="2692"/>
      <c r="EI26" s="2692"/>
      <c r="EJ26" s="2692"/>
      <c r="EK26" s="2692"/>
      <c r="EL26" s="2692"/>
      <c r="EM26" s="2692"/>
      <c r="EN26" s="2692"/>
      <c r="EO26" s="2692"/>
      <c r="EP26" s="2692"/>
      <c r="EQ26" s="2692"/>
      <c r="ER26" s="2692"/>
      <c r="ES26" s="2692"/>
      <c r="ET26" s="2692"/>
      <c r="EU26" s="2692"/>
      <c r="EV26" s="2692"/>
      <c r="EW26" s="2692"/>
      <c r="EX26" s="2692"/>
      <c r="EY26" s="2692"/>
      <c r="EZ26" s="2692"/>
      <c r="FA26" s="2692"/>
      <c r="FB26" s="2692"/>
      <c r="FC26" s="2692"/>
      <c r="FD26" s="2692"/>
      <c r="FE26" s="2692"/>
      <c r="FF26" s="2692"/>
      <c r="FG26" s="2692"/>
      <c r="FH26" s="2692"/>
      <c r="FI26" s="2692"/>
      <c r="FJ26" s="2692"/>
      <c r="FK26" s="2692"/>
      <c r="FL26" s="2692"/>
      <c r="FM26" s="2692"/>
      <c r="FN26" s="2692"/>
      <c r="FO26" s="2692"/>
      <c r="FP26" s="2692"/>
      <c r="FQ26" s="2692"/>
      <c r="FR26" s="2692"/>
      <c r="FS26" s="2692"/>
      <c r="FT26" s="2692"/>
      <c r="FU26" s="2692"/>
      <c r="FV26" s="2692"/>
      <c r="FW26" s="2692"/>
      <c r="FX26" s="2692"/>
      <c r="FY26" s="2692"/>
      <c r="FZ26" s="2692"/>
      <c r="GA26" s="2692"/>
      <c r="GB26" s="2692"/>
      <c r="GC26" s="2692"/>
      <c r="GD26" s="2692"/>
      <c r="GE26" s="2692"/>
      <c r="GF26" s="2692"/>
      <c r="GG26" s="2692"/>
      <c r="GH26" s="2692"/>
      <c r="GI26" s="2692"/>
      <c r="GJ26" s="2692"/>
      <c r="GK26" s="2692"/>
      <c r="GL26" s="2692"/>
      <c r="GM26" s="2692"/>
      <c r="GN26" s="2692"/>
      <c r="GO26" s="2692"/>
      <c r="GP26" s="2692"/>
      <c r="GQ26" s="2692"/>
      <c r="GR26" s="2692"/>
      <c r="GS26" s="2692"/>
      <c r="GT26" s="2692"/>
      <c r="GU26" s="2692"/>
      <c r="GV26" s="2692"/>
      <c r="GW26" s="2692"/>
      <c r="GX26" s="2692"/>
      <c r="GY26" s="2692"/>
      <c r="GZ26" s="2692"/>
      <c r="HA26" s="2692"/>
      <c r="HB26" s="2692"/>
      <c r="HC26" s="2692"/>
      <c r="HD26" s="2692"/>
      <c r="HE26" s="2692"/>
      <c r="HF26" s="2692"/>
      <c r="HG26" s="2692"/>
      <c r="HH26" s="2692"/>
      <c r="HI26" s="2692"/>
      <c r="HJ26" s="2692"/>
      <c r="HK26" s="2692"/>
      <c r="HL26" s="2692"/>
      <c r="HM26" s="2692"/>
      <c r="HN26" s="2692"/>
      <c r="HO26" s="2692"/>
      <c r="HP26" s="2692"/>
      <c r="HQ26" s="2692"/>
      <c r="HR26" s="2692"/>
      <c r="HS26" s="2692"/>
      <c r="HT26" s="2692"/>
      <c r="HU26" s="2692"/>
      <c r="HV26" s="2692"/>
      <c r="HW26" s="2692"/>
      <c r="HX26" s="2692"/>
      <c r="HY26" s="2692"/>
      <c r="HZ26" s="2692"/>
      <c r="IA26" s="2692"/>
      <c r="IB26" s="2692"/>
      <c r="IC26" s="2692"/>
      <c r="ID26" s="2692"/>
      <c r="IE26" s="2692"/>
      <c r="IF26" s="2692"/>
      <c r="IG26" s="2692"/>
      <c r="IH26" s="2692"/>
      <c r="II26" s="2692"/>
      <c r="IJ26" s="2692"/>
      <c r="IK26" s="2692"/>
      <c r="IL26" s="2692"/>
      <c r="IM26" s="2692"/>
      <c r="IN26" s="2692"/>
      <c r="IO26" s="2692"/>
      <c r="IP26" s="2692"/>
      <c r="IQ26" s="2692"/>
      <c r="IR26" s="2692"/>
      <c r="IS26" s="2692"/>
      <c r="IT26" s="2692"/>
      <c r="IU26" s="2692"/>
      <c r="IV26" s="2692"/>
      <c r="IW26" s="2692"/>
      <c r="IX26" s="2692"/>
      <c r="IY26" s="2692"/>
      <c r="IZ26" s="2692"/>
      <c r="JA26" s="2692"/>
      <c r="JB26" s="2692"/>
      <c r="JC26" s="2692"/>
      <c r="JD26" s="2692"/>
      <c r="JE26" s="2692"/>
      <c r="JF26" s="2692"/>
      <c r="JG26" s="2692"/>
      <c r="JH26" s="2692"/>
      <c r="JI26" s="2692"/>
      <c r="JJ26" s="2692"/>
      <c r="JK26" s="2692"/>
      <c r="JL26" s="2692"/>
      <c r="JM26" s="2692"/>
      <c r="JN26" s="2692"/>
      <c r="JO26" s="2692"/>
      <c r="JP26" s="2692"/>
      <c r="JQ26" s="2692"/>
      <c r="JR26" s="2692"/>
      <c r="JS26" s="2692"/>
      <c r="JT26" s="2692"/>
      <c r="JU26" s="2692"/>
      <c r="JV26" s="2692"/>
      <c r="JW26" s="2692"/>
      <c r="JX26" s="2692"/>
      <c r="JY26" s="2692"/>
      <c r="JZ26" s="2692"/>
      <c r="KA26" s="2692"/>
      <c r="KB26" s="2692"/>
      <c r="KC26" s="2692"/>
      <c r="KD26" s="2692"/>
      <c r="KE26" s="2692"/>
      <c r="KF26" s="2692"/>
      <c r="KG26" s="2692"/>
      <c r="KH26" s="2692"/>
      <c r="KI26" s="2692"/>
      <c r="KJ26" s="2692"/>
      <c r="KK26" s="2692"/>
      <c r="KL26" s="2692"/>
      <c r="KM26" s="2692"/>
      <c r="KN26" s="2692"/>
      <c r="KO26" s="2692"/>
      <c r="KP26" s="2692"/>
      <c r="KQ26" s="2692"/>
      <c r="KR26" s="2692"/>
      <c r="KS26" s="2692"/>
      <c r="KT26" s="2692"/>
      <c r="KU26" s="2692"/>
      <c r="KV26" s="2692"/>
      <c r="KW26" s="2692"/>
      <c r="KX26" s="2692"/>
      <c r="KY26" s="2692"/>
      <c r="KZ26" s="2692"/>
      <c r="LA26" s="2692"/>
      <c r="LB26" s="2692"/>
      <c r="LC26" s="2692"/>
      <c r="LD26" s="2692"/>
      <c r="LE26" s="2692"/>
      <c r="LF26" s="2692"/>
      <c r="LG26" s="2692"/>
      <c r="LH26" s="2692"/>
      <c r="LI26" s="2692"/>
      <c r="LJ26" s="2692"/>
      <c r="LK26" s="2692"/>
      <c r="LL26" s="2692"/>
      <c r="LM26" s="2692"/>
      <c r="LN26" s="2692"/>
      <c r="LO26" s="2692"/>
      <c r="LP26" s="2692"/>
      <c r="LQ26" s="2692"/>
      <c r="LR26" s="2692"/>
      <c r="LS26" s="2692"/>
      <c r="LT26" s="2692"/>
      <c r="LU26" s="2692"/>
      <c r="LV26" s="2692"/>
      <c r="LW26" s="2692"/>
      <c r="LX26" s="2692"/>
      <c r="LY26" s="2692"/>
      <c r="LZ26" s="2692"/>
      <c r="MA26" s="2692"/>
      <c r="MB26" s="2692"/>
      <c r="MC26" s="2692"/>
      <c r="MD26" s="2692"/>
      <c r="ME26" s="2692"/>
      <c r="MF26" s="2692"/>
      <c r="MG26" s="2692"/>
      <c r="MH26" s="2692"/>
      <c r="MI26" s="2692"/>
      <c r="MJ26" s="2692"/>
      <c r="MK26" s="2692"/>
      <c r="ML26" s="2692"/>
      <c r="MM26" s="2692"/>
      <c r="MN26" s="2692"/>
      <c r="MO26" s="2692"/>
      <c r="MP26" s="2692"/>
      <c r="MQ26" s="2692"/>
      <c r="MR26" s="2692"/>
      <c r="MS26" s="2692"/>
      <c r="MT26" s="2692"/>
      <c r="MU26" s="2692"/>
      <c r="MV26" s="2692"/>
      <c r="MW26" s="2692"/>
      <c r="MX26" s="2692"/>
      <c r="MY26" s="2692"/>
      <c r="MZ26" s="2692"/>
      <c r="NA26" s="2692"/>
      <c r="NB26" s="2692"/>
      <c r="NC26" s="2692"/>
      <c r="ND26" s="2692"/>
      <c r="NE26" s="2692"/>
      <c r="NF26" s="2692"/>
      <c r="NG26" s="2692"/>
      <c r="NH26" s="2692"/>
      <c r="NI26" s="2692"/>
      <c r="NJ26" s="2692"/>
      <c r="NK26" s="2692"/>
      <c r="NL26" s="2692"/>
      <c r="NM26" s="2692"/>
      <c r="NN26" s="2692"/>
      <c r="NO26" s="2692"/>
      <c r="NP26" s="2692"/>
      <c r="NQ26" s="2692"/>
      <c r="NR26" s="2692"/>
      <c r="NS26" s="2692"/>
      <c r="NT26" s="2692"/>
      <c r="NU26" s="2692"/>
      <c r="NV26" s="2692"/>
      <c r="NW26" s="2692"/>
      <c r="NX26" s="2692"/>
      <c r="NY26" s="2692"/>
      <c r="NZ26" s="2692"/>
      <c r="OA26" s="2692"/>
      <c r="OB26" s="2692"/>
      <c r="OC26" s="2692"/>
      <c r="OD26" s="2692"/>
      <c r="OE26" s="2692"/>
      <c r="OF26" s="2692"/>
      <c r="OG26" s="2692"/>
      <c r="OH26" s="2692"/>
      <c r="OI26" s="2692"/>
      <c r="OJ26" s="2692"/>
      <c r="OK26" s="2692"/>
      <c r="OL26" s="2692"/>
      <c r="OM26" s="2692"/>
      <c r="ON26" s="2692"/>
      <c r="OO26" s="2692"/>
      <c r="OP26" s="2692"/>
      <c r="OQ26" s="2692"/>
      <c r="OR26" s="2692"/>
      <c r="OS26" s="2692"/>
      <c r="OT26" s="2692"/>
      <c r="OU26" s="2692"/>
      <c r="OV26" s="2692"/>
      <c r="OW26" s="2692"/>
      <c r="OX26" s="2692"/>
      <c r="OY26" s="2692"/>
      <c r="OZ26" s="2692"/>
      <c r="PA26" s="2692"/>
      <c r="PB26" s="2692"/>
      <c r="PC26" s="2692"/>
      <c r="PD26" s="2692"/>
      <c r="PE26" s="2692"/>
      <c r="PF26" s="2692"/>
      <c r="PG26" s="2692"/>
      <c r="PH26" s="2692"/>
      <c r="PI26" s="2692"/>
      <c r="PJ26" s="2692"/>
      <c r="PK26" s="2692"/>
      <c r="PL26" s="2692"/>
      <c r="PM26" s="2692"/>
      <c r="PN26" s="2692"/>
      <c r="PO26" s="2692"/>
      <c r="PP26" s="2692"/>
      <c r="PQ26" s="2692"/>
      <c r="PR26" s="2692"/>
      <c r="PS26" s="2692"/>
      <c r="PT26" s="2692"/>
      <c r="PU26" s="2692"/>
      <c r="PV26" s="2692"/>
      <c r="PW26" s="2692"/>
      <c r="PX26" s="2692"/>
      <c r="PY26" s="2692"/>
      <c r="PZ26" s="2692"/>
      <c r="QA26" s="2692"/>
      <c r="QB26" s="2692"/>
      <c r="QC26" s="2692"/>
      <c r="QD26" s="2692"/>
      <c r="QE26" s="2692"/>
      <c r="QF26" s="2692"/>
      <c r="QG26" s="2692"/>
      <c r="QH26" s="2692"/>
      <c r="QI26" s="2692"/>
      <c r="QJ26" s="2692"/>
      <c r="QK26" s="2692"/>
      <c r="QL26" s="2692"/>
      <c r="QM26" s="2692"/>
      <c r="QN26" s="2692"/>
      <c r="QO26" s="2692"/>
      <c r="QP26" s="2692"/>
      <c r="QQ26" s="2692"/>
      <c r="QR26" s="2692"/>
      <c r="QS26" s="2692"/>
      <c r="QT26" s="2692"/>
      <c r="QU26" s="2692"/>
      <c r="QV26" s="2692"/>
      <c r="QW26" s="2692"/>
      <c r="QX26" s="2692"/>
      <c r="QY26" s="2692"/>
      <c r="QZ26" s="2692"/>
      <c r="RA26" s="2692"/>
      <c r="RB26" s="2692"/>
      <c r="RC26" s="2692"/>
      <c r="RD26" s="2692"/>
      <c r="RE26" s="2692"/>
      <c r="RF26" s="2692"/>
      <c r="RG26" s="2692"/>
      <c r="RH26" s="2692"/>
      <c r="RI26" s="2692"/>
      <c r="RJ26" s="2692"/>
      <c r="RK26" s="2692"/>
      <c r="RL26" s="2692"/>
      <c r="RM26" s="2692"/>
      <c r="RN26" s="2692"/>
      <c r="RO26" s="2692"/>
      <c r="RP26" s="2692"/>
      <c r="RQ26" s="2692"/>
      <c r="RR26" s="2692"/>
      <c r="RS26" s="2692"/>
      <c r="RT26" s="2692"/>
      <c r="RU26" s="2692"/>
      <c r="RV26" s="2692"/>
      <c r="RW26" s="2692"/>
      <c r="RX26" s="2692"/>
      <c r="RY26" s="2692"/>
      <c r="RZ26" s="2692"/>
      <c r="SA26" s="2692"/>
      <c r="SB26" s="2692"/>
      <c r="SC26" s="2692"/>
      <c r="SD26" s="2692"/>
      <c r="SE26" s="2692"/>
      <c r="SF26" s="2692"/>
      <c r="SG26" s="2692"/>
      <c r="SH26" s="2692"/>
      <c r="SI26" s="2692"/>
      <c r="SJ26" s="2692"/>
      <c r="SK26" s="2692"/>
      <c r="SL26" s="2692"/>
      <c r="SM26" s="2692"/>
      <c r="SN26" s="2692"/>
      <c r="SO26" s="2692"/>
      <c r="SP26" s="2692"/>
      <c r="SQ26" s="2692"/>
      <c r="SR26" s="2692"/>
      <c r="SS26" s="2692"/>
      <c r="ST26" s="2692"/>
      <c r="SU26" s="2692"/>
      <c r="SV26" s="2692"/>
      <c r="SW26" s="2692"/>
      <c r="SX26" s="2692"/>
      <c r="SY26" s="2692"/>
      <c r="SZ26" s="2692"/>
      <c r="TA26" s="2692"/>
      <c r="TB26" s="2692"/>
      <c r="TC26" s="2692"/>
      <c r="TD26" s="2692"/>
      <c r="TE26" s="2692"/>
      <c r="TF26" s="2692"/>
      <c r="TG26" s="2692"/>
      <c r="TH26" s="2692"/>
      <c r="TI26" s="2692"/>
      <c r="TJ26" s="2692"/>
      <c r="TK26" s="2692"/>
      <c r="TL26" s="2692"/>
      <c r="TM26" s="2692"/>
      <c r="TN26" s="2692"/>
      <c r="TO26" s="2692"/>
      <c r="TP26" s="2692"/>
      <c r="TQ26" s="2692"/>
      <c r="TR26" s="2692"/>
      <c r="TS26" s="2692"/>
      <c r="TT26" s="2692"/>
      <c r="TU26" s="2692"/>
      <c r="TV26" s="2692"/>
      <c r="TW26" s="2692"/>
      <c r="TX26" s="2692"/>
      <c r="TY26" s="2692"/>
      <c r="TZ26" s="2692"/>
      <c r="UA26" s="2692"/>
      <c r="UB26" s="2692"/>
      <c r="UC26" s="2692"/>
      <c r="UD26" s="2692"/>
      <c r="UE26" s="2692"/>
      <c r="UF26" s="2692"/>
      <c r="UG26" s="2692"/>
      <c r="UH26" s="2692"/>
      <c r="UI26" s="2692"/>
      <c r="UJ26" s="2692"/>
      <c r="UK26" s="2692"/>
      <c r="UL26" s="2692"/>
      <c r="UM26" s="2692"/>
      <c r="UN26" s="2692"/>
      <c r="UO26" s="2692"/>
      <c r="UP26" s="2692"/>
      <c r="UQ26" s="2692"/>
      <c r="UR26" s="2692"/>
      <c r="US26" s="2692"/>
      <c r="UT26" s="2692"/>
      <c r="UU26" s="2692"/>
      <c r="UV26" s="2692"/>
      <c r="UW26" s="2692"/>
      <c r="UX26" s="2692"/>
      <c r="UY26" s="2692"/>
      <c r="UZ26" s="2692"/>
      <c r="VA26" s="2692"/>
      <c r="VB26" s="2692"/>
      <c r="VC26" s="2692"/>
      <c r="VD26" s="2692"/>
      <c r="VE26" s="2692"/>
      <c r="VF26" s="2692"/>
      <c r="VG26" s="2692"/>
      <c r="VH26" s="2692"/>
      <c r="VI26" s="2692"/>
      <c r="VJ26" s="2692"/>
      <c r="VK26" s="2692"/>
      <c r="VL26" s="2692"/>
      <c r="VM26" s="2692"/>
      <c r="VN26" s="2692"/>
      <c r="VO26" s="2692"/>
      <c r="VP26" s="2692"/>
      <c r="VQ26" s="2692"/>
      <c r="VR26" s="2692"/>
      <c r="VS26" s="2692"/>
      <c r="VT26" s="2692"/>
      <c r="VU26" s="2692"/>
      <c r="VV26" s="2692"/>
      <c r="VW26" s="2692"/>
      <c r="VX26" s="2692"/>
      <c r="VY26" s="2692"/>
      <c r="VZ26" s="2692"/>
      <c r="WA26" s="2692"/>
      <c r="WB26" s="2692"/>
      <c r="WC26" s="2692"/>
      <c r="WD26" s="2692"/>
      <c r="WE26" s="2692"/>
      <c r="WF26" s="2692"/>
      <c r="WG26" s="2692"/>
      <c r="WH26" s="2692"/>
      <c r="WI26" s="2692"/>
      <c r="WJ26" s="2692"/>
      <c r="WK26" s="2692"/>
      <c r="WL26" s="2692"/>
      <c r="WM26" s="2692"/>
      <c r="WN26" s="2692"/>
      <c r="WO26" s="2692"/>
      <c r="WP26" s="2692"/>
      <c r="WQ26" s="2692"/>
      <c r="WR26" s="2692"/>
      <c r="WS26" s="2692"/>
      <c r="WT26" s="2692"/>
      <c r="WU26" s="2692"/>
      <c r="WV26" s="2692"/>
      <c r="WW26" s="2692"/>
      <c r="WX26" s="2692"/>
      <c r="WY26" s="2692"/>
      <c r="WZ26" s="2692"/>
      <c r="XA26" s="2692"/>
      <c r="XB26" s="2692"/>
      <c r="XC26" s="2692"/>
      <c r="XD26" s="2692"/>
      <c r="XE26" s="2692"/>
      <c r="XF26" s="2692"/>
      <c r="XG26" s="2692"/>
      <c r="XH26" s="2692"/>
      <c r="XI26" s="2692"/>
      <c r="XJ26" s="2692"/>
      <c r="XK26" s="2692"/>
      <c r="XL26" s="2692"/>
      <c r="XM26" s="2692"/>
      <c r="XN26" s="2692"/>
      <c r="XO26" s="2692"/>
      <c r="XP26" s="2692"/>
      <c r="XQ26" s="2692"/>
      <c r="XR26" s="2692"/>
      <c r="XS26" s="2692"/>
      <c r="XT26" s="2692"/>
      <c r="XU26" s="2692"/>
      <c r="XV26" s="2692"/>
      <c r="XW26" s="2692"/>
      <c r="XX26" s="2692"/>
      <c r="XY26" s="2692"/>
      <c r="XZ26" s="2692"/>
      <c r="YA26" s="2692"/>
      <c r="YB26" s="2692"/>
      <c r="YC26" s="2692"/>
      <c r="YD26" s="2692"/>
      <c r="YE26" s="2692"/>
      <c r="YF26" s="2692"/>
      <c r="YG26" s="2692"/>
      <c r="YH26" s="2692"/>
      <c r="YI26" s="2692"/>
      <c r="YJ26" s="2692"/>
      <c r="YK26" s="2692"/>
      <c r="YL26" s="2692"/>
      <c r="YM26" s="2692"/>
      <c r="YN26" s="2692"/>
      <c r="YO26" s="2692"/>
      <c r="YP26" s="2692"/>
      <c r="YQ26" s="2692"/>
      <c r="YR26" s="2692"/>
      <c r="YS26" s="2692"/>
      <c r="YT26" s="2692"/>
      <c r="YU26" s="2692"/>
      <c r="YV26" s="2692"/>
      <c r="YW26" s="2692"/>
      <c r="YX26" s="2692"/>
      <c r="YY26" s="2692"/>
      <c r="YZ26" s="2692"/>
      <c r="ZA26" s="2692"/>
      <c r="ZB26" s="2692"/>
      <c r="ZC26" s="2692"/>
      <c r="ZD26" s="2692"/>
      <c r="ZE26" s="2692"/>
      <c r="ZF26" s="2692"/>
      <c r="ZG26" s="2692"/>
      <c r="ZH26" s="2692"/>
      <c r="ZI26" s="2692"/>
      <c r="ZJ26" s="2692"/>
      <c r="ZK26" s="2692"/>
      <c r="ZL26" s="2692"/>
      <c r="ZM26" s="2692"/>
      <c r="ZN26" s="2692"/>
      <c r="ZO26" s="2692"/>
      <c r="ZP26" s="2692"/>
      <c r="ZQ26" s="2692"/>
      <c r="ZR26" s="2692"/>
      <c r="ZS26" s="2692"/>
      <c r="ZT26" s="2692"/>
      <c r="ZU26" s="2692"/>
      <c r="ZV26" s="2692"/>
      <c r="ZW26" s="2692"/>
      <c r="ZX26" s="2692"/>
      <c r="ZY26" s="2692"/>
      <c r="ZZ26" s="2692"/>
      <c r="AAA26" s="2692"/>
      <c r="AAB26" s="2692"/>
      <c r="AAC26" s="2692"/>
      <c r="AAD26" s="2692"/>
      <c r="AAE26" s="2692"/>
      <c r="AAF26" s="2692"/>
      <c r="AAG26" s="2692"/>
      <c r="AAH26" s="2692"/>
      <c r="AAI26" s="2692"/>
      <c r="AAJ26" s="2692"/>
      <c r="AAK26" s="2692"/>
      <c r="AAL26" s="2692"/>
      <c r="AAM26" s="2692"/>
      <c r="AAN26" s="2692"/>
      <c r="AAO26" s="2692"/>
      <c r="AAP26" s="2692"/>
      <c r="AAQ26" s="2692"/>
      <c r="AAR26" s="2692"/>
      <c r="AAS26" s="2692"/>
      <c r="AAT26" s="2692"/>
      <c r="AAU26" s="2692"/>
      <c r="AAV26" s="2692"/>
      <c r="AAW26" s="2692"/>
      <c r="AAX26" s="2692"/>
      <c r="AAY26" s="2692"/>
      <c r="AAZ26" s="2692"/>
      <c r="ABA26" s="2692"/>
      <c r="ABB26" s="2692"/>
      <c r="ABC26" s="2692"/>
      <c r="ABD26" s="2692"/>
      <c r="ABE26" s="2692"/>
      <c r="ABF26" s="2692"/>
      <c r="ABG26" s="2692"/>
      <c r="ABH26" s="2692"/>
      <c r="ABI26" s="2692"/>
      <c r="ABJ26" s="2692"/>
      <c r="ABK26" s="2692"/>
      <c r="ABL26" s="2692"/>
      <c r="ABM26" s="2692"/>
      <c r="ABN26" s="2692"/>
      <c r="ABO26" s="2692"/>
      <c r="ABP26" s="2692"/>
      <c r="ABQ26" s="2692"/>
      <c r="ABR26" s="2692"/>
      <c r="ABS26" s="2692"/>
      <c r="ABT26" s="2692"/>
      <c r="ABU26" s="2692"/>
      <c r="ABV26" s="2692"/>
      <c r="ABW26" s="2692"/>
      <c r="ABX26" s="2692"/>
      <c r="ABY26" s="2692"/>
      <c r="ABZ26" s="2692"/>
      <c r="ACA26" s="2692"/>
      <c r="ACB26" s="2692"/>
      <c r="ACC26" s="2692"/>
      <c r="ACD26" s="2692"/>
      <c r="ACE26" s="2692"/>
      <c r="ACF26" s="2692"/>
      <c r="ACG26" s="2692"/>
      <c r="ACH26" s="2692"/>
      <c r="ACI26" s="2692"/>
      <c r="ACJ26" s="2692"/>
      <c r="ACK26" s="2692"/>
      <c r="ACL26" s="2692"/>
      <c r="ACM26" s="2692"/>
      <c r="ACN26" s="2692"/>
      <c r="ACO26" s="2692"/>
      <c r="ACP26" s="2692"/>
      <c r="ACQ26" s="2692"/>
      <c r="ACR26" s="2692"/>
      <c r="ACS26" s="2692"/>
      <c r="ACT26" s="2692"/>
      <c r="ACU26" s="2692"/>
      <c r="ACV26" s="2692"/>
      <c r="ACW26" s="2692"/>
      <c r="ACX26" s="2692"/>
      <c r="ACY26" s="2692"/>
      <c r="ACZ26" s="2692"/>
      <c r="ADA26" s="2692"/>
      <c r="ADB26" s="2692"/>
      <c r="ADC26" s="2692"/>
      <c r="ADD26" s="2692"/>
      <c r="ADE26" s="2692"/>
      <c r="ADF26" s="2692"/>
      <c r="ADG26" s="2692"/>
      <c r="ADH26" s="2692"/>
      <c r="ADI26" s="2692"/>
      <c r="ADJ26" s="2692"/>
      <c r="ADK26" s="2692"/>
      <c r="ADL26" s="2692"/>
      <c r="ADM26" s="2692"/>
      <c r="ADN26" s="2692"/>
      <c r="ADO26" s="2692"/>
      <c r="ADP26" s="2692"/>
      <c r="ADQ26" s="2692"/>
      <c r="ADR26" s="2692"/>
      <c r="ADS26" s="2692"/>
      <c r="ADT26" s="2692"/>
      <c r="ADU26" s="2692"/>
      <c r="ADV26" s="2692"/>
      <c r="ADW26" s="2692"/>
      <c r="ADX26" s="2692"/>
      <c r="ADY26" s="2692"/>
      <c r="ADZ26" s="2692"/>
      <c r="AEA26" s="2692"/>
      <c r="AEB26" s="2692"/>
      <c r="AEC26" s="2692"/>
      <c r="AED26" s="2692"/>
      <c r="AEE26" s="2692"/>
      <c r="AEF26" s="2692"/>
      <c r="AEG26" s="2692"/>
      <c r="AEH26" s="2692"/>
      <c r="AEI26" s="2692"/>
      <c r="AEJ26" s="2692"/>
      <c r="AEK26" s="2692"/>
      <c r="AEL26" s="2692"/>
      <c r="AEM26" s="2692"/>
      <c r="AEN26" s="2692"/>
      <c r="AEO26" s="2692"/>
      <c r="AEP26" s="2692"/>
      <c r="AEQ26" s="2692"/>
      <c r="AER26" s="2692"/>
      <c r="AES26" s="2692"/>
      <c r="AET26" s="2692"/>
      <c r="AEU26" s="2692"/>
      <c r="AEV26" s="2692"/>
      <c r="AEW26" s="2692"/>
      <c r="AEX26" s="2692"/>
      <c r="AEY26" s="2692"/>
      <c r="AEZ26" s="2692"/>
      <c r="AFA26" s="2692"/>
      <c r="AFB26" s="2692"/>
      <c r="AFC26" s="2692"/>
      <c r="AFD26" s="2692"/>
      <c r="AFE26" s="2692"/>
      <c r="AFF26" s="2692"/>
      <c r="AFG26" s="2692"/>
      <c r="AFH26" s="2692"/>
      <c r="AFI26" s="2692"/>
      <c r="AFJ26" s="2692"/>
      <c r="AFK26" s="2692"/>
      <c r="AFL26" s="2692"/>
      <c r="AFM26" s="2692"/>
      <c r="AFN26" s="2692"/>
      <c r="AFO26" s="2692"/>
      <c r="AFP26" s="2692"/>
      <c r="AFQ26" s="2692"/>
      <c r="AFR26" s="2692"/>
      <c r="AFS26" s="2692"/>
      <c r="AFT26" s="2692"/>
      <c r="AFU26" s="2692"/>
      <c r="AFV26" s="2692"/>
      <c r="AFW26" s="2692"/>
      <c r="AFX26" s="2692"/>
      <c r="AFY26" s="2692"/>
      <c r="AFZ26" s="2692"/>
      <c r="AGA26" s="2692"/>
      <c r="AGB26" s="2692"/>
      <c r="AGC26" s="2692"/>
      <c r="AGD26" s="2692"/>
      <c r="AGE26" s="2692"/>
      <c r="AGF26" s="2692"/>
      <c r="AGG26" s="2692"/>
      <c r="AGH26" s="2692"/>
      <c r="AGI26" s="2692"/>
      <c r="AGJ26" s="2692"/>
      <c r="AGK26" s="2692"/>
      <c r="AGL26" s="2692"/>
      <c r="AGM26" s="2692"/>
      <c r="AGN26" s="2692"/>
      <c r="AGO26" s="2692"/>
      <c r="AGP26" s="2692"/>
      <c r="AGQ26" s="2692"/>
      <c r="AGR26" s="2692"/>
      <c r="AGS26" s="2692"/>
      <c r="AGT26" s="2692"/>
      <c r="AGU26" s="2692"/>
      <c r="AGV26" s="2692"/>
      <c r="AGW26" s="2692"/>
      <c r="AGX26" s="2692"/>
      <c r="AGY26" s="2692"/>
      <c r="AGZ26" s="2692"/>
      <c r="AHA26" s="2692"/>
      <c r="AHB26" s="2692"/>
      <c r="AHC26" s="2692"/>
      <c r="AHD26" s="2692"/>
      <c r="AHE26" s="2692"/>
      <c r="AHF26" s="2692"/>
      <c r="AHG26" s="2692"/>
      <c r="AHH26" s="2692"/>
      <c r="AHI26" s="2692"/>
      <c r="AHJ26" s="2692"/>
      <c r="AHK26" s="2692"/>
      <c r="AHL26" s="2692"/>
      <c r="AHM26" s="2692"/>
      <c r="AHN26" s="2692"/>
      <c r="AHO26" s="2692"/>
      <c r="AHP26" s="2692"/>
      <c r="AHQ26" s="2692"/>
      <c r="AHR26" s="2692"/>
      <c r="AHS26" s="2692"/>
      <c r="AHT26" s="2692"/>
      <c r="AHU26" s="2692"/>
      <c r="AHV26" s="2692"/>
      <c r="AHW26" s="2692"/>
      <c r="AHX26" s="2692"/>
      <c r="AHY26" s="2692"/>
      <c r="AHZ26" s="2692"/>
      <c r="AIA26" s="2692"/>
      <c r="AIB26" s="2692"/>
      <c r="AIC26" s="2692"/>
      <c r="AID26" s="2692"/>
      <c r="AIE26" s="2692"/>
      <c r="AIF26" s="2692"/>
      <c r="AIG26" s="2692"/>
      <c r="AIH26" s="2692"/>
      <c r="AII26" s="2692"/>
      <c r="AIJ26" s="2692"/>
      <c r="AIK26" s="2692"/>
      <c r="AIL26" s="2692"/>
      <c r="AIM26" s="2692"/>
      <c r="AIN26" s="2692"/>
      <c r="AIO26" s="2692"/>
      <c r="AIP26" s="2692"/>
      <c r="AIQ26" s="2692"/>
      <c r="AIR26" s="2692"/>
      <c r="AIS26" s="2692"/>
      <c r="AIT26" s="2692"/>
      <c r="AIU26" s="2692"/>
      <c r="AIV26" s="2692"/>
      <c r="AIW26" s="2692"/>
      <c r="AIX26" s="2692"/>
      <c r="AIY26" s="2692"/>
      <c r="AIZ26" s="2692"/>
      <c r="AJA26" s="2692"/>
      <c r="AJB26" s="2692"/>
      <c r="AJC26" s="2692"/>
      <c r="AJD26" s="2692"/>
      <c r="AJE26" s="2692"/>
      <c r="AJF26" s="2692"/>
      <c r="AJG26" s="2692"/>
      <c r="AJH26" s="2692"/>
      <c r="AJI26" s="2692"/>
      <c r="AJJ26" s="2692"/>
      <c r="AJK26" s="2692"/>
      <c r="AJL26" s="2692"/>
      <c r="AJM26" s="2692"/>
      <c r="AJN26" s="2692"/>
      <c r="AJO26" s="2692"/>
      <c r="AJP26" s="2692"/>
      <c r="AJQ26" s="2692"/>
      <c r="AJR26" s="2692"/>
      <c r="AJS26" s="2692"/>
      <c r="AJT26" s="2692"/>
      <c r="AJU26" s="2692"/>
      <c r="AJV26" s="2692"/>
      <c r="AJW26" s="2692"/>
      <c r="AJX26" s="2692"/>
      <c r="AJY26" s="2692"/>
      <c r="AJZ26" s="2692"/>
      <c r="AKA26" s="2692"/>
      <c r="AKB26" s="2692"/>
      <c r="AKC26" s="2692"/>
      <c r="AKD26" s="2692"/>
      <c r="AKE26" s="2692"/>
      <c r="AKF26" s="2692"/>
      <c r="AKG26" s="2692"/>
      <c r="AKH26" s="2692"/>
      <c r="AKI26" s="2692"/>
      <c r="AKJ26" s="2692"/>
      <c r="AKK26" s="2692"/>
      <c r="AKL26" s="2692"/>
      <c r="AKM26" s="2692"/>
      <c r="AKN26" s="2692"/>
      <c r="AKO26" s="2692"/>
      <c r="AKP26" s="2692"/>
      <c r="AKQ26" s="2692"/>
      <c r="AKR26" s="2692"/>
      <c r="AKS26" s="2692"/>
      <c r="AKT26" s="2692"/>
      <c r="AKU26" s="2692"/>
      <c r="AKV26" s="2692"/>
      <c r="AKW26" s="2692"/>
      <c r="AKX26" s="2692"/>
      <c r="AKY26" s="2692"/>
      <c r="AKZ26" s="2692"/>
      <c r="ALA26" s="2692"/>
      <c r="ALB26" s="2692"/>
      <c r="ALC26" s="2692"/>
      <c r="ALD26" s="2692"/>
      <c r="ALE26" s="2692"/>
      <c r="ALF26" s="2692"/>
      <c r="ALG26" s="2692"/>
      <c r="ALH26" s="2692"/>
      <c r="ALI26" s="2692"/>
      <c r="ALJ26" s="2692"/>
      <c r="ALK26" s="2692"/>
      <c r="ALL26" s="2692"/>
      <c r="ALM26" s="2692"/>
      <c r="ALN26" s="2692"/>
      <c r="ALO26" s="2692"/>
      <c r="ALP26" s="2692"/>
      <c r="ALQ26" s="2692"/>
      <c r="ALR26" s="2692"/>
      <c r="ALS26" s="2692"/>
      <c r="ALT26" s="2692"/>
      <c r="ALU26" s="2692"/>
      <c r="ALV26" s="2692"/>
      <c r="ALW26" s="2692"/>
      <c r="ALX26" s="2692"/>
      <c r="ALY26" s="2692"/>
      <c r="ALZ26" s="2692"/>
      <c r="AMA26" s="2692"/>
      <c r="AMB26" s="2692"/>
      <c r="AMC26" s="2692"/>
      <c r="AMD26" s="2692"/>
      <c r="AME26" s="2692"/>
      <c r="AMF26" s="2692"/>
      <c r="AMG26" s="2692"/>
      <c r="AMH26" s="2692"/>
      <c r="AMI26" s="2692"/>
      <c r="AMJ26" s="2692"/>
      <c r="AMK26" s="2692"/>
      <c r="AML26" s="2692"/>
      <c r="AMM26" s="2692"/>
      <c r="AMN26" s="2692"/>
      <c r="AMO26" s="2692"/>
      <c r="AMP26" s="2692"/>
      <c r="AMQ26" s="2692"/>
      <c r="AMR26" s="2692"/>
      <c r="AMS26" s="2692"/>
      <c r="AMT26" s="2692"/>
      <c r="AMU26" s="2692"/>
      <c r="AMV26" s="2692"/>
      <c r="AMW26" s="2692"/>
      <c r="AMX26" s="2692"/>
      <c r="AMY26" s="2692"/>
      <c r="AMZ26" s="2692"/>
      <c r="ANA26" s="2692"/>
      <c r="ANB26" s="2692"/>
      <c r="ANC26" s="2692"/>
      <c r="AND26" s="2692"/>
      <c r="ANE26" s="2692"/>
      <c r="ANF26" s="2692"/>
      <c r="ANG26" s="2692"/>
      <c r="ANH26" s="2692"/>
      <c r="ANI26" s="2692"/>
      <c r="ANJ26" s="2692"/>
      <c r="ANK26" s="2692"/>
      <c r="ANL26" s="2692"/>
      <c r="ANM26" s="2692"/>
      <c r="ANN26" s="2692"/>
      <c r="ANO26" s="2692"/>
      <c r="ANP26" s="2692"/>
      <c r="ANQ26" s="2692"/>
      <c r="ANR26" s="2692"/>
      <c r="ANS26" s="2692"/>
      <c r="ANT26" s="2692"/>
      <c r="ANU26" s="2692"/>
      <c r="ANV26" s="2692"/>
      <c r="ANW26" s="2692"/>
      <c r="ANX26" s="2692"/>
      <c r="ANY26" s="2692"/>
      <c r="ANZ26" s="2692"/>
      <c r="AOA26" s="2692"/>
      <c r="AOB26" s="2692"/>
      <c r="AOC26" s="2692"/>
      <c r="AOD26" s="2692"/>
      <c r="AOE26" s="2692"/>
      <c r="AOF26" s="2692"/>
      <c r="AOG26" s="2692"/>
      <c r="AOH26" s="2692"/>
      <c r="AOI26" s="2692"/>
      <c r="AOJ26" s="2692"/>
      <c r="AOK26" s="2692"/>
      <c r="AOL26" s="2692"/>
      <c r="AOM26" s="2692"/>
      <c r="AON26" s="2692"/>
      <c r="AOO26" s="2692"/>
      <c r="AOP26" s="2692"/>
      <c r="AOQ26" s="2692"/>
      <c r="AOR26" s="2692"/>
      <c r="AOS26" s="2692"/>
      <c r="AOT26" s="2692"/>
      <c r="AOU26" s="2692"/>
      <c r="AOV26" s="2692"/>
      <c r="AOW26" s="2692"/>
      <c r="AOX26" s="2692"/>
      <c r="AOY26" s="2692"/>
      <c r="AOZ26" s="2692"/>
      <c r="APA26" s="2692"/>
      <c r="APB26" s="2692"/>
      <c r="APC26" s="2692"/>
      <c r="APD26" s="2692"/>
      <c r="APE26" s="2692"/>
      <c r="APF26" s="2692"/>
      <c r="APG26" s="2692"/>
      <c r="APH26" s="2692"/>
      <c r="API26" s="2692"/>
      <c r="APJ26" s="2692"/>
      <c r="APK26" s="2692"/>
      <c r="APL26" s="2692"/>
      <c r="APM26" s="2692"/>
      <c r="APN26" s="2692"/>
      <c r="APO26" s="2692"/>
      <c r="APP26" s="2692"/>
      <c r="APQ26" s="2692"/>
      <c r="APR26" s="2692"/>
      <c r="APS26" s="2692"/>
      <c r="APT26" s="2692"/>
      <c r="APU26" s="2692"/>
      <c r="APV26" s="2692"/>
      <c r="APW26" s="2692"/>
      <c r="APX26" s="2692"/>
      <c r="APY26" s="2692"/>
      <c r="APZ26" s="2692"/>
      <c r="AQA26" s="2692"/>
      <c r="AQB26" s="2692"/>
      <c r="AQC26" s="2692"/>
      <c r="AQD26" s="2692"/>
      <c r="AQE26" s="2692"/>
      <c r="AQF26" s="2692"/>
      <c r="AQG26" s="2692"/>
      <c r="AQH26" s="2692"/>
      <c r="AQI26" s="2692"/>
      <c r="AQJ26" s="2692"/>
      <c r="AQK26" s="2692"/>
      <c r="AQL26" s="2692"/>
      <c r="AQM26" s="2692"/>
      <c r="AQN26" s="2692"/>
      <c r="AQO26" s="2692"/>
      <c r="AQP26" s="2692"/>
      <c r="AQQ26" s="2692"/>
      <c r="AQR26" s="2692"/>
      <c r="AQS26" s="2692"/>
      <c r="AQT26" s="2692"/>
      <c r="AQU26" s="2692"/>
      <c r="AQV26" s="2692"/>
      <c r="AQW26" s="2692"/>
      <c r="AQX26" s="2692"/>
      <c r="AQY26" s="2692"/>
      <c r="AQZ26" s="2692"/>
      <c r="ARA26" s="2692"/>
      <c r="ARB26" s="2692"/>
      <c r="ARC26" s="2692"/>
      <c r="ARD26" s="2692"/>
      <c r="ARE26" s="2692"/>
      <c r="ARF26" s="2692"/>
      <c r="ARG26" s="2692"/>
      <c r="ARH26" s="2692"/>
      <c r="ARI26" s="2692"/>
      <c r="ARJ26" s="2692"/>
      <c r="ARK26" s="2692"/>
      <c r="ARL26" s="2692"/>
      <c r="ARM26" s="2692"/>
      <c r="ARN26" s="2692"/>
      <c r="ARO26" s="2692"/>
      <c r="ARP26" s="2692"/>
      <c r="ARQ26" s="2692"/>
      <c r="ARR26" s="2692"/>
      <c r="ARS26" s="2692"/>
      <c r="ART26" s="2692"/>
      <c r="ARU26" s="2692"/>
      <c r="ARV26" s="2692"/>
      <c r="ARW26" s="2692"/>
      <c r="ARX26" s="2692"/>
      <c r="ARY26" s="2692"/>
      <c r="ARZ26" s="2692"/>
      <c r="ASA26" s="2692"/>
      <c r="ASB26" s="2692"/>
      <c r="ASC26" s="2692"/>
      <c r="ASD26" s="2692"/>
      <c r="ASE26" s="2692"/>
      <c r="ASF26" s="2692"/>
      <c r="ASG26" s="2692"/>
      <c r="ASH26" s="2692"/>
      <c r="ASI26" s="2692"/>
      <c r="ASJ26" s="2692"/>
      <c r="ASK26" s="2692"/>
      <c r="ASL26" s="2692"/>
      <c r="ASM26" s="2692"/>
      <c r="ASN26" s="2692"/>
      <c r="ASO26" s="2692"/>
      <c r="ASP26" s="2692"/>
      <c r="ASQ26" s="2692"/>
      <c r="ASR26" s="2692"/>
      <c r="ASS26" s="2692"/>
      <c r="AST26" s="2692"/>
      <c r="ASU26" s="2692"/>
      <c r="ASV26" s="2692"/>
      <c r="ASW26" s="2692"/>
      <c r="ASX26" s="2692"/>
      <c r="ASY26" s="2692"/>
      <c r="ASZ26" s="2692"/>
      <c r="ATA26" s="2692"/>
      <c r="ATB26" s="2692"/>
      <c r="ATC26" s="2692"/>
      <c r="ATD26" s="2692"/>
      <c r="ATE26" s="2692"/>
      <c r="ATF26" s="2692"/>
      <c r="ATG26" s="2692"/>
      <c r="ATH26" s="2692"/>
      <c r="ATI26" s="2692"/>
      <c r="ATJ26" s="2692"/>
      <c r="ATK26" s="2692"/>
      <c r="ATL26" s="2692"/>
      <c r="ATM26" s="2692"/>
      <c r="ATN26" s="2692"/>
      <c r="ATO26" s="2692"/>
      <c r="ATP26" s="2692"/>
      <c r="ATQ26" s="2692"/>
      <c r="ATR26" s="2692"/>
      <c r="ATS26" s="2692"/>
      <c r="ATT26" s="2692"/>
      <c r="ATU26" s="2692"/>
      <c r="ATV26" s="2692"/>
      <c r="ATW26" s="2692"/>
      <c r="ATX26" s="2692"/>
      <c r="ATY26" s="2692"/>
      <c r="ATZ26" s="2692"/>
      <c r="AUA26" s="2692"/>
      <c r="AUB26" s="2692"/>
      <c r="AUC26" s="2692"/>
      <c r="AUD26" s="2692"/>
      <c r="AUE26" s="2692"/>
      <c r="AUF26" s="2692"/>
      <c r="AUG26" s="2692"/>
      <c r="AUH26" s="2692"/>
      <c r="AUI26" s="2692"/>
      <c r="AUJ26" s="2692"/>
      <c r="AUK26" s="2692"/>
      <c r="AUL26" s="2692"/>
      <c r="AUM26" s="2692"/>
      <c r="AUN26" s="2692"/>
      <c r="AUO26" s="2692"/>
      <c r="AUP26" s="2692"/>
      <c r="AUQ26" s="2692"/>
      <c r="AUR26" s="2692"/>
      <c r="AUS26" s="2692"/>
      <c r="AUT26" s="2692"/>
      <c r="AUU26" s="2692"/>
      <c r="AUV26" s="2692"/>
      <c r="AUW26" s="2692"/>
      <c r="AUX26" s="2692"/>
      <c r="AUY26" s="2692"/>
      <c r="AUZ26" s="2692"/>
      <c r="AVA26" s="2692"/>
      <c r="AVB26" s="2692"/>
      <c r="AVC26" s="2692"/>
      <c r="AVD26" s="2692"/>
      <c r="AVE26" s="2692"/>
      <c r="AVF26" s="2692"/>
      <c r="AVG26" s="2692"/>
      <c r="AVH26" s="2692"/>
      <c r="AVI26" s="2692"/>
      <c r="AVJ26" s="2692"/>
      <c r="AVK26" s="2692"/>
      <c r="AVL26" s="2692"/>
      <c r="AVM26" s="2692"/>
      <c r="AVN26" s="2692"/>
      <c r="AVO26" s="2692"/>
      <c r="AVP26" s="2692"/>
      <c r="AVQ26" s="2692"/>
      <c r="AVR26" s="2692"/>
      <c r="AVS26" s="2692"/>
      <c r="AVT26" s="2692"/>
      <c r="AVU26" s="2692"/>
      <c r="AVV26" s="2692"/>
      <c r="AVW26" s="2692"/>
      <c r="AVX26" s="2692"/>
      <c r="AVY26" s="2692"/>
      <c r="AVZ26" s="2692"/>
      <c r="AWA26" s="2692"/>
      <c r="AWB26" s="2692"/>
      <c r="AWC26" s="2692"/>
      <c r="AWD26" s="2692"/>
      <c r="AWE26" s="2692"/>
      <c r="AWF26" s="2692"/>
      <c r="AWG26" s="2692"/>
      <c r="AWH26" s="2692"/>
      <c r="AWI26" s="2692"/>
      <c r="AWJ26" s="2692"/>
      <c r="AWK26" s="2692"/>
      <c r="AWL26" s="2692"/>
      <c r="AWM26" s="2692"/>
      <c r="AWN26" s="2692"/>
      <c r="AWO26" s="2692"/>
      <c r="AWP26" s="2692"/>
      <c r="AWQ26" s="2692"/>
      <c r="AWR26" s="2692"/>
      <c r="AWS26" s="2692"/>
      <c r="AWT26" s="2692"/>
      <c r="AWU26" s="2692"/>
      <c r="AWV26" s="2692"/>
      <c r="AWW26" s="2692"/>
      <c r="AWX26" s="2692"/>
      <c r="AWY26" s="2692"/>
      <c r="AWZ26" s="2692"/>
      <c r="AXA26" s="2692"/>
      <c r="AXB26" s="2692"/>
      <c r="AXC26" s="2692"/>
      <c r="AXD26" s="2692"/>
      <c r="AXE26" s="2692"/>
      <c r="AXF26" s="2692"/>
      <c r="AXG26" s="2692"/>
      <c r="AXH26" s="2692"/>
      <c r="AXI26" s="2692"/>
      <c r="AXJ26" s="2692"/>
      <c r="AXK26" s="2692"/>
      <c r="AXL26" s="2692"/>
      <c r="AXM26" s="2692"/>
      <c r="AXN26" s="2692"/>
      <c r="AXO26" s="2692"/>
      <c r="AXP26" s="2692"/>
      <c r="AXQ26" s="2692"/>
      <c r="AXR26" s="2692"/>
      <c r="AXS26" s="2692"/>
      <c r="AXT26" s="2692"/>
      <c r="AXU26" s="2692"/>
      <c r="AXV26" s="2692"/>
      <c r="AXW26" s="2692"/>
      <c r="AXX26" s="2692"/>
      <c r="AXY26" s="2692"/>
      <c r="AXZ26" s="2692"/>
      <c r="AYA26" s="2692"/>
      <c r="AYB26" s="2692"/>
      <c r="AYC26" s="2692"/>
      <c r="AYD26" s="2692"/>
      <c r="AYE26" s="2692"/>
      <c r="AYF26" s="2692"/>
      <c r="AYG26" s="2692"/>
      <c r="AYH26" s="2692"/>
      <c r="AYI26" s="2692"/>
      <c r="AYJ26" s="2692"/>
      <c r="AYK26" s="2692"/>
      <c r="AYL26" s="2692"/>
      <c r="AYM26" s="2692"/>
      <c r="AYN26" s="2692"/>
      <c r="AYO26" s="2692"/>
      <c r="AYP26" s="2692"/>
      <c r="AYQ26" s="2692"/>
      <c r="AYR26" s="2692"/>
      <c r="AYS26" s="2692"/>
      <c r="AYT26" s="2692"/>
      <c r="AYU26" s="2692"/>
      <c r="AYV26" s="2692"/>
      <c r="AYW26" s="2692"/>
      <c r="AYX26" s="2692"/>
      <c r="AYY26" s="2692"/>
      <c r="AYZ26" s="2692"/>
      <c r="AZA26" s="2692"/>
      <c r="AZB26" s="2692"/>
      <c r="AZC26" s="2692"/>
      <c r="AZD26" s="2692"/>
      <c r="AZE26" s="2692"/>
      <c r="AZF26" s="2692"/>
      <c r="AZG26" s="2692"/>
      <c r="AZH26" s="2692"/>
      <c r="AZI26" s="2692"/>
      <c r="AZJ26" s="2692"/>
      <c r="AZK26" s="2692"/>
      <c r="AZL26" s="2692"/>
      <c r="AZM26" s="2692"/>
      <c r="AZN26" s="2692"/>
      <c r="AZO26" s="2692"/>
      <c r="AZP26" s="2692"/>
      <c r="AZQ26" s="2692"/>
      <c r="AZR26" s="2692"/>
      <c r="AZS26" s="2692"/>
      <c r="AZT26" s="2692"/>
      <c r="AZU26" s="2692"/>
      <c r="AZV26" s="2692"/>
      <c r="AZW26" s="2692"/>
      <c r="AZX26" s="2692"/>
      <c r="AZY26" s="2692"/>
      <c r="AZZ26" s="2692"/>
      <c r="BAA26" s="2692"/>
      <c r="BAB26" s="2692"/>
      <c r="BAC26" s="2692"/>
      <c r="BAD26" s="2692"/>
      <c r="BAE26" s="2692"/>
      <c r="BAF26" s="2692"/>
      <c r="BAG26" s="2692"/>
      <c r="BAH26" s="2692"/>
      <c r="BAI26" s="2692"/>
      <c r="BAJ26" s="2692"/>
      <c r="BAK26" s="2692"/>
      <c r="BAL26" s="2692"/>
      <c r="BAM26" s="2692"/>
      <c r="BAN26" s="2692"/>
      <c r="BAO26" s="2692"/>
      <c r="BAP26" s="2692"/>
      <c r="BAQ26" s="2692"/>
      <c r="BAR26" s="2692"/>
      <c r="BAS26" s="2692"/>
      <c r="BAT26" s="2692"/>
      <c r="BAU26" s="2692"/>
      <c r="BAV26" s="2692"/>
      <c r="BAW26" s="2692"/>
      <c r="BAX26" s="2692"/>
      <c r="BAY26" s="2692"/>
      <c r="BAZ26" s="2692"/>
      <c r="BBA26" s="2692"/>
      <c r="BBB26" s="2692"/>
      <c r="BBC26" s="2692"/>
      <c r="BBD26" s="2692"/>
      <c r="BBE26" s="2692"/>
      <c r="BBF26" s="2692"/>
      <c r="BBG26" s="2692"/>
      <c r="BBH26" s="2692"/>
      <c r="BBI26" s="2692"/>
      <c r="BBJ26" s="2692"/>
      <c r="BBK26" s="2692"/>
      <c r="BBL26" s="2692"/>
      <c r="BBM26" s="2692"/>
      <c r="BBN26" s="2692"/>
      <c r="BBO26" s="2692"/>
      <c r="BBP26" s="2692"/>
      <c r="BBQ26" s="2692"/>
      <c r="BBR26" s="2692"/>
      <c r="BBS26" s="2692"/>
      <c r="BBT26" s="2692"/>
      <c r="BBU26" s="2692"/>
      <c r="BBV26" s="2692"/>
      <c r="BBW26" s="2692"/>
      <c r="BBX26" s="2692"/>
      <c r="BBY26" s="2692"/>
      <c r="BBZ26" s="2692"/>
      <c r="BCA26" s="2692"/>
      <c r="BCB26" s="2692"/>
      <c r="BCC26" s="2692"/>
      <c r="BCD26" s="2692"/>
      <c r="BCE26" s="2692"/>
      <c r="BCF26" s="2692"/>
      <c r="BCG26" s="2692"/>
      <c r="BCH26" s="2692"/>
      <c r="BCI26" s="2692"/>
      <c r="BCJ26" s="2692"/>
      <c r="BCK26" s="2692"/>
      <c r="BCL26" s="2692"/>
      <c r="BCM26" s="2692"/>
      <c r="BCN26" s="2692"/>
      <c r="BCO26" s="2692"/>
      <c r="BCP26" s="2692"/>
      <c r="BCQ26" s="2692"/>
      <c r="BCR26" s="2692"/>
      <c r="BCS26" s="2692"/>
      <c r="BCT26" s="2692"/>
      <c r="BCU26" s="2692"/>
      <c r="BCV26" s="2692"/>
      <c r="BCW26" s="2692"/>
      <c r="BCX26" s="2692"/>
      <c r="BCY26" s="2692"/>
      <c r="BCZ26" s="2692"/>
      <c r="BDA26" s="2692"/>
      <c r="BDB26" s="2692"/>
      <c r="BDC26" s="2692"/>
      <c r="BDD26" s="2692"/>
      <c r="BDE26" s="2692"/>
      <c r="BDF26" s="2692"/>
      <c r="BDG26" s="2692"/>
      <c r="BDH26" s="2692"/>
      <c r="BDI26" s="2692"/>
      <c r="BDJ26" s="2692"/>
      <c r="BDK26" s="2692"/>
      <c r="BDL26" s="2692"/>
      <c r="BDM26" s="2692"/>
      <c r="BDN26" s="2692"/>
      <c r="BDO26" s="2692"/>
      <c r="BDP26" s="2692"/>
      <c r="BDQ26" s="2692"/>
      <c r="BDR26" s="2692"/>
      <c r="BDS26" s="2692"/>
      <c r="BDT26" s="2692"/>
      <c r="BDU26" s="2692"/>
      <c r="BDV26" s="2692"/>
      <c r="BDW26" s="2692"/>
      <c r="BDX26" s="2692"/>
      <c r="BDY26" s="2692"/>
      <c r="BDZ26" s="2692"/>
      <c r="BEA26" s="2692"/>
      <c r="BEB26" s="2692"/>
      <c r="BEC26" s="2692"/>
      <c r="BED26" s="2692"/>
      <c r="BEE26" s="2692"/>
      <c r="BEF26" s="2692"/>
      <c r="BEG26" s="2692"/>
      <c r="BEH26" s="2692"/>
      <c r="BEI26" s="2692"/>
      <c r="BEJ26" s="2692"/>
      <c r="BEK26" s="2692"/>
      <c r="BEL26" s="2692"/>
      <c r="BEM26" s="2692"/>
      <c r="BEN26" s="2692"/>
      <c r="BEO26" s="2692"/>
      <c r="BEP26" s="2692"/>
      <c r="BEQ26" s="2692"/>
      <c r="BER26" s="2692"/>
      <c r="BES26" s="2692"/>
      <c r="BET26" s="2692"/>
      <c r="BEU26" s="2692"/>
      <c r="BEV26" s="2692"/>
      <c r="BEW26" s="2692"/>
      <c r="BEX26" s="2692"/>
      <c r="BEY26" s="2692"/>
      <c r="BEZ26" s="2692"/>
      <c r="BFA26" s="2692"/>
      <c r="BFB26" s="2692"/>
      <c r="BFC26" s="2692"/>
      <c r="BFD26" s="2692"/>
      <c r="BFE26" s="2692"/>
      <c r="BFF26" s="2692"/>
      <c r="BFG26" s="2692"/>
      <c r="BFH26" s="2692"/>
      <c r="BFI26" s="2692"/>
      <c r="BFJ26" s="2692"/>
      <c r="BFK26" s="2692"/>
      <c r="BFL26" s="2692"/>
      <c r="BFM26" s="2692"/>
      <c r="BFN26" s="2692"/>
      <c r="BFO26" s="2692"/>
      <c r="BFP26" s="2692"/>
      <c r="BFQ26" s="2692"/>
      <c r="BFR26" s="2692"/>
      <c r="BFS26" s="2692"/>
      <c r="BFT26" s="2692"/>
      <c r="BFU26" s="2692"/>
      <c r="BFV26" s="2692"/>
      <c r="BFW26" s="2692"/>
      <c r="BFX26" s="2692"/>
      <c r="BFY26" s="2692"/>
      <c r="BFZ26" s="2692"/>
      <c r="BGA26" s="2692"/>
      <c r="BGB26" s="2692"/>
      <c r="BGC26" s="2692"/>
      <c r="BGD26" s="2692"/>
      <c r="BGE26" s="2692"/>
      <c r="BGF26" s="2692"/>
      <c r="BGG26" s="2692"/>
      <c r="BGH26" s="2692"/>
      <c r="BGI26" s="2692"/>
      <c r="BGJ26" s="2692"/>
      <c r="BGK26" s="2692"/>
      <c r="BGL26" s="2692"/>
      <c r="BGM26" s="2692"/>
      <c r="BGN26" s="2692"/>
      <c r="BGO26" s="2692"/>
      <c r="BGP26" s="2692"/>
      <c r="BGQ26" s="2692"/>
      <c r="BGR26" s="2692"/>
      <c r="BGS26" s="2692"/>
      <c r="BGT26" s="2692"/>
      <c r="BGU26" s="2692"/>
      <c r="BGV26" s="2692"/>
      <c r="BGW26" s="2692"/>
      <c r="BGX26" s="2692"/>
      <c r="BGY26" s="2692"/>
      <c r="BGZ26" s="2692"/>
      <c r="BHA26" s="2692"/>
      <c r="BHB26" s="2692"/>
      <c r="BHC26" s="2692"/>
      <c r="BHD26" s="2692"/>
      <c r="BHE26" s="2692"/>
      <c r="BHF26" s="2692"/>
      <c r="BHG26" s="2692"/>
      <c r="BHH26" s="2692"/>
      <c r="BHI26" s="2692"/>
      <c r="BHJ26" s="2692"/>
      <c r="BHK26" s="2692"/>
      <c r="BHL26" s="2692"/>
      <c r="BHM26" s="2692"/>
      <c r="BHN26" s="2692"/>
      <c r="BHO26" s="2692"/>
      <c r="BHP26" s="2692"/>
      <c r="BHQ26" s="2692"/>
      <c r="BHR26" s="2692"/>
      <c r="BHS26" s="2692"/>
      <c r="BHT26" s="2692"/>
      <c r="BHU26" s="2692"/>
      <c r="BHV26" s="2692"/>
      <c r="BHW26" s="2692"/>
      <c r="BHX26" s="2692"/>
      <c r="BHY26" s="2692"/>
      <c r="BHZ26" s="2692"/>
      <c r="BIA26" s="2692"/>
      <c r="BIB26" s="2692"/>
      <c r="BIC26" s="2692"/>
      <c r="BID26" s="2692"/>
      <c r="BIE26" s="2692"/>
      <c r="BIF26" s="2692"/>
      <c r="BIG26" s="2692"/>
      <c r="BIH26" s="2692"/>
      <c r="BII26" s="2692"/>
      <c r="BIJ26" s="2692"/>
      <c r="BIK26" s="2692"/>
      <c r="BIL26" s="2692"/>
      <c r="BIM26" s="2692"/>
      <c r="BIN26" s="2692"/>
      <c r="BIO26" s="2692"/>
      <c r="BIP26" s="2692"/>
      <c r="BIQ26" s="2692"/>
      <c r="BIR26" s="2692"/>
      <c r="BIS26" s="2692"/>
      <c r="BIT26" s="2692"/>
      <c r="BIU26" s="2692"/>
      <c r="BIV26" s="2692"/>
      <c r="BIW26" s="2692"/>
      <c r="BIX26" s="2692"/>
      <c r="BIY26" s="2692"/>
      <c r="BIZ26" s="2692"/>
      <c r="BJA26" s="2692"/>
      <c r="BJB26" s="2692"/>
      <c r="BJC26" s="2692"/>
      <c r="BJD26" s="2692"/>
      <c r="BJE26" s="2692"/>
      <c r="BJF26" s="2692"/>
      <c r="BJG26" s="2692"/>
      <c r="BJH26" s="2692"/>
      <c r="BJI26" s="2692"/>
      <c r="BJJ26" s="2692"/>
      <c r="BJK26" s="2692"/>
      <c r="BJL26" s="2692"/>
      <c r="BJM26" s="2692"/>
      <c r="BJN26" s="2692"/>
      <c r="BJO26" s="2692"/>
      <c r="BJP26" s="2692"/>
      <c r="BJQ26" s="2692"/>
      <c r="BJR26" s="2692"/>
      <c r="BJS26" s="2692"/>
      <c r="BJT26" s="2692"/>
      <c r="BJU26" s="2692"/>
      <c r="BJV26" s="2692"/>
      <c r="BJW26" s="2692"/>
      <c r="BJX26" s="2692"/>
      <c r="BJY26" s="2692"/>
      <c r="BJZ26" s="2692"/>
      <c r="BKA26" s="2692"/>
      <c r="BKB26" s="2692"/>
      <c r="BKC26" s="2692"/>
      <c r="BKD26" s="2692"/>
      <c r="BKE26" s="2692"/>
      <c r="BKF26" s="2692"/>
      <c r="BKG26" s="2692"/>
      <c r="BKH26" s="2692"/>
      <c r="BKI26" s="2692"/>
      <c r="BKJ26" s="2692"/>
      <c r="BKK26" s="2692"/>
      <c r="BKL26" s="2692"/>
      <c r="BKM26" s="2692"/>
      <c r="BKN26" s="2692"/>
      <c r="BKO26" s="2692"/>
      <c r="BKP26" s="2692"/>
      <c r="BKQ26" s="2692"/>
      <c r="BKR26" s="2692"/>
      <c r="BKS26" s="2692"/>
      <c r="BKT26" s="2692"/>
      <c r="BKU26" s="2692"/>
      <c r="BKV26" s="2692"/>
      <c r="BKW26" s="2692"/>
      <c r="BKX26" s="2692"/>
      <c r="BKY26" s="2692"/>
      <c r="BKZ26" s="2692"/>
      <c r="BLA26" s="2692"/>
      <c r="BLB26" s="2692"/>
      <c r="BLC26" s="2692"/>
      <c r="BLD26" s="2692"/>
      <c r="BLE26" s="2692"/>
      <c r="BLF26" s="2692"/>
      <c r="BLG26" s="2692"/>
      <c r="BLH26" s="2692"/>
      <c r="BLI26" s="2692"/>
      <c r="BLJ26" s="2692"/>
      <c r="BLK26" s="2692"/>
      <c r="BLL26" s="2692"/>
      <c r="BLM26" s="2692"/>
      <c r="BLN26" s="2692"/>
      <c r="BLO26" s="2692"/>
      <c r="BLP26" s="2692"/>
      <c r="BLQ26" s="2692"/>
      <c r="BLR26" s="2692"/>
      <c r="BLS26" s="2692"/>
      <c r="BLT26" s="2692"/>
      <c r="BLU26" s="2692"/>
      <c r="BLV26" s="2692"/>
      <c r="BLW26" s="2692"/>
      <c r="BLX26" s="2692"/>
      <c r="BLY26" s="2692"/>
      <c r="BLZ26" s="2692"/>
      <c r="BMA26" s="2692"/>
      <c r="BMB26" s="2692"/>
      <c r="BMC26" s="2692"/>
      <c r="BMD26" s="2692"/>
      <c r="BME26" s="2692"/>
      <c r="BMF26" s="2692"/>
      <c r="BMG26" s="2692"/>
      <c r="BMH26" s="2692"/>
      <c r="BMI26" s="2692"/>
      <c r="BMJ26" s="2692"/>
      <c r="BMK26" s="2692"/>
      <c r="BML26" s="2692"/>
      <c r="BMM26" s="2692"/>
      <c r="BMN26" s="2692"/>
      <c r="BMO26" s="2692"/>
      <c r="BMP26" s="2692"/>
      <c r="BMQ26" s="2692"/>
      <c r="BMR26" s="2692"/>
      <c r="BMS26" s="2692"/>
      <c r="BMT26" s="2692"/>
      <c r="BMU26" s="2692"/>
      <c r="BMV26" s="2692"/>
      <c r="BMW26" s="2692"/>
      <c r="BMX26" s="2692"/>
      <c r="BMY26" s="2692"/>
      <c r="BMZ26" s="2692"/>
      <c r="BNA26" s="2692"/>
      <c r="BNB26" s="2692"/>
      <c r="BNC26" s="2692"/>
      <c r="BND26" s="2692"/>
      <c r="BNE26" s="2692"/>
      <c r="BNF26" s="2692"/>
      <c r="BNG26" s="2692"/>
      <c r="BNH26" s="2692"/>
      <c r="BNI26" s="2692"/>
      <c r="BNJ26" s="2692"/>
      <c r="BNK26" s="2692"/>
      <c r="BNL26" s="2692"/>
      <c r="BNM26" s="2692"/>
      <c r="BNN26" s="2692"/>
      <c r="BNO26" s="2692"/>
      <c r="BNP26" s="2692"/>
      <c r="BNQ26" s="2692"/>
      <c r="BNR26" s="2692"/>
      <c r="BNS26" s="2692"/>
      <c r="BNT26" s="2692"/>
      <c r="BNU26" s="2692"/>
      <c r="BNV26" s="2692"/>
      <c r="BNW26" s="2692"/>
      <c r="BNX26" s="2692"/>
      <c r="BNY26" s="2692"/>
      <c r="BNZ26" s="2692"/>
      <c r="BOA26" s="2692"/>
      <c r="BOB26" s="2692"/>
      <c r="BOC26" s="2692"/>
      <c r="BOD26" s="2692"/>
      <c r="BOE26" s="2692"/>
      <c r="BOF26" s="2692"/>
      <c r="BOG26" s="2692"/>
      <c r="BOH26" s="2692"/>
      <c r="BOI26" s="2692"/>
      <c r="BOJ26" s="2692"/>
      <c r="BOK26" s="2692"/>
      <c r="BOL26" s="2692"/>
      <c r="BOM26" s="2692"/>
      <c r="BON26" s="2692"/>
      <c r="BOO26" s="2692"/>
      <c r="BOP26" s="2692"/>
      <c r="BOQ26" s="2692"/>
      <c r="BOR26" s="2692"/>
      <c r="BOS26" s="2692"/>
      <c r="BOT26" s="2692"/>
      <c r="BOU26" s="2692"/>
      <c r="BOV26" s="2692"/>
      <c r="BOW26" s="2692"/>
      <c r="BOX26" s="2692"/>
      <c r="BOY26" s="2692"/>
      <c r="BOZ26" s="2692"/>
      <c r="BPA26" s="2692"/>
      <c r="BPB26" s="2692"/>
      <c r="BPC26" s="2692"/>
      <c r="BPD26" s="2692"/>
      <c r="BPE26" s="2692"/>
      <c r="BPF26" s="2692"/>
      <c r="BPG26" s="2692"/>
      <c r="BPH26" s="2692"/>
      <c r="BPI26" s="2692"/>
      <c r="BPJ26" s="2692"/>
      <c r="BPK26" s="2692"/>
      <c r="BPL26" s="2692"/>
      <c r="BPM26" s="2692"/>
      <c r="BPN26" s="2692"/>
      <c r="BPO26" s="2692"/>
      <c r="BPP26" s="2692"/>
      <c r="BPQ26" s="2692"/>
      <c r="BPR26" s="2692"/>
      <c r="BPS26" s="2692"/>
      <c r="BPT26" s="2692"/>
      <c r="BPU26" s="2692"/>
      <c r="BPV26" s="2692"/>
      <c r="BPW26" s="2692"/>
      <c r="BPX26" s="2692"/>
      <c r="BPY26" s="2692"/>
      <c r="BPZ26" s="2692"/>
      <c r="BQA26" s="2692"/>
      <c r="BQB26" s="2692"/>
      <c r="BQC26" s="2692"/>
      <c r="BQD26" s="2692"/>
      <c r="BQE26" s="2692"/>
      <c r="BQF26" s="2692"/>
      <c r="BQG26" s="2692"/>
      <c r="BQH26" s="2692"/>
      <c r="BQI26" s="2692"/>
      <c r="BQJ26" s="2692"/>
      <c r="BQK26" s="2692"/>
      <c r="BQL26" s="2692"/>
      <c r="BQM26" s="2692"/>
      <c r="BQN26" s="2692"/>
      <c r="BQO26" s="2692"/>
      <c r="BQP26" s="2692"/>
      <c r="BQQ26" s="2692"/>
      <c r="BQR26" s="2692"/>
      <c r="BQS26" s="2692"/>
      <c r="BQT26" s="2692"/>
      <c r="BQU26" s="2692"/>
      <c r="BQV26" s="2692"/>
      <c r="BQW26" s="2692"/>
      <c r="BQX26" s="2692"/>
      <c r="BQY26" s="2692"/>
      <c r="BQZ26" s="2692"/>
      <c r="BRA26" s="2692"/>
      <c r="BRB26" s="2692"/>
      <c r="BRC26" s="2692"/>
      <c r="BRD26" s="2692"/>
      <c r="BRE26" s="2692"/>
      <c r="BRF26" s="2692"/>
      <c r="BRG26" s="2692"/>
      <c r="BRH26" s="2692"/>
      <c r="BRI26" s="2692"/>
      <c r="BRJ26" s="2692"/>
      <c r="BRK26" s="2692"/>
      <c r="BRL26" s="2692"/>
      <c r="BRM26" s="2692"/>
      <c r="BRN26" s="2692"/>
      <c r="BRO26" s="2692"/>
      <c r="BRP26" s="2692"/>
      <c r="BRQ26" s="2692"/>
      <c r="BRR26" s="2692"/>
      <c r="BRS26" s="2692"/>
      <c r="BRT26" s="2692"/>
      <c r="BRU26" s="2692"/>
      <c r="BRV26" s="2692"/>
      <c r="BRW26" s="2692"/>
      <c r="BRX26" s="2692"/>
      <c r="BRY26" s="2692"/>
      <c r="BRZ26" s="2692"/>
      <c r="BSA26" s="2692"/>
      <c r="BSB26" s="2692"/>
      <c r="BSC26" s="2692"/>
      <c r="BSD26" s="2692"/>
      <c r="BSE26" s="2692"/>
      <c r="BSF26" s="2692"/>
      <c r="BSG26" s="2692"/>
      <c r="BSH26" s="2692"/>
      <c r="BSI26" s="2692"/>
      <c r="BSJ26" s="2692"/>
      <c r="BSK26" s="2692"/>
      <c r="BSL26" s="2692"/>
      <c r="BSM26" s="2692"/>
      <c r="BSN26" s="2692"/>
      <c r="BSO26" s="2692"/>
      <c r="BSP26" s="2692"/>
      <c r="BSQ26" s="2692"/>
      <c r="BSR26" s="2692"/>
      <c r="BSS26" s="2692"/>
      <c r="BST26" s="2692"/>
      <c r="BSU26" s="2692"/>
      <c r="BSV26" s="2692"/>
      <c r="BSW26" s="2692"/>
      <c r="BSX26" s="2692"/>
      <c r="BSY26" s="2692"/>
      <c r="BSZ26" s="2692"/>
      <c r="BTA26" s="2692"/>
      <c r="BTB26" s="2692"/>
      <c r="BTC26" s="2692"/>
      <c r="BTD26" s="2692"/>
      <c r="BTE26" s="2692"/>
      <c r="BTF26" s="2692"/>
      <c r="BTG26" s="2692"/>
      <c r="BTH26" s="2692"/>
      <c r="BTI26" s="2692"/>
      <c r="BTJ26" s="2692"/>
      <c r="BTK26" s="2692"/>
      <c r="BTL26" s="2692"/>
      <c r="BTM26" s="2692"/>
      <c r="BTN26" s="2692"/>
      <c r="BTO26" s="2692"/>
      <c r="BTP26" s="2692"/>
      <c r="BTQ26" s="2692"/>
      <c r="BTR26" s="2692"/>
      <c r="BTS26" s="2692"/>
      <c r="BTT26" s="2692"/>
      <c r="BTU26" s="2692"/>
      <c r="BTV26" s="2692"/>
      <c r="BTW26" s="2692"/>
      <c r="BTX26" s="2692"/>
      <c r="BTY26" s="2692"/>
      <c r="BTZ26" s="2692"/>
      <c r="BUA26" s="2692"/>
      <c r="BUB26" s="2692"/>
      <c r="BUC26" s="2692"/>
      <c r="BUD26" s="2692"/>
      <c r="BUE26" s="2692"/>
      <c r="BUF26" s="2692"/>
      <c r="BUG26" s="2692"/>
      <c r="BUH26" s="2692"/>
      <c r="BUI26" s="2692"/>
      <c r="BUJ26" s="2692"/>
      <c r="BUK26" s="2692"/>
      <c r="BUL26" s="2692"/>
      <c r="BUM26" s="2692"/>
      <c r="BUN26" s="2692"/>
      <c r="BUO26" s="2692"/>
      <c r="BUP26" s="2692"/>
      <c r="BUQ26" s="2692"/>
      <c r="BUR26" s="2692"/>
      <c r="BUS26" s="2692"/>
      <c r="BUT26" s="2692"/>
      <c r="BUU26" s="2692"/>
      <c r="BUV26" s="2692"/>
      <c r="BUW26" s="2692"/>
      <c r="BUX26" s="2692"/>
      <c r="BUY26" s="2692"/>
      <c r="BUZ26" s="2692"/>
      <c r="BVA26" s="2692"/>
      <c r="BVB26" s="2692"/>
      <c r="BVC26" s="2692"/>
      <c r="BVD26" s="2692"/>
      <c r="BVE26" s="2692"/>
      <c r="BVF26" s="2692"/>
      <c r="BVG26" s="2692"/>
      <c r="BVH26" s="2692"/>
      <c r="BVI26" s="2692"/>
      <c r="BVJ26" s="2692"/>
      <c r="BVK26" s="2692"/>
      <c r="BVL26" s="2692"/>
      <c r="BVM26" s="2692"/>
      <c r="BVN26" s="2692"/>
      <c r="BVO26" s="2692"/>
      <c r="BVP26" s="2692"/>
      <c r="BVQ26" s="2692"/>
      <c r="BVR26" s="2692"/>
      <c r="BVS26" s="2692"/>
      <c r="BVT26" s="2692"/>
      <c r="BVU26" s="2692"/>
      <c r="BVV26" s="2692"/>
      <c r="BVW26" s="2692"/>
      <c r="BVX26" s="2692"/>
      <c r="BVY26" s="2692"/>
      <c r="BVZ26" s="2692"/>
      <c r="BWA26" s="2692"/>
      <c r="BWB26" s="2692"/>
      <c r="BWC26" s="2692"/>
      <c r="BWD26" s="2692"/>
      <c r="BWE26" s="2692"/>
      <c r="BWF26" s="2692"/>
      <c r="BWG26" s="2692"/>
      <c r="BWH26" s="2692"/>
      <c r="BWI26" s="2692"/>
      <c r="BWJ26" s="2692"/>
      <c r="BWK26" s="2692"/>
      <c r="BWL26" s="2692"/>
      <c r="BWM26" s="2692"/>
      <c r="BWN26" s="2692"/>
      <c r="BWO26" s="2692"/>
      <c r="BWP26" s="2692"/>
      <c r="BWQ26" s="2692"/>
      <c r="BWR26" s="2692"/>
      <c r="BWS26" s="2692"/>
      <c r="BWT26" s="2692"/>
      <c r="BWU26" s="2692"/>
      <c r="BWV26" s="2692"/>
      <c r="BWW26" s="2692"/>
      <c r="BWX26" s="2692"/>
      <c r="BWY26" s="2692"/>
      <c r="BWZ26" s="2692"/>
      <c r="BXA26" s="2692"/>
      <c r="BXB26" s="2692"/>
      <c r="BXC26" s="2692"/>
      <c r="BXD26" s="2692"/>
      <c r="BXE26" s="2692"/>
      <c r="BXF26" s="2692"/>
      <c r="BXG26" s="2692"/>
      <c r="BXH26" s="2692"/>
      <c r="BXI26" s="2692"/>
      <c r="BXJ26" s="2692"/>
      <c r="BXK26" s="2692"/>
      <c r="BXL26" s="2692"/>
      <c r="BXM26" s="2692"/>
      <c r="BXN26" s="2692"/>
      <c r="BXO26" s="2692"/>
      <c r="BXP26" s="2692"/>
      <c r="BXQ26" s="2692"/>
      <c r="BXR26" s="2692"/>
      <c r="BXS26" s="2692"/>
      <c r="BXT26" s="2692"/>
      <c r="BXU26" s="2692"/>
      <c r="BXV26" s="2692"/>
      <c r="BXW26" s="2692"/>
      <c r="BXX26" s="2692"/>
      <c r="BXY26" s="2692"/>
      <c r="BXZ26" s="2692"/>
      <c r="BYA26" s="2692"/>
      <c r="BYB26" s="2692"/>
      <c r="BYC26" s="2692"/>
      <c r="BYD26" s="2692"/>
      <c r="BYE26" s="2692"/>
      <c r="BYF26" s="2692"/>
      <c r="BYG26" s="2692"/>
      <c r="BYH26" s="2692"/>
      <c r="BYI26" s="2692"/>
      <c r="BYJ26" s="2692"/>
      <c r="BYK26" s="2692"/>
      <c r="BYL26" s="2692"/>
      <c r="BYM26" s="2692"/>
      <c r="BYN26" s="2692"/>
      <c r="BYO26" s="2692"/>
      <c r="BYP26" s="2692"/>
      <c r="BYQ26" s="2692"/>
      <c r="BYR26" s="2692"/>
      <c r="BYS26" s="2692"/>
      <c r="BYT26" s="2692"/>
      <c r="BYU26" s="2692"/>
      <c r="BYV26" s="2692"/>
      <c r="BYW26" s="2692"/>
      <c r="BYX26" s="2692"/>
      <c r="BYY26" s="2692"/>
      <c r="BYZ26" s="2692"/>
      <c r="BZA26" s="2692"/>
      <c r="BZB26" s="2692"/>
      <c r="BZC26" s="2692"/>
      <c r="BZD26" s="2692"/>
      <c r="BZE26" s="2692"/>
      <c r="BZF26" s="2692"/>
      <c r="BZG26" s="2692"/>
      <c r="BZH26" s="2692"/>
      <c r="BZI26" s="2692"/>
      <c r="BZJ26" s="2692"/>
      <c r="BZK26" s="2692"/>
      <c r="BZL26" s="2692"/>
      <c r="BZM26" s="2692"/>
      <c r="BZN26" s="2692"/>
      <c r="BZO26" s="2692"/>
      <c r="BZP26" s="2692"/>
      <c r="BZQ26" s="2692"/>
      <c r="BZR26" s="2692"/>
      <c r="BZS26" s="2692"/>
      <c r="BZT26" s="2692"/>
      <c r="BZU26" s="2692"/>
      <c r="BZV26" s="2692"/>
      <c r="BZW26" s="2692"/>
      <c r="BZX26" s="2692"/>
      <c r="BZY26" s="2692"/>
      <c r="BZZ26" s="2692"/>
      <c r="CAA26" s="2692"/>
      <c r="CAB26" s="2692"/>
      <c r="CAC26" s="2692"/>
      <c r="CAD26" s="2692"/>
      <c r="CAE26" s="2692"/>
      <c r="CAF26" s="2692"/>
      <c r="CAG26" s="2692"/>
      <c r="CAH26" s="2692"/>
      <c r="CAI26" s="2692"/>
      <c r="CAJ26" s="2692"/>
      <c r="CAK26" s="2692"/>
      <c r="CAL26" s="2692"/>
      <c r="CAM26" s="2692"/>
      <c r="CAN26" s="2692"/>
      <c r="CAO26" s="2692"/>
      <c r="CAP26" s="2692"/>
      <c r="CAQ26" s="2692"/>
      <c r="CAR26" s="2692"/>
      <c r="CAS26" s="2692"/>
      <c r="CAT26" s="2692"/>
      <c r="CAU26" s="2692"/>
      <c r="CAV26" s="2692"/>
      <c r="CAW26" s="2692"/>
      <c r="CAX26" s="2692"/>
      <c r="CAY26" s="2692"/>
      <c r="CAZ26" s="2692"/>
      <c r="CBA26" s="2692"/>
      <c r="CBB26" s="2692"/>
      <c r="CBC26" s="2692"/>
      <c r="CBD26" s="2692"/>
      <c r="CBE26" s="2692"/>
      <c r="CBF26" s="2692"/>
      <c r="CBG26" s="2692"/>
      <c r="CBH26" s="2692"/>
      <c r="CBI26" s="2692"/>
      <c r="CBJ26" s="2692"/>
      <c r="CBK26" s="2692"/>
      <c r="CBL26" s="2692"/>
      <c r="CBM26" s="2692"/>
      <c r="CBN26" s="2692"/>
      <c r="CBO26" s="2692"/>
      <c r="CBP26" s="2692"/>
      <c r="CBQ26" s="2692"/>
      <c r="CBR26" s="2692"/>
      <c r="CBS26" s="2692"/>
      <c r="CBT26" s="2692"/>
      <c r="CBU26" s="2692"/>
      <c r="CBV26" s="2692"/>
      <c r="CBW26" s="2692"/>
      <c r="CBX26" s="2692"/>
      <c r="CBY26" s="2692"/>
      <c r="CBZ26" s="2692"/>
      <c r="CCA26" s="2692"/>
      <c r="CCB26" s="2692"/>
      <c r="CCC26" s="2692"/>
      <c r="CCD26" s="2692"/>
      <c r="CCE26" s="2692"/>
      <c r="CCF26" s="2692"/>
      <c r="CCG26" s="2692"/>
      <c r="CCH26" s="2692"/>
      <c r="CCI26" s="2692"/>
      <c r="CCJ26" s="2692"/>
      <c r="CCK26" s="2692"/>
      <c r="CCL26" s="2692"/>
      <c r="CCM26" s="2692"/>
      <c r="CCN26" s="2692"/>
      <c r="CCO26" s="2692"/>
      <c r="CCP26" s="2692"/>
      <c r="CCQ26" s="2692"/>
      <c r="CCR26" s="2692"/>
      <c r="CCS26" s="2692"/>
      <c r="CCT26" s="2692"/>
      <c r="CCU26" s="2692"/>
      <c r="CCV26" s="2692"/>
      <c r="CCW26" s="2692"/>
      <c r="CCX26" s="2692"/>
      <c r="CCY26" s="2692"/>
      <c r="CCZ26" s="2692"/>
      <c r="CDA26" s="2692"/>
      <c r="CDB26" s="2692"/>
      <c r="CDC26" s="2692"/>
      <c r="CDD26" s="2692"/>
      <c r="CDE26" s="2692"/>
      <c r="CDF26" s="2692"/>
      <c r="CDG26" s="2692"/>
      <c r="CDH26" s="2692"/>
      <c r="CDI26" s="2692"/>
      <c r="CDJ26" s="2692"/>
      <c r="CDK26" s="2692"/>
      <c r="CDL26" s="2692"/>
      <c r="CDM26" s="2692"/>
      <c r="CDN26" s="2692"/>
      <c r="CDO26" s="2692"/>
      <c r="CDP26" s="2692"/>
      <c r="CDQ26" s="2692"/>
      <c r="CDR26" s="2692"/>
      <c r="CDS26" s="2692"/>
      <c r="CDT26" s="2692"/>
      <c r="CDU26" s="2692"/>
      <c r="CDV26" s="2692"/>
      <c r="CDW26" s="2692"/>
      <c r="CDX26" s="2692"/>
      <c r="CDY26" s="2692"/>
      <c r="CDZ26" s="2692"/>
      <c r="CEA26" s="2692"/>
      <c r="CEB26" s="2692"/>
      <c r="CEC26" s="2692"/>
      <c r="CED26" s="2692"/>
      <c r="CEE26" s="2692"/>
      <c r="CEF26" s="2692"/>
      <c r="CEG26" s="2692"/>
      <c r="CEH26" s="2692"/>
      <c r="CEI26" s="2692"/>
      <c r="CEJ26" s="2692"/>
      <c r="CEK26" s="2692"/>
      <c r="CEL26" s="2692"/>
      <c r="CEM26" s="2692"/>
      <c r="CEN26" s="2692"/>
      <c r="CEO26" s="2692"/>
      <c r="CEP26" s="2692"/>
      <c r="CEQ26" s="2692"/>
      <c r="CER26" s="2692"/>
      <c r="CES26" s="2692"/>
      <c r="CET26" s="2692"/>
      <c r="CEU26" s="2692"/>
      <c r="CEV26" s="2692"/>
      <c r="CEW26" s="2692"/>
      <c r="CEX26" s="2692"/>
      <c r="CEY26" s="2692"/>
      <c r="CEZ26" s="2692"/>
      <c r="CFA26" s="2692"/>
      <c r="CFB26" s="2692"/>
      <c r="CFC26" s="2692"/>
      <c r="CFD26" s="2692"/>
      <c r="CFE26" s="2692"/>
      <c r="CFF26" s="2692"/>
      <c r="CFG26" s="2692"/>
      <c r="CFH26" s="2692"/>
      <c r="CFI26" s="2692"/>
      <c r="CFJ26" s="2692"/>
      <c r="CFK26" s="2692"/>
      <c r="CFL26" s="2692"/>
      <c r="CFM26" s="2692"/>
      <c r="CFN26" s="2692"/>
      <c r="CFO26" s="2692"/>
      <c r="CFP26" s="2692"/>
      <c r="CFQ26" s="2692"/>
      <c r="CFR26" s="2692"/>
      <c r="CFS26" s="2692"/>
      <c r="CFT26" s="2692"/>
      <c r="CFU26" s="2692"/>
      <c r="CFV26" s="2692"/>
      <c r="CFW26" s="2692"/>
      <c r="CFX26" s="2692"/>
      <c r="CFY26" s="2692"/>
      <c r="CFZ26" s="2692"/>
      <c r="CGA26" s="2692"/>
      <c r="CGB26" s="2692"/>
      <c r="CGC26" s="2692"/>
      <c r="CGD26" s="2692"/>
      <c r="CGE26" s="2692"/>
      <c r="CGF26" s="2692"/>
      <c r="CGG26" s="2692"/>
      <c r="CGH26" s="2692"/>
      <c r="CGI26" s="2692"/>
      <c r="CGJ26" s="2692"/>
      <c r="CGK26" s="2692"/>
      <c r="CGL26" s="2692"/>
      <c r="CGM26" s="2692"/>
      <c r="CGN26" s="2692"/>
      <c r="CGO26" s="2692"/>
      <c r="CGP26" s="2692"/>
      <c r="CGQ26" s="2692"/>
      <c r="CGR26" s="2692"/>
      <c r="CGS26" s="2692"/>
      <c r="CGT26" s="2692"/>
      <c r="CGU26" s="2692"/>
      <c r="CGV26" s="2692"/>
      <c r="CGW26" s="2692"/>
      <c r="CGX26" s="2692"/>
      <c r="CGY26" s="2692"/>
      <c r="CGZ26" s="2692"/>
      <c r="CHA26" s="2692"/>
      <c r="CHB26" s="2692"/>
      <c r="CHC26" s="2692"/>
      <c r="CHD26" s="2692"/>
      <c r="CHE26" s="2692"/>
      <c r="CHF26" s="2692"/>
      <c r="CHG26" s="2692"/>
      <c r="CHH26" s="2692"/>
      <c r="CHI26" s="2692"/>
      <c r="CHJ26" s="2692"/>
      <c r="CHK26" s="2692"/>
      <c r="CHL26" s="2692"/>
      <c r="CHM26" s="2692"/>
      <c r="CHN26" s="2692"/>
      <c r="CHO26" s="2692"/>
      <c r="CHP26" s="2692"/>
      <c r="CHQ26" s="2692"/>
      <c r="CHR26" s="2692"/>
      <c r="CHS26" s="2692"/>
      <c r="CHT26" s="2692"/>
      <c r="CHU26" s="2692"/>
      <c r="CHV26" s="2692"/>
      <c r="CHW26" s="2692"/>
      <c r="CHX26" s="2692"/>
      <c r="CHY26" s="2692"/>
      <c r="CHZ26" s="2692"/>
      <c r="CIA26" s="2692"/>
      <c r="CIB26" s="2692"/>
      <c r="CIC26" s="2692"/>
      <c r="CID26" s="2692"/>
      <c r="CIE26" s="2692"/>
      <c r="CIF26" s="2692"/>
      <c r="CIG26" s="2692"/>
      <c r="CIH26" s="2692"/>
      <c r="CII26" s="2692"/>
      <c r="CIJ26" s="2692"/>
      <c r="CIK26" s="2692"/>
      <c r="CIL26" s="2692"/>
      <c r="CIM26" s="2692"/>
      <c r="CIN26" s="2692"/>
      <c r="CIO26" s="2692"/>
      <c r="CIP26" s="2692"/>
      <c r="CIQ26" s="2692"/>
      <c r="CIR26" s="2692"/>
      <c r="CIS26" s="2692"/>
      <c r="CIT26" s="2692"/>
      <c r="CIU26" s="2692"/>
      <c r="CIV26" s="2692"/>
      <c r="CIW26" s="2692"/>
      <c r="CIX26" s="2692"/>
      <c r="CIY26" s="2692"/>
      <c r="CIZ26" s="2692"/>
      <c r="CJA26" s="2692"/>
      <c r="CJB26" s="2692"/>
      <c r="CJC26" s="2692"/>
      <c r="CJD26" s="2692"/>
      <c r="CJE26" s="2692"/>
      <c r="CJF26" s="2692"/>
      <c r="CJG26" s="2692"/>
      <c r="CJH26" s="2692"/>
      <c r="CJI26" s="2692"/>
      <c r="CJJ26" s="2692"/>
      <c r="CJK26" s="2692"/>
      <c r="CJL26" s="2692"/>
      <c r="CJM26" s="2692"/>
      <c r="CJN26" s="2692"/>
      <c r="CJO26" s="2692"/>
      <c r="CJP26" s="2692"/>
      <c r="CJQ26" s="2692"/>
      <c r="CJR26" s="2692"/>
      <c r="CJS26" s="2692"/>
      <c r="CJT26" s="2692"/>
      <c r="CJU26" s="2692"/>
      <c r="CJV26" s="2692"/>
      <c r="CJW26" s="2692"/>
      <c r="CJX26" s="2692"/>
      <c r="CJY26" s="2692"/>
      <c r="CJZ26" s="2692"/>
      <c r="CKA26" s="2692"/>
      <c r="CKB26" s="2692"/>
      <c r="CKC26" s="2692"/>
      <c r="CKD26" s="2692"/>
      <c r="CKE26" s="2692"/>
      <c r="CKF26" s="2692"/>
      <c r="CKG26" s="2692"/>
      <c r="CKH26" s="2692"/>
      <c r="CKI26" s="2692"/>
      <c r="CKJ26" s="2692"/>
      <c r="CKK26" s="2692"/>
      <c r="CKL26" s="2692"/>
      <c r="CKM26" s="2692"/>
      <c r="CKN26" s="2692"/>
      <c r="CKO26" s="2692"/>
      <c r="CKP26" s="2692"/>
      <c r="CKQ26" s="2692"/>
      <c r="CKR26" s="2692"/>
      <c r="CKS26" s="2692"/>
      <c r="CKT26" s="2692"/>
      <c r="CKU26" s="2692"/>
      <c r="CKV26" s="2692"/>
      <c r="CKW26" s="2692"/>
      <c r="CKX26" s="2692"/>
      <c r="CKY26" s="2692"/>
      <c r="CKZ26" s="2692"/>
      <c r="CLA26" s="2692"/>
      <c r="CLB26" s="2692"/>
      <c r="CLC26" s="2692"/>
      <c r="CLD26" s="2692"/>
      <c r="CLE26" s="2692"/>
      <c r="CLF26" s="2692"/>
      <c r="CLG26" s="2692"/>
      <c r="CLH26" s="2692"/>
      <c r="CLI26" s="2692"/>
      <c r="CLJ26" s="2692"/>
      <c r="CLK26" s="2692"/>
      <c r="CLL26" s="2692"/>
      <c r="CLM26" s="2692"/>
      <c r="CLN26" s="2692"/>
      <c r="CLO26" s="2692"/>
      <c r="CLP26" s="2692"/>
      <c r="CLQ26" s="2692"/>
      <c r="CLR26" s="2692"/>
      <c r="CLS26" s="2692"/>
      <c r="CLT26" s="2692"/>
      <c r="CLU26" s="2692"/>
      <c r="CLV26" s="2692"/>
      <c r="CLW26" s="2692"/>
      <c r="CLX26" s="2692"/>
      <c r="CLY26" s="2692"/>
      <c r="CLZ26" s="2692"/>
      <c r="CMA26" s="2692"/>
      <c r="CMB26" s="2692"/>
      <c r="CMC26" s="2692"/>
      <c r="CMD26" s="2692"/>
      <c r="CME26" s="2692"/>
      <c r="CMF26" s="2692"/>
      <c r="CMG26" s="2692"/>
      <c r="CMH26" s="2692"/>
      <c r="CMI26" s="2692"/>
      <c r="CMJ26" s="2692"/>
      <c r="CMK26" s="2692"/>
      <c r="CML26" s="2692"/>
      <c r="CMM26" s="2692"/>
      <c r="CMN26" s="2692"/>
      <c r="CMO26" s="2692"/>
      <c r="CMP26" s="2692"/>
      <c r="CMQ26" s="2692"/>
      <c r="CMR26" s="2692"/>
      <c r="CMS26" s="2692"/>
      <c r="CMT26" s="2692"/>
      <c r="CMU26" s="2692"/>
      <c r="CMV26" s="2692"/>
      <c r="CMW26" s="2692"/>
      <c r="CMX26" s="2692"/>
      <c r="CMY26" s="2692"/>
      <c r="CMZ26" s="2692"/>
      <c r="CNA26" s="2692"/>
      <c r="CNB26" s="2692"/>
      <c r="CNC26" s="2692"/>
      <c r="CND26" s="2692"/>
      <c r="CNE26" s="2692"/>
      <c r="CNF26" s="2692"/>
      <c r="CNG26" s="2692"/>
      <c r="CNH26" s="2692"/>
      <c r="CNI26" s="2692"/>
      <c r="CNJ26" s="2692"/>
      <c r="CNK26" s="2692"/>
      <c r="CNL26" s="2692"/>
      <c r="CNM26" s="2692"/>
      <c r="CNN26" s="2692"/>
      <c r="CNO26" s="2692"/>
      <c r="CNP26" s="2692"/>
      <c r="CNQ26" s="2692"/>
      <c r="CNR26" s="2692"/>
      <c r="CNS26" s="2692"/>
      <c r="CNT26" s="2692"/>
      <c r="CNU26" s="2692"/>
      <c r="CNV26" s="2692"/>
      <c r="CNW26" s="2692"/>
      <c r="CNX26" s="2692"/>
      <c r="CNY26" s="2692"/>
      <c r="CNZ26" s="2692"/>
      <c r="COA26" s="2692"/>
      <c r="COB26" s="2692"/>
      <c r="COC26" s="2692"/>
      <c r="COD26" s="2692"/>
      <c r="COE26" s="2692"/>
      <c r="COF26" s="2692"/>
      <c r="COG26" s="2692"/>
      <c r="COH26" s="2692"/>
      <c r="COI26" s="2692"/>
      <c r="COJ26" s="2692"/>
      <c r="COK26" s="2692"/>
      <c r="COL26" s="2692"/>
      <c r="COM26" s="2692"/>
      <c r="CON26" s="2692"/>
      <c r="COO26" s="2692"/>
      <c r="COP26" s="2692"/>
      <c r="COQ26" s="2692"/>
      <c r="COR26" s="2692"/>
      <c r="COS26" s="2692"/>
      <c r="COT26" s="2692"/>
      <c r="COU26" s="2692"/>
      <c r="COV26" s="2692"/>
      <c r="COW26" s="2692"/>
      <c r="COX26" s="2692"/>
      <c r="COY26" s="2692"/>
      <c r="COZ26" s="2692"/>
      <c r="CPA26" s="2692"/>
      <c r="CPB26" s="2692"/>
      <c r="CPC26" s="2692"/>
      <c r="CPD26" s="2692"/>
      <c r="CPE26" s="2692"/>
      <c r="CPF26" s="2692"/>
      <c r="CPG26" s="2692"/>
      <c r="CPH26" s="2692"/>
      <c r="CPI26" s="2692"/>
      <c r="CPJ26" s="2692"/>
      <c r="CPK26" s="2692"/>
      <c r="CPL26" s="2692"/>
      <c r="CPM26" s="2692"/>
      <c r="CPN26" s="2692"/>
      <c r="CPO26" s="2692"/>
      <c r="CPP26" s="2692"/>
      <c r="CPQ26" s="2692"/>
      <c r="CPR26" s="2692"/>
      <c r="CPS26" s="2692"/>
      <c r="CPT26" s="2692"/>
      <c r="CPU26" s="2692"/>
      <c r="CPV26" s="2692"/>
      <c r="CPW26" s="2692"/>
      <c r="CPX26" s="2692"/>
      <c r="CPY26" s="2692"/>
      <c r="CPZ26" s="2692"/>
      <c r="CQA26" s="2692"/>
      <c r="CQB26" s="2692"/>
      <c r="CQC26" s="2692"/>
      <c r="CQD26" s="2692"/>
      <c r="CQE26" s="2692"/>
      <c r="CQF26" s="2692"/>
      <c r="CQG26" s="2692"/>
      <c r="CQH26" s="2692"/>
      <c r="CQI26" s="2692"/>
      <c r="CQJ26" s="2692"/>
      <c r="CQK26" s="2692"/>
      <c r="CQL26" s="2692"/>
      <c r="CQM26" s="2692"/>
      <c r="CQN26" s="2692"/>
      <c r="CQO26" s="2692"/>
      <c r="CQP26" s="2692"/>
      <c r="CQQ26" s="2692"/>
      <c r="CQR26" s="2692"/>
      <c r="CQS26" s="2692"/>
      <c r="CQT26" s="2692"/>
      <c r="CQU26" s="2692"/>
      <c r="CQV26" s="2692"/>
      <c r="CQW26" s="2692"/>
      <c r="CQX26" s="2692"/>
      <c r="CQY26" s="2692"/>
      <c r="CQZ26" s="2692"/>
      <c r="CRA26" s="2692"/>
      <c r="CRB26" s="2692"/>
      <c r="CRC26" s="2692"/>
      <c r="CRD26" s="2692"/>
      <c r="CRE26" s="2692"/>
      <c r="CRF26" s="2692"/>
      <c r="CRG26" s="2692"/>
      <c r="CRH26" s="2692"/>
      <c r="CRI26" s="2692"/>
      <c r="CRJ26" s="2692"/>
      <c r="CRK26" s="2692"/>
      <c r="CRL26" s="2692"/>
      <c r="CRM26" s="2692"/>
      <c r="CRN26" s="2692"/>
      <c r="CRO26" s="2692"/>
      <c r="CRP26" s="2692"/>
      <c r="CRQ26" s="2692"/>
      <c r="CRR26" s="2692"/>
      <c r="CRS26" s="2692"/>
      <c r="CRT26" s="2692"/>
      <c r="CRU26" s="2692"/>
      <c r="CRV26" s="2692"/>
      <c r="CRW26" s="2692"/>
      <c r="CRX26" s="2692"/>
      <c r="CRY26" s="2692"/>
      <c r="CRZ26" s="2692"/>
      <c r="CSA26" s="2692"/>
      <c r="CSB26" s="2692"/>
      <c r="CSC26" s="2692"/>
      <c r="CSD26" s="2692"/>
      <c r="CSE26" s="2692"/>
      <c r="CSF26" s="2692"/>
      <c r="CSG26" s="2692"/>
      <c r="CSH26" s="2692"/>
      <c r="CSI26" s="2692"/>
      <c r="CSJ26" s="2692"/>
      <c r="CSK26" s="2692"/>
      <c r="CSL26" s="2692"/>
      <c r="CSM26" s="2692"/>
      <c r="CSN26" s="2692"/>
      <c r="CSO26" s="2692"/>
      <c r="CSP26" s="2692"/>
      <c r="CSQ26" s="2692"/>
      <c r="CSR26" s="2692"/>
      <c r="CSS26" s="2692"/>
      <c r="CST26" s="2692"/>
      <c r="CSU26" s="2692"/>
      <c r="CSV26" s="2692"/>
      <c r="CSW26" s="2692"/>
      <c r="CSX26" s="2692"/>
      <c r="CSY26" s="2692"/>
      <c r="CSZ26" s="2692"/>
      <c r="CTA26" s="2692"/>
      <c r="CTB26" s="2692"/>
      <c r="CTC26" s="2692"/>
      <c r="CTD26" s="2692"/>
      <c r="CTE26" s="2692"/>
      <c r="CTF26" s="2692"/>
      <c r="CTG26" s="2692"/>
      <c r="CTH26" s="2692"/>
      <c r="CTI26" s="2692"/>
      <c r="CTJ26" s="2692"/>
      <c r="CTK26" s="2692"/>
      <c r="CTL26" s="2692"/>
      <c r="CTM26" s="2692"/>
      <c r="CTN26" s="2692"/>
      <c r="CTO26" s="2692"/>
      <c r="CTP26" s="2692"/>
      <c r="CTQ26" s="2692"/>
      <c r="CTR26" s="2692"/>
      <c r="CTS26" s="2692"/>
      <c r="CTT26" s="2692"/>
      <c r="CTU26" s="2692"/>
      <c r="CTV26" s="2692"/>
      <c r="CTW26" s="2692"/>
      <c r="CTX26" s="2692"/>
      <c r="CTY26" s="2692"/>
      <c r="CTZ26" s="2692"/>
      <c r="CUA26" s="2692"/>
      <c r="CUB26" s="2692"/>
      <c r="CUC26" s="2692"/>
      <c r="CUD26" s="2692"/>
      <c r="CUE26" s="2692"/>
      <c r="CUF26" s="2692"/>
      <c r="CUG26" s="2692"/>
      <c r="CUH26" s="2692"/>
      <c r="CUI26" s="2692"/>
      <c r="CUJ26" s="2692"/>
      <c r="CUK26" s="2692"/>
      <c r="CUL26" s="2692"/>
      <c r="CUM26" s="2692"/>
      <c r="CUN26" s="2692"/>
      <c r="CUO26" s="2692"/>
      <c r="CUP26" s="2692"/>
      <c r="CUQ26" s="2692"/>
      <c r="CUR26" s="2692"/>
      <c r="CUS26" s="2692"/>
      <c r="CUT26" s="2692"/>
      <c r="CUU26" s="2692"/>
      <c r="CUV26" s="2692"/>
      <c r="CUW26" s="2692"/>
      <c r="CUX26" s="2692"/>
      <c r="CUY26" s="2692"/>
      <c r="CUZ26" s="2692"/>
      <c r="CVA26" s="2692"/>
      <c r="CVB26" s="2692"/>
      <c r="CVC26" s="2692"/>
      <c r="CVD26" s="2692"/>
      <c r="CVE26" s="2692"/>
      <c r="CVF26" s="2692"/>
      <c r="CVG26" s="2692"/>
      <c r="CVH26" s="2692"/>
      <c r="CVI26" s="2692"/>
      <c r="CVJ26" s="2692"/>
      <c r="CVK26" s="2692"/>
      <c r="CVL26" s="2692"/>
      <c r="CVM26" s="2692"/>
      <c r="CVN26" s="2692"/>
      <c r="CVO26" s="2692"/>
      <c r="CVP26" s="2692"/>
      <c r="CVQ26" s="2692"/>
      <c r="CVR26" s="2692"/>
      <c r="CVS26" s="2692"/>
      <c r="CVT26" s="2692"/>
      <c r="CVU26" s="2692"/>
      <c r="CVV26" s="2692"/>
      <c r="CVW26" s="2692"/>
      <c r="CVX26" s="2692"/>
      <c r="CVY26" s="2692"/>
      <c r="CVZ26" s="2692"/>
      <c r="CWA26" s="2692"/>
      <c r="CWB26" s="2692"/>
      <c r="CWC26" s="2692"/>
      <c r="CWD26" s="2692"/>
      <c r="CWE26" s="2692"/>
      <c r="CWF26" s="2692"/>
      <c r="CWG26" s="2692"/>
      <c r="CWH26" s="2692"/>
      <c r="CWI26" s="2692"/>
      <c r="CWJ26" s="2692"/>
      <c r="CWK26" s="2692"/>
      <c r="CWL26" s="2692"/>
      <c r="CWM26" s="2692"/>
      <c r="CWN26" s="2692"/>
      <c r="CWO26" s="2692"/>
      <c r="CWP26" s="2692"/>
      <c r="CWQ26" s="2692"/>
      <c r="CWR26" s="2692"/>
      <c r="CWS26" s="2692"/>
      <c r="CWT26" s="2692"/>
      <c r="CWU26" s="2692"/>
      <c r="CWV26" s="2692"/>
      <c r="CWW26" s="2692"/>
      <c r="CWX26" s="2692"/>
      <c r="CWY26" s="2692"/>
      <c r="CWZ26" s="2692"/>
      <c r="CXA26" s="2692"/>
      <c r="CXB26" s="2692"/>
      <c r="CXC26" s="2692"/>
      <c r="CXD26" s="2692"/>
      <c r="CXE26" s="2692"/>
      <c r="CXF26" s="2692"/>
      <c r="CXG26" s="2692"/>
      <c r="CXH26" s="2692"/>
      <c r="CXI26" s="2692"/>
      <c r="CXJ26" s="2692"/>
      <c r="CXK26" s="2692"/>
      <c r="CXL26" s="2692"/>
      <c r="CXM26" s="2692"/>
      <c r="CXN26" s="2692"/>
      <c r="CXO26" s="2692"/>
      <c r="CXP26" s="2692"/>
      <c r="CXQ26" s="2692"/>
      <c r="CXR26" s="2692"/>
      <c r="CXS26" s="2692"/>
      <c r="CXT26" s="2692"/>
      <c r="CXU26" s="2692"/>
      <c r="CXV26" s="2692"/>
      <c r="CXW26" s="2692"/>
      <c r="CXX26" s="2692"/>
      <c r="CXY26" s="2692"/>
      <c r="CXZ26" s="2692"/>
      <c r="CYA26" s="2692"/>
      <c r="CYB26" s="2692"/>
      <c r="CYC26" s="2692"/>
      <c r="CYD26" s="2692"/>
      <c r="CYE26" s="2692"/>
      <c r="CYF26" s="2692"/>
      <c r="CYG26" s="2692"/>
      <c r="CYH26" s="2692"/>
      <c r="CYI26" s="2692"/>
      <c r="CYJ26" s="2692"/>
      <c r="CYK26" s="2692"/>
      <c r="CYL26" s="2692"/>
      <c r="CYM26" s="2692"/>
      <c r="CYN26" s="2692"/>
      <c r="CYO26" s="2692"/>
      <c r="CYP26" s="2692"/>
      <c r="CYQ26" s="2692"/>
      <c r="CYR26" s="2692"/>
      <c r="CYS26" s="2692"/>
      <c r="CYT26" s="2692"/>
      <c r="CYU26" s="2692"/>
      <c r="CYV26" s="2692"/>
      <c r="CYW26" s="2692"/>
      <c r="CYX26" s="2692"/>
      <c r="CYY26" s="2692"/>
      <c r="CYZ26" s="2692"/>
      <c r="CZA26" s="2692"/>
      <c r="CZB26" s="2692"/>
      <c r="CZC26" s="2692"/>
      <c r="CZD26" s="2692"/>
      <c r="CZE26" s="2692"/>
      <c r="CZF26" s="2692"/>
      <c r="CZG26" s="2692"/>
      <c r="CZH26" s="2692"/>
      <c r="CZI26" s="2692"/>
      <c r="CZJ26" s="2692"/>
      <c r="CZK26" s="2692"/>
      <c r="CZL26" s="2692"/>
      <c r="CZM26" s="2692"/>
      <c r="CZN26" s="2692"/>
      <c r="CZO26" s="2692"/>
      <c r="CZP26" s="2692"/>
      <c r="CZQ26" s="2692"/>
      <c r="CZR26" s="2692"/>
      <c r="CZS26" s="2692"/>
      <c r="CZT26" s="2692"/>
      <c r="CZU26" s="2692"/>
      <c r="CZV26" s="2692"/>
      <c r="CZW26" s="2692"/>
      <c r="CZX26" s="2692"/>
      <c r="CZY26" s="2692"/>
      <c r="CZZ26" s="2692"/>
      <c r="DAA26" s="2692"/>
      <c r="DAB26" s="2692"/>
      <c r="DAC26" s="2692"/>
      <c r="DAD26" s="2692"/>
      <c r="DAE26" s="2692"/>
      <c r="DAF26" s="2692"/>
      <c r="DAG26" s="2692"/>
      <c r="DAH26" s="2692"/>
      <c r="DAI26" s="2692"/>
      <c r="DAJ26" s="2692"/>
      <c r="DAK26" s="2692"/>
      <c r="DAL26" s="2692"/>
      <c r="DAM26" s="2692"/>
      <c r="DAN26" s="2692"/>
      <c r="DAO26" s="2692"/>
      <c r="DAP26" s="2692"/>
      <c r="DAQ26" s="2692"/>
      <c r="DAR26" s="2692"/>
      <c r="DAS26" s="2692"/>
      <c r="DAT26" s="2692"/>
      <c r="DAU26" s="2692"/>
      <c r="DAV26" s="2692"/>
      <c r="DAW26" s="2692"/>
      <c r="DAX26" s="2692"/>
      <c r="DAY26" s="2692"/>
      <c r="DAZ26" s="2692"/>
      <c r="DBA26" s="2692"/>
      <c r="DBB26" s="2692"/>
      <c r="DBC26" s="2692"/>
      <c r="DBD26" s="2692"/>
      <c r="DBE26" s="2692"/>
      <c r="DBF26" s="2692"/>
      <c r="DBG26" s="2692"/>
      <c r="DBH26" s="2692"/>
      <c r="DBI26" s="2692"/>
      <c r="DBJ26" s="2692"/>
      <c r="DBK26" s="2692"/>
      <c r="DBL26" s="2692"/>
      <c r="DBM26" s="2692"/>
      <c r="DBN26" s="2692"/>
      <c r="DBO26" s="2692"/>
      <c r="DBP26" s="2692"/>
      <c r="DBQ26" s="2692"/>
      <c r="DBR26" s="2692"/>
      <c r="DBS26" s="2692"/>
      <c r="DBT26" s="2692"/>
      <c r="DBU26" s="2692"/>
      <c r="DBV26" s="2692"/>
      <c r="DBW26" s="2692"/>
      <c r="DBX26" s="2692"/>
      <c r="DBY26" s="2692"/>
      <c r="DBZ26" s="2692"/>
      <c r="DCA26" s="2692"/>
      <c r="DCB26" s="2692"/>
      <c r="DCC26" s="2692"/>
      <c r="DCD26" s="2692"/>
      <c r="DCE26" s="2692"/>
      <c r="DCF26" s="2692"/>
      <c r="DCG26" s="2692"/>
      <c r="DCH26" s="2692"/>
      <c r="DCI26" s="2692"/>
      <c r="DCJ26" s="2692"/>
      <c r="DCK26" s="2692"/>
      <c r="DCL26" s="2692"/>
      <c r="DCM26" s="2692"/>
      <c r="DCN26" s="2692"/>
      <c r="DCO26" s="2692"/>
      <c r="DCP26" s="2692"/>
      <c r="DCQ26" s="2692"/>
      <c r="DCR26" s="2692"/>
      <c r="DCS26" s="2692"/>
      <c r="DCT26" s="2692"/>
      <c r="DCU26" s="2692"/>
      <c r="DCV26" s="2692"/>
      <c r="DCW26" s="2692"/>
      <c r="DCX26" s="2692"/>
      <c r="DCY26" s="2692"/>
      <c r="DCZ26" s="2692"/>
      <c r="DDA26" s="2692"/>
      <c r="DDB26" s="2692"/>
      <c r="DDC26" s="2692"/>
      <c r="DDD26" s="2692"/>
      <c r="DDE26" s="2692"/>
      <c r="DDF26" s="2692"/>
      <c r="DDG26" s="2692"/>
      <c r="DDH26" s="2692"/>
      <c r="DDI26" s="2692"/>
      <c r="DDJ26" s="2692"/>
      <c r="DDK26" s="2692"/>
      <c r="DDL26" s="2692"/>
      <c r="DDM26" s="2692"/>
      <c r="DDN26" s="2692"/>
      <c r="DDO26" s="2692"/>
      <c r="DDP26" s="2692"/>
      <c r="DDQ26" s="2692"/>
      <c r="DDR26" s="2692"/>
      <c r="DDS26" s="2692"/>
      <c r="DDT26" s="2692"/>
      <c r="DDU26" s="2692"/>
      <c r="DDV26" s="2692"/>
      <c r="DDW26" s="2692"/>
      <c r="DDX26" s="2692"/>
      <c r="DDY26" s="2692"/>
      <c r="DDZ26" s="2692"/>
      <c r="DEA26" s="2692"/>
      <c r="DEB26" s="2692"/>
      <c r="DEC26" s="2692"/>
      <c r="DED26" s="2692"/>
      <c r="DEE26" s="2692"/>
      <c r="DEF26" s="2692"/>
      <c r="DEG26" s="2692"/>
      <c r="DEH26" s="2692"/>
      <c r="DEI26" s="2692"/>
      <c r="DEJ26" s="2692"/>
      <c r="DEK26" s="2692"/>
      <c r="DEL26" s="2692"/>
      <c r="DEM26" s="2692"/>
      <c r="DEN26" s="2692"/>
      <c r="DEO26" s="2692"/>
      <c r="DEP26" s="2692"/>
      <c r="DEQ26" s="2692"/>
      <c r="DER26" s="2692"/>
      <c r="DES26" s="2692"/>
      <c r="DET26" s="2692"/>
      <c r="DEU26" s="2692"/>
      <c r="DEV26" s="2692"/>
      <c r="DEW26" s="2692"/>
      <c r="DEX26" s="2692"/>
      <c r="DEY26" s="2692"/>
      <c r="DEZ26" s="2692"/>
      <c r="DFA26" s="2692"/>
      <c r="DFB26" s="2692"/>
      <c r="DFC26" s="2692"/>
      <c r="DFD26" s="2692"/>
      <c r="DFE26" s="2692"/>
      <c r="DFF26" s="2692"/>
      <c r="DFG26" s="2692"/>
      <c r="DFH26" s="2692"/>
      <c r="DFI26" s="2692"/>
      <c r="DFJ26" s="2692"/>
      <c r="DFK26" s="2692"/>
      <c r="DFL26" s="2692"/>
      <c r="DFM26" s="2692"/>
      <c r="DFN26" s="2692"/>
      <c r="DFO26" s="2692"/>
      <c r="DFP26" s="2692"/>
      <c r="DFQ26" s="2692"/>
      <c r="DFR26" s="2692"/>
      <c r="DFS26" s="2692"/>
      <c r="DFT26" s="2692"/>
      <c r="DFU26" s="2692"/>
      <c r="DFV26" s="2692"/>
      <c r="DFW26" s="2692"/>
      <c r="DFX26" s="2692"/>
      <c r="DFY26" s="2692"/>
      <c r="DFZ26" s="2692"/>
      <c r="DGA26" s="2692"/>
      <c r="DGB26" s="2692"/>
      <c r="DGC26" s="2692"/>
      <c r="DGD26" s="2692"/>
      <c r="DGE26" s="2692"/>
      <c r="DGF26" s="2692"/>
      <c r="DGG26" s="2692"/>
      <c r="DGH26" s="2692"/>
      <c r="DGI26" s="2692"/>
      <c r="DGJ26" s="2692"/>
      <c r="DGK26" s="2692"/>
      <c r="DGL26" s="2692"/>
      <c r="DGM26" s="2692"/>
      <c r="DGN26" s="2692"/>
      <c r="DGO26" s="2692"/>
      <c r="DGP26" s="2692"/>
      <c r="DGQ26" s="2692"/>
      <c r="DGR26" s="2692"/>
      <c r="DGS26" s="2692"/>
      <c r="DGT26" s="2692"/>
      <c r="DGU26" s="2692"/>
      <c r="DGV26" s="2692"/>
      <c r="DGW26" s="2692"/>
      <c r="DGX26" s="2692"/>
      <c r="DGY26" s="2692"/>
      <c r="DGZ26" s="2692"/>
      <c r="DHA26" s="2692"/>
      <c r="DHB26" s="2692"/>
      <c r="DHC26" s="2692"/>
      <c r="DHD26" s="2692"/>
      <c r="DHE26" s="2692"/>
      <c r="DHF26" s="2692"/>
      <c r="DHG26" s="2692"/>
      <c r="DHH26" s="2692"/>
      <c r="DHI26" s="2692"/>
      <c r="DHJ26" s="2692"/>
      <c r="DHK26" s="2692"/>
      <c r="DHL26" s="2692"/>
      <c r="DHM26" s="2692"/>
      <c r="DHN26" s="2692"/>
      <c r="DHO26" s="2692"/>
      <c r="DHP26" s="2692"/>
      <c r="DHQ26" s="2692"/>
      <c r="DHR26" s="2692"/>
      <c r="DHS26" s="2692"/>
      <c r="DHT26" s="2692"/>
      <c r="DHU26" s="2692"/>
      <c r="DHV26" s="2692"/>
      <c r="DHW26" s="2692"/>
      <c r="DHX26" s="2692"/>
      <c r="DHY26" s="2692"/>
      <c r="DHZ26" s="2692"/>
      <c r="DIA26" s="2692"/>
      <c r="DIB26" s="2692"/>
      <c r="DIC26" s="2692"/>
      <c r="DID26" s="2692"/>
      <c r="DIE26" s="2692"/>
      <c r="DIF26" s="2692"/>
      <c r="DIG26" s="2692"/>
      <c r="DIH26" s="2692"/>
      <c r="DII26" s="2692"/>
      <c r="DIJ26" s="2692"/>
      <c r="DIK26" s="2692"/>
      <c r="DIL26" s="2692"/>
      <c r="DIM26" s="2692"/>
      <c r="DIN26" s="2692"/>
      <c r="DIO26" s="2692"/>
      <c r="DIP26" s="2692"/>
      <c r="DIQ26" s="2692"/>
      <c r="DIR26" s="2692"/>
      <c r="DIS26" s="2692"/>
      <c r="DIT26" s="2692"/>
      <c r="DIU26" s="2692"/>
      <c r="DIV26" s="2692"/>
      <c r="DIW26" s="2692"/>
      <c r="DIX26" s="2692"/>
      <c r="DIY26" s="2692"/>
      <c r="DIZ26" s="2692"/>
      <c r="DJA26" s="2692"/>
      <c r="DJB26" s="2692"/>
      <c r="DJC26" s="2692"/>
      <c r="DJD26" s="2692"/>
      <c r="DJE26" s="2692"/>
      <c r="DJF26" s="2692"/>
      <c r="DJG26" s="2692"/>
      <c r="DJH26" s="2692"/>
      <c r="DJI26" s="2692"/>
      <c r="DJJ26" s="2692"/>
      <c r="DJK26" s="2692"/>
      <c r="DJL26" s="2692"/>
      <c r="DJM26" s="2692"/>
      <c r="DJN26" s="2692"/>
      <c r="DJO26" s="2692"/>
      <c r="DJP26" s="2692"/>
      <c r="DJQ26" s="2692"/>
      <c r="DJR26" s="2692"/>
      <c r="DJS26" s="2692"/>
      <c r="DJT26" s="2692"/>
      <c r="DJU26" s="2692"/>
      <c r="DJV26" s="2692"/>
      <c r="DJW26" s="2692"/>
      <c r="DJX26" s="2692"/>
      <c r="DJY26" s="2692"/>
      <c r="DJZ26" s="2692"/>
      <c r="DKA26" s="2692"/>
      <c r="DKB26" s="2692"/>
      <c r="DKC26" s="2692"/>
      <c r="DKD26" s="2692"/>
      <c r="DKE26" s="2692"/>
      <c r="DKF26" s="2692"/>
      <c r="DKG26" s="2692"/>
      <c r="DKH26" s="2692"/>
      <c r="DKI26" s="2692"/>
      <c r="DKJ26" s="2692"/>
      <c r="DKK26" s="2692"/>
      <c r="DKL26" s="2692"/>
      <c r="DKM26" s="2692"/>
      <c r="DKN26" s="2692"/>
      <c r="DKO26" s="2692"/>
      <c r="DKP26" s="2692"/>
      <c r="DKQ26" s="2692"/>
      <c r="DKR26" s="2692"/>
      <c r="DKS26" s="2692"/>
      <c r="DKT26" s="2692"/>
      <c r="DKU26" s="2692"/>
      <c r="DKV26" s="2692"/>
      <c r="DKW26" s="2692"/>
      <c r="DKX26" s="2692"/>
      <c r="DKY26" s="2692"/>
      <c r="DKZ26" s="2692"/>
      <c r="DLA26" s="2692"/>
      <c r="DLB26" s="2692"/>
      <c r="DLC26" s="2692"/>
      <c r="DLD26" s="2692"/>
      <c r="DLE26" s="2692"/>
      <c r="DLF26" s="2692"/>
      <c r="DLG26" s="2692"/>
      <c r="DLH26" s="2692"/>
      <c r="DLI26" s="2692"/>
      <c r="DLJ26" s="2692"/>
      <c r="DLK26" s="2692"/>
      <c r="DLL26" s="2692"/>
      <c r="DLM26" s="2692"/>
      <c r="DLN26" s="2692"/>
      <c r="DLO26" s="2692"/>
      <c r="DLP26" s="2692"/>
      <c r="DLQ26" s="2692"/>
      <c r="DLR26" s="2692"/>
      <c r="DLS26" s="2692"/>
      <c r="DLT26" s="2692"/>
      <c r="DLU26" s="2692"/>
      <c r="DLV26" s="2692"/>
      <c r="DLW26" s="2692"/>
      <c r="DLX26" s="2692"/>
      <c r="DLY26" s="2692"/>
      <c r="DLZ26" s="2692"/>
      <c r="DMA26" s="2692"/>
      <c r="DMB26" s="2692"/>
      <c r="DMC26" s="2692"/>
      <c r="DMD26" s="2692"/>
      <c r="DME26" s="2692"/>
      <c r="DMF26" s="2692"/>
      <c r="DMG26" s="2692"/>
      <c r="DMH26" s="2692"/>
      <c r="DMI26" s="2692"/>
      <c r="DMJ26" s="2692"/>
      <c r="DMK26" s="2692"/>
      <c r="DML26" s="2692"/>
      <c r="DMM26" s="2692"/>
      <c r="DMN26" s="2692"/>
      <c r="DMO26" s="2692"/>
      <c r="DMP26" s="2692"/>
      <c r="DMQ26" s="2692"/>
      <c r="DMR26" s="2692"/>
      <c r="DMS26" s="2692"/>
      <c r="DMT26" s="2692"/>
      <c r="DMU26" s="2692"/>
      <c r="DMV26" s="2692"/>
      <c r="DMW26" s="2692"/>
      <c r="DMX26" s="2692"/>
      <c r="DMY26" s="2692"/>
      <c r="DMZ26" s="2692"/>
      <c r="DNA26" s="2692"/>
      <c r="DNB26" s="2692"/>
      <c r="DNC26" s="2692"/>
      <c r="DND26" s="2692"/>
      <c r="DNE26" s="2692"/>
      <c r="DNF26" s="2692"/>
      <c r="DNG26" s="2692"/>
      <c r="DNH26" s="2692"/>
      <c r="DNI26" s="2692"/>
      <c r="DNJ26" s="2692"/>
      <c r="DNK26" s="2692"/>
      <c r="DNL26" s="2692"/>
      <c r="DNM26" s="2692"/>
      <c r="DNN26" s="2692"/>
      <c r="DNO26" s="2692"/>
      <c r="DNP26" s="2692"/>
      <c r="DNQ26" s="2692"/>
      <c r="DNR26" s="2692"/>
      <c r="DNS26" s="2692"/>
      <c r="DNT26" s="2692"/>
      <c r="DNU26" s="2692"/>
      <c r="DNV26" s="2692"/>
      <c r="DNW26" s="2692"/>
      <c r="DNX26" s="2692"/>
      <c r="DNY26" s="2692"/>
      <c r="DNZ26" s="2692"/>
      <c r="DOA26" s="2692"/>
      <c r="DOB26" s="2692"/>
      <c r="DOC26" s="2692"/>
      <c r="DOD26" s="2692"/>
      <c r="DOE26" s="2692"/>
      <c r="DOF26" s="2692"/>
      <c r="DOG26" s="2692"/>
      <c r="DOH26" s="2692"/>
      <c r="DOI26" s="2692"/>
      <c r="DOJ26" s="2692"/>
      <c r="DOK26" s="2692"/>
      <c r="DOL26" s="2692"/>
      <c r="DOM26" s="2692"/>
      <c r="DON26" s="2692"/>
      <c r="DOO26" s="2692"/>
      <c r="DOP26" s="2692"/>
      <c r="DOQ26" s="2692"/>
      <c r="DOR26" s="2692"/>
      <c r="DOS26" s="2692"/>
      <c r="DOT26" s="2692"/>
      <c r="DOU26" s="2692"/>
      <c r="DOV26" s="2692"/>
      <c r="DOW26" s="2692"/>
      <c r="DOX26" s="2692"/>
      <c r="DOY26" s="2692"/>
      <c r="DOZ26" s="2692"/>
      <c r="DPA26" s="2692"/>
      <c r="DPB26" s="2692"/>
      <c r="DPC26" s="2692"/>
      <c r="DPD26" s="2692"/>
      <c r="DPE26" s="2692"/>
      <c r="DPF26" s="2692"/>
      <c r="DPG26" s="2692"/>
      <c r="DPH26" s="2692"/>
      <c r="DPI26" s="2692"/>
      <c r="DPJ26" s="2692"/>
      <c r="DPK26" s="2692"/>
      <c r="DPL26" s="2692"/>
      <c r="DPM26" s="2692"/>
      <c r="DPN26" s="2692"/>
      <c r="DPO26" s="2692"/>
      <c r="DPP26" s="2692"/>
      <c r="DPQ26" s="2692"/>
      <c r="DPR26" s="2692"/>
      <c r="DPS26" s="2692"/>
      <c r="DPT26" s="2692"/>
      <c r="DPU26" s="2692"/>
      <c r="DPV26" s="2692"/>
      <c r="DPW26" s="2692"/>
      <c r="DPX26" s="2692"/>
      <c r="DPY26" s="2692"/>
      <c r="DPZ26" s="2692"/>
      <c r="DQA26" s="2692"/>
      <c r="DQB26" s="2692"/>
      <c r="DQC26" s="2692"/>
      <c r="DQD26" s="2692"/>
      <c r="DQE26" s="2692"/>
      <c r="DQF26" s="2692"/>
      <c r="DQG26" s="2692"/>
      <c r="DQH26" s="2692"/>
      <c r="DQI26" s="2692"/>
      <c r="DQJ26" s="2692"/>
      <c r="DQK26" s="2692"/>
      <c r="DQL26" s="2692"/>
      <c r="DQM26" s="2692"/>
      <c r="DQN26" s="2692"/>
      <c r="DQO26" s="2692"/>
      <c r="DQP26" s="2692"/>
      <c r="DQQ26" s="2692"/>
      <c r="DQR26" s="2692"/>
      <c r="DQS26" s="2692"/>
      <c r="DQT26" s="2692"/>
      <c r="DQU26" s="2692"/>
      <c r="DQV26" s="2692"/>
      <c r="DQW26" s="2692"/>
      <c r="DQX26" s="2692"/>
      <c r="DQY26" s="2692"/>
      <c r="DQZ26" s="2692"/>
      <c r="DRA26" s="2692"/>
      <c r="DRB26" s="2692"/>
      <c r="DRC26" s="2692"/>
      <c r="DRD26" s="2692"/>
      <c r="DRE26" s="2692"/>
      <c r="DRF26" s="2692"/>
      <c r="DRG26" s="2692"/>
      <c r="DRH26" s="2692"/>
      <c r="DRI26" s="2692"/>
      <c r="DRJ26" s="2692"/>
      <c r="DRK26" s="2692"/>
      <c r="DRL26" s="2692"/>
      <c r="DRM26" s="2692"/>
      <c r="DRN26" s="2692"/>
      <c r="DRO26" s="2692"/>
      <c r="DRP26" s="2692"/>
      <c r="DRQ26" s="2692"/>
      <c r="DRR26" s="2692"/>
      <c r="DRS26" s="2692"/>
      <c r="DRT26" s="2692"/>
      <c r="DRU26" s="2692"/>
      <c r="DRV26" s="2692"/>
      <c r="DRW26" s="2692"/>
      <c r="DRX26" s="2692"/>
      <c r="DRY26" s="2692"/>
      <c r="DRZ26" s="2692"/>
      <c r="DSA26" s="2692"/>
      <c r="DSB26" s="2692"/>
      <c r="DSC26" s="2692"/>
      <c r="DSD26" s="2692"/>
      <c r="DSE26" s="2692"/>
      <c r="DSF26" s="2692"/>
      <c r="DSG26" s="2692"/>
      <c r="DSH26" s="2692"/>
      <c r="DSI26" s="2692"/>
      <c r="DSJ26" s="2692"/>
      <c r="DSK26" s="2692"/>
      <c r="DSL26" s="2692"/>
      <c r="DSM26" s="2692"/>
      <c r="DSN26" s="2692"/>
      <c r="DSO26" s="2692"/>
      <c r="DSP26" s="2692"/>
      <c r="DSQ26" s="2692"/>
      <c r="DSR26" s="2692"/>
      <c r="DSS26" s="2692"/>
      <c r="DST26" s="2692"/>
      <c r="DSU26" s="2692"/>
      <c r="DSV26" s="2692"/>
      <c r="DSW26" s="2692"/>
      <c r="DSX26" s="2692"/>
      <c r="DSY26" s="2692"/>
      <c r="DSZ26" s="2692"/>
      <c r="DTA26" s="2692"/>
      <c r="DTB26" s="2692"/>
      <c r="DTC26" s="2692"/>
      <c r="DTD26" s="2692"/>
      <c r="DTE26" s="2692"/>
      <c r="DTF26" s="2692"/>
      <c r="DTG26" s="2692"/>
      <c r="DTH26" s="2692"/>
      <c r="DTI26" s="2692"/>
      <c r="DTJ26" s="2692"/>
      <c r="DTK26" s="2692"/>
      <c r="DTL26" s="2692"/>
      <c r="DTM26" s="2692"/>
      <c r="DTN26" s="2692"/>
      <c r="DTO26" s="2692"/>
      <c r="DTP26" s="2692"/>
      <c r="DTQ26" s="2692"/>
      <c r="DTR26" s="2692"/>
      <c r="DTS26" s="2692"/>
      <c r="DTT26" s="2692"/>
      <c r="DTU26" s="2692"/>
      <c r="DTV26" s="2692"/>
      <c r="DTW26" s="2692"/>
      <c r="DTX26" s="2692"/>
      <c r="DTY26" s="2692"/>
      <c r="DTZ26" s="2692"/>
      <c r="DUA26" s="2692"/>
      <c r="DUB26" s="2692"/>
      <c r="DUC26" s="2692"/>
      <c r="DUD26" s="2692"/>
      <c r="DUE26" s="2692"/>
      <c r="DUF26" s="2692"/>
      <c r="DUG26" s="2692"/>
      <c r="DUH26" s="2692"/>
      <c r="DUI26" s="2692"/>
      <c r="DUJ26" s="2692"/>
      <c r="DUK26" s="2692"/>
      <c r="DUL26" s="2692"/>
      <c r="DUM26" s="2692"/>
      <c r="DUN26" s="2692"/>
      <c r="DUO26" s="2692"/>
      <c r="DUP26" s="2692"/>
      <c r="DUQ26" s="2692"/>
      <c r="DUR26" s="2692"/>
      <c r="DUS26" s="2692"/>
      <c r="DUT26" s="2692"/>
      <c r="DUU26" s="2692"/>
      <c r="DUV26" s="2692"/>
      <c r="DUW26" s="2692"/>
      <c r="DUX26" s="2692"/>
      <c r="DUY26" s="2692"/>
      <c r="DUZ26" s="2692"/>
      <c r="DVA26" s="2692"/>
      <c r="DVB26" s="2692"/>
      <c r="DVC26" s="2692"/>
      <c r="DVD26" s="2692"/>
      <c r="DVE26" s="2692"/>
      <c r="DVF26" s="2692"/>
      <c r="DVG26" s="2692"/>
      <c r="DVH26" s="2692"/>
      <c r="DVI26" s="2692"/>
      <c r="DVJ26" s="2692"/>
      <c r="DVK26" s="2692"/>
      <c r="DVL26" s="2692"/>
      <c r="DVM26" s="2692"/>
      <c r="DVN26" s="2692"/>
      <c r="DVO26" s="2692"/>
      <c r="DVP26" s="2692"/>
      <c r="DVQ26" s="2692"/>
      <c r="DVR26" s="2692"/>
      <c r="DVS26" s="2692"/>
      <c r="DVT26" s="2692"/>
      <c r="DVU26" s="2692"/>
      <c r="DVV26" s="2692"/>
      <c r="DVW26" s="2692"/>
      <c r="DVX26" s="2692"/>
      <c r="DVY26" s="2692"/>
      <c r="DVZ26" s="2692"/>
      <c r="DWA26" s="2692"/>
      <c r="DWB26" s="2692"/>
      <c r="DWC26" s="2692"/>
      <c r="DWD26" s="2692"/>
      <c r="DWE26" s="2692"/>
      <c r="DWF26" s="2692"/>
      <c r="DWG26" s="2692"/>
      <c r="DWH26" s="2692"/>
      <c r="DWI26" s="2692"/>
      <c r="DWJ26" s="2692"/>
      <c r="DWK26" s="2692"/>
      <c r="DWL26" s="2692"/>
      <c r="DWM26" s="2692"/>
      <c r="DWN26" s="2692"/>
      <c r="DWO26" s="2692"/>
      <c r="DWP26" s="2692"/>
      <c r="DWQ26" s="2692"/>
      <c r="DWR26" s="2692"/>
      <c r="DWS26" s="2692"/>
      <c r="DWT26" s="2692"/>
      <c r="DWU26" s="2692"/>
      <c r="DWV26" s="2692"/>
      <c r="DWW26" s="2692"/>
      <c r="DWX26" s="2692"/>
      <c r="DWY26" s="2692"/>
      <c r="DWZ26" s="2692"/>
      <c r="DXA26" s="2692"/>
      <c r="DXB26" s="2692"/>
      <c r="DXC26" s="2692"/>
      <c r="DXD26" s="2692"/>
      <c r="DXE26" s="2692"/>
      <c r="DXF26" s="2692"/>
      <c r="DXG26" s="2692"/>
      <c r="DXH26" s="2692"/>
      <c r="DXI26" s="2692"/>
      <c r="DXJ26" s="2692"/>
      <c r="DXK26" s="2692"/>
      <c r="DXL26" s="2692"/>
      <c r="DXM26" s="2692"/>
      <c r="DXN26" s="2692"/>
      <c r="DXO26" s="2692"/>
      <c r="DXP26" s="2692"/>
      <c r="DXQ26" s="2692"/>
      <c r="DXR26" s="2692"/>
      <c r="DXS26" s="2692"/>
      <c r="DXT26" s="2692"/>
      <c r="DXU26" s="2692"/>
      <c r="DXV26" s="2692"/>
      <c r="DXW26" s="2692"/>
      <c r="DXX26" s="2692"/>
      <c r="DXY26" s="2692"/>
      <c r="DXZ26" s="2692"/>
      <c r="DYA26" s="2692"/>
      <c r="DYB26" s="2692"/>
      <c r="DYC26" s="2692"/>
      <c r="DYD26" s="2692"/>
      <c r="DYE26" s="2692"/>
      <c r="DYF26" s="2692"/>
      <c r="DYG26" s="2692"/>
      <c r="DYH26" s="2692"/>
      <c r="DYI26" s="2692"/>
      <c r="DYJ26" s="2692"/>
      <c r="DYK26" s="2692"/>
      <c r="DYL26" s="2692"/>
      <c r="DYM26" s="2692"/>
      <c r="DYN26" s="2692"/>
      <c r="DYO26" s="2692"/>
      <c r="DYP26" s="2692"/>
      <c r="DYQ26" s="2692"/>
      <c r="DYR26" s="2692"/>
      <c r="DYS26" s="2692"/>
      <c r="DYT26" s="2692"/>
      <c r="DYU26" s="2692"/>
      <c r="DYV26" s="2692"/>
      <c r="DYW26" s="2692"/>
      <c r="DYX26" s="2692"/>
      <c r="DYY26" s="2692"/>
      <c r="DYZ26" s="2692"/>
      <c r="DZA26" s="2692"/>
      <c r="DZB26" s="2692"/>
      <c r="DZC26" s="2692"/>
      <c r="DZD26" s="2692"/>
      <c r="DZE26" s="2692"/>
      <c r="DZF26" s="2692"/>
      <c r="DZG26" s="2692"/>
      <c r="DZH26" s="2692"/>
      <c r="DZI26" s="2692"/>
      <c r="DZJ26" s="2692"/>
      <c r="DZK26" s="2692"/>
      <c r="DZL26" s="2692"/>
      <c r="DZM26" s="2692"/>
      <c r="DZN26" s="2692"/>
      <c r="DZO26" s="2692"/>
      <c r="DZP26" s="2692"/>
      <c r="DZQ26" s="2692"/>
      <c r="DZR26" s="2692"/>
      <c r="DZS26" s="2692"/>
      <c r="DZT26" s="2692"/>
      <c r="DZU26" s="2692"/>
      <c r="DZV26" s="2692"/>
      <c r="DZW26" s="2692"/>
      <c r="DZX26" s="2692"/>
      <c r="DZY26" s="2692"/>
      <c r="DZZ26" s="2692"/>
      <c r="EAA26" s="2692"/>
      <c r="EAB26" s="2692"/>
      <c r="EAC26" s="2692"/>
      <c r="EAD26" s="2692"/>
      <c r="EAE26" s="2692"/>
      <c r="EAF26" s="2692"/>
      <c r="EAG26" s="2692"/>
      <c r="EAH26" s="2692"/>
      <c r="EAI26" s="2692"/>
      <c r="EAJ26" s="2692"/>
      <c r="EAK26" s="2692"/>
      <c r="EAL26" s="2692"/>
      <c r="EAM26" s="2692"/>
      <c r="EAN26" s="2692"/>
      <c r="EAO26" s="2692"/>
      <c r="EAP26" s="2692"/>
      <c r="EAQ26" s="2692"/>
      <c r="EAR26" s="2692"/>
      <c r="EAS26" s="2692"/>
      <c r="EAT26" s="2692"/>
      <c r="EAU26" s="2692"/>
      <c r="EAV26" s="2692"/>
      <c r="EAW26" s="2692"/>
      <c r="EAX26" s="2692"/>
      <c r="EAY26" s="2692"/>
      <c r="EAZ26" s="2692"/>
      <c r="EBA26" s="2692"/>
      <c r="EBB26" s="2692"/>
      <c r="EBC26" s="2692"/>
      <c r="EBD26" s="2692"/>
      <c r="EBE26" s="2692"/>
      <c r="EBF26" s="2692"/>
      <c r="EBG26" s="2692"/>
      <c r="EBH26" s="2692"/>
      <c r="EBI26" s="2692"/>
      <c r="EBJ26" s="2692"/>
      <c r="EBK26" s="2692"/>
      <c r="EBL26" s="2692"/>
      <c r="EBM26" s="2692"/>
      <c r="EBN26" s="2692"/>
      <c r="EBO26" s="2692"/>
      <c r="EBP26" s="2692"/>
      <c r="EBQ26" s="2692"/>
      <c r="EBR26" s="2692"/>
      <c r="EBS26" s="2692"/>
      <c r="EBT26" s="2692"/>
      <c r="EBU26" s="2692"/>
      <c r="EBV26" s="2692"/>
      <c r="EBW26" s="2692"/>
      <c r="EBX26" s="2692"/>
      <c r="EBY26" s="2692"/>
      <c r="EBZ26" s="2692"/>
      <c r="ECA26" s="2692"/>
      <c r="ECB26" s="2692"/>
      <c r="ECC26" s="2692"/>
      <c r="ECD26" s="2692"/>
      <c r="ECE26" s="2692"/>
      <c r="ECF26" s="2692"/>
      <c r="ECG26" s="2692"/>
      <c r="ECH26" s="2692"/>
      <c r="ECI26" s="2692"/>
      <c r="ECJ26" s="2692"/>
      <c r="ECK26" s="2692"/>
      <c r="ECL26" s="2692"/>
      <c r="ECM26" s="2692"/>
      <c r="ECN26" s="2692"/>
      <c r="ECO26" s="2692"/>
      <c r="ECP26" s="2692"/>
      <c r="ECQ26" s="2692"/>
      <c r="ECR26" s="2692"/>
      <c r="ECS26" s="2692"/>
      <c r="ECT26" s="2692"/>
      <c r="ECU26" s="2692"/>
      <c r="ECV26" s="2692"/>
      <c r="ECW26" s="2692"/>
      <c r="ECX26" s="2692"/>
      <c r="ECY26" s="2692"/>
      <c r="ECZ26" s="2692"/>
      <c r="EDA26" s="2692"/>
      <c r="EDB26" s="2692"/>
      <c r="EDC26" s="2692"/>
      <c r="EDD26" s="2692"/>
      <c r="EDE26" s="2692"/>
      <c r="EDF26" s="2692"/>
      <c r="EDG26" s="2692"/>
      <c r="EDH26" s="2692"/>
      <c r="EDI26" s="2692"/>
      <c r="EDJ26" s="2692"/>
      <c r="EDK26" s="2692"/>
      <c r="EDL26" s="2692"/>
      <c r="EDM26" s="2692"/>
      <c r="EDN26" s="2692"/>
      <c r="EDO26" s="2692"/>
      <c r="EDP26" s="2692"/>
      <c r="EDQ26" s="2692"/>
      <c r="EDR26" s="2692"/>
      <c r="EDS26" s="2692"/>
      <c r="EDT26" s="2692"/>
      <c r="EDU26" s="2692"/>
      <c r="EDV26" s="2692"/>
      <c r="EDW26" s="2692"/>
      <c r="EDX26" s="2692"/>
      <c r="EDY26" s="2692"/>
      <c r="EDZ26" s="2692"/>
      <c r="EEA26" s="2692"/>
      <c r="EEB26" s="2692"/>
      <c r="EEC26" s="2692"/>
      <c r="EED26" s="2692"/>
      <c r="EEE26" s="2692"/>
      <c r="EEF26" s="2692"/>
      <c r="EEG26" s="2692"/>
      <c r="EEH26" s="2692"/>
      <c r="EEI26" s="2692"/>
      <c r="EEJ26" s="2692"/>
      <c r="EEK26" s="2692"/>
      <c r="EEL26" s="2692"/>
      <c r="EEM26" s="2692"/>
      <c r="EEN26" s="2692"/>
      <c r="EEO26" s="2692"/>
      <c r="EEP26" s="2692"/>
      <c r="EEQ26" s="2692"/>
      <c r="EER26" s="2692"/>
      <c r="EES26" s="2692"/>
      <c r="EET26" s="2692"/>
      <c r="EEU26" s="2692"/>
      <c r="EEV26" s="2692"/>
      <c r="EEW26" s="2692"/>
      <c r="EEX26" s="2692"/>
      <c r="EEY26" s="2692"/>
      <c r="EEZ26" s="2692"/>
      <c r="EFA26" s="2692"/>
      <c r="EFB26" s="2692"/>
      <c r="EFC26" s="2692"/>
      <c r="EFD26" s="2692"/>
      <c r="EFE26" s="2692"/>
      <c r="EFF26" s="2692"/>
      <c r="EFG26" s="2692"/>
      <c r="EFH26" s="2692"/>
      <c r="EFI26" s="2692"/>
      <c r="EFJ26" s="2692"/>
      <c r="EFK26" s="2692"/>
      <c r="EFL26" s="2692"/>
      <c r="EFM26" s="2692"/>
      <c r="EFN26" s="2692"/>
      <c r="EFO26" s="2692"/>
      <c r="EFP26" s="2692"/>
      <c r="EFQ26" s="2692"/>
      <c r="EFR26" s="2692"/>
      <c r="EFS26" s="2692"/>
      <c r="EFT26" s="2692"/>
      <c r="EFU26" s="2692"/>
      <c r="EFV26" s="2692"/>
      <c r="EFW26" s="2692"/>
      <c r="EFX26" s="2692"/>
      <c r="EFY26" s="2692"/>
      <c r="EFZ26" s="2692"/>
      <c r="EGA26" s="2692"/>
      <c r="EGB26" s="2692"/>
      <c r="EGC26" s="2692"/>
      <c r="EGD26" s="2692"/>
      <c r="EGE26" s="2692"/>
      <c r="EGF26" s="2692"/>
      <c r="EGG26" s="2692"/>
      <c r="EGH26" s="2692"/>
      <c r="EGI26" s="2692"/>
      <c r="EGJ26" s="2692"/>
      <c r="EGK26" s="2692"/>
      <c r="EGL26" s="2692"/>
      <c r="EGM26" s="2692"/>
      <c r="EGN26" s="2692"/>
      <c r="EGO26" s="2692"/>
      <c r="EGP26" s="2692"/>
      <c r="EGQ26" s="2692"/>
      <c r="EGR26" s="2692"/>
      <c r="EGS26" s="2692"/>
      <c r="EGT26" s="2692"/>
      <c r="EGU26" s="2692"/>
      <c r="EGV26" s="2692"/>
      <c r="EGW26" s="2692"/>
      <c r="EGX26" s="2692"/>
      <c r="EGY26" s="2692"/>
      <c r="EGZ26" s="2692"/>
      <c r="EHA26" s="2692"/>
      <c r="EHB26" s="2692"/>
      <c r="EHC26" s="2692"/>
      <c r="EHD26" s="2692"/>
      <c r="EHE26" s="2692"/>
      <c r="EHF26" s="2692"/>
      <c r="EHG26" s="2692"/>
      <c r="EHH26" s="2692"/>
      <c r="EHI26" s="2692"/>
      <c r="EHJ26" s="2692"/>
      <c r="EHK26" s="2692"/>
      <c r="EHL26" s="2692"/>
      <c r="EHM26" s="2692"/>
      <c r="EHN26" s="2692"/>
      <c r="EHO26" s="2692"/>
      <c r="EHP26" s="2692"/>
      <c r="EHQ26" s="2692"/>
      <c r="EHR26" s="2692"/>
      <c r="EHS26" s="2692"/>
      <c r="EHT26" s="2692"/>
      <c r="EHU26" s="2692"/>
      <c r="EHV26" s="2692"/>
      <c r="EHW26" s="2692"/>
      <c r="EHX26" s="2692"/>
      <c r="EHY26" s="2692"/>
      <c r="EHZ26" s="2692"/>
      <c r="EIA26" s="2692"/>
      <c r="EIB26" s="2692"/>
      <c r="EIC26" s="2692"/>
      <c r="EID26" s="2692"/>
      <c r="EIE26" s="2692"/>
      <c r="EIF26" s="2692"/>
      <c r="EIG26" s="2692"/>
      <c r="EIH26" s="2692"/>
      <c r="EII26" s="2692"/>
      <c r="EIJ26" s="2692"/>
      <c r="EIK26" s="2692"/>
      <c r="EIL26" s="2692"/>
      <c r="EIM26" s="2692"/>
      <c r="EIN26" s="2692"/>
      <c r="EIO26" s="2692"/>
      <c r="EIP26" s="2692"/>
      <c r="EIQ26" s="2692"/>
      <c r="EIR26" s="2692"/>
      <c r="EIS26" s="2692"/>
      <c r="EIT26" s="2692"/>
      <c r="EIU26" s="2692"/>
      <c r="EIV26" s="2692"/>
      <c r="EIW26" s="2692"/>
      <c r="EIX26" s="2692"/>
      <c r="EIY26" s="2692"/>
      <c r="EIZ26" s="2692"/>
      <c r="EJA26" s="2692"/>
      <c r="EJB26" s="2692"/>
      <c r="EJC26" s="2692"/>
      <c r="EJD26" s="2692"/>
      <c r="EJE26" s="2692"/>
      <c r="EJF26" s="2692"/>
      <c r="EJG26" s="2692"/>
      <c r="EJH26" s="2692"/>
      <c r="EJI26" s="2692"/>
      <c r="EJJ26" s="2692"/>
      <c r="EJK26" s="2692"/>
      <c r="EJL26" s="2692"/>
      <c r="EJM26" s="2692"/>
      <c r="EJN26" s="2692"/>
      <c r="EJO26" s="2692"/>
      <c r="EJP26" s="2692"/>
      <c r="EJQ26" s="2692"/>
      <c r="EJR26" s="2692"/>
      <c r="EJS26" s="2692"/>
      <c r="EJT26" s="2692"/>
      <c r="EJU26" s="2692"/>
      <c r="EJV26" s="2692"/>
      <c r="EJW26" s="2692"/>
      <c r="EJX26" s="2692"/>
      <c r="EJY26" s="2692"/>
      <c r="EJZ26" s="2692"/>
      <c r="EKA26" s="2692"/>
      <c r="EKB26" s="2692"/>
      <c r="EKC26" s="2692"/>
      <c r="EKD26" s="2692"/>
      <c r="EKE26" s="2692"/>
      <c r="EKF26" s="2692"/>
      <c r="EKG26" s="2692"/>
      <c r="EKH26" s="2692"/>
      <c r="EKI26" s="2692"/>
      <c r="EKJ26" s="2692"/>
      <c r="EKK26" s="2692"/>
      <c r="EKL26" s="2692"/>
      <c r="EKM26" s="2692"/>
      <c r="EKN26" s="2692"/>
      <c r="EKO26" s="2692"/>
      <c r="EKP26" s="2692"/>
      <c r="EKQ26" s="2692"/>
      <c r="EKR26" s="2692"/>
      <c r="EKS26" s="2692"/>
      <c r="EKT26" s="2692"/>
      <c r="EKU26" s="2692"/>
      <c r="EKV26" s="2692"/>
      <c r="EKW26" s="2692"/>
      <c r="EKX26" s="2692"/>
      <c r="EKY26" s="2692"/>
      <c r="EKZ26" s="2692"/>
      <c r="ELA26" s="2692"/>
      <c r="ELB26" s="2692"/>
      <c r="ELC26" s="2692"/>
      <c r="ELD26" s="2692"/>
      <c r="ELE26" s="2692"/>
      <c r="ELF26" s="2692"/>
      <c r="ELG26" s="2692"/>
      <c r="ELH26" s="2692"/>
      <c r="ELI26" s="2692"/>
      <c r="ELJ26" s="2692"/>
      <c r="ELK26" s="2692"/>
      <c r="ELL26" s="2692"/>
      <c r="ELM26" s="2692"/>
      <c r="ELN26" s="2692"/>
      <c r="ELO26" s="2692"/>
      <c r="ELP26" s="2692"/>
      <c r="ELQ26" s="2692"/>
      <c r="ELR26" s="2692"/>
      <c r="ELS26" s="2692"/>
      <c r="ELT26" s="2692"/>
      <c r="ELU26" s="2692"/>
      <c r="ELV26" s="2692"/>
      <c r="ELW26" s="2692"/>
      <c r="ELX26" s="2692"/>
      <c r="ELY26" s="2692"/>
      <c r="ELZ26" s="2692"/>
      <c r="EMA26" s="2692"/>
      <c r="EMB26" s="2692"/>
      <c r="EMC26" s="2692"/>
      <c r="EMD26" s="2692"/>
      <c r="EME26" s="2692"/>
      <c r="EMF26" s="2692"/>
      <c r="EMG26" s="2692"/>
      <c r="EMH26" s="2692"/>
      <c r="EMI26" s="2692"/>
      <c r="EMJ26" s="2692"/>
      <c r="EMK26" s="2692"/>
      <c r="EML26" s="2692"/>
      <c r="EMM26" s="2692"/>
      <c r="EMN26" s="2692"/>
      <c r="EMO26" s="2692"/>
      <c r="EMP26" s="2692"/>
      <c r="EMQ26" s="2692"/>
      <c r="EMR26" s="2692"/>
      <c r="EMS26" s="2692"/>
      <c r="EMT26" s="2692"/>
      <c r="EMU26" s="2692"/>
      <c r="EMV26" s="2692"/>
      <c r="EMW26" s="2692"/>
      <c r="EMX26" s="2692"/>
      <c r="EMY26" s="2692"/>
      <c r="EMZ26" s="2692"/>
      <c r="ENA26" s="2692"/>
      <c r="ENB26" s="2692"/>
      <c r="ENC26" s="2692"/>
      <c r="END26" s="2692"/>
      <c r="ENE26" s="2692"/>
      <c r="ENF26" s="2692"/>
      <c r="ENG26" s="2692"/>
      <c r="ENH26" s="2692"/>
      <c r="ENI26" s="2692"/>
      <c r="ENJ26" s="2692"/>
      <c r="ENK26" s="2692"/>
      <c r="ENL26" s="2692"/>
      <c r="ENM26" s="2692"/>
      <c r="ENN26" s="2692"/>
      <c r="ENO26" s="2692"/>
      <c r="ENP26" s="2692"/>
      <c r="ENQ26" s="2692"/>
      <c r="ENR26" s="2692"/>
      <c r="ENS26" s="2692"/>
      <c r="ENT26" s="2692"/>
      <c r="ENU26" s="2692"/>
      <c r="ENV26" s="2692"/>
      <c r="ENW26" s="2692"/>
      <c r="ENX26" s="2692"/>
      <c r="ENY26" s="2692"/>
      <c r="ENZ26" s="2692"/>
      <c r="EOA26" s="2692"/>
      <c r="EOB26" s="2692"/>
      <c r="EOC26" s="2692"/>
      <c r="EOD26" s="2692"/>
      <c r="EOE26" s="2692"/>
      <c r="EOF26" s="2692"/>
      <c r="EOG26" s="2692"/>
      <c r="EOH26" s="2692"/>
      <c r="EOI26" s="2692"/>
      <c r="EOJ26" s="2692"/>
      <c r="EOK26" s="2692"/>
      <c r="EOL26" s="2692"/>
      <c r="EOM26" s="2692"/>
      <c r="EON26" s="2692"/>
      <c r="EOO26" s="2692"/>
      <c r="EOP26" s="2692"/>
      <c r="EOQ26" s="2692"/>
      <c r="EOR26" s="2692"/>
      <c r="EOS26" s="2692"/>
      <c r="EOT26" s="2692"/>
      <c r="EOU26" s="2692"/>
      <c r="EOV26" s="2692"/>
      <c r="EOW26" s="2692"/>
      <c r="EOX26" s="2692"/>
      <c r="EOY26" s="2692"/>
      <c r="EOZ26" s="2692"/>
      <c r="EPA26" s="2692"/>
      <c r="EPB26" s="2692"/>
      <c r="EPC26" s="2692"/>
      <c r="EPD26" s="2692"/>
      <c r="EPE26" s="2692"/>
      <c r="EPF26" s="2692"/>
      <c r="EPG26" s="2692"/>
      <c r="EPH26" s="2692"/>
      <c r="EPI26" s="2692"/>
      <c r="EPJ26" s="2692"/>
      <c r="EPK26" s="2692"/>
      <c r="EPL26" s="2692"/>
      <c r="EPM26" s="2692"/>
      <c r="EPN26" s="2692"/>
      <c r="EPO26" s="2692"/>
      <c r="EPP26" s="2692"/>
      <c r="EPQ26" s="2692"/>
      <c r="EPR26" s="2692"/>
      <c r="EPS26" s="2692"/>
      <c r="EPT26" s="2692"/>
      <c r="EPU26" s="2692"/>
      <c r="EPV26" s="2692"/>
      <c r="EPW26" s="2692"/>
      <c r="EPX26" s="2692"/>
      <c r="EPY26" s="2692"/>
      <c r="EPZ26" s="2692"/>
      <c r="EQA26" s="2692"/>
      <c r="EQB26" s="2692"/>
      <c r="EQC26" s="2692"/>
      <c r="EQD26" s="2692"/>
      <c r="EQE26" s="2692"/>
      <c r="EQF26" s="2692"/>
      <c r="EQG26" s="2692"/>
      <c r="EQH26" s="2692"/>
      <c r="EQI26" s="2692"/>
      <c r="EQJ26" s="2692"/>
      <c r="EQK26" s="2692"/>
      <c r="EQL26" s="2692"/>
      <c r="EQM26" s="2692"/>
      <c r="EQN26" s="2692"/>
      <c r="EQO26" s="2692"/>
      <c r="EQP26" s="2692"/>
      <c r="EQQ26" s="2692"/>
      <c r="EQR26" s="2692"/>
      <c r="EQS26" s="2692"/>
      <c r="EQT26" s="2692"/>
      <c r="EQU26" s="2692"/>
      <c r="EQV26" s="2692"/>
      <c r="EQW26" s="2692"/>
      <c r="EQX26" s="2692"/>
      <c r="EQY26" s="2692"/>
      <c r="EQZ26" s="2692"/>
      <c r="ERA26" s="2692"/>
      <c r="ERB26" s="2692"/>
      <c r="ERC26" s="2692"/>
      <c r="ERD26" s="2692"/>
      <c r="ERE26" s="2692"/>
      <c r="ERF26" s="2692"/>
      <c r="ERG26" s="2692"/>
      <c r="ERH26" s="2692"/>
      <c r="ERI26" s="2692"/>
      <c r="ERJ26" s="2692"/>
      <c r="ERK26" s="2692"/>
      <c r="ERL26" s="2692"/>
      <c r="ERM26" s="2692"/>
      <c r="ERN26" s="2692"/>
      <c r="ERO26" s="2692"/>
      <c r="ERP26" s="2692"/>
      <c r="ERQ26" s="2692"/>
      <c r="ERR26" s="2692"/>
      <c r="ERS26" s="2692"/>
      <c r="ERT26" s="2692"/>
      <c r="ERU26" s="2692"/>
      <c r="ERV26" s="2692"/>
      <c r="ERW26" s="2692"/>
      <c r="ERX26" s="2692"/>
      <c r="ERY26" s="2692"/>
      <c r="ERZ26" s="2692"/>
      <c r="ESA26" s="2692"/>
      <c r="ESB26" s="2692"/>
      <c r="ESC26" s="2692"/>
      <c r="ESD26" s="2692"/>
      <c r="ESE26" s="2692"/>
      <c r="ESF26" s="2692"/>
      <c r="ESG26" s="2692"/>
      <c r="ESH26" s="2692"/>
      <c r="ESI26" s="2692"/>
      <c r="ESJ26" s="2692"/>
      <c r="ESK26" s="2692"/>
      <c r="ESL26" s="2692"/>
      <c r="ESM26" s="2692"/>
      <c r="ESN26" s="2692"/>
      <c r="ESO26" s="2692"/>
      <c r="ESP26" s="2692"/>
      <c r="ESQ26" s="2692"/>
      <c r="ESR26" s="2692"/>
      <c r="ESS26" s="2692"/>
      <c r="EST26" s="2692"/>
      <c r="ESU26" s="2692"/>
      <c r="ESV26" s="2692"/>
      <c r="ESW26" s="2692"/>
      <c r="ESX26" s="2692"/>
      <c r="ESY26" s="2692"/>
      <c r="ESZ26" s="2692"/>
      <c r="ETA26" s="2692"/>
      <c r="ETB26" s="2692"/>
      <c r="ETC26" s="2692"/>
      <c r="ETD26" s="2692"/>
      <c r="ETE26" s="2692"/>
      <c r="ETF26" s="2692"/>
      <c r="ETG26" s="2692"/>
      <c r="ETH26" s="2692"/>
      <c r="ETI26" s="2692"/>
      <c r="ETJ26" s="2692"/>
      <c r="ETK26" s="2692"/>
      <c r="ETL26" s="2692"/>
      <c r="ETM26" s="2692"/>
      <c r="ETN26" s="2692"/>
      <c r="ETO26" s="2692"/>
      <c r="ETP26" s="2692"/>
      <c r="ETQ26" s="2692"/>
      <c r="ETR26" s="2692"/>
      <c r="ETS26" s="2692"/>
      <c r="ETT26" s="2692"/>
      <c r="ETU26" s="2692"/>
      <c r="ETV26" s="2692"/>
      <c r="ETW26" s="2692"/>
      <c r="ETX26" s="2692"/>
      <c r="ETY26" s="2692"/>
      <c r="ETZ26" s="2692"/>
      <c r="EUA26" s="2692"/>
      <c r="EUB26" s="2692"/>
      <c r="EUC26" s="2692"/>
      <c r="EUD26" s="2692"/>
      <c r="EUE26" s="2692"/>
      <c r="EUF26" s="2692"/>
      <c r="EUG26" s="2692"/>
      <c r="EUH26" s="2692"/>
      <c r="EUI26" s="2692"/>
      <c r="EUJ26" s="2692"/>
      <c r="EUK26" s="2692"/>
      <c r="EUL26" s="2692"/>
      <c r="EUM26" s="2692"/>
      <c r="EUN26" s="2692"/>
      <c r="EUO26" s="2692"/>
      <c r="EUP26" s="2692"/>
      <c r="EUQ26" s="2692"/>
      <c r="EUR26" s="2692"/>
      <c r="EUS26" s="2692"/>
      <c r="EUT26" s="2692"/>
      <c r="EUU26" s="2692"/>
      <c r="EUV26" s="2692"/>
      <c r="EUW26" s="2692"/>
      <c r="EUX26" s="2692"/>
      <c r="EUY26" s="2692"/>
      <c r="EUZ26" s="2692"/>
      <c r="EVA26" s="2692"/>
      <c r="EVB26" s="2692"/>
      <c r="EVC26" s="2692"/>
      <c r="EVD26" s="2692"/>
      <c r="EVE26" s="2692"/>
      <c r="EVF26" s="2692"/>
      <c r="EVG26" s="2692"/>
      <c r="EVH26" s="2692"/>
      <c r="EVI26" s="2692"/>
      <c r="EVJ26" s="2692"/>
      <c r="EVK26" s="2692"/>
      <c r="EVL26" s="2692"/>
      <c r="EVM26" s="2692"/>
      <c r="EVN26" s="2692"/>
      <c r="EVO26" s="2692"/>
      <c r="EVP26" s="2692"/>
      <c r="EVQ26" s="2692"/>
      <c r="EVR26" s="2692"/>
      <c r="EVS26" s="2692"/>
      <c r="EVT26" s="2692"/>
      <c r="EVU26" s="2692"/>
      <c r="EVV26" s="2692"/>
      <c r="EVW26" s="2692"/>
      <c r="EVX26" s="2692"/>
      <c r="EVY26" s="2692"/>
      <c r="EVZ26" s="2692"/>
      <c r="EWA26" s="2692"/>
      <c r="EWB26" s="2692"/>
      <c r="EWC26" s="2692"/>
      <c r="EWD26" s="2692"/>
      <c r="EWE26" s="2692"/>
      <c r="EWF26" s="2692"/>
      <c r="EWG26" s="2692"/>
      <c r="EWH26" s="2692"/>
      <c r="EWI26" s="2692"/>
      <c r="EWJ26" s="2692"/>
      <c r="EWK26" s="2692"/>
      <c r="EWL26" s="2692"/>
      <c r="EWM26" s="2692"/>
      <c r="EWN26" s="2692"/>
      <c r="EWO26" s="2692"/>
      <c r="EWP26" s="2692"/>
      <c r="EWQ26" s="2692"/>
      <c r="EWR26" s="2692"/>
      <c r="EWS26" s="2692"/>
      <c r="EWT26" s="2692"/>
      <c r="EWU26" s="2692"/>
      <c r="EWV26" s="2692"/>
      <c r="EWW26" s="2692"/>
      <c r="EWX26" s="2692"/>
      <c r="EWY26" s="2692"/>
      <c r="EWZ26" s="2692"/>
      <c r="EXA26" s="2692"/>
      <c r="EXB26" s="2692"/>
      <c r="EXC26" s="2692"/>
      <c r="EXD26" s="2692"/>
      <c r="EXE26" s="2692"/>
      <c r="EXF26" s="2692"/>
      <c r="EXG26" s="2692"/>
      <c r="EXH26" s="2692"/>
      <c r="EXI26" s="2692"/>
      <c r="EXJ26" s="2692"/>
      <c r="EXK26" s="2692"/>
      <c r="EXL26" s="2692"/>
      <c r="EXM26" s="2692"/>
      <c r="EXN26" s="2692"/>
      <c r="EXO26" s="2692"/>
      <c r="EXP26" s="2692"/>
      <c r="EXQ26" s="2692"/>
      <c r="EXR26" s="2692"/>
      <c r="EXS26" s="2692"/>
      <c r="EXT26" s="2692"/>
      <c r="EXU26" s="2692"/>
      <c r="EXV26" s="2692"/>
      <c r="EXW26" s="2692"/>
      <c r="EXX26" s="2692"/>
      <c r="EXY26" s="2692"/>
      <c r="EXZ26" s="2692"/>
      <c r="EYA26" s="2692"/>
      <c r="EYB26" s="2692"/>
      <c r="EYC26" s="2692"/>
      <c r="EYD26" s="2692"/>
      <c r="EYE26" s="2692"/>
      <c r="EYF26" s="2692"/>
      <c r="EYG26" s="2692"/>
      <c r="EYH26" s="2692"/>
      <c r="EYI26" s="2692"/>
      <c r="EYJ26" s="2692"/>
      <c r="EYK26" s="2692"/>
      <c r="EYL26" s="2692"/>
      <c r="EYM26" s="2692"/>
      <c r="EYN26" s="2692"/>
      <c r="EYO26" s="2692"/>
      <c r="EYP26" s="2692"/>
      <c r="EYQ26" s="2692"/>
      <c r="EYR26" s="2692"/>
      <c r="EYS26" s="2692"/>
      <c r="EYT26" s="2692"/>
      <c r="EYU26" s="2692"/>
      <c r="EYV26" s="2692"/>
      <c r="EYW26" s="2692"/>
      <c r="EYX26" s="2692"/>
      <c r="EYY26" s="2692"/>
      <c r="EYZ26" s="2692"/>
      <c r="EZA26" s="2692"/>
      <c r="EZB26" s="2692"/>
      <c r="EZC26" s="2692"/>
      <c r="EZD26" s="2692"/>
      <c r="EZE26" s="2692"/>
      <c r="EZF26" s="2692"/>
      <c r="EZG26" s="2692"/>
      <c r="EZH26" s="2692"/>
      <c r="EZI26" s="2692"/>
      <c r="EZJ26" s="2692"/>
      <c r="EZK26" s="2692"/>
      <c r="EZL26" s="2692"/>
      <c r="EZM26" s="2692"/>
      <c r="EZN26" s="2692"/>
      <c r="EZO26" s="2692"/>
      <c r="EZP26" s="2692"/>
      <c r="EZQ26" s="2692"/>
      <c r="EZR26" s="2692"/>
      <c r="EZS26" s="2692"/>
      <c r="EZT26" s="2692"/>
      <c r="EZU26" s="2692"/>
      <c r="EZV26" s="2692"/>
      <c r="EZW26" s="2692"/>
      <c r="EZX26" s="2692"/>
      <c r="EZY26" s="2692"/>
      <c r="EZZ26" s="2692"/>
      <c r="FAA26" s="2692"/>
      <c r="FAB26" s="2692"/>
      <c r="FAC26" s="2692"/>
      <c r="FAD26" s="2692"/>
      <c r="FAE26" s="2692"/>
      <c r="FAF26" s="2692"/>
      <c r="FAG26" s="2692"/>
      <c r="FAH26" s="2692"/>
      <c r="FAI26" s="2692"/>
      <c r="FAJ26" s="2692"/>
      <c r="FAK26" s="2692"/>
      <c r="FAL26" s="2692"/>
      <c r="FAM26" s="2692"/>
      <c r="FAN26" s="2692"/>
      <c r="FAO26" s="2692"/>
      <c r="FAP26" s="2692"/>
      <c r="FAQ26" s="2692"/>
      <c r="FAR26" s="2692"/>
      <c r="FAS26" s="2692"/>
      <c r="FAT26" s="2692"/>
      <c r="FAU26" s="2692"/>
      <c r="FAV26" s="2692"/>
      <c r="FAW26" s="2692"/>
      <c r="FAX26" s="2692"/>
      <c r="FAY26" s="2692"/>
      <c r="FAZ26" s="2692"/>
      <c r="FBA26" s="2692"/>
      <c r="FBB26" s="2692"/>
      <c r="FBC26" s="2692"/>
      <c r="FBD26" s="2692"/>
      <c r="FBE26" s="2692"/>
      <c r="FBF26" s="2692"/>
      <c r="FBG26" s="2692"/>
      <c r="FBH26" s="2692"/>
      <c r="FBI26" s="2692"/>
      <c r="FBJ26" s="2692"/>
      <c r="FBK26" s="2692"/>
      <c r="FBL26" s="2692"/>
      <c r="FBM26" s="2692"/>
      <c r="FBN26" s="2692"/>
      <c r="FBO26" s="2692"/>
      <c r="FBP26" s="2692"/>
      <c r="FBQ26" s="2692"/>
      <c r="FBR26" s="2692"/>
      <c r="FBS26" s="2692"/>
      <c r="FBT26" s="2692"/>
      <c r="FBU26" s="2692"/>
      <c r="FBV26" s="2692"/>
      <c r="FBW26" s="2692"/>
      <c r="FBX26" s="2692"/>
      <c r="FBY26" s="2692"/>
      <c r="FBZ26" s="2692"/>
      <c r="FCA26" s="2692"/>
      <c r="FCB26" s="2692"/>
      <c r="FCC26" s="2692"/>
      <c r="FCD26" s="2692"/>
      <c r="FCE26" s="2692"/>
      <c r="FCF26" s="2692"/>
      <c r="FCG26" s="2692"/>
      <c r="FCH26" s="2692"/>
      <c r="FCI26" s="2692"/>
      <c r="FCJ26" s="2692"/>
      <c r="FCK26" s="2692"/>
      <c r="FCL26" s="2692"/>
      <c r="FCM26" s="2692"/>
      <c r="FCN26" s="2692"/>
      <c r="FCO26" s="2692"/>
      <c r="FCP26" s="2692"/>
      <c r="FCQ26" s="2692"/>
      <c r="FCR26" s="2692"/>
      <c r="FCS26" s="2692"/>
      <c r="FCT26" s="2692"/>
      <c r="FCU26" s="2692"/>
      <c r="FCV26" s="2692"/>
      <c r="FCW26" s="2692"/>
      <c r="FCX26" s="2692"/>
      <c r="FCY26" s="2692"/>
      <c r="FCZ26" s="2692"/>
      <c r="FDA26" s="2692"/>
      <c r="FDB26" s="2692"/>
      <c r="FDC26" s="2692"/>
      <c r="FDD26" s="2692"/>
      <c r="FDE26" s="2692"/>
      <c r="FDF26" s="2692"/>
      <c r="FDG26" s="2692"/>
      <c r="FDH26" s="2692"/>
      <c r="FDI26" s="2692"/>
      <c r="FDJ26" s="2692"/>
      <c r="FDK26" s="2692"/>
      <c r="FDL26" s="2692"/>
      <c r="FDM26" s="2692"/>
      <c r="FDN26" s="2692"/>
      <c r="FDO26" s="2692"/>
      <c r="FDP26" s="2692"/>
      <c r="FDQ26" s="2692"/>
      <c r="FDR26" s="2692"/>
      <c r="FDS26" s="2692"/>
      <c r="FDT26" s="2692"/>
      <c r="FDU26" s="2692"/>
      <c r="FDV26" s="2692"/>
      <c r="FDW26" s="2692"/>
      <c r="FDX26" s="2692"/>
      <c r="FDY26" s="2692"/>
      <c r="FDZ26" s="2692"/>
      <c r="FEA26" s="2692"/>
      <c r="FEB26" s="2692"/>
      <c r="FEC26" s="2692"/>
      <c r="FED26" s="2692"/>
      <c r="FEE26" s="2692"/>
      <c r="FEF26" s="2692"/>
      <c r="FEG26" s="2692"/>
      <c r="FEH26" s="2692"/>
      <c r="FEI26" s="2692"/>
      <c r="FEJ26" s="2692"/>
      <c r="FEK26" s="2692"/>
      <c r="FEL26" s="2692"/>
      <c r="FEM26" s="2692"/>
      <c r="FEN26" s="2692"/>
      <c r="FEO26" s="2692"/>
      <c r="FEP26" s="2692"/>
      <c r="FEQ26" s="2692"/>
      <c r="FER26" s="2692"/>
      <c r="FES26" s="2692"/>
      <c r="FET26" s="2692"/>
      <c r="FEU26" s="2692"/>
      <c r="FEV26" s="2692"/>
      <c r="FEW26" s="2692"/>
      <c r="FEX26" s="2692"/>
      <c r="FEY26" s="2692"/>
      <c r="FEZ26" s="2692"/>
      <c r="FFA26" s="2692"/>
      <c r="FFB26" s="2692"/>
      <c r="FFC26" s="2692"/>
      <c r="FFD26" s="2692"/>
      <c r="FFE26" s="2692"/>
      <c r="FFF26" s="2692"/>
      <c r="FFG26" s="2692"/>
      <c r="FFH26" s="2692"/>
      <c r="FFI26" s="2692"/>
      <c r="FFJ26" s="2692"/>
      <c r="FFK26" s="2692"/>
      <c r="FFL26" s="2692"/>
      <c r="FFM26" s="2692"/>
      <c r="FFN26" s="2692"/>
      <c r="FFO26" s="2692"/>
      <c r="FFP26" s="2692"/>
      <c r="FFQ26" s="2692"/>
      <c r="FFR26" s="2692"/>
      <c r="FFS26" s="2692"/>
      <c r="FFT26" s="2692"/>
      <c r="FFU26" s="2692"/>
      <c r="FFV26" s="2692"/>
      <c r="FFW26" s="2692"/>
      <c r="FFX26" s="2692"/>
      <c r="FFY26" s="2692"/>
      <c r="FFZ26" s="2692"/>
      <c r="FGA26" s="2692"/>
      <c r="FGB26" s="2692"/>
      <c r="FGC26" s="2692"/>
      <c r="FGD26" s="2692"/>
      <c r="FGE26" s="2692"/>
      <c r="FGF26" s="2692"/>
      <c r="FGG26" s="2692"/>
      <c r="FGH26" s="2692"/>
      <c r="FGI26" s="2692"/>
      <c r="FGJ26" s="2692"/>
      <c r="FGK26" s="2692"/>
      <c r="FGL26" s="2692"/>
      <c r="FGM26" s="2692"/>
      <c r="FGN26" s="2692"/>
      <c r="FGO26" s="2692"/>
      <c r="FGP26" s="2692"/>
      <c r="FGQ26" s="2692"/>
      <c r="FGR26" s="2692"/>
      <c r="FGS26" s="2692"/>
      <c r="FGT26" s="2692"/>
      <c r="FGU26" s="2692"/>
      <c r="FGV26" s="2692"/>
      <c r="FGW26" s="2692"/>
      <c r="FGX26" s="2692"/>
      <c r="FGY26" s="2692"/>
      <c r="FGZ26" s="2692"/>
      <c r="FHA26" s="2692"/>
      <c r="FHB26" s="2692"/>
      <c r="FHC26" s="2692"/>
      <c r="FHD26" s="2692"/>
      <c r="FHE26" s="2692"/>
      <c r="FHF26" s="2692"/>
      <c r="FHG26" s="2692"/>
      <c r="FHH26" s="2692"/>
      <c r="FHI26" s="2692"/>
      <c r="FHJ26" s="2692"/>
      <c r="FHK26" s="2692"/>
      <c r="FHL26" s="2692"/>
      <c r="FHM26" s="2692"/>
      <c r="FHN26" s="2692"/>
      <c r="FHO26" s="2692"/>
      <c r="FHP26" s="2692"/>
      <c r="FHQ26" s="2692"/>
      <c r="FHR26" s="2692"/>
      <c r="FHS26" s="2692"/>
      <c r="FHT26" s="2692"/>
      <c r="FHU26" s="2692"/>
      <c r="FHV26" s="2692"/>
      <c r="FHW26" s="2692"/>
      <c r="FHX26" s="2692"/>
      <c r="FHY26" s="2692"/>
      <c r="FHZ26" s="2692"/>
      <c r="FIA26" s="2692"/>
      <c r="FIB26" s="2692"/>
      <c r="FIC26" s="2692"/>
      <c r="FID26" s="2692"/>
      <c r="FIE26" s="2692"/>
      <c r="FIF26" s="2692"/>
      <c r="FIG26" s="2692"/>
      <c r="FIH26" s="2692"/>
      <c r="FII26" s="2692"/>
      <c r="FIJ26" s="2692"/>
      <c r="FIK26" s="2692"/>
      <c r="FIL26" s="2692"/>
      <c r="FIM26" s="2692"/>
      <c r="FIN26" s="2692"/>
      <c r="FIO26" s="2692"/>
      <c r="FIP26" s="2692"/>
      <c r="FIQ26" s="2692"/>
      <c r="FIR26" s="2692"/>
      <c r="FIS26" s="2692"/>
      <c r="FIT26" s="2692"/>
      <c r="FIU26" s="2692"/>
      <c r="FIV26" s="2692"/>
      <c r="FIW26" s="2692"/>
      <c r="FIX26" s="2692"/>
      <c r="FIY26" s="2692"/>
      <c r="FIZ26" s="2692"/>
      <c r="FJA26" s="2692"/>
      <c r="FJB26" s="2692"/>
      <c r="FJC26" s="2692"/>
      <c r="FJD26" s="2692"/>
      <c r="FJE26" s="2692"/>
      <c r="FJF26" s="2692"/>
      <c r="FJG26" s="2692"/>
      <c r="FJH26" s="2692"/>
      <c r="FJI26" s="2692"/>
      <c r="FJJ26" s="2692"/>
      <c r="FJK26" s="2692"/>
      <c r="FJL26" s="2692"/>
      <c r="FJM26" s="2692"/>
      <c r="FJN26" s="2692"/>
      <c r="FJO26" s="2692"/>
      <c r="FJP26" s="2692"/>
      <c r="FJQ26" s="2692"/>
      <c r="FJR26" s="2692"/>
      <c r="FJS26" s="2692"/>
      <c r="FJT26" s="2692"/>
      <c r="FJU26" s="2692"/>
      <c r="FJV26" s="2692"/>
      <c r="FJW26" s="2692"/>
      <c r="FJX26" s="2692"/>
      <c r="FJY26" s="2692"/>
      <c r="FJZ26" s="2692"/>
      <c r="FKA26" s="2692"/>
      <c r="FKB26" s="2692"/>
      <c r="FKC26" s="2692"/>
      <c r="FKD26" s="2692"/>
      <c r="FKE26" s="2692"/>
      <c r="FKF26" s="2692"/>
      <c r="FKG26" s="2692"/>
      <c r="FKH26" s="2692"/>
      <c r="FKI26" s="2692"/>
      <c r="FKJ26" s="2692"/>
      <c r="FKK26" s="2692"/>
      <c r="FKL26" s="2692"/>
      <c r="FKM26" s="2692"/>
      <c r="FKN26" s="2692"/>
      <c r="FKO26" s="2692"/>
      <c r="FKP26" s="2692"/>
      <c r="FKQ26" s="2692"/>
      <c r="FKR26" s="2692"/>
      <c r="FKS26" s="2692"/>
      <c r="FKT26" s="2692"/>
      <c r="FKU26" s="2692"/>
      <c r="FKV26" s="2692"/>
      <c r="FKW26" s="2692"/>
      <c r="FKX26" s="2692"/>
      <c r="FKY26" s="2692"/>
      <c r="FKZ26" s="2692"/>
      <c r="FLA26" s="2692"/>
      <c r="FLB26" s="2692"/>
      <c r="FLC26" s="2692"/>
      <c r="FLD26" s="2692"/>
      <c r="FLE26" s="2692"/>
      <c r="FLF26" s="2692"/>
      <c r="FLG26" s="2692"/>
      <c r="FLH26" s="2692"/>
      <c r="FLI26" s="2692"/>
      <c r="FLJ26" s="2692"/>
      <c r="FLK26" s="2692"/>
      <c r="FLL26" s="2692"/>
      <c r="FLM26" s="2692"/>
      <c r="FLN26" s="2692"/>
      <c r="FLO26" s="2692"/>
      <c r="FLP26" s="2692"/>
      <c r="FLQ26" s="2692"/>
      <c r="FLR26" s="2692"/>
      <c r="FLS26" s="2692"/>
      <c r="FLT26" s="2692"/>
      <c r="FLU26" s="2692"/>
      <c r="FLV26" s="2692"/>
      <c r="FLW26" s="2692"/>
      <c r="FLX26" s="2692"/>
      <c r="FLY26" s="2692"/>
      <c r="FLZ26" s="2692"/>
      <c r="FMA26" s="2692"/>
      <c r="FMB26" s="2692"/>
      <c r="FMC26" s="2692"/>
      <c r="FMD26" s="2692"/>
      <c r="FME26" s="2692"/>
      <c r="FMF26" s="2692"/>
      <c r="FMG26" s="2692"/>
      <c r="FMH26" s="2692"/>
      <c r="FMI26" s="2692"/>
      <c r="FMJ26" s="2692"/>
      <c r="FMK26" s="2692"/>
      <c r="FML26" s="2692"/>
      <c r="FMM26" s="2692"/>
      <c r="FMN26" s="2692"/>
      <c r="FMO26" s="2692"/>
      <c r="FMP26" s="2692"/>
      <c r="FMQ26" s="2692"/>
      <c r="FMR26" s="2692"/>
      <c r="FMS26" s="2692"/>
      <c r="FMT26" s="2692"/>
      <c r="FMU26" s="2692"/>
      <c r="FMV26" s="2692"/>
      <c r="FMW26" s="2692"/>
      <c r="FMX26" s="2692"/>
      <c r="FMY26" s="2692"/>
      <c r="FMZ26" s="2692"/>
      <c r="FNA26" s="2692"/>
      <c r="FNB26" s="2692"/>
      <c r="FNC26" s="2692"/>
      <c r="FND26" s="2692"/>
      <c r="FNE26" s="2692"/>
      <c r="FNF26" s="2692"/>
      <c r="FNG26" s="2692"/>
      <c r="FNH26" s="2692"/>
      <c r="FNI26" s="2692"/>
      <c r="FNJ26" s="2692"/>
      <c r="FNK26" s="2692"/>
      <c r="FNL26" s="2692"/>
      <c r="FNM26" s="2692"/>
      <c r="FNN26" s="2692"/>
      <c r="FNO26" s="2692"/>
      <c r="FNP26" s="2692"/>
      <c r="FNQ26" s="2692"/>
      <c r="FNR26" s="2692"/>
      <c r="FNS26" s="2692"/>
      <c r="FNT26" s="2692"/>
      <c r="FNU26" s="2692"/>
      <c r="FNV26" s="2692"/>
      <c r="FNW26" s="2692"/>
      <c r="FNX26" s="2692"/>
      <c r="FNY26" s="2692"/>
      <c r="FNZ26" s="2692"/>
      <c r="FOA26" s="2692"/>
      <c r="FOB26" s="2692"/>
      <c r="FOC26" s="2692"/>
      <c r="FOD26" s="2692"/>
      <c r="FOE26" s="2692"/>
      <c r="FOF26" s="2692"/>
      <c r="FOG26" s="2692"/>
      <c r="FOH26" s="2692"/>
      <c r="FOI26" s="2692"/>
      <c r="FOJ26" s="2692"/>
      <c r="FOK26" s="2692"/>
      <c r="FOL26" s="2692"/>
      <c r="FOM26" s="2692"/>
      <c r="FON26" s="2692"/>
      <c r="FOO26" s="2692"/>
      <c r="FOP26" s="2692"/>
      <c r="FOQ26" s="2692"/>
      <c r="FOR26" s="2692"/>
      <c r="FOS26" s="2692"/>
      <c r="FOT26" s="2692"/>
      <c r="FOU26" s="2692"/>
      <c r="FOV26" s="2692"/>
      <c r="FOW26" s="2692"/>
      <c r="FOX26" s="2692"/>
      <c r="FOY26" s="2692"/>
      <c r="FOZ26" s="2692"/>
      <c r="FPA26" s="2692"/>
      <c r="FPB26" s="2692"/>
      <c r="FPC26" s="2692"/>
      <c r="FPD26" s="2692"/>
      <c r="FPE26" s="2692"/>
      <c r="FPF26" s="2692"/>
      <c r="FPG26" s="2692"/>
      <c r="FPH26" s="2692"/>
      <c r="FPI26" s="2692"/>
      <c r="FPJ26" s="2692"/>
      <c r="FPK26" s="2692"/>
      <c r="FPL26" s="2692"/>
      <c r="FPM26" s="2692"/>
      <c r="FPN26" s="2692"/>
      <c r="FPO26" s="2692"/>
      <c r="FPP26" s="2692"/>
      <c r="FPQ26" s="2692"/>
      <c r="FPR26" s="2692"/>
      <c r="FPS26" s="2692"/>
      <c r="FPT26" s="2692"/>
      <c r="FPU26" s="2692"/>
      <c r="FPV26" s="2692"/>
      <c r="FPW26" s="2692"/>
      <c r="FPX26" s="2692"/>
      <c r="FPY26" s="2692"/>
      <c r="FPZ26" s="2692"/>
      <c r="FQA26" s="2692"/>
      <c r="FQB26" s="2692"/>
      <c r="FQC26" s="2692"/>
      <c r="FQD26" s="2692"/>
      <c r="FQE26" s="2692"/>
      <c r="FQF26" s="2692"/>
      <c r="FQG26" s="2692"/>
      <c r="FQH26" s="2692"/>
      <c r="FQI26" s="2692"/>
      <c r="FQJ26" s="2692"/>
      <c r="FQK26" s="2692"/>
      <c r="FQL26" s="2692"/>
      <c r="FQM26" s="2692"/>
      <c r="FQN26" s="2692"/>
      <c r="FQO26" s="2692"/>
      <c r="FQP26" s="2692"/>
      <c r="FQQ26" s="2692"/>
      <c r="FQR26" s="2692"/>
      <c r="FQS26" s="2692"/>
      <c r="FQT26" s="2692"/>
      <c r="FQU26" s="2692"/>
      <c r="FQV26" s="2692"/>
      <c r="FQW26" s="2692"/>
      <c r="FQX26" s="2692"/>
      <c r="FQY26" s="2692"/>
      <c r="FQZ26" s="2692"/>
      <c r="FRA26" s="2692"/>
      <c r="FRB26" s="2692"/>
      <c r="FRC26" s="2692"/>
      <c r="FRD26" s="2692"/>
      <c r="FRE26" s="2692"/>
      <c r="FRF26" s="2692"/>
      <c r="FRG26" s="2692"/>
      <c r="FRH26" s="2692"/>
      <c r="FRI26" s="2692"/>
      <c r="FRJ26" s="2692"/>
      <c r="FRK26" s="2692"/>
      <c r="FRL26" s="2692"/>
      <c r="FRM26" s="2692"/>
      <c r="FRN26" s="2692"/>
      <c r="FRO26" s="2692"/>
      <c r="FRP26" s="2692"/>
      <c r="FRQ26" s="2692"/>
      <c r="FRR26" s="2692"/>
      <c r="FRS26" s="2692"/>
      <c r="FRT26" s="2692"/>
      <c r="FRU26" s="2692"/>
      <c r="FRV26" s="2692"/>
      <c r="FRW26" s="2692"/>
      <c r="FRX26" s="2692"/>
      <c r="FRY26" s="2692"/>
      <c r="FRZ26" s="2692"/>
      <c r="FSA26" s="2692"/>
      <c r="FSB26" s="2692"/>
      <c r="FSC26" s="2692"/>
      <c r="FSD26" s="2692"/>
      <c r="FSE26" s="2692"/>
      <c r="FSF26" s="2692"/>
      <c r="FSG26" s="2692"/>
      <c r="FSH26" s="2692"/>
      <c r="FSI26" s="2692"/>
      <c r="FSJ26" s="2692"/>
      <c r="FSK26" s="2692"/>
      <c r="FSL26" s="2692"/>
      <c r="FSM26" s="2692"/>
      <c r="FSN26" s="2692"/>
      <c r="FSO26" s="2692"/>
      <c r="FSP26" s="2692"/>
      <c r="FSQ26" s="2692"/>
      <c r="FSR26" s="2692"/>
      <c r="FSS26" s="2692"/>
      <c r="FST26" s="2692"/>
      <c r="FSU26" s="2692"/>
      <c r="FSV26" s="2692"/>
      <c r="FSW26" s="2692"/>
      <c r="FSX26" s="2692"/>
      <c r="FSY26" s="2692"/>
      <c r="FSZ26" s="2692"/>
      <c r="FTA26" s="2692"/>
      <c r="FTB26" s="2692"/>
      <c r="FTC26" s="2692"/>
      <c r="FTD26" s="2692"/>
      <c r="FTE26" s="2692"/>
      <c r="FTF26" s="2692"/>
      <c r="FTG26" s="2692"/>
      <c r="FTH26" s="2692"/>
      <c r="FTI26" s="2692"/>
      <c r="FTJ26" s="2692"/>
      <c r="FTK26" s="2692"/>
      <c r="FTL26" s="2692"/>
      <c r="FTM26" s="2692"/>
      <c r="FTN26" s="2692"/>
      <c r="FTO26" s="2692"/>
      <c r="FTP26" s="2692"/>
      <c r="FTQ26" s="2692"/>
      <c r="FTR26" s="2692"/>
      <c r="FTS26" s="2692"/>
      <c r="FTT26" s="2692"/>
      <c r="FTU26" s="2692"/>
      <c r="FTV26" s="2692"/>
      <c r="FTW26" s="2692"/>
      <c r="FTX26" s="2692"/>
      <c r="FTY26" s="2692"/>
      <c r="FTZ26" s="2692"/>
      <c r="FUA26" s="2692"/>
      <c r="FUB26" s="2692"/>
      <c r="FUC26" s="2692"/>
      <c r="FUD26" s="2692"/>
      <c r="FUE26" s="2692"/>
      <c r="FUF26" s="2692"/>
      <c r="FUG26" s="2692"/>
      <c r="FUH26" s="2692"/>
      <c r="FUI26" s="2692"/>
      <c r="FUJ26" s="2692"/>
      <c r="FUK26" s="2692"/>
      <c r="FUL26" s="2692"/>
      <c r="FUM26" s="2692"/>
      <c r="FUN26" s="2692"/>
      <c r="FUO26" s="2692"/>
      <c r="FUP26" s="2692"/>
      <c r="FUQ26" s="2692"/>
      <c r="FUR26" s="2692"/>
      <c r="FUS26" s="2692"/>
      <c r="FUT26" s="2692"/>
      <c r="FUU26" s="2692"/>
      <c r="FUV26" s="2692"/>
      <c r="FUW26" s="2692"/>
      <c r="FUX26" s="2692"/>
      <c r="FUY26" s="2692"/>
      <c r="FUZ26" s="2692"/>
      <c r="FVA26" s="2692"/>
      <c r="FVB26" s="2692"/>
      <c r="FVC26" s="2692"/>
      <c r="FVD26" s="2692"/>
      <c r="FVE26" s="2692"/>
      <c r="FVF26" s="2692"/>
      <c r="FVG26" s="2692"/>
      <c r="FVH26" s="2692"/>
      <c r="FVI26" s="2692"/>
      <c r="FVJ26" s="2692"/>
      <c r="FVK26" s="2692"/>
      <c r="FVL26" s="2692"/>
      <c r="FVM26" s="2692"/>
      <c r="FVN26" s="2692"/>
      <c r="FVO26" s="2692"/>
      <c r="FVP26" s="2692"/>
      <c r="FVQ26" s="2692"/>
      <c r="FVR26" s="2692"/>
      <c r="FVS26" s="2692"/>
      <c r="FVT26" s="2692"/>
      <c r="FVU26" s="2692"/>
      <c r="FVV26" s="2692"/>
      <c r="FVW26" s="2692"/>
      <c r="FVX26" s="2692"/>
      <c r="FVY26" s="2692"/>
      <c r="FVZ26" s="2692"/>
      <c r="FWA26" s="2692"/>
      <c r="FWB26" s="2692"/>
      <c r="FWC26" s="2692"/>
      <c r="FWD26" s="2692"/>
      <c r="FWE26" s="2692"/>
      <c r="FWF26" s="2692"/>
      <c r="FWG26" s="2692"/>
      <c r="FWH26" s="2692"/>
      <c r="FWI26" s="2692"/>
      <c r="FWJ26" s="2692"/>
      <c r="FWK26" s="2692"/>
      <c r="FWL26" s="2692"/>
      <c r="FWM26" s="2692"/>
      <c r="FWN26" s="2692"/>
      <c r="FWO26" s="2692"/>
      <c r="FWP26" s="2692"/>
      <c r="FWQ26" s="2692"/>
      <c r="FWR26" s="2692"/>
      <c r="FWS26" s="2692"/>
      <c r="FWT26" s="2692"/>
      <c r="FWU26" s="2692"/>
      <c r="FWV26" s="2692"/>
      <c r="FWW26" s="2692"/>
      <c r="FWX26" s="2692"/>
      <c r="FWY26" s="2692"/>
      <c r="FWZ26" s="2692"/>
      <c r="FXA26" s="2692"/>
      <c r="FXB26" s="2692"/>
      <c r="FXC26" s="2692"/>
      <c r="FXD26" s="2692"/>
      <c r="FXE26" s="2692"/>
      <c r="FXF26" s="2692"/>
      <c r="FXG26" s="2692"/>
      <c r="FXH26" s="2692"/>
      <c r="FXI26" s="2692"/>
      <c r="FXJ26" s="2692"/>
      <c r="FXK26" s="2692"/>
      <c r="FXL26" s="2692"/>
      <c r="FXM26" s="2692"/>
      <c r="FXN26" s="2692"/>
      <c r="FXO26" s="2692"/>
      <c r="FXP26" s="2692"/>
      <c r="FXQ26" s="2692"/>
      <c r="FXR26" s="2692"/>
      <c r="FXS26" s="2692"/>
      <c r="FXT26" s="2692"/>
      <c r="FXU26" s="2692"/>
      <c r="FXV26" s="2692"/>
      <c r="FXW26" s="2692"/>
      <c r="FXX26" s="2692"/>
      <c r="FXY26" s="2692"/>
      <c r="FXZ26" s="2692"/>
      <c r="FYA26" s="2692"/>
      <c r="FYB26" s="2692"/>
      <c r="FYC26" s="2692"/>
      <c r="FYD26" s="2692"/>
      <c r="FYE26" s="2692"/>
      <c r="FYF26" s="2692"/>
      <c r="FYG26" s="2692"/>
      <c r="FYH26" s="2692"/>
      <c r="FYI26" s="2692"/>
      <c r="FYJ26" s="2692"/>
      <c r="FYK26" s="2692"/>
      <c r="FYL26" s="2692"/>
      <c r="FYM26" s="2692"/>
      <c r="FYN26" s="2692"/>
      <c r="FYO26" s="2692"/>
      <c r="FYP26" s="2692"/>
      <c r="FYQ26" s="2692"/>
      <c r="FYR26" s="2692"/>
      <c r="FYS26" s="2692"/>
      <c r="FYT26" s="2692"/>
      <c r="FYU26" s="2692"/>
      <c r="FYV26" s="2692"/>
      <c r="FYW26" s="2692"/>
      <c r="FYX26" s="2692"/>
      <c r="FYY26" s="2692"/>
      <c r="FYZ26" s="2692"/>
      <c r="FZA26" s="2692"/>
      <c r="FZB26" s="2692"/>
      <c r="FZC26" s="2692"/>
      <c r="FZD26" s="2692"/>
      <c r="FZE26" s="2692"/>
      <c r="FZF26" s="2692"/>
      <c r="FZG26" s="2692"/>
      <c r="FZH26" s="2692"/>
      <c r="FZI26" s="2692"/>
      <c r="FZJ26" s="2692"/>
      <c r="FZK26" s="2692"/>
      <c r="FZL26" s="2692"/>
      <c r="FZM26" s="2692"/>
      <c r="FZN26" s="2692"/>
      <c r="FZO26" s="2692"/>
      <c r="FZP26" s="2692"/>
      <c r="FZQ26" s="2692"/>
      <c r="FZR26" s="2692"/>
      <c r="FZS26" s="2692"/>
      <c r="FZT26" s="2692"/>
      <c r="FZU26" s="2692"/>
      <c r="FZV26" s="2692"/>
      <c r="FZW26" s="2692"/>
      <c r="FZX26" s="2692"/>
      <c r="FZY26" s="2692"/>
      <c r="FZZ26" s="2692"/>
      <c r="GAA26" s="2692"/>
      <c r="GAB26" s="2692"/>
      <c r="GAC26" s="2692"/>
      <c r="GAD26" s="2692"/>
      <c r="GAE26" s="2692"/>
      <c r="GAF26" s="2692"/>
      <c r="GAG26" s="2692"/>
      <c r="GAH26" s="2692"/>
      <c r="GAI26" s="2692"/>
      <c r="GAJ26" s="2692"/>
      <c r="GAK26" s="2692"/>
      <c r="GAL26" s="2692"/>
      <c r="GAM26" s="2692"/>
      <c r="GAN26" s="2692"/>
      <c r="GAO26" s="2692"/>
      <c r="GAP26" s="2692"/>
      <c r="GAQ26" s="2692"/>
      <c r="GAR26" s="2692"/>
      <c r="GAS26" s="2692"/>
      <c r="GAT26" s="2692"/>
      <c r="GAU26" s="2692"/>
      <c r="GAV26" s="2692"/>
      <c r="GAW26" s="2692"/>
      <c r="GAX26" s="2692"/>
      <c r="GAY26" s="2692"/>
      <c r="GAZ26" s="2692"/>
      <c r="GBA26" s="2692"/>
      <c r="GBB26" s="2692"/>
      <c r="GBC26" s="2692"/>
      <c r="GBD26" s="2692"/>
      <c r="GBE26" s="2692"/>
      <c r="GBF26" s="2692"/>
      <c r="GBG26" s="2692"/>
      <c r="GBH26" s="2692"/>
      <c r="GBI26" s="2692"/>
      <c r="GBJ26" s="2692"/>
      <c r="GBK26" s="2692"/>
      <c r="GBL26" s="2692"/>
      <c r="GBM26" s="2692"/>
      <c r="GBN26" s="2692"/>
      <c r="GBO26" s="2692"/>
      <c r="GBP26" s="2692"/>
      <c r="GBQ26" s="2692"/>
      <c r="GBR26" s="2692"/>
      <c r="GBS26" s="2692"/>
      <c r="GBT26" s="2692"/>
      <c r="GBU26" s="2692"/>
      <c r="GBV26" s="2692"/>
      <c r="GBW26" s="2692"/>
      <c r="GBX26" s="2692"/>
      <c r="GBY26" s="2692"/>
      <c r="GBZ26" s="2692"/>
      <c r="GCA26" s="2692"/>
      <c r="GCB26" s="2692"/>
      <c r="GCC26" s="2692"/>
      <c r="GCD26" s="2692"/>
      <c r="GCE26" s="2692"/>
      <c r="GCF26" s="2692"/>
      <c r="GCG26" s="2692"/>
      <c r="GCH26" s="2692"/>
      <c r="GCI26" s="2692"/>
      <c r="GCJ26" s="2692"/>
      <c r="GCK26" s="2692"/>
      <c r="GCL26" s="2692"/>
      <c r="GCM26" s="2692"/>
      <c r="GCN26" s="2692"/>
      <c r="GCO26" s="2692"/>
      <c r="GCP26" s="2692"/>
      <c r="GCQ26" s="2692"/>
      <c r="GCR26" s="2692"/>
      <c r="GCS26" s="2692"/>
      <c r="GCT26" s="2692"/>
      <c r="GCU26" s="2692"/>
      <c r="GCV26" s="2692"/>
      <c r="GCW26" s="2692"/>
      <c r="GCX26" s="2692"/>
      <c r="GCY26" s="2692"/>
      <c r="GCZ26" s="2692"/>
      <c r="GDA26" s="2692"/>
      <c r="GDB26" s="2692"/>
      <c r="GDC26" s="2692"/>
      <c r="GDD26" s="2692"/>
      <c r="GDE26" s="2692"/>
      <c r="GDF26" s="2692"/>
      <c r="GDG26" s="2692"/>
      <c r="GDH26" s="2692"/>
      <c r="GDI26" s="2692"/>
      <c r="GDJ26" s="2692"/>
      <c r="GDK26" s="2692"/>
      <c r="GDL26" s="2692"/>
      <c r="GDM26" s="2692"/>
      <c r="GDN26" s="2692"/>
      <c r="GDO26" s="2692"/>
      <c r="GDP26" s="2692"/>
      <c r="GDQ26" s="2692"/>
      <c r="GDR26" s="2692"/>
      <c r="GDS26" s="2692"/>
      <c r="GDT26" s="2692"/>
      <c r="GDU26" s="2692"/>
      <c r="GDV26" s="2692"/>
      <c r="GDW26" s="2692"/>
      <c r="GDX26" s="2692"/>
      <c r="GDY26" s="2692"/>
      <c r="GDZ26" s="2692"/>
      <c r="GEA26" s="2692"/>
      <c r="GEB26" s="2692"/>
      <c r="GEC26" s="2692"/>
      <c r="GED26" s="2692"/>
      <c r="GEE26" s="2692"/>
      <c r="GEF26" s="2692"/>
      <c r="GEG26" s="2692"/>
      <c r="GEH26" s="2692"/>
      <c r="GEI26" s="2692"/>
      <c r="GEJ26" s="2692"/>
      <c r="GEK26" s="2692"/>
      <c r="GEL26" s="2692"/>
      <c r="GEM26" s="2692"/>
      <c r="GEN26" s="2692"/>
      <c r="GEO26" s="2692"/>
      <c r="GEP26" s="2692"/>
      <c r="GEQ26" s="2692"/>
      <c r="GER26" s="2692"/>
      <c r="GES26" s="2692"/>
      <c r="GET26" s="2692"/>
      <c r="GEU26" s="2692"/>
      <c r="GEV26" s="2692"/>
      <c r="GEW26" s="2692"/>
      <c r="GEX26" s="2692"/>
      <c r="GEY26" s="2692"/>
      <c r="GEZ26" s="2692"/>
      <c r="GFA26" s="2692"/>
      <c r="GFB26" s="2692"/>
      <c r="GFC26" s="2692"/>
      <c r="GFD26" s="2692"/>
      <c r="GFE26" s="2692"/>
      <c r="GFF26" s="2692"/>
      <c r="GFG26" s="2692"/>
      <c r="GFH26" s="2692"/>
      <c r="GFI26" s="2692"/>
      <c r="GFJ26" s="2692"/>
      <c r="GFK26" s="2692"/>
      <c r="GFL26" s="2692"/>
      <c r="GFM26" s="2692"/>
      <c r="GFN26" s="2692"/>
      <c r="GFO26" s="2692"/>
      <c r="GFP26" s="2692"/>
      <c r="GFQ26" s="2692"/>
      <c r="GFR26" s="2692"/>
      <c r="GFS26" s="2692"/>
      <c r="GFT26" s="2692"/>
      <c r="GFU26" s="2692"/>
      <c r="GFV26" s="2692"/>
      <c r="GFW26" s="2692"/>
      <c r="GFX26" s="2692"/>
      <c r="GFY26" s="2692"/>
      <c r="GFZ26" s="2692"/>
      <c r="GGA26" s="2692"/>
      <c r="GGB26" s="2692"/>
      <c r="GGC26" s="2692"/>
      <c r="GGD26" s="2692"/>
      <c r="GGE26" s="2692"/>
      <c r="GGF26" s="2692"/>
      <c r="GGG26" s="2692"/>
      <c r="GGH26" s="2692"/>
      <c r="GGI26" s="2692"/>
      <c r="GGJ26" s="2692"/>
      <c r="GGK26" s="2692"/>
      <c r="GGL26" s="2692"/>
      <c r="GGM26" s="2692"/>
      <c r="GGN26" s="2692"/>
      <c r="GGO26" s="2692"/>
      <c r="GGP26" s="2692"/>
      <c r="GGQ26" s="2692"/>
      <c r="GGR26" s="2692"/>
      <c r="GGS26" s="2692"/>
      <c r="GGT26" s="2692"/>
      <c r="GGU26" s="2692"/>
      <c r="GGV26" s="2692"/>
      <c r="GGW26" s="2692"/>
      <c r="GGX26" s="2692"/>
      <c r="GGY26" s="2692"/>
      <c r="GGZ26" s="2692"/>
      <c r="GHA26" s="2692"/>
      <c r="GHB26" s="2692"/>
      <c r="GHC26" s="2692"/>
      <c r="GHD26" s="2692"/>
      <c r="GHE26" s="2692"/>
      <c r="GHF26" s="2692"/>
      <c r="GHG26" s="2692"/>
      <c r="GHH26" s="2692"/>
      <c r="GHI26" s="2692"/>
      <c r="GHJ26" s="2692"/>
      <c r="GHK26" s="2692"/>
      <c r="GHL26" s="2692"/>
      <c r="GHM26" s="2692"/>
      <c r="GHN26" s="2692"/>
      <c r="GHO26" s="2692"/>
      <c r="GHP26" s="2692"/>
      <c r="GHQ26" s="2692"/>
      <c r="GHR26" s="2692"/>
      <c r="GHS26" s="2692"/>
      <c r="GHT26" s="2692"/>
      <c r="GHU26" s="2692"/>
      <c r="GHV26" s="2692"/>
      <c r="GHW26" s="2692"/>
      <c r="GHX26" s="2692"/>
      <c r="GHY26" s="2692"/>
      <c r="GHZ26" s="2692"/>
      <c r="GIA26" s="2692"/>
      <c r="GIB26" s="2692"/>
      <c r="GIC26" s="2692"/>
      <c r="GID26" s="2692"/>
      <c r="GIE26" s="2692"/>
      <c r="GIF26" s="2692"/>
      <c r="GIG26" s="2692"/>
      <c r="GIH26" s="2692"/>
      <c r="GII26" s="2692"/>
      <c r="GIJ26" s="2692"/>
      <c r="GIK26" s="2692"/>
      <c r="GIL26" s="2692"/>
      <c r="GIM26" s="2692"/>
      <c r="GIN26" s="2692"/>
      <c r="GIO26" s="2692"/>
      <c r="GIP26" s="2692"/>
      <c r="GIQ26" s="2692"/>
      <c r="GIR26" s="2692"/>
      <c r="GIS26" s="2692"/>
      <c r="GIT26" s="2692"/>
      <c r="GIU26" s="2692"/>
      <c r="GIV26" s="2692"/>
      <c r="GIW26" s="2692"/>
      <c r="GIX26" s="2692"/>
      <c r="GIY26" s="2692"/>
      <c r="GIZ26" s="2692"/>
      <c r="GJA26" s="2692"/>
      <c r="GJB26" s="2692"/>
      <c r="GJC26" s="2692"/>
      <c r="GJD26" s="2692"/>
      <c r="GJE26" s="2692"/>
      <c r="GJF26" s="2692"/>
      <c r="GJG26" s="2692"/>
      <c r="GJH26" s="2692"/>
      <c r="GJI26" s="2692"/>
      <c r="GJJ26" s="2692"/>
      <c r="GJK26" s="2692"/>
      <c r="GJL26" s="2692"/>
      <c r="GJM26" s="2692"/>
      <c r="GJN26" s="2692"/>
      <c r="GJO26" s="2692"/>
      <c r="GJP26" s="2692"/>
      <c r="GJQ26" s="2692"/>
      <c r="GJR26" s="2692"/>
      <c r="GJS26" s="2692"/>
      <c r="GJT26" s="2692"/>
      <c r="GJU26" s="2692"/>
      <c r="GJV26" s="2692"/>
      <c r="GJW26" s="2692"/>
      <c r="GJX26" s="2692"/>
      <c r="GJY26" s="2692"/>
      <c r="GJZ26" s="2692"/>
      <c r="GKA26" s="2692"/>
      <c r="GKB26" s="2692"/>
      <c r="GKC26" s="2692"/>
      <c r="GKD26" s="2692"/>
      <c r="GKE26" s="2692"/>
      <c r="GKF26" s="2692"/>
      <c r="GKG26" s="2692"/>
      <c r="GKH26" s="2692"/>
      <c r="GKI26" s="2692"/>
      <c r="GKJ26" s="2692"/>
      <c r="GKK26" s="2692"/>
      <c r="GKL26" s="2692"/>
      <c r="GKM26" s="2692"/>
      <c r="GKN26" s="2692"/>
      <c r="GKO26" s="2692"/>
      <c r="GKP26" s="2692"/>
      <c r="GKQ26" s="2692"/>
      <c r="GKR26" s="2692"/>
      <c r="GKS26" s="2692"/>
      <c r="GKT26" s="2692"/>
      <c r="GKU26" s="2692"/>
      <c r="GKV26" s="2692"/>
      <c r="GKW26" s="2692"/>
      <c r="GKX26" s="2692"/>
      <c r="GKY26" s="2692"/>
      <c r="GKZ26" s="2692"/>
      <c r="GLA26" s="2692"/>
      <c r="GLB26" s="2692"/>
      <c r="GLC26" s="2692"/>
      <c r="GLD26" s="2692"/>
      <c r="GLE26" s="2692"/>
      <c r="GLF26" s="2692"/>
      <c r="GLG26" s="2692"/>
      <c r="GLH26" s="2692"/>
      <c r="GLI26" s="2692"/>
      <c r="GLJ26" s="2692"/>
      <c r="GLK26" s="2692"/>
      <c r="GLL26" s="2692"/>
      <c r="GLM26" s="2692"/>
      <c r="GLN26" s="2692"/>
      <c r="GLO26" s="2692"/>
      <c r="GLP26" s="2692"/>
      <c r="GLQ26" s="2692"/>
      <c r="GLR26" s="2692"/>
      <c r="GLS26" s="2692"/>
      <c r="GLT26" s="2692"/>
      <c r="GLU26" s="2692"/>
      <c r="GLV26" s="2692"/>
      <c r="GLW26" s="2692"/>
      <c r="GLX26" s="2692"/>
      <c r="GLY26" s="2692"/>
      <c r="GLZ26" s="2692"/>
      <c r="GMA26" s="2692"/>
      <c r="GMB26" s="2692"/>
      <c r="GMC26" s="2692"/>
      <c r="GMD26" s="2692"/>
      <c r="GME26" s="2692"/>
      <c r="GMF26" s="2692"/>
      <c r="GMG26" s="2692"/>
      <c r="GMH26" s="2692"/>
      <c r="GMI26" s="2692"/>
      <c r="GMJ26" s="2692"/>
      <c r="GMK26" s="2692"/>
      <c r="GML26" s="2692"/>
      <c r="GMM26" s="2692"/>
      <c r="GMN26" s="2692"/>
      <c r="GMO26" s="2692"/>
      <c r="GMP26" s="2692"/>
      <c r="GMQ26" s="2692"/>
      <c r="GMR26" s="2692"/>
      <c r="GMS26" s="2692"/>
      <c r="GMT26" s="2692"/>
      <c r="GMU26" s="2692"/>
      <c r="GMV26" s="2692"/>
      <c r="GMW26" s="2692"/>
      <c r="GMX26" s="2692"/>
      <c r="GMY26" s="2692"/>
      <c r="GMZ26" s="2692"/>
      <c r="GNA26" s="2692"/>
      <c r="GNB26" s="2692"/>
      <c r="GNC26" s="2692"/>
      <c r="GND26" s="2692"/>
      <c r="GNE26" s="2692"/>
      <c r="GNF26" s="2692"/>
      <c r="GNG26" s="2692"/>
      <c r="GNH26" s="2692"/>
      <c r="GNI26" s="2692"/>
      <c r="GNJ26" s="2692"/>
      <c r="GNK26" s="2692"/>
      <c r="GNL26" s="2692"/>
      <c r="GNM26" s="2692"/>
      <c r="GNN26" s="2692"/>
      <c r="GNO26" s="2692"/>
      <c r="GNP26" s="2692"/>
      <c r="GNQ26" s="2692"/>
      <c r="GNR26" s="2692"/>
      <c r="GNS26" s="2692"/>
      <c r="GNT26" s="2692"/>
      <c r="GNU26" s="2692"/>
      <c r="GNV26" s="2692"/>
      <c r="GNW26" s="2692"/>
      <c r="GNX26" s="2692"/>
      <c r="GNY26" s="2692"/>
      <c r="GNZ26" s="2692"/>
      <c r="GOA26" s="2692"/>
      <c r="GOB26" s="2692"/>
      <c r="GOC26" s="2692"/>
      <c r="GOD26" s="2692"/>
      <c r="GOE26" s="2692"/>
      <c r="GOF26" s="2692"/>
      <c r="GOG26" s="2692"/>
      <c r="GOH26" s="2692"/>
      <c r="GOI26" s="2692"/>
      <c r="GOJ26" s="2692"/>
      <c r="GOK26" s="2692"/>
      <c r="GOL26" s="2692"/>
      <c r="GOM26" s="2692"/>
      <c r="GON26" s="2692"/>
      <c r="GOO26" s="2692"/>
      <c r="GOP26" s="2692"/>
      <c r="GOQ26" s="2692"/>
      <c r="GOR26" s="2692"/>
      <c r="GOS26" s="2692"/>
      <c r="GOT26" s="2692"/>
      <c r="GOU26" s="2692"/>
      <c r="GOV26" s="2692"/>
      <c r="GOW26" s="2692"/>
      <c r="GOX26" s="2692"/>
      <c r="GOY26" s="2692"/>
      <c r="GOZ26" s="2692"/>
      <c r="GPA26" s="2692"/>
      <c r="GPB26" s="2692"/>
      <c r="GPC26" s="2692"/>
      <c r="GPD26" s="2692"/>
      <c r="GPE26" s="2692"/>
      <c r="GPF26" s="2692"/>
      <c r="GPG26" s="2692"/>
      <c r="GPH26" s="2692"/>
      <c r="GPI26" s="2692"/>
      <c r="GPJ26" s="2692"/>
      <c r="GPK26" s="2692"/>
      <c r="GPL26" s="2692"/>
      <c r="GPM26" s="2692"/>
      <c r="GPN26" s="2692"/>
      <c r="GPO26" s="2692"/>
      <c r="GPP26" s="2692"/>
      <c r="GPQ26" s="2692"/>
      <c r="GPR26" s="2692"/>
      <c r="GPS26" s="2692"/>
      <c r="GPT26" s="2692"/>
      <c r="GPU26" s="2692"/>
      <c r="GPV26" s="2692"/>
      <c r="GPW26" s="2692"/>
      <c r="GPX26" s="2692"/>
      <c r="GPY26" s="2692"/>
      <c r="GPZ26" s="2692"/>
      <c r="GQA26" s="2692"/>
      <c r="GQB26" s="2692"/>
      <c r="GQC26" s="2692"/>
      <c r="GQD26" s="2692"/>
      <c r="GQE26" s="2692"/>
      <c r="GQF26" s="2692"/>
      <c r="GQG26" s="2692"/>
      <c r="GQH26" s="2692"/>
      <c r="GQI26" s="2692"/>
      <c r="GQJ26" s="2692"/>
      <c r="GQK26" s="2692"/>
      <c r="GQL26" s="2692"/>
      <c r="GQM26" s="2692"/>
      <c r="GQN26" s="2692"/>
      <c r="GQO26" s="2692"/>
      <c r="GQP26" s="2692"/>
      <c r="GQQ26" s="2692"/>
      <c r="GQR26" s="2692"/>
      <c r="GQS26" s="2692"/>
      <c r="GQT26" s="2692"/>
      <c r="GQU26" s="2692"/>
      <c r="GQV26" s="2692"/>
      <c r="GQW26" s="2692"/>
      <c r="GQX26" s="2692"/>
      <c r="GQY26" s="2692"/>
      <c r="GQZ26" s="2692"/>
      <c r="GRA26" s="2692"/>
      <c r="GRB26" s="2692"/>
      <c r="GRC26" s="2692"/>
      <c r="GRD26" s="2692"/>
      <c r="GRE26" s="2692"/>
      <c r="GRF26" s="2692"/>
      <c r="GRG26" s="2692"/>
      <c r="GRH26" s="2692"/>
      <c r="GRI26" s="2692"/>
      <c r="GRJ26" s="2692"/>
      <c r="GRK26" s="2692"/>
      <c r="GRL26" s="2692"/>
      <c r="GRM26" s="2692"/>
      <c r="GRN26" s="2692"/>
      <c r="GRO26" s="2692"/>
      <c r="GRP26" s="2692"/>
      <c r="GRQ26" s="2692"/>
      <c r="GRR26" s="2692"/>
      <c r="GRS26" s="2692"/>
      <c r="GRT26" s="2692"/>
      <c r="GRU26" s="2692"/>
      <c r="GRV26" s="2692"/>
      <c r="GRW26" s="2692"/>
      <c r="GRX26" s="2692"/>
      <c r="GRY26" s="2692"/>
      <c r="GRZ26" s="2692"/>
      <c r="GSA26" s="2692"/>
      <c r="GSB26" s="2692"/>
      <c r="GSC26" s="2692"/>
      <c r="GSD26" s="2692"/>
      <c r="GSE26" s="2692"/>
      <c r="GSF26" s="2692"/>
      <c r="GSG26" s="2692"/>
      <c r="GSH26" s="2692"/>
      <c r="GSI26" s="2692"/>
      <c r="GSJ26" s="2692"/>
      <c r="GSK26" s="2692"/>
      <c r="GSL26" s="2692"/>
      <c r="GSM26" s="2692"/>
      <c r="GSN26" s="2692"/>
      <c r="GSO26" s="2692"/>
      <c r="GSP26" s="2692"/>
      <c r="GSQ26" s="2692"/>
      <c r="GSR26" s="2692"/>
      <c r="GSS26" s="2692"/>
      <c r="GST26" s="2692"/>
      <c r="GSU26" s="2692"/>
      <c r="GSV26" s="2692"/>
      <c r="GSW26" s="2692"/>
      <c r="GSX26" s="2692"/>
      <c r="GSY26" s="2692"/>
      <c r="GSZ26" s="2692"/>
      <c r="GTA26" s="2692"/>
      <c r="GTB26" s="2692"/>
      <c r="GTC26" s="2692"/>
      <c r="GTD26" s="2692"/>
      <c r="GTE26" s="2692"/>
      <c r="GTF26" s="2692"/>
      <c r="GTG26" s="2692"/>
      <c r="GTH26" s="2692"/>
      <c r="GTI26" s="2692"/>
      <c r="GTJ26" s="2692"/>
      <c r="GTK26" s="2692"/>
      <c r="GTL26" s="2692"/>
      <c r="GTM26" s="2692"/>
      <c r="GTN26" s="2692"/>
      <c r="GTO26" s="2692"/>
      <c r="GTP26" s="2692"/>
      <c r="GTQ26" s="2692"/>
      <c r="GTR26" s="2692"/>
      <c r="GTS26" s="2692"/>
      <c r="GTT26" s="2692"/>
      <c r="GTU26" s="2692"/>
      <c r="GTV26" s="2692"/>
      <c r="GTW26" s="2692"/>
      <c r="GTX26" s="2692"/>
      <c r="GTY26" s="2692"/>
      <c r="GTZ26" s="2692"/>
      <c r="GUA26" s="2692"/>
      <c r="GUB26" s="2692"/>
      <c r="GUC26" s="2692"/>
      <c r="GUD26" s="2692"/>
      <c r="GUE26" s="2692"/>
      <c r="GUF26" s="2692"/>
      <c r="GUG26" s="2692"/>
      <c r="GUH26" s="2692"/>
      <c r="GUI26" s="2692"/>
      <c r="GUJ26" s="2692"/>
      <c r="GUK26" s="2692"/>
      <c r="GUL26" s="2692"/>
      <c r="GUM26" s="2692"/>
      <c r="GUN26" s="2692"/>
      <c r="GUO26" s="2692"/>
      <c r="GUP26" s="2692"/>
      <c r="GUQ26" s="2692"/>
      <c r="GUR26" s="2692"/>
      <c r="GUS26" s="2692"/>
      <c r="GUT26" s="2692"/>
      <c r="GUU26" s="2692"/>
      <c r="GUV26" s="2692"/>
      <c r="GUW26" s="2692"/>
      <c r="GUX26" s="2692"/>
      <c r="GUY26" s="2692"/>
      <c r="GUZ26" s="2692"/>
      <c r="GVA26" s="2692"/>
      <c r="GVB26" s="2692"/>
      <c r="GVC26" s="2692"/>
      <c r="GVD26" s="2692"/>
      <c r="GVE26" s="2692"/>
      <c r="GVF26" s="2692"/>
      <c r="GVG26" s="2692"/>
      <c r="GVH26" s="2692"/>
      <c r="GVI26" s="2692"/>
      <c r="GVJ26" s="2692"/>
      <c r="GVK26" s="2692"/>
      <c r="GVL26" s="2692"/>
      <c r="GVM26" s="2692"/>
      <c r="GVN26" s="2692"/>
      <c r="GVO26" s="2692"/>
      <c r="GVP26" s="2692"/>
      <c r="GVQ26" s="2692"/>
      <c r="GVR26" s="2692"/>
      <c r="GVS26" s="2692"/>
      <c r="GVT26" s="2692"/>
      <c r="GVU26" s="2692"/>
      <c r="GVV26" s="2692"/>
      <c r="GVW26" s="2692"/>
      <c r="GVX26" s="2692"/>
      <c r="GVY26" s="2692"/>
      <c r="GVZ26" s="2692"/>
      <c r="GWA26" s="2692"/>
      <c r="GWB26" s="2692"/>
      <c r="GWC26" s="2692"/>
      <c r="GWD26" s="2692"/>
      <c r="GWE26" s="2692"/>
      <c r="GWF26" s="2692"/>
      <c r="GWG26" s="2692"/>
      <c r="GWH26" s="2692"/>
      <c r="GWI26" s="2692"/>
      <c r="GWJ26" s="2692"/>
      <c r="GWK26" s="2692"/>
      <c r="GWL26" s="2692"/>
      <c r="GWM26" s="2692"/>
      <c r="GWN26" s="2692"/>
      <c r="GWO26" s="2692"/>
      <c r="GWP26" s="2692"/>
      <c r="GWQ26" s="2692"/>
      <c r="GWR26" s="2692"/>
      <c r="GWS26" s="2692"/>
      <c r="GWT26" s="2692"/>
      <c r="GWU26" s="2692"/>
      <c r="GWV26" s="2692"/>
      <c r="GWW26" s="2692"/>
      <c r="GWX26" s="2692"/>
      <c r="GWY26" s="2692"/>
      <c r="GWZ26" s="2692"/>
      <c r="GXA26" s="2692"/>
      <c r="GXB26" s="2692"/>
      <c r="GXC26" s="2692"/>
      <c r="GXD26" s="2692"/>
      <c r="GXE26" s="2692"/>
      <c r="GXF26" s="2692"/>
      <c r="GXG26" s="2692"/>
      <c r="GXH26" s="2692"/>
      <c r="GXI26" s="2692"/>
      <c r="GXJ26" s="2692"/>
      <c r="GXK26" s="2692"/>
      <c r="GXL26" s="2692"/>
      <c r="GXM26" s="2692"/>
      <c r="GXN26" s="2692"/>
      <c r="GXO26" s="2692"/>
      <c r="GXP26" s="2692"/>
      <c r="GXQ26" s="2692"/>
      <c r="GXR26" s="2692"/>
      <c r="GXS26" s="2692"/>
      <c r="GXT26" s="2692"/>
      <c r="GXU26" s="2692"/>
      <c r="GXV26" s="2692"/>
      <c r="GXW26" s="2692"/>
      <c r="GXX26" s="2692"/>
      <c r="GXY26" s="2692"/>
      <c r="GXZ26" s="2692"/>
      <c r="GYA26" s="2692"/>
      <c r="GYB26" s="2692"/>
      <c r="GYC26" s="2692"/>
      <c r="GYD26" s="2692"/>
      <c r="GYE26" s="2692"/>
      <c r="GYF26" s="2692"/>
      <c r="GYG26" s="2692"/>
      <c r="GYH26" s="2692"/>
      <c r="GYI26" s="2692"/>
      <c r="GYJ26" s="2692"/>
      <c r="GYK26" s="2692"/>
      <c r="GYL26" s="2692"/>
      <c r="GYM26" s="2692"/>
      <c r="GYN26" s="2692"/>
      <c r="GYO26" s="2692"/>
      <c r="GYP26" s="2692"/>
      <c r="GYQ26" s="2692"/>
      <c r="GYR26" s="2692"/>
      <c r="GYS26" s="2692"/>
      <c r="GYT26" s="2692"/>
      <c r="GYU26" s="2692"/>
      <c r="GYV26" s="2692"/>
      <c r="GYW26" s="2692"/>
      <c r="GYX26" s="2692"/>
      <c r="GYY26" s="2692"/>
      <c r="GYZ26" s="2692"/>
      <c r="GZA26" s="2692"/>
      <c r="GZB26" s="2692"/>
      <c r="GZC26" s="2692"/>
      <c r="GZD26" s="2692"/>
      <c r="GZE26" s="2692"/>
      <c r="GZF26" s="2692"/>
      <c r="GZG26" s="2692"/>
      <c r="GZH26" s="2692"/>
      <c r="GZI26" s="2692"/>
      <c r="GZJ26" s="2692"/>
      <c r="GZK26" s="2692"/>
      <c r="GZL26" s="2692"/>
      <c r="GZM26" s="2692"/>
      <c r="GZN26" s="2692"/>
      <c r="GZO26" s="2692"/>
      <c r="GZP26" s="2692"/>
      <c r="GZQ26" s="2692"/>
      <c r="GZR26" s="2692"/>
      <c r="GZS26" s="2692"/>
      <c r="GZT26" s="2692"/>
      <c r="GZU26" s="2692"/>
      <c r="GZV26" s="2692"/>
      <c r="GZW26" s="2692"/>
      <c r="GZX26" s="2692"/>
      <c r="GZY26" s="2692"/>
      <c r="GZZ26" s="2692"/>
      <c r="HAA26" s="2692"/>
      <c r="HAB26" s="2692"/>
      <c r="HAC26" s="2692"/>
      <c r="HAD26" s="2692"/>
      <c r="HAE26" s="2692"/>
      <c r="HAF26" s="2692"/>
      <c r="HAG26" s="2692"/>
      <c r="HAH26" s="2692"/>
      <c r="HAI26" s="2692"/>
      <c r="HAJ26" s="2692"/>
      <c r="HAK26" s="2692"/>
      <c r="HAL26" s="2692"/>
      <c r="HAM26" s="2692"/>
      <c r="HAN26" s="2692"/>
      <c r="HAO26" s="2692"/>
      <c r="HAP26" s="2692"/>
      <c r="HAQ26" s="2692"/>
      <c r="HAR26" s="2692"/>
      <c r="HAS26" s="2692"/>
      <c r="HAT26" s="2692"/>
      <c r="HAU26" s="2692"/>
      <c r="HAV26" s="2692"/>
      <c r="HAW26" s="2692"/>
      <c r="HAX26" s="2692"/>
      <c r="HAY26" s="2692"/>
      <c r="HAZ26" s="2692"/>
      <c r="HBA26" s="2692"/>
      <c r="HBB26" s="2692"/>
      <c r="HBC26" s="2692"/>
      <c r="HBD26" s="2692"/>
      <c r="HBE26" s="2692"/>
      <c r="HBF26" s="2692"/>
      <c r="HBG26" s="2692"/>
      <c r="HBH26" s="2692"/>
      <c r="HBI26" s="2692"/>
      <c r="HBJ26" s="2692"/>
      <c r="HBK26" s="2692"/>
      <c r="HBL26" s="2692"/>
      <c r="HBM26" s="2692"/>
      <c r="HBN26" s="2692"/>
      <c r="HBO26" s="2692"/>
      <c r="HBP26" s="2692"/>
      <c r="HBQ26" s="2692"/>
      <c r="HBR26" s="2692"/>
      <c r="HBS26" s="2692"/>
      <c r="HBT26" s="2692"/>
      <c r="HBU26" s="2692"/>
      <c r="HBV26" s="2692"/>
      <c r="HBW26" s="2692"/>
      <c r="HBX26" s="2692"/>
      <c r="HBY26" s="2692"/>
      <c r="HBZ26" s="2692"/>
      <c r="HCA26" s="2692"/>
      <c r="HCB26" s="2692"/>
      <c r="HCC26" s="2692"/>
      <c r="HCD26" s="2692"/>
      <c r="HCE26" s="2692"/>
      <c r="HCF26" s="2692"/>
      <c r="HCG26" s="2692"/>
      <c r="HCH26" s="2692"/>
      <c r="HCI26" s="2692"/>
      <c r="HCJ26" s="2692"/>
      <c r="HCK26" s="2692"/>
      <c r="HCL26" s="2692"/>
      <c r="HCM26" s="2692"/>
      <c r="HCN26" s="2692"/>
      <c r="HCO26" s="2692"/>
      <c r="HCP26" s="2692"/>
      <c r="HCQ26" s="2692"/>
      <c r="HCR26" s="2692"/>
      <c r="HCS26" s="2692"/>
      <c r="HCT26" s="2692"/>
      <c r="HCU26" s="2692"/>
      <c r="HCV26" s="2692"/>
      <c r="HCW26" s="2692"/>
      <c r="HCX26" s="2692"/>
      <c r="HCY26" s="2692"/>
      <c r="HCZ26" s="2692"/>
      <c r="HDA26" s="2692"/>
      <c r="HDB26" s="2692"/>
      <c r="HDC26" s="2692"/>
      <c r="HDD26" s="2692"/>
      <c r="HDE26" s="2692"/>
      <c r="HDF26" s="2692"/>
      <c r="HDG26" s="2692"/>
      <c r="HDH26" s="2692"/>
      <c r="HDI26" s="2692"/>
      <c r="HDJ26" s="2692"/>
      <c r="HDK26" s="2692"/>
      <c r="HDL26" s="2692"/>
      <c r="HDM26" s="2692"/>
      <c r="HDN26" s="2692"/>
      <c r="HDO26" s="2692"/>
      <c r="HDP26" s="2692"/>
      <c r="HDQ26" s="2692"/>
      <c r="HDR26" s="2692"/>
      <c r="HDS26" s="2692"/>
      <c r="HDT26" s="2692"/>
      <c r="HDU26" s="2692"/>
      <c r="HDV26" s="2692"/>
      <c r="HDW26" s="2692"/>
      <c r="HDX26" s="2692"/>
      <c r="HDY26" s="2692"/>
      <c r="HDZ26" s="2692"/>
      <c r="HEA26" s="2692"/>
      <c r="HEB26" s="2692"/>
      <c r="HEC26" s="2692"/>
      <c r="HED26" s="2692"/>
      <c r="HEE26" s="2692"/>
      <c r="HEF26" s="2692"/>
      <c r="HEG26" s="2692"/>
      <c r="HEH26" s="2692"/>
      <c r="HEI26" s="2692"/>
      <c r="HEJ26" s="2692"/>
      <c r="HEK26" s="2692"/>
      <c r="HEL26" s="2692"/>
      <c r="HEM26" s="2692"/>
      <c r="HEN26" s="2692"/>
      <c r="HEO26" s="2692"/>
      <c r="HEP26" s="2692"/>
      <c r="HEQ26" s="2692"/>
      <c r="HER26" s="2692"/>
      <c r="HES26" s="2692"/>
      <c r="HET26" s="2692"/>
      <c r="HEU26" s="2692"/>
      <c r="HEV26" s="2692"/>
      <c r="HEW26" s="2692"/>
      <c r="HEX26" s="2692"/>
      <c r="HEY26" s="2692"/>
      <c r="HEZ26" s="2692"/>
      <c r="HFA26" s="2692"/>
      <c r="HFB26" s="2692"/>
      <c r="HFC26" s="2692"/>
      <c r="HFD26" s="2692"/>
      <c r="HFE26" s="2692"/>
      <c r="HFF26" s="2692"/>
      <c r="HFG26" s="2692"/>
      <c r="HFH26" s="2692"/>
      <c r="HFI26" s="2692"/>
      <c r="HFJ26" s="2692"/>
      <c r="HFK26" s="2692"/>
      <c r="HFL26" s="2692"/>
      <c r="HFM26" s="2692"/>
      <c r="HFN26" s="2692"/>
      <c r="HFO26" s="2692"/>
      <c r="HFP26" s="2692"/>
      <c r="HFQ26" s="2692"/>
      <c r="HFR26" s="2692"/>
      <c r="HFS26" s="2692"/>
      <c r="HFT26" s="2692"/>
      <c r="HFU26" s="2692"/>
      <c r="HFV26" s="2692"/>
      <c r="HFW26" s="2692"/>
      <c r="HFX26" s="2692"/>
      <c r="HFY26" s="2692"/>
      <c r="HFZ26" s="2692"/>
      <c r="HGA26" s="2692"/>
      <c r="HGB26" s="2692"/>
      <c r="HGC26" s="2692"/>
      <c r="HGD26" s="2692"/>
      <c r="HGE26" s="2692"/>
      <c r="HGF26" s="2692"/>
      <c r="HGG26" s="2692"/>
      <c r="HGH26" s="2692"/>
      <c r="HGI26" s="2692"/>
      <c r="HGJ26" s="2692"/>
      <c r="HGK26" s="2692"/>
      <c r="HGL26" s="2692"/>
      <c r="HGM26" s="2692"/>
      <c r="HGN26" s="2692"/>
      <c r="HGO26" s="2692"/>
      <c r="HGP26" s="2692"/>
      <c r="HGQ26" s="2692"/>
      <c r="HGR26" s="2692"/>
      <c r="HGS26" s="2692"/>
      <c r="HGT26" s="2692"/>
      <c r="HGU26" s="2692"/>
      <c r="HGV26" s="2692"/>
      <c r="HGW26" s="2692"/>
      <c r="HGX26" s="2692"/>
      <c r="HGY26" s="2692"/>
      <c r="HGZ26" s="2692"/>
      <c r="HHA26" s="2692"/>
      <c r="HHB26" s="2692"/>
      <c r="HHC26" s="2692"/>
      <c r="HHD26" s="2692"/>
      <c r="HHE26" s="2692"/>
      <c r="HHF26" s="2692"/>
      <c r="HHG26" s="2692"/>
      <c r="HHH26" s="2692"/>
      <c r="HHI26" s="2692"/>
      <c r="HHJ26" s="2692"/>
      <c r="HHK26" s="2692"/>
      <c r="HHL26" s="2692"/>
      <c r="HHM26" s="2692"/>
      <c r="HHN26" s="2692"/>
      <c r="HHO26" s="2692"/>
      <c r="HHP26" s="2692"/>
      <c r="HHQ26" s="2692"/>
      <c r="HHR26" s="2692"/>
      <c r="HHS26" s="2692"/>
      <c r="HHT26" s="2692"/>
      <c r="HHU26" s="2692"/>
      <c r="HHV26" s="2692"/>
      <c r="HHW26" s="2692"/>
      <c r="HHX26" s="2692"/>
      <c r="HHY26" s="2692"/>
      <c r="HHZ26" s="2692"/>
      <c r="HIA26" s="2692"/>
      <c r="HIB26" s="2692"/>
      <c r="HIC26" s="2692"/>
      <c r="HID26" s="2692"/>
      <c r="HIE26" s="2692"/>
      <c r="HIF26" s="2692"/>
      <c r="HIG26" s="2692"/>
      <c r="HIH26" s="2692"/>
      <c r="HII26" s="2692"/>
      <c r="HIJ26" s="2692"/>
      <c r="HIK26" s="2692"/>
      <c r="HIL26" s="2692"/>
      <c r="HIM26" s="2692"/>
      <c r="HIN26" s="2692"/>
      <c r="HIO26" s="2692"/>
      <c r="HIP26" s="2692"/>
      <c r="HIQ26" s="2692"/>
      <c r="HIR26" s="2692"/>
      <c r="HIS26" s="2692"/>
      <c r="HIT26" s="2692"/>
      <c r="HIU26" s="2692"/>
      <c r="HIV26" s="2692"/>
      <c r="HIW26" s="2692"/>
      <c r="HIX26" s="2692"/>
      <c r="HIY26" s="2692"/>
      <c r="HIZ26" s="2692"/>
      <c r="HJA26" s="2692"/>
      <c r="HJB26" s="2692"/>
      <c r="HJC26" s="2692"/>
      <c r="HJD26" s="2692"/>
      <c r="HJE26" s="2692"/>
      <c r="HJF26" s="2692"/>
      <c r="HJG26" s="2692"/>
      <c r="HJH26" s="2692"/>
      <c r="HJI26" s="2692"/>
      <c r="HJJ26" s="2692"/>
      <c r="HJK26" s="2692"/>
      <c r="HJL26" s="2692"/>
      <c r="HJM26" s="2692"/>
      <c r="HJN26" s="2692"/>
      <c r="HJO26" s="2692"/>
      <c r="HJP26" s="2692"/>
      <c r="HJQ26" s="2692"/>
      <c r="HJR26" s="2692"/>
      <c r="HJS26" s="2692"/>
      <c r="HJT26" s="2692"/>
      <c r="HJU26" s="2692"/>
      <c r="HJV26" s="2692"/>
      <c r="HJW26" s="2692"/>
      <c r="HJX26" s="2692"/>
      <c r="HJY26" s="2692"/>
      <c r="HJZ26" s="2692"/>
      <c r="HKA26" s="2692"/>
      <c r="HKB26" s="2692"/>
      <c r="HKC26" s="2692"/>
      <c r="HKD26" s="2692"/>
      <c r="HKE26" s="2692"/>
      <c r="HKF26" s="2692"/>
      <c r="HKG26" s="2692"/>
      <c r="HKH26" s="2692"/>
      <c r="HKI26" s="2692"/>
      <c r="HKJ26" s="2692"/>
      <c r="HKK26" s="2692"/>
      <c r="HKL26" s="2692"/>
      <c r="HKM26" s="2692"/>
      <c r="HKN26" s="2692"/>
      <c r="HKO26" s="2692"/>
      <c r="HKP26" s="2692"/>
      <c r="HKQ26" s="2692"/>
      <c r="HKR26" s="2692"/>
      <c r="HKS26" s="2692"/>
      <c r="HKT26" s="2692"/>
      <c r="HKU26" s="2692"/>
      <c r="HKV26" s="2692"/>
      <c r="HKW26" s="2692"/>
      <c r="HKX26" s="2692"/>
      <c r="HKY26" s="2692"/>
      <c r="HKZ26" s="2692"/>
      <c r="HLA26" s="2692"/>
      <c r="HLB26" s="2692"/>
      <c r="HLC26" s="2692"/>
      <c r="HLD26" s="2692"/>
      <c r="HLE26" s="2692"/>
      <c r="HLF26" s="2692"/>
      <c r="HLG26" s="2692"/>
      <c r="HLH26" s="2692"/>
      <c r="HLI26" s="2692"/>
      <c r="HLJ26" s="2692"/>
      <c r="HLK26" s="2692"/>
      <c r="HLL26" s="2692"/>
      <c r="HLM26" s="2692"/>
      <c r="HLN26" s="2692"/>
      <c r="HLO26" s="2692"/>
      <c r="HLP26" s="2692"/>
      <c r="HLQ26" s="2692"/>
      <c r="HLR26" s="2692"/>
      <c r="HLS26" s="2692"/>
      <c r="HLT26" s="2692"/>
      <c r="HLU26" s="2692"/>
      <c r="HLV26" s="2692"/>
      <c r="HLW26" s="2692"/>
      <c r="HLX26" s="2692"/>
      <c r="HLY26" s="2692"/>
      <c r="HLZ26" s="2692"/>
      <c r="HMA26" s="2692"/>
      <c r="HMB26" s="2692"/>
      <c r="HMC26" s="2692"/>
      <c r="HMD26" s="2692"/>
      <c r="HME26" s="2692"/>
      <c r="HMF26" s="2692"/>
      <c r="HMG26" s="2692"/>
      <c r="HMH26" s="2692"/>
      <c r="HMI26" s="2692"/>
      <c r="HMJ26" s="2692"/>
      <c r="HMK26" s="2692"/>
      <c r="HML26" s="2692"/>
      <c r="HMM26" s="2692"/>
      <c r="HMN26" s="2692"/>
      <c r="HMO26" s="2692"/>
      <c r="HMP26" s="2692"/>
      <c r="HMQ26" s="2692"/>
      <c r="HMR26" s="2692"/>
      <c r="HMS26" s="2692"/>
      <c r="HMT26" s="2692"/>
      <c r="HMU26" s="2692"/>
      <c r="HMV26" s="2692"/>
      <c r="HMW26" s="2692"/>
      <c r="HMX26" s="2692"/>
      <c r="HMY26" s="2692"/>
      <c r="HMZ26" s="2692"/>
      <c r="HNA26" s="2692"/>
      <c r="HNB26" s="2692"/>
      <c r="HNC26" s="2692"/>
      <c r="HND26" s="2692"/>
      <c r="HNE26" s="2692"/>
      <c r="HNF26" s="2692"/>
      <c r="HNG26" s="2692"/>
      <c r="HNH26" s="2692"/>
      <c r="HNI26" s="2692"/>
      <c r="HNJ26" s="2692"/>
      <c r="HNK26" s="2692"/>
      <c r="HNL26" s="2692"/>
      <c r="HNM26" s="2692"/>
      <c r="HNN26" s="2692"/>
      <c r="HNO26" s="2692"/>
      <c r="HNP26" s="2692"/>
      <c r="HNQ26" s="2692"/>
      <c r="HNR26" s="2692"/>
      <c r="HNS26" s="2692"/>
      <c r="HNT26" s="2692"/>
      <c r="HNU26" s="2692"/>
      <c r="HNV26" s="2692"/>
      <c r="HNW26" s="2692"/>
      <c r="HNX26" s="2692"/>
      <c r="HNY26" s="2692"/>
      <c r="HNZ26" s="2692"/>
      <c r="HOA26" s="2692"/>
      <c r="HOB26" s="2692"/>
      <c r="HOC26" s="2692"/>
      <c r="HOD26" s="2692"/>
      <c r="HOE26" s="2692"/>
      <c r="HOF26" s="2692"/>
      <c r="HOG26" s="2692"/>
      <c r="HOH26" s="2692"/>
      <c r="HOI26" s="2692"/>
      <c r="HOJ26" s="2692"/>
      <c r="HOK26" s="2692"/>
      <c r="HOL26" s="2692"/>
      <c r="HOM26" s="2692"/>
      <c r="HON26" s="2692"/>
      <c r="HOO26" s="2692"/>
      <c r="HOP26" s="2692"/>
      <c r="HOQ26" s="2692"/>
      <c r="HOR26" s="2692"/>
      <c r="HOS26" s="2692"/>
      <c r="HOT26" s="2692"/>
      <c r="HOU26" s="2692"/>
      <c r="HOV26" s="2692"/>
      <c r="HOW26" s="2692"/>
      <c r="HOX26" s="2692"/>
      <c r="HOY26" s="2692"/>
      <c r="HOZ26" s="2692"/>
      <c r="HPA26" s="2692"/>
      <c r="HPB26" s="2692"/>
      <c r="HPC26" s="2692"/>
      <c r="HPD26" s="2692"/>
      <c r="HPE26" s="2692"/>
      <c r="HPF26" s="2692"/>
      <c r="HPG26" s="2692"/>
      <c r="HPH26" s="2692"/>
      <c r="HPI26" s="2692"/>
      <c r="HPJ26" s="2692"/>
      <c r="HPK26" s="2692"/>
      <c r="HPL26" s="2692"/>
      <c r="HPM26" s="2692"/>
      <c r="HPN26" s="2692"/>
      <c r="HPO26" s="2692"/>
      <c r="HPP26" s="2692"/>
      <c r="HPQ26" s="2692"/>
      <c r="HPR26" s="2692"/>
      <c r="HPS26" s="2692"/>
      <c r="HPT26" s="2692"/>
      <c r="HPU26" s="2692"/>
      <c r="HPV26" s="2692"/>
      <c r="HPW26" s="2692"/>
      <c r="HPX26" s="2692"/>
      <c r="HPY26" s="2692"/>
      <c r="HPZ26" s="2692"/>
      <c r="HQA26" s="2692"/>
      <c r="HQB26" s="2692"/>
      <c r="HQC26" s="2692"/>
      <c r="HQD26" s="2692"/>
      <c r="HQE26" s="2692"/>
      <c r="HQF26" s="2692"/>
      <c r="HQG26" s="2692"/>
      <c r="HQH26" s="2692"/>
      <c r="HQI26" s="2692"/>
      <c r="HQJ26" s="2692"/>
      <c r="HQK26" s="2692"/>
      <c r="HQL26" s="2692"/>
      <c r="HQM26" s="2692"/>
      <c r="HQN26" s="2692"/>
      <c r="HQO26" s="2692"/>
      <c r="HQP26" s="2692"/>
      <c r="HQQ26" s="2692"/>
      <c r="HQR26" s="2692"/>
      <c r="HQS26" s="2692"/>
      <c r="HQT26" s="2692"/>
      <c r="HQU26" s="2692"/>
      <c r="HQV26" s="2692"/>
      <c r="HQW26" s="2692"/>
      <c r="HQX26" s="2692"/>
      <c r="HQY26" s="2692"/>
      <c r="HQZ26" s="2692"/>
      <c r="HRA26" s="2692"/>
      <c r="HRB26" s="2692"/>
      <c r="HRC26" s="2692"/>
      <c r="HRD26" s="2692"/>
      <c r="HRE26" s="2692"/>
      <c r="HRF26" s="2692"/>
      <c r="HRG26" s="2692"/>
      <c r="HRH26" s="2692"/>
      <c r="HRI26" s="2692"/>
      <c r="HRJ26" s="2692"/>
      <c r="HRK26" s="2692"/>
      <c r="HRL26" s="2692"/>
      <c r="HRM26" s="2692"/>
      <c r="HRN26" s="2692"/>
      <c r="HRO26" s="2692"/>
      <c r="HRP26" s="2692"/>
      <c r="HRQ26" s="2692"/>
      <c r="HRR26" s="2692"/>
      <c r="HRS26" s="2692"/>
      <c r="HRT26" s="2692"/>
      <c r="HRU26" s="2692"/>
      <c r="HRV26" s="2692"/>
      <c r="HRW26" s="2692"/>
      <c r="HRX26" s="2692"/>
      <c r="HRY26" s="2692"/>
      <c r="HRZ26" s="2692"/>
      <c r="HSA26" s="2692"/>
      <c r="HSB26" s="2692"/>
      <c r="HSC26" s="2692"/>
      <c r="HSD26" s="2692"/>
      <c r="HSE26" s="2692"/>
      <c r="HSF26" s="2692"/>
      <c r="HSG26" s="2692"/>
      <c r="HSH26" s="2692"/>
      <c r="HSI26" s="2692"/>
      <c r="HSJ26" s="2692"/>
      <c r="HSK26" s="2692"/>
      <c r="HSL26" s="2692"/>
      <c r="HSM26" s="2692"/>
      <c r="HSN26" s="2692"/>
      <c r="HSO26" s="2692"/>
      <c r="HSP26" s="2692"/>
      <c r="HSQ26" s="2692"/>
      <c r="HSR26" s="2692"/>
      <c r="HSS26" s="2692"/>
      <c r="HST26" s="2692"/>
      <c r="HSU26" s="2692"/>
      <c r="HSV26" s="2692"/>
      <c r="HSW26" s="2692"/>
      <c r="HSX26" s="2692"/>
      <c r="HSY26" s="2692"/>
      <c r="HSZ26" s="2692"/>
      <c r="HTA26" s="2692"/>
      <c r="HTB26" s="2692"/>
      <c r="HTC26" s="2692"/>
      <c r="HTD26" s="2692"/>
      <c r="HTE26" s="2692"/>
      <c r="HTF26" s="2692"/>
      <c r="HTG26" s="2692"/>
      <c r="HTH26" s="2692"/>
      <c r="HTI26" s="2692"/>
      <c r="HTJ26" s="2692"/>
      <c r="HTK26" s="2692"/>
      <c r="HTL26" s="2692"/>
      <c r="HTM26" s="2692"/>
      <c r="HTN26" s="2692"/>
      <c r="HTO26" s="2692"/>
      <c r="HTP26" s="2692"/>
      <c r="HTQ26" s="2692"/>
      <c r="HTR26" s="2692"/>
      <c r="HTS26" s="2692"/>
      <c r="HTT26" s="2692"/>
      <c r="HTU26" s="2692"/>
      <c r="HTV26" s="2692"/>
      <c r="HTW26" s="2692"/>
      <c r="HTX26" s="2692"/>
      <c r="HTY26" s="2692"/>
      <c r="HTZ26" s="2692"/>
      <c r="HUA26" s="2692"/>
      <c r="HUB26" s="2692"/>
      <c r="HUC26" s="2692"/>
      <c r="HUD26" s="2692"/>
      <c r="HUE26" s="2692"/>
      <c r="HUF26" s="2692"/>
      <c r="HUG26" s="2692"/>
      <c r="HUH26" s="2692"/>
      <c r="HUI26" s="2692"/>
      <c r="HUJ26" s="2692"/>
      <c r="HUK26" s="2692"/>
      <c r="HUL26" s="2692"/>
      <c r="HUM26" s="2692"/>
      <c r="HUN26" s="2692"/>
      <c r="HUO26" s="2692"/>
      <c r="HUP26" s="2692"/>
      <c r="HUQ26" s="2692"/>
      <c r="HUR26" s="2692"/>
      <c r="HUS26" s="2692"/>
      <c r="HUT26" s="2692"/>
      <c r="HUU26" s="2692"/>
      <c r="HUV26" s="2692"/>
      <c r="HUW26" s="2692"/>
      <c r="HUX26" s="2692"/>
      <c r="HUY26" s="2692"/>
      <c r="HUZ26" s="2692"/>
      <c r="HVA26" s="2692"/>
      <c r="HVB26" s="2692"/>
      <c r="HVC26" s="2692"/>
      <c r="HVD26" s="2692"/>
      <c r="HVE26" s="2692"/>
      <c r="HVF26" s="2692"/>
      <c r="HVG26" s="2692"/>
      <c r="HVH26" s="2692"/>
      <c r="HVI26" s="2692"/>
      <c r="HVJ26" s="2692"/>
      <c r="HVK26" s="2692"/>
      <c r="HVL26" s="2692"/>
      <c r="HVM26" s="2692"/>
      <c r="HVN26" s="2692"/>
      <c r="HVO26" s="2692"/>
      <c r="HVP26" s="2692"/>
      <c r="HVQ26" s="2692"/>
      <c r="HVR26" s="2692"/>
      <c r="HVS26" s="2692"/>
      <c r="HVT26" s="2692"/>
      <c r="HVU26" s="2692"/>
      <c r="HVV26" s="2692"/>
      <c r="HVW26" s="2692"/>
      <c r="HVX26" s="2692"/>
      <c r="HVY26" s="2692"/>
      <c r="HVZ26" s="2692"/>
      <c r="HWA26" s="2692"/>
      <c r="HWB26" s="2692"/>
      <c r="HWC26" s="2692"/>
      <c r="HWD26" s="2692"/>
      <c r="HWE26" s="2692"/>
      <c r="HWF26" s="2692"/>
      <c r="HWG26" s="2692"/>
      <c r="HWH26" s="2692"/>
      <c r="HWI26" s="2692"/>
      <c r="HWJ26" s="2692"/>
      <c r="HWK26" s="2692"/>
      <c r="HWL26" s="2692"/>
      <c r="HWM26" s="2692"/>
      <c r="HWN26" s="2692"/>
      <c r="HWO26" s="2692"/>
      <c r="HWP26" s="2692"/>
      <c r="HWQ26" s="2692"/>
      <c r="HWR26" s="2692"/>
      <c r="HWS26" s="2692"/>
      <c r="HWT26" s="2692"/>
      <c r="HWU26" s="2692"/>
      <c r="HWV26" s="2692"/>
      <c r="HWW26" s="2692"/>
      <c r="HWX26" s="2692"/>
      <c r="HWY26" s="2692"/>
      <c r="HWZ26" s="2692"/>
      <c r="HXA26" s="2692"/>
      <c r="HXB26" s="2692"/>
      <c r="HXC26" s="2692"/>
      <c r="HXD26" s="2692"/>
      <c r="HXE26" s="2692"/>
      <c r="HXF26" s="2692"/>
      <c r="HXG26" s="2692"/>
      <c r="HXH26" s="2692"/>
      <c r="HXI26" s="2692"/>
      <c r="HXJ26" s="2692"/>
      <c r="HXK26" s="2692"/>
      <c r="HXL26" s="2692"/>
      <c r="HXM26" s="2692"/>
      <c r="HXN26" s="2692"/>
      <c r="HXO26" s="2692"/>
      <c r="HXP26" s="2692"/>
      <c r="HXQ26" s="2692"/>
      <c r="HXR26" s="2692"/>
      <c r="HXS26" s="2692"/>
      <c r="HXT26" s="2692"/>
      <c r="HXU26" s="2692"/>
      <c r="HXV26" s="2692"/>
      <c r="HXW26" s="2692"/>
      <c r="HXX26" s="2692"/>
      <c r="HXY26" s="2692"/>
      <c r="HXZ26" s="2692"/>
      <c r="HYA26" s="2692"/>
      <c r="HYB26" s="2692"/>
      <c r="HYC26" s="2692"/>
      <c r="HYD26" s="2692"/>
      <c r="HYE26" s="2692"/>
      <c r="HYF26" s="2692"/>
      <c r="HYG26" s="2692"/>
      <c r="HYH26" s="2692"/>
      <c r="HYI26" s="2692"/>
      <c r="HYJ26" s="2692"/>
      <c r="HYK26" s="2692"/>
      <c r="HYL26" s="2692"/>
      <c r="HYM26" s="2692"/>
      <c r="HYN26" s="2692"/>
      <c r="HYO26" s="2692"/>
      <c r="HYP26" s="2692"/>
      <c r="HYQ26" s="2692"/>
      <c r="HYR26" s="2692"/>
      <c r="HYS26" s="2692"/>
      <c r="HYT26" s="2692"/>
      <c r="HYU26" s="2692"/>
      <c r="HYV26" s="2692"/>
      <c r="HYW26" s="2692"/>
      <c r="HYX26" s="2692"/>
      <c r="HYY26" s="2692"/>
      <c r="HYZ26" s="2692"/>
      <c r="HZA26" s="2692"/>
      <c r="HZB26" s="2692"/>
      <c r="HZC26" s="2692"/>
      <c r="HZD26" s="2692"/>
      <c r="HZE26" s="2692"/>
      <c r="HZF26" s="2692"/>
      <c r="HZG26" s="2692"/>
      <c r="HZH26" s="2692"/>
      <c r="HZI26" s="2692"/>
      <c r="HZJ26" s="2692"/>
      <c r="HZK26" s="2692"/>
      <c r="HZL26" s="2692"/>
      <c r="HZM26" s="2692"/>
      <c r="HZN26" s="2692"/>
      <c r="HZO26" s="2692"/>
      <c r="HZP26" s="2692"/>
      <c r="HZQ26" s="2692"/>
      <c r="HZR26" s="2692"/>
      <c r="HZS26" s="2692"/>
      <c r="HZT26" s="2692"/>
      <c r="HZU26" s="2692"/>
      <c r="HZV26" s="2692"/>
      <c r="HZW26" s="2692"/>
      <c r="HZX26" s="2692"/>
      <c r="HZY26" s="2692"/>
      <c r="HZZ26" s="2692"/>
      <c r="IAA26" s="2692"/>
      <c r="IAB26" s="2692"/>
      <c r="IAC26" s="2692"/>
      <c r="IAD26" s="2692"/>
      <c r="IAE26" s="2692"/>
      <c r="IAF26" s="2692"/>
      <c r="IAG26" s="2692"/>
      <c r="IAH26" s="2692"/>
      <c r="IAI26" s="2692"/>
      <c r="IAJ26" s="2692"/>
      <c r="IAK26" s="2692"/>
      <c r="IAL26" s="2692"/>
      <c r="IAM26" s="2692"/>
      <c r="IAN26" s="2692"/>
      <c r="IAO26" s="2692"/>
      <c r="IAP26" s="2692"/>
      <c r="IAQ26" s="2692"/>
      <c r="IAR26" s="2692"/>
      <c r="IAS26" s="2692"/>
      <c r="IAT26" s="2692"/>
      <c r="IAU26" s="2692"/>
      <c r="IAV26" s="2692"/>
      <c r="IAW26" s="2692"/>
      <c r="IAX26" s="2692"/>
      <c r="IAY26" s="2692"/>
      <c r="IAZ26" s="2692"/>
      <c r="IBA26" s="2692"/>
      <c r="IBB26" s="2692"/>
      <c r="IBC26" s="2692"/>
      <c r="IBD26" s="2692"/>
      <c r="IBE26" s="2692"/>
      <c r="IBF26" s="2692"/>
      <c r="IBG26" s="2692"/>
      <c r="IBH26" s="2692"/>
      <c r="IBI26" s="2692"/>
      <c r="IBJ26" s="2692"/>
      <c r="IBK26" s="2692"/>
      <c r="IBL26" s="2692"/>
      <c r="IBM26" s="2692"/>
      <c r="IBN26" s="2692"/>
      <c r="IBO26" s="2692"/>
      <c r="IBP26" s="2692"/>
      <c r="IBQ26" s="2692"/>
      <c r="IBR26" s="2692"/>
      <c r="IBS26" s="2692"/>
      <c r="IBT26" s="2692"/>
      <c r="IBU26" s="2692"/>
      <c r="IBV26" s="2692"/>
      <c r="IBW26" s="2692"/>
      <c r="IBX26" s="2692"/>
      <c r="IBY26" s="2692"/>
      <c r="IBZ26" s="2692"/>
      <c r="ICA26" s="2692"/>
      <c r="ICB26" s="2692"/>
      <c r="ICC26" s="2692"/>
      <c r="ICD26" s="2692"/>
      <c r="ICE26" s="2692"/>
      <c r="ICF26" s="2692"/>
      <c r="ICG26" s="2692"/>
      <c r="ICH26" s="2692"/>
      <c r="ICI26" s="2692"/>
      <c r="ICJ26" s="2692"/>
      <c r="ICK26" s="2692"/>
      <c r="ICL26" s="2692"/>
      <c r="ICM26" s="2692"/>
      <c r="ICN26" s="2692"/>
      <c r="ICO26" s="2692"/>
      <c r="ICP26" s="2692"/>
      <c r="ICQ26" s="2692"/>
      <c r="ICR26" s="2692"/>
      <c r="ICS26" s="2692"/>
      <c r="ICT26" s="2692"/>
      <c r="ICU26" s="2692"/>
      <c r="ICV26" s="2692"/>
      <c r="ICW26" s="2692"/>
      <c r="ICX26" s="2692"/>
      <c r="ICY26" s="2692"/>
      <c r="ICZ26" s="2692"/>
      <c r="IDA26" s="2692"/>
      <c r="IDB26" s="2692"/>
      <c r="IDC26" s="2692"/>
      <c r="IDD26" s="2692"/>
      <c r="IDE26" s="2692"/>
      <c r="IDF26" s="2692"/>
      <c r="IDG26" s="2692"/>
      <c r="IDH26" s="2692"/>
      <c r="IDI26" s="2692"/>
      <c r="IDJ26" s="2692"/>
      <c r="IDK26" s="2692"/>
      <c r="IDL26" s="2692"/>
      <c r="IDM26" s="2692"/>
      <c r="IDN26" s="2692"/>
      <c r="IDO26" s="2692"/>
      <c r="IDP26" s="2692"/>
      <c r="IDQ26" s="2692"/>
      <c r="IDR26" s="2692"/>
      <c r="IDS26" s="2692"/>
      <c r="IDT26" s="2692"/>
      <c r="IDU26" s="2692"/>
      <c r="IDV26" s="2692"/>
      <c r="IDW26" s="2692"/>
      <c r="IDX26" s="2692"/>
      <c r="IDY26" s="2692"/>
      <c r="IDZ26" s="2692"/>
      <c r="IEA26" s="2692"/>
      <c r="IEB26" s="2692"/>
      <c r="IEC26" s="2692"/>
      <c r="IED26" s="2692"/>
      <c r="IEE26" s="2692"/>
      <c r="IEF26" s="2692"/>
      <c r="IEG26" s="2692"/>
      <c r="IEH26" s="2692"/>
      <c r="IEI26" s="2692"/>
      <c r="IEJ26" s="2692"/>
      <c r="IEK26" s="2692"/>
      <c r="IEL26" s="2692"/>
      <c r="IEM26" s="2692"/>
      <c r="IEN26" s="2692"/>
      <c r="IEO26" s="2692"/>
      <c r="IEP26" s="2692"/>
      <c r="IEQ26" s="2692"/>
      <c r="IER26" s="2692"/>
      <c r="IES26" s="2692"/>
      <c r="IET26" s="2692"/>
      <c r="IEU26" s="2692"/>
      <c r="IEV26" s="2692"/>
      <c r="IEW26" s="2692"/>
      <c r="IEX26" s="2692"/>
      <c r="IEY26" s="2692"/>
      <c r="IEZ26" s="2692"/>
      <c r="IFA26" s="2692"/>
      <c r="IFB26" s="2692"/>
      <c r="IFC26" s="2692"/>
      <c r="IFD26" s="2692"/>
      <c r="IFE26" s="2692"/>
      <c r="IFF26" s="2692"/>
      <c r="IFG26" s="2692"/>
      <c r="IFH26" s="2692"/>
      <c r="IFI26" s="2692"/>
      <c r="IFJ26" s="2692"/>
      <c r="IFK26" s="2692"/>
      <c r="IFL26" s="2692"/>
      <c r="IFM26" s="2692"/>
      <c r="IFN26" s="2692"/>
      <c r="IFO26" s="2692"/>
      <c r="IFP26" s="2692"/>
      <c r="IFQ26" s="2692"/>
      <c r="IFR26" s="2692"/>
      <c r="IFS26" s="2692"/>
      <c r="IFT26" s="2692"/>
      <c r="IFU26" s="2692"/>
      <c r="IFV26" s="2692"/>
      <c r="IFW26" s="2692"/>
      <c r="IFX26" s="2692"/>
      <c r="IFY26" s="2692"/>
      <c r="IFZ26" s="2692"/>
      <c r="IGA26" s="2692"/>
      <c r="IGB26" s="2692"/>
      <c r="IGC26" s="2692"/>
      <c r="IGD26" s="2692"/>
      <c r="IGE26" s="2692"/>
      <c r="IGF26" s="2692"/>
      <c r="IGG26" s="2692"/>
      <c r="IGH26" s="2692"/>
      <c r="IGI26" s="2692"/>
      <c r="IGJ26" s="2692"/>
      <c r="IGK26" s="2692"/>
      <c r="IGL26" s="2692"/>
      <c r="IGM26" s="2692"/>
      <c r="IGN26" s="2692"/>
      <c r="IGO26" s="2692"/>
      <c r="IGP26" s="2692"/>
      <c r="IGQ26" s="2692"/>
      <c r="IGR26" s="2692"/>
      <c r="IGS26" s="2692"/>
      <c r="IGT26" s="2692"/>
      <c r="IGU26" s="2692"/>
      <c r="IGV26" s="2692"/>
      <c r="IGW26" s="2692"/>
      <c r="IGX26" s="2692"/>
      <c r="IGY26" s="2692"/>
      <c r="IGZ26" s="2692"/>
      <c r="IHA26" s="2692"/>
      <c r="IHB26" s="2692"/>
      <c r="IHC26" s="2692"/>
      <c r="IHD26" s="2692"/>
      <c r="IHE26" s="2692"/>
      <c r="IHF26" s="2692"/>
      <c r="IHG26" s="2692"/>
      <c r="IHH26" s="2692"/>
      <c r="IHI26" s="2692"/>
      <c r="IHJ26" s="2692"/>
      <c r="IHK26" s="2692"/>
      <c r="IHL26" s="2692"/>
      <c r="IHM26" s="2692"/>
      <c r="IHN26" s="2692"/>
      <c r="IHO26" s="2692"/>
      <c r="IHP26" s="2692"/>
      <c r="IHQ26" s="2692"/>
      <c r="IHR26" s="2692"/>
      <c r="IHS26" s="2692"/>
      <c r="IHT26" s="2692"/>
      <c r="IHU26" s="2692"/>
      <c r="IHV26" s="2692"/>
      <c r="IHW26" s="2692"/>
      <c r="IHX26" s="2692"/>
      <c r="IHY26" s="2692"/>
      <c r="IHZ26" s="2692"/>
      <c r="IIA26" s="2692"/>
      <c r="IIB26" s="2692"/>
      <c r="IIC26" s="2692"/>
      <c r="IID26" s="2692"/>
      <c r="IIE26" s="2692"/>
      <c r="IIF26" s="2692"/>
      <c r="IIG26" s="2692"/>
      <c r="IIH26" s="2692"/>
      <c r="III26" s="2692"/>
      <c r="IIJ26" s="2692"/>
      <c r="IIK26" s="2692"/>
      <c r="IIL26" s="2692"/>
      <c r="IIM26" s="2692"/>
      <c r="IIN26" s="2692"/>
      <c r="IIO26" s="2692"/>
      <c r="IIP26" s="2692"/>
      <c r="IIQ26" s="2692"/>
      <c r="IIR26" s="2692"/>
      <c r="IIS26" s="2692"/>
      <c r="IIT26" s="2692"/>
      <c r="IIU26" s="2692"/>
      <c r="IIV26" s="2692"/>
      <c r="IIW26" s="2692"/>
      <c r="IIX26" s="2692"/>
      <c r="IIY26" s="2692"/>
      <c r="IIZ26" s="2692"/>
      <c r="IJA26" s="2692"/>
      <c r="IJB26" s="2692"/>
      <c r="IJC26" s="2692"/>
      <c r="IJD26" s="2692"/>
      <c r="IJE26" s="2692"/>
      <c r="IJF26" s="2692"/>
      <c r="IJG26" s="2692"/>
      <c r="IJH26" s="2692"/>
      <c r="IJI26" s="2692"/>
      <c r="IJJ26" s="2692"/>
      <c r="IJK26" s="2692"/>
      <c r="IJL26" s="2692"/>
      <c r="IJM26" s="2692"/>
      <c r="IJN26" s="2692"/>
      <c r="IJO26" s="2692"/>
      <c r="IJP26" s="2692"/>
      <c r="IJQ26" s="2692"/>
      <c r="IJR26" s="2692"/>
      <c r="IJS26" s="2692"/>
      <c r="IJT26" s="2692"/>
      <c r="IJU26" s="2692"/>
      <c r="IJV26" s="2692"/>
      <c r="IJW26" s="2692"/>
      <c r="IJX26" s="2692"/>
      <c r="IJY26" s="2692"/>
      <c r="IJZ26" s="2692"/>
      <c r="IKA26" s="2692"/>
      <c r="IKB26" s="2692"/>
      <c r="IKC26" s="2692"/>
      <c r="IKD26" s="2692"/>
      <c r="IKE26" s="2692"/>
      <c r="IKF26" s="2692"/>
      <c r="IKG26" s="2692"/>
      <c r="IKH26" s="2692"/>
      <c r="IKI26" s="2692"/>
      <c r="IKJ26" s="2692"/>
      <c r="IKK26" s="2692"/>
      <c r="IKL26" s="2692"/>
      <c r="IKM26" s="2692"/>
      <c r="IKN26" s="2692"/>
      <c r="IKO26" s="2692"/>
      <c r="IKP26" s="2692"/>
      <c r="IKQ26" s="2692"/>
      <c r="IKR26" s="2692"/>
      <c r="IKS26" s="2692"/>
      <c r="IKT26" s="2692"/>
      <c r="IKU26" s="2692"/>
      <c r="IKV26" s="2692"/>
      <c r="IKW26" s="2692"/>
      <c r="IKX26" s="2692"/>
      <c r="IKY26" s="2692"/>
      <c r="IKZ26" s="2692"/>
      <c r="ILA26" s="2692"/>
      <c r="ILB26" s="2692"/>
      <c r="ILC26" s="2692"/>
      <c r="ILD26" s="2692"/>
      <c r="ILE26" s="2692"/>
      <c r="ILF26" s="2692"/>
      <c r="ILG26" s="2692"/>
      <c r="ILH26" s="2692"/>
      <c r="ILI26" s="2692"/>
      <c r="ILJ26" s="2692"/>
      <c r="ILK26" s="2692"/>
      <c r="ILL26" s="2692"/>
      <c r="ILM26" s="2692"/>
      <c r="ILN26" s="2692"/>
      <c r="ILO26" s="2692"/>
      <c r="ILP26" s="2692"/>
      <c r="ILQ26" s="2692"/>
      <c r="ILR26" s="2692"/>
      <c r="ILS26" s="2692"/>
      <c r="ILT26" s="2692"/>
      <c r="ILU26" s="2692"/>
      <c r="ILV26" s="2692"/>
      <c r="ILW26" s="2692"/>
      <c r="ILX26" s="2692"/>
      <c r="ILY26" s="2692"/>
      <c r="ILZ26" s="2692"/>
      <c r="IMA26" s="2692"/>
      <c r="IMB26" s="2692"/>
      <c r="IMC26" s="2692"/>
      <c r="IMD26" s="2692"/>
      <c r="IME26" s="2692"/>
      <c r="IMF26" s="2692"/>
      <c r="IMG26" s="2692"/>
      <c r="IMH26" s="2692"/>
      <c r="IMI26" s="2692"/>
      <c r="IMJ26" s="2692"/>
      <c r="IMK26" s="2692"/>
      <c r="IML26" s="2692"/>
      <c r="IMM26" s="2692"/>
      <c r="IMN26" s="2692"/>
      <c r="IMO26" s="2692"/>
      <c r="IMP26" s="2692"/>
      <c r="IMQ26" s="2692"/>
      <c r="IMR26" s="2692"/>
      <c r="IMS26" s="2692"/>
      <c r="IMT26" s="2692"/>
      <c r="IMU26" s="2692"/>
      <c r="IMV26" s="2692"/>
      <c r="IMW26" s="2692"/>
      <c r="IMX26" s="2692"/>
      <c r="IMY26" s="2692"/>
      <c r="IMZ26" s="2692"/>
      <c r="INA26" s="2692"/>
      <c r="INB26" s="2692"/>
      <c r="INC26" s="2692"/>
      <c r="IND26" s="2692"/>
      <c r="INE26" s="2692"/>
      <c r="INF26" s="2692"/>
      <c r="ING26" s="2692"/>
      <c r="INH26" s="2692"/>
      <c r="INI26" s="2692"/>
      <c r="INJ26" s="2692"/>
      <c r="INK26" s="2692"/>
      <c r="INL26" s="2692"/>
      <c r="INM26" s="2692"/>
      <c r="INN26" s="2692"/>
      <c r="INO26" s="2692"/>
      <c r="INP26" s="2692"/>
      <c r="INQ26" s="2692"/>
      <c r="INR26" s="2692"/>
      <c r="INS26" s="2692"/>
      <c r="INT26" s="2692"/>
      <c r="INU26" s="2692"/>
      <c r="INV26" s="2692"/>
      <c r="INW26" s="2692"/>
      <c r="INX26" s="2692"/>
      <c r="INY26" s="2692"/>
      <c r="INZ26" s="2692"/>
      <c r="IOA26" s="2692"/>
      <c r="IOB26" s="2692"/>
      <c r="IOC26" s="2692"/>
      <c r="IOD26" s="2692"/>
      <c r="IOE26" s="2692"/>
      <c r="IOF26" s="2692"/>
      <c r="IOG26" s="2692"/>
      <c r="IOH26" s="2692"/>
      <c r="IOI26" s="2692"/>
      <c r="IOJ26" s="2692"/>
      <c r="IOK26" s="2692"/>
      <c r="IOL26" s="2692"/>
      <c r="IOM26" s="2692"/>
      <c r="ION26" s="2692"/>
      <c r="IOO26" s="2692"/>
      <c r="IOP26" s="2692"/>
      <c r="IOQ26" s="2692"/>
      <c r="IOR26" s="2692"/>
      <c r="IOS26" s="2692"/>
      <c r="IOT26" s="2692"/>
      <c r="IOU26" s="2692"/>
      <c r="IOV26" s="2692"/>
      <c r="IOW26" s="2692"/>
      <c r="IOX26" s="2692"/>
      <c r="IOY26" s="2692"/>
      <c r="IOZ26" s="2692"/>
      <c r="IPA26" s="2692"/>
      <c r="IPB26" s="2692"/>
      <c r="IPC26" s="2692"/>
      <c r="IPD26" s="2692"/>
      <c r="IPE26" s="2692"/>
      <c r="IPF26" s="2692"/>
      <c r="IPG26" s="2692"/>
      <c r="IPH26" s="2692"/>
      <c r="IPI26" s="2692"/>
      <c r="IPJ26" s="2692"/>
      <c r="IPK26" s="2692"/>
      <c r="IPL26" s="2692"/>
      <c r="IPM26" s="2692"/>
      <c r="IPN26" s="2692"/>
      <c r="IPO26" s="2692"/>
      <c r="IPP26" s="2692"/>
      <c r="IPQ26" s="2692"/>
      <c r="IPR26" s="2692"/>
      <c r="IPS26" s="2692"/>
      <c r="IPT26" s="2692"/>
      <c r="IPU26" s="2692"/>
      <c r="IPV26" s="2692"/>
      <c r="IPW26" s="2692"/>
      <c r="IPX26" s="2692"/>
      <c r="IPY26" s="2692"/>
      <c r="IPZ26" s="2692"/>
      <c r="IQA26" s="2692"/>
      <c r="IQB26" s="2692"/>
      <c r="IQC26" s="2692"/>
      <c r="IQD26" s="2692"/>
      <c r="IQE26" s="2692"/>
      <c r="IQF26" s="2692"/>
      <c r="IQG26" s="2692"/>
      <c r="IQH26" s="2692"/>
      <c r="IQI26" s="2692"/>
      <c r="IQJ26" s="2692"/>
      <c r="IQK26" s="2692"/>
      <c r="IQL26" s="2692"/>
      <c r="IQM26" s="2692"/>
      <c r="IQN26" s="2692"/>
      <c r="IQO26" s="2692"/>
      <c r="IQP26" s="2692"/>
      <c r="IQQ26" s="2692"/>
      <c r="IQR26" s="2692"/>
      <c r="IQS26" s="2692"/>
      <c r="IQT26" s="2692"/>
      <c r="IQU26" s="2692"/>
      <c r="IQV26" s="2692"/>
      <c r="IQW26" s="2692"/>
      <c r="IQX26" s="2692"/>
      <c r="IQY26" s="2692"/>
      <c r="IQZ26" s="2692"/>
      <c r="IRA26" s="2692"/>
      <c r="IRB26" s="2692"/>
      <c r="IRC26" s="2692"/>
      <c r="IRD26" s="2692"/>
      <c r="IRE26" s="2692"/>
      <c r="IRF26" s="2692"/>
      <c r="IRG26" s="2692"/>
      <c r="IRH26" s="2692"/>
      <c r="IRI26" s="2692"/>
      <c r="IRJ26" s="2692"/>
      <c r="IRK26" s="2692"/>
      <c r="IRL26" s="2692"/>
      <c r="IRM26" s="2692"/>
      <c r="IRN26" s="2692"/>
      <c r="IRO26" s="2692"/>
      <c r="IRP26" s="2692"/>
      <c r="IRQ26" s="2692"/>
      <c r="IRR26" s="2692"/>
      <c r="IRS26" s="2692"/>
      <c r="IRT26" s="2692"/>
      <c r="IRU26" s="2692"/>
      <c r="IRV26" s="2692"/>
      <c r="IRW26" s="2692"/>
      <c r="IRX26" s="2692"/>
      <c r="IRY26" s="2692"/>
      <c r="IRZ26" s="2692"/>
      <c r="ISA26" s="2692"/>
      <c r="ISB26" s="2692"/>
      <c r="ISC26" s="2692"/>
      <c r="ISD26" s="2692"/>
      <c r="ISE26" s="2692"/>
      <c r="ISF26" s="2692"/>
      <c r="ISG26" s="2692"/>
      <c r="ISH26" s="2692"/>
      <c r="ISI26" s="2692"/>
      <c r="ISJ26" s="2692"/>
      <c r="ISK26" s="2692"/>
      <c r="ISL26" s="2692"/>
      <c r="ISM26" s="2692"/>
      <c r="ISN26" s="2692"/>
      <c r="ISO26" s="2692"/>
      <c r="ISP26" s="2692"/>
      <c r="ISQ26" s="2692"/>
      <c r="ISR26" s="2692"/>
      <c r="ISS26" s="2692"/>
      <c r="IST26" s="2692"/>
      <c r="ISU26" s="2692"/>
      <c r="ISV26" s="2692"/>
      <c r="ISW26" s="2692"/>
      <c r="ISX26" s="2692"/>
      <c r="ISY26" s="2692"/>
      <c r="ISZ26" s="2692"/>
      <c r="ITA26" s="2692"/>
      <c r="ITB26" s="2692"/>
      <c r="ITC26" s="2692"/>
      <c r="ITD26" s="2692"/>
      <c r="ITE26" s="2692"/>
      <c r="ITF26" s="2692"/>
      <c r="ITG26" s="2692"/>
      <c r="ITH26" s="2692"/>
      <c r="ITI26" s="2692"/>
      <c r="ITJ26" s="2692"/>
      <c r="ITK26" s="2692"/>
      <c r="ITL26" s="2692"/>
      <c r="ITM26" s="2692"/>
      <c r="ITN26" s="2692"/>
      <c r="ITO26" s="2692"/>
      <c r="ITP26" s="2692"/>
      <c r="ITQ26" s="2692"/>
      <c r="ITR26" s="2692"/>
      <c r="ITS26" s="2692"/>
      <c r="ITT26" s="2692"/>
      <c r="ITU26" s="2692"/>
      <c r="ITV26" s="2692"/>
      <c r="ITW26" s="2692"/>
      <c r="ITX26" s="2692"/>
      <c r="ITY26" s="2692"/>
      <c r="ITZ26" s="2692"/>
      <c r="IUA26" s="2692"/>
      <c r="IUB26" s="2692"/>
      <c r="IUC26" s="2692"/>
      <c r="IUD26" s="2692"/>
      <c r="IUE26" s="2692"/>
      <c r="IUF26" s="2692"/>
      <c r="IUG26" s="2692"/>
      <c r="IUH26" s="2692"/>
      <c r="IUI26" s="2692"/>
      <c r="IUJ26" s="2692"/>
      <c r="IUK26" s="2692"/>
      <c r="IUL26" s="2692"/>
      <c r="IUM26" s="2692"/>
      <c r="IUN26" s="2692"/>
      <c r="IUO26" s="2692"/>
      <c r="IUP26" s="2692"/>
      <c r="IUQ26" s="2692"/>
      <c r="IUR26" s="2692"/>
      <c r="IUS26" s="2692"/>
      <c r="IUT26" s="2692"/>
      <c r="IUU26" s="2692"/>
      <c r="IUV26" s="2692"/>
      <c r="IUW26" s="2692"/>
      <c r="IUX26" s="2692"/>
      <c r="IUY26" s="2692"/>
      <c r="IUZ26" s="2692"/>
      <c r="IVA26" s="2692"/>
      <c r="IVB26" s="2692"/>
      <c r="IVC26" s="2692"/>
      <c r="IVD26" s="2692"/>
      <c r="IVE26" s="2692"/>
      <c r="IVF26" s="2692"/>
      <c r="IVG26" s="2692"/>
      <c r="IVH26" s="2692"/>
      <c r="IVI26" s="2692"/>
      <c r="IVJ26" s="2692"/>
      <c r="IVK26" s="2692"/>
      <c r="IVL26" s="2692"/>
      <c r="IVM26" s="2692"/>
      <c r="IVN26" s="2692"/>
      <c r="IVO26" s="2692"/>
      <c r="IVP26" s="2692"/>
      <c r="IVQ26" s="2692"/>
      <c r="IVR26" s="2692"/>
      <c r="IVS26" s="2692"/>
      <c r="IVT26" s="2692"/>
      <c r="IVU26" s="2692"/>
      <c r="IVV26" s="2692"/>
      <c r="IVW26" s="2692"/>
      <c r="IVX26" s="2692"/>
      <c r="IVY26" s="2692"/>
      <c r="IVZ26" s="2692"/>
      <c r="IWA26" s="2692"/>
      <c r="IWB26" s="2692"/>
      <c r="IWC26" s="2692"/>
      <c r="IWD26" s="2692"/>
      <c r="IWE26" s="2692"/>
      <c r="IWF26" s="2692"/>
      <c r="IWG26" s="2692"/>
      <c r="IWH26" s="2692"/>
      <c r="IWI26" s="2692"/>
      <c r="IWJ26" s="2692"/>
      <c r="IWK26" s="2692"/>
      <c r="IWL26" s="2692"/>
      <c r="IWM26" s="2692"/>
      <c r="IWN26" s="2692"/>
      <c r="IWO26" s="2692"/>
      <c r="IWP26" s="2692"/>
      <c r="IWQ26" s="2692"/>
      <c r="IWR26" s="2692"/>
      <c r="IWS26" s="2692"/>
      <c r="IWT26" s="2692"/>
      <c r="IWU26" s="2692"/>
      <c r="IWV26" s="2692"/>
      <c r="IWW26" s="2692"/>
      <c r="IWX26" s="2692"/>
      <c r="IWY26" s="2692"/>
      <c r="IWZ26" s="2692"/>
      <c r="IXA26" s="2692"/>
      <c r="IXB26" s="2692"/>
      <c r="IXC26" s="2692"/>
      <c r="IXD26" s="2692"/>
      <c r="IXE26" s="2692"/>
      <c r="IXF26" s="2692"/>
      <c r="IXG26" s="2692"/>
      <c r="IXH26" s="2692"/>
      <c r="IXI26" s="2692"/>
      <c r="IXJ26" s="2692"/>
      <c r="IXK26" s="2692"/>
      <c r="IXL26" s="2692"/>
      <c r="IXM26" s="2692"/>
      <c r="IXN26" s="2692"/>
      <c r="IXO26" s="2692"/>
      <c r="IXP26" s="2692"/>
      <c r="IXQ26" s="2692"/>
      <c r="IXR26" s="2692"/>
      <c r="IXS26" s="2692"/>
      <c r="IXT26" s="2692"/>
      <c r="IXU26" s="2692"/>
      <c r="IXV26" s="2692"/>
      <c r="IXW26" s="2692"/>
      <c r="IXX26" s="2692"/>
      <c r="IXY26" s="2692"/>
      <c r="IXZ26" s="2692"/>
      <c r="IYA26" s="2692"/>
      <c r="IYB26" s="2692"/>
      <c r="IYC26" s="2692"/>
      <c r="IYD26" s="2692"/>
      <c r="IYE26" s="2692"/>
      <c r="IYF26" s="2692"/>
      <c r="IYG26" s="2692"/>
      <c r="IYH26" s="2692"/>
      <c r="IYI26" s="2692"/>
      <c r="IYJ26" s="2692"/>
      <c r="IYK26" s="2692"/>
      <c r="IYL26" s="2692"/>
      <c r="IYM26" s="2692"/>
      <c r="IYN26" s="2692"/>
      <c r="IYO26" s="2692"/>
      <c r="IYP26" s="2692"/>
      <c r="IYQ26" s="2692"/>
      <c r="IYR26" s="2692"/>
      <c r="IYS26" s="2692"/>
      <c r="IYT26" s="2692"/>
      <c r="IYU26" s="2692"/>
      <c r="IYV26" s="2692"/>
      <c r="IYW26" s="2692"/>
      <c r="IYX26" s="2692"/>
      <c r="IYY26" s="2692"/>
      <c r="IYZ26" s="2692"/>
      <c r="IZA26" s="2692"/>
      <c r="IZB26" s="2692"/>
      <c r="IZC26" s="2692"/>
      <c r="IZD26" s="2692"/>
      <c r="IZE26" s="2692"/>
      <c r="IZF26" s="2692"/>
      <c r="IZG26" s="2692"/>
      <c r="IZH26" s="2692"/>
      <c r="IZI26" s="2692"/>
      <c r="IZJ26" s="2692"/>
      <c r="IZK26" s="2692"/>
      <c r="IZL26" s="2692"/>
      <c r="IZM26" s="2692"/>
      <c r="IZN26" s="2692"/>
      <c r="IZO26" s="2692"/>
      <c r="IZP26" s="2692"/>
      <c r="IZQ26" s="2692"/>
      <c r="IZR26" s="2692"/>
      <c r="IZS26" s="2692"/>
      <c r="IZT26" s="2692"/>
      <c r="IZU26" s="2692"/>
      <c r="IZV26" s="2692"/>
      <c r="IZW26" s="2692"/>
      <c r="IZX26" s="2692"/>
      <c r="IZY26" s="2692"/>
      <c r="IZZ26" s="2692"/>
      <c r="JAA26" s="2692"/>
      <c r="JAB26" s="2692"/>
      <c r="JAC26" s="2692"/>
      <c r="JAD26" s="2692"/>
      <c r="JAE26" s="2692"/>
      <c r="JAF26" s="2692"/>
      <c r="JAG26" s="2692"/>
      <c r="JAH26" s="2692"/>
      <c r="JAI26" s="2692"/>
      <c r="JAJ26" s="2692"/>
      <c r="JAK26" s="2692"/>
      <c r="JAL26" s="2692"/>
      <c r="JAM26" s="2692"/>
      <c r="JAN26" s="2692"/>
      <c r="JAO26" s="2692"/>
      <c r="JAP26" s="2692"/>
      <c r="JAQ26" s="2692"/>
      <c r="JAR26" s="2692"/>
      <c r="JAS26" s="2692"/>
      <c r="JAT26" s="2692"/>
      <c r="JAU26" s="2692"/>
      <c r="JAV26" s="2692"/>
      <c r="JAW26" s="2692"/>
      <c r="JAX26" s="2692"/>
      <c r="JAY26" s="2692"/>
      <c r="JAZ26" s="2692"/>
      <c r="JBA26" s="2692"/>
      <c r="JBB26" s="2692"/>
      <c r="JBC26" s="2692"/>
      <c r="JBD26" s="2692"/>
      <c r="JBE26" s="2692"/>
      <c r="JBF26" s="2692"/>
      <c r="JBG26" s="2692"/>
      <c r="JBH26" s="2692"/>
      <c r="JBI26" s="2692"/>
      <c r="JBJ26" s="2692"/>
      <c r="JBK26" s="2692"/>
      <c r="JBL26" s="2692"/>
      <c r="JBM26" s="2692"/>
      <c r="JBN26" s="2692"/>
      <c r="JBO26" s="2692"/>
      <c r="JBP26" s="2692"/>
      <c r="JBQ26" s="2692"/>
      <c r="JBR26" s="2692"/>
      <c r="JBS26" s="2692"/>
      <c r="JBT26" s="2692"/>
      <c r="JBU26" s="2692"/>
      <c r="JBV26" s="2692"/>
      <c r="JBW26" s="2692"/>
      <c r="JBX26" s="2692"/>
      <c r="JBY26" s="2692"/>
      <c r="JBZ26" s="2692"/>
      <c r="JCA26" s="2692"/>
      <c r="JCB26" s="2692"/>
      <c r="JCC26" s="2692"/>
      <c r="JCD26" s="2692"/>
      <c r="JCE26" s="2692"/>
      <c r="JCF26" s="2692"/>
      <c r="JCG26" s="2692"/>
      <c r="JCH26" s="2692"/>
      <c r="JCI26" s="2692"/>
      <c r="JCJ26" s="2692"/>
      <c r="JCK26" s="2692"/>
      <c r="JCL26" s="2692"/>
      <c r="JCM26" s="2692"/>
      <c r="JCN26" s="2692"/>
      <c r="JCO26" s="2692"/>
      <c r="JCP26" s="2692"/>
      <c r="JCQ26" s="2692"/>
      <c r="JCR26" s="2692"/>
      <c r="JCS26" s="2692"/>
      <c r="JCT26" s="2692"/>
      <c r="JCU26" s="2692"/>
      <c r="JCV26" s="2692"/>
      <c r="JCW26" s="2692"/>
      <c r="JCX26" s="2692"/>
      <c r="JCY26" s="2692"/>
      <c r="JCZ26" s="2692"/>
      <c r="JDA26" s="2692"/>
      <c r="JDB26" s="2692"/>
      <c r="JDC26" s="2692"/>
      <c r="JDD26" s="2692"/>
      <c r="JDE26" s="2692"/>
      <c r="JDF26" s="2692"/>
      <c r="JDG26" s="2692"/>
      <c r="JDH26" s="2692"/>
      <c r="JDI26" s="2692"/>
      <c r="JDJ26" s="2692"/>
      <c r="JDK26" s="2692"/>
      <c r="JDL26" s="2692"/>
      <c r="JDM26" s="2692"/>
      <c r="JDN26" s="2692"/>
      <c r="JDO26" s="2692"/>
      <c r="JDP26" s="2692"/>
      <c r="JDQ26" s="2692"/>
      <c r="JDR26" s="2692"/>
      <c r="JDS26" s="2692"/>
      <c r="JDT26" s="2692"/>
      <c r="JDU26" s="2692"/>
      <c r="JDV26" s="2692"/>
      <c r="JDW26" s="2692"/>
      <c r="JDX26" s="2692"/>
      <c r="JDY26" s="2692"/>
      <c r="JDZ26" s="2692"/>
      <c r="JEA26" s="2692"/>
      <c r="JEB26" s="2692"/>
      <c r="JEC26" s="2692"/>
      <c r="JED26" s="2692"/>
      <c r="JEE26" s="2692"/>
      <c r="JEF26" s="2692"/>
      <c r="JEG26" s="2692"/>
      <c r="JEH26" s="2692"/>
      <c r="JEI26" s="2692"/>
      <c r="JEJ26" s="2692"/>
      <c r="JEK26" s="2692"/>
      <c r="JEL26" s="2692"/>
      <c r="JEM26" s="2692"/>
      <c r="JEN26" s="2692"/>
      <c r="JEO26" s="2692"/>
      <c r="JEP26" s="2692"/>
      <c r="JEQ26" s="2692"/>
      <c r="JER26" s="2692"/>
      <c r="JES26" s="2692"/>
      <c r="JET26" s="2692"/>
      <c r="JEU26" s="2692"/>
      <c r="JEV26" s="2692"/>
      <c r="JEW26" s="2692"/>
      <c r="JEX26" s="2692"/>
      <c r="JEY26" s="2692"/>
      <c r="JEZ26" s="2692"/>
      <c r="JFA26" s="2692"/>
      <c r="JFB26" s="2692"/>
      <c r="JFC26" s="2692"/>
      <c r="JFD26" s="2692"/>
      <c r="JFE26" s="2692"/>
      <c r="JFF26" s="2692"/>
      <c r="JFG26" s="2692"/>
      <c r="JFH26" s="2692"/>
      <c r="JFI26" s="2692"/>
      <c r="JFJ26" s="2692"/>
      <c r="JFK26" s="2692"/>
      <c r="JFL26" s="2692"/>
      <c r="JFM26" s="2692"/>
      <c r="JFN26" s="2692"/>
      <c r="JFO26" s="2692"/>
      <c r="JFP26" s="2692"/>
      <c r="JFQ26" s="2692"/>
      <c r="JFR26" s="2692"/>
      <c r="JFS26" s="2692"/>
      <c r="JFT26" s="2692"/>
      <c r="JFU26" s="2692"/>
      <c r="JFV26" s="2692"/>
      <c r="JFW26" s="2692"/>
      <c r="JFX26" s="2692"/>
      <c r="JFY26" s="2692"/>
      <c r="JFZ26" s="2692"/>
      <c r="JGA26" s="2692"/>
      <c r="JGB26" s="2692"/>
      <c r="JGC26" s="2692"/>
      <c r="JGD26" s="2692"/>
      <c r="JGE26" s="2692"/>
      <c r="JGF26" s="2692"/>
      <c r="JGG26" s="2692"/>
      <c r="JGH26" s="2692"/>
      <c r="JGI26" s="2692"/>
      <c r="JGJ26" s="2692"/>
      <c r="JGK26" s="2692"/>
      <c r="JGL26" s="2692"/>
      <c r="JGM26" s="2692"/>
      <c r="JGN26" s="2692"/>
      <c r="JGO26" s="2692"/>
      <c r="JGP26" s="2692"/>
      <c r="JGQ26" s="2692"/>
      <c r="JGR26" s="2692"/>
      <c r="JGS26" s="2692"/>
      <c r="JGT26" s="2692"/>
      <c r="JGU26" s="2692"/>
      <c r="JGV26" s="2692"/>
      <c r="JGW26" s="2692"/>
      <c r="JGX26" s="2692"/>
      <c r="JGY26" s="2692"/>
      <c r="JGZ26" s="2692"/>
      <c r="JHA26" s="2692"/>
      <c r="JHB26" s="2692"/>
      <c r="JHC26" s="2692"/>
      <c r="JHD26" s="2692"/>
      <c r="JHE26" s="2692"/>
      <c r="JHF26" s="2692"/>
      <c r="JHG26" s="2692"/>
      <c r="JHH26" s="2692"/>
      <c r="JHI26" s="2692"/>
      <c r="JHJ26" s="2692"/>
      <c r="JHK26" s="2692"/>
      <c r="JHL26" s="2692"/>
      <c r="JHM26" s="2692"/>
      <c r="JHN26" s="2692"/>
      <c r="JHO26" s="2692"/>
      <c r="JHP26" s="2692"/>
      <c r="JHQ26" s="2692"/>
      <c r="JHR26" s="2692"/>
      <c r="JHS26" s="2692"/>
      <c r="JHT26" s="2692"/>
      <c r="JHU26" s="2692"/>
      <c r="JHV26" s="2692"/>
      <c r="JHW26" s="2692"/>
      <c r="JHX26" s="2692"/>
      <c r="JHY26" s="2692"/>
      <c r="JHZ26" s="2692"/>
      <c r="JIA26" s="2692"/>
      <c r="JIB26" s="2692"/>
      <c r="JIC26" s="2692"/>
      <c r="JID26" s="2692"/>
      <c r="JIE26" s="2692"/>
      <c r="JIF26" s="2692"/>
      <c r="JIG26" s="2692"/>
      <c r="JIH26" s="2692"/>
      <c r="JII26" s="2692"/>
      <c r="JIJ26" s="2692"/>
      <c r="JIK26" s="2692"/>
      <c r="JIL26" s="2692"/>
      <c r="JIM26" s="2692"/>
      <c r="JIN26" s="2692"/>
      <c r="JIO26" s="2692"/>
      <c r="JIP26" s="2692"/>
      <c r="JIQ26" s="2692"/>
      <c r="JIR26" s="2692"/>
      <c r="JIS26" s="2692"/>
      <c r="JIT26" s="2692"/>
      <c r="JIU26" s="2692"/>
      <c r="JIV26" s="2692"/>
      <c r="JIW26" s="2692"/>
      <c r="JIX26" s="2692"/>
      <c r="JIY26" s="2692"/>
      <c r="JIZ26" s="2692"/>
      <c r="JJA26" s="2692"/>
      <c r="JJB26" s="2692"/>
      <c r="JJC26" s="2692"/>
      <c r="JJD26" s="2692"/>
      <c r="JJE26" s="2692"/>
      <c r="JJF26" s="2692"/>
      <c r="JJG26" s="2692"/>
      <c r="JJH26" s="2692"/>
      <c r="JJI26" s="2692"/>
      <c r="JJJ26" s="2692"/>
      <c r="JJK26" s="2692"/>
      <c r="JJL26" s="2692"/>
      <c r="JJM26" s="2692"/>
      <c r="JJN26" s="2692"/>
      <c r="JJO26" s="2692"/>
      <c r="JJP26" s="2692"/>
      <c r="JJQ26" s="2692"/>
      <c r="JJR26" s="2692"/>
      <c r="JJS26" s="2692"/>
      <c r="JJT26" s="2692"/>
      <c r="JJU26" s="2692"/>
      <c r="JJV26" s="2692"/>
      <c r="JJW26" s="2692"/>
      <c r="JJX26" s="2692"/>
      <c r="JJY26" s="2692"/>
      <c r="JJZ26" s="2692"/>
      <c r="JKA26" s="2692"/>
      <c r="JKB26" s="2692"/>
      <c r="JKC26" s="2692"/>
      <c r="JKD26" s="2692"/>
      <c r="JKE26" s="2692"/>
      <c r="JKF26" s="2692"/>
      <c r="JKG26" s="2692"/>
      <c r="JKH26" s="2692"/>
      <c r="JKI26" s="2692"/>
      <c r="JKJ26" s="2692"/>
      <c r="JKK26" s="2692"/>
      <c r="JKL26" s="2692"/>
      <c r="JKM26" s="2692"/>
      <c r="JKN26" s="2692"/>
      <c r="JKO26" s="2692"/>
      <c r="JKP26" s="2692"/>
      <c r="JKQ26" s="2692"/>
      <c r="JKR26" s="2692"/>
      <c r="JKS26" s="2692"/>
      <c r="JKT26" s="2692"/>
      <c r="JKU26" s="2692"/>
      <c r="JKV26" s="2692"/>
      <c r="JKW26" s="2692"/>
      <c r="JKX26" s="2692"/>
      <c r="JKY26" s="2692"/>
      <c r="JKZ26" s="2692"/>
      <c r="JLA26" s="2692"/>
      <c r="JLB26" s="2692"/>
      <c r="JLC26" s="2692"/>
      <c r="JLD26" s="2692"/>
      <c r="JLE26" s="2692"/>
      <c r="JLF26" s="2692"/>
      <c r="JLG26" s="2692"/>
      <c r="JLH26" s="2692"/>
      <c r="JLI26" s="2692"/>
      <c r="JLJ26" s="2692"/>
      <c r="JLK26" s="2692"/>
      <c r="JLL26" s="2692"/>
      <c r="JLM26" s="2692"/>
      <c r="JLN26" s="2692"/>
      <c r="JLO26" s="2692"/>
      <c r="JLP26" s="2692"/>
      <c r="JLQ26" s="2692"/>
      <c r="JLR26" s="2692"/>
      <c r="JLS26" s="2692"/>
      <c r="JLT26" s="2692"/>
      <c r="JLU26" s="2692"/>
      <c r="JLV26" s="2692"/>
      <c r="JLW26" s="2692"/>
      <c r="JLX26" s="2692"/>
      <c r="JLY26" s="2692"/>
      <c r="JLZ26" s="2692"/>
      <c r="JMA26" s="2692"/>
      <c r="JMB26" s="2692"/>
      <c r="JMC26" s="2692"/>
      <c r="JMD26" s="2692"/>
      <c r="JME26" s="2692"/>
      <c r="JMF26" s="2692"/>
      <c r="JMG26" s="2692"/>
      <c r="JMH26" s="2692"/>
      <c r="JMI26" s="2692"/>
      <c r="JMJ26" s="2692"/>
      <c r="JMK26" s="2692"/>
      <c r="JML26" s="2692"/>
      <c r="JMM26" s="2692"/>
      <c r="JMN26" s="2692"/>
      <c r="JMO26" s="2692"/>
      <c r="JMP26" s="2692"/>
      <c r="JMQ26" s="2692"/>
      <c r="JMR26" s="2692"/>
      <c r="JMS26" s="2692"/>
      <c r="JMT26" s="2692"/>
      <c r="JMU26" s="2692"/>
      <c r="JMV26" s="2692"/>
      <c r="JMW26" s="2692"/>
      <c r="JMX26" s="2692"/>
      <c r="JMY26" s="2692"/>
      <c r="JMZ26" s="2692"/>
      <c r="JNA26" s="2692"/>
      <c r="JNB26" s="2692"/>
      <c r="JNC26" s="2692"/>
      <c r="JND26" s="2692"/>
      <c r="JNE26" s="2692"/>
      <c r="JNF26" s="2692"/>
      <c r="JNG26" s="2692"/>
      <c r="JNH26" s="2692"/>
      <c r="JNI26" s="2692"/>
      <c r="JNJ26" s="2692"/>
      <c r="JNK26" s="2692"/>
      <c r="JNL26" s="2692"/>
      <c r="JNM26" s="2692"/>
      <c r="JNN26" s="2692"/>
      <c r="JNO26" s="2692"/>
      <c r="JNP26" s="2692"/>
      <c r="JNQ26" s="2692"/>
      <c r="JNR26" s="2692"/>
      <c r="JNS26" s="2692"/>
      <c r="JNT26" s="2692"/>
      <c r="JNU26" s="2692"/>
      <c r="JNV26" s="2692"/>
      <c r="JNW26" s="2692"/>
      <c r="JNX26" s="2692"/>
      <c r="JNY26" s="2692"/>
      <c r="JNZ26" s="2692"/>
      <c r="JOA26" s="2692"/>
      <c r="JOB26" s="2692"/>
      <c r="JOC26" s="2692"/>
      <c r="JOD26" s="2692"/>
      <c r="JOE26" s="2692"/>
      <c r="JOF26" s="2692"/>
      <c r="JOG26" s="2692"/>
      <c r="JOH26" s="2692"/>
      <c r="JOI26" s="2692"/>
      <c r="JOJ26" s="2692"/>
      <c r="JOK26" s="2692"/>
      <c r="JOL26" s="2692"/>
      <c r="JOM26" s="2692"/>
      <c r="JON26" s="2692"/>
      <c r="JOO26" s="2692"/>
      <c r="JOP26" s="2692"/>
      <c r="JOQ26" s="2692"/>
      <c r="JOR26" s="2692"/>
      <c r="JOS26" s="2692"/>
      <c r="JOT26" s="2692"/>
      <c r="JOU26" s="2692"/>
      <c r="JOV26" s="2692"/>
      <c r="JOW26" s="2692"/>
      <c r="JOX26" s="2692"/>
      <c r="JOY26" s="2692"/>
      <c r="JOZ26" s="2692"/>
      <c r="JPA26" s="2692"/>
      <c r="JPB26" s="2692"/>
      <c r="JPC26" s="2692"/>
      <c r="JPD26" s="2692"/>
      <c r="JPE26" s="2692"/>
      <c r="JPF26" s="2692"/>
      <c r="JPG26" s="2692"/>
      <c r="JPH26" s="2692"/>
      <c r="JPI26" s="2692"/>
      <c r="JPJ26" s="2692"/>
      <c r="JPK26" s="2692"/>
      <c r="JPL26" s="2692"/>
      <c r="JPM26" s="2692"/>
      <c r="JPN26" s="2692"/>
      <c r="JPO26" s="2692"/>
      <c r="JPP26" s="2692"/>
      <c r="JPQ26" s="2692"/>
      <c r="JPR26" s="2692"/>
      <c r="JPS26" s="2692"/>
      <c r="JPT26" s="2692"/>
      <c r="JPU26" s="2692"/>
      <c r="JPV26" s="2692"/>
      <c r="JPW26" s="2692"/>
      <c r="JPX26" s="2692"/>
      <c r="JPY26" s="2692"/>
      <c r="JPZ26" s="2692"/>
      <c r="JQA26" s="2692"/>
      <c r="JQB26" s="2692"/>
      <c r="JQC26" s="2692"/>
      <c r="JQD26" s="2692"/>
      <c r="JQE26" s="2692"/>
      <c r="JQF26" s="2692"/>
      <c r="JQG26" s="2692"/>
      <c r="JQH26" s="2692"/>
      <c r="JQI26" s="2692"/>
      <c r="JQJ26" s="2692"/>
      <c r="JQK26" s="2692"/>
      <c r="JQL26" s="2692"/>
      <c r="JQM26" s="2692"/>
      <c r="JQN26" s="2692"/>
      <c r="JQO26" s="2692"/>
      <c r="JQP26" s="2692"/>
      <c r="JQQ26" s="2692"/>
      <c r="JQR26" s="2692"/>
      <c r="JQS26" s="2692"/>
      <c r="JQT26" s="2692"/>
      <c r="JQU26" s="2692"/>
      <c r="JQV26" s="2692"/>
      <c r="JQW26" s="2692"/>
      <c r="JQX26" s="2692"/>
      <c r="JQY26" s="2692"/>
      <c r="JQZ26" s="2692"/>
      <c r="JRA26" s="2692"/>
      <c r="JRB26" s="2692"/>
      <c r="JRC26" s="2692"/>
      <c r="JRD26" s="2692"/>
      <c r="JRE26" s="2692"/>
      <c r="JRF26" s="2692"/>
      <c r="JRG26" s="2692"/>
      <c r="JRH26" s="2692"/>
      <c r="JRI26" s="2692"/>
      <c r="JRJ26" s="2692"/>
      <c r="JRK26" s="2692"/>
      <c r="JRL26" s="2692"/>
      <c r="JRM26" s="2692"/>
      <c r="JRN26" s="2692"/>
      <c r="JRO26" s="2692"/>
      <c r="JRP26" s="2692"/>
      <c r="JRQ26" s="2692"/>
      <c r="JRR26" s="2692"/>
      <c r="JRS26" s="2692"/>
      <c r="JRT26" s="2692"/>
      <c r="JRU26" s="2692"/>
      <c r="JRV26" s="2692"/>
      <c r="JRW26" s="2692"/>
      <c r="JRX26" s="2692"/>
      <c r="JRY26" s="2692"/>
      <c r="JRZ26" s="2692"/>
      <c r="JSA26" s="2692"/>
      <c r="JSB26" s="2692"/>
      <c r="JSC26" s="2692"/>
      <c r="JSD26" s="2692"/>
      <c r="JSE26" s="2692"/>
      <c r="JSF26" s="2692"/>
      <c r="JSG26" s="2692"/>
      <c r="JSH26" s="2692"/>
      <c r="JSI26" s="2692"/>
      <c r="JSJ26" s="2692"/>
      <c r="JSK26" s="2692"/>
      <c r="JSL26" s="2692"/>
      <c r="JSM26" s="2692"/>
      <c r="JSN26" s="2692"/>
      <c r="JSO26" s="2692"/>
      <c r="JSP26" s="2692"/>
      <c r="JSQ26" s="2692"/>
      <c r="JSR26" s="2692"/>
      <c r="JSS26" s="2692"/>
      <c r="JST26" s="2692"/>
      <c r="JSU26" s="2692"/>
      <c r="JSV26" s="2692"/>
      <c r="JSW26" s="2692"/>
      <c r="JSX26" s="2692"/>
      <c r="JSY26" s="2692"/>
      <c r="JSZ26" s="2692"/>
      <c r="JTA26" s="2692"/>
      <c r="JTB26" s="2692"/>
      <c r="JTC26" s="2692"/>
      <c r="JTD26" s="2692"/>
      <c r="JTE26" s="2692"/>
      <c r="JTF26" s="2692"/>
      <c r="JTG26" s="2692"/>
      <c r="JTH26" s="2692"/>
      <c r="JTI26" s="2692"/>
      <c r="JTJ26" s="2692"/>
      <c r="JTK26" s="2692"/>
      <c r="JTL26" s="2692"/>
      <c r="JTM26" s="2692"/>
      <c r="JTN26" s="2692"/>
      <c r="JTO26" s="2692"/>
      <c r="JTP26" s="2692"/>
      <c r="JTQ26" s="2692"/>
      <c r="JTR26" s="2692"/>
      <c r="JTS26" s="2692"/>
      <c r="JTT26" s="2692"/>
      <c r="JTU26" s="2692"/>
      <c r="JTV26" s="2692"/>
      <c r="JTW26" s="2692"/>
      <c r="JTX26" s="2692"/>
      <c r="JTY26" s="2692"/>
      <c r="JTZ26" s="2692"/>
      <c r="JUA26" s="2692"/>
      <c r="JUB26" s="2692"/>
      <c r="JUC26" s="2692"/>
      <c r="JUD26" s="2692"/>
      <c r="JUE26" s="2692"/>
      <c r="JUF26" s="2692"/>
      <c r="JUG26" s="2692"/>
      <c r="JUH26" s="2692"/>
      <c r="JUI26" s="2692"/>
      <c r="JUJ26" s="2692"/>
      <c r="JUK26" s="2692"/>
      <c r="JUL26" s="2692"/>
      <c r="JUM26" s="2692"/>
      <c r="JUN26" s="2692"/>
      <c r="JUO26" s="2692"/>
      <c r="JUP26" s="2692"/>
      <c r="JUQ26" s="2692"/>
      <c r="JUR26" s="2692"/>
      <c r="JUS26" s="2692"/>
      <c r="JUT26" s="2692"/>
      <c r="JUU26" s="2692"/>
      <c r="JUV26" s="2692"/>
      <c r="JUW26" s="2692"/>
      <c r="JUX26" s="2692"/>
      <c r="JUY26" s="2692"/>
      <c r="JUZ26" s="2692"/>
      <c r="JVA26" s="2692"/>
      <c r="JVB26" s="2692"/>
      <c r="JVC26" s="2692"/>
      <c r="JVD26" s="2692"/>
      <c r="JVE26" s="2692"/>
      <c r="JVF26" s="2692"/>
      <c r="JVG26" s="2692"/>
      <c r="JVH26" s="2692"/>
      <c r="JVI26" s="2692"/>
      <c r="JVJ26" s="2692"/>
      <c r="JVK26" s="2692"/>
      <c r="JVL26" s="2692"/>
      <c r="JVM26" s="2692"/>
      <c r="JVN26" s="2692"/>
      <c r="JVO26" s="2692"/>
      <c r="JVP26" s="2692"/>
      <c r="JVQ26" s="2692"/>
      <c r="JVR26" s="2692"/>
      <c r="JVS26" s="2692"/>
      <c r="JVT26" s="2692"/>
      <c r="JVU26" s="2692"/>
      <c r="JVV26" s="2692"/>
      <c r="JVW26" s="2692"/>
      <c r="JVX26" s="2692"/>
      <c r="JVY26" s="2692"/>
      <c r="JVZ26" s="2692"/>
      <c r="JWA26" s="2692"/>
      <c r="JWB26" s="2692"/>
      <c r="JWC26" s="2692"/>
      <c r="JWD26" s="2692"/>
      <c r="JWE26" s="2692"/>
      <c r="JWF26" s="2692"/>
      <c r="JWG26" s="2692"/>
      <c r="JWH26" s="2692"/>
      <c r="JWI26" s="2692"/>
      <c r="JWJ26" s="2692"/>
      <c r="JWK26" s="2692"/>
      <c r="JWL26" s="2692"/>
      <c r="JWM26" s="2692"/>
      <c r="JWN26" s="2692"/>
      <c r="JWO26" s="2692"/>
      <c r="JWP26" s="2692"/>
      <c r="JWQ26" s="2692"/>
      <c r="JWR26" s="2692"/>
      <c r="JWS26" s="2692"/>
      <c r="JWT26" s="2692"/>
      <c r="JWU26" s="2692"/>
      <c r="JWV26" s="2692"/>
      <c r="JWW26" s="2692"/>
      <c r="JWX26" s="2692"/>
      <c r="JWY26" s="2692"/>
      <c r="JWZ26" s="2692"/>
      <c r="JXA26" s="2692"/>
      <c r="JXB26" s="2692"/>
      <c r="JXC26" s="2692"/>
      <c r="JXD26" s="2692"/>
      <c r="JXE26" s="2692"/>
      <c r="JXF26" s="2692"/>
      <c r="JXG26" s="2692"/>
      <c r="JXH26" s="2692"/>
      <c r="JXI26" s="2692"/>
      <c r="JXJ26" s="2692"/>
      <c r="JXK26" s="2692"/>
      <c r="JXL26" s="2692"/>
      <c r="JXM26" s="2692"/>
      <c r="JXN26" s="2692"/>
      <c r="JXO26" s="2692"/>
      <c r="JXP26" s="2692"/>
      <c r="JXQ26" s="2692"/>
      <c r="JXR26" s="2692"/>
      <c r="JXS26" s="2692"/>
      <c r="JXT26" s="2692"/>
      <c r="JXU26" s="2692"/>
      <c r="JXV26" s="2692"/>
      <c r="JXW26" s="2692"/>
      <c r="JXX26" s="2692"/>
      <c r="JXY26" s="2692"/>
      <c r="JXZ26" s="2692"/>
      <c r="JYA26" s="2692"/>
      <c r="JYB26" s="2692"/>
      <c r="JYC26" s="2692"/>
      <c r="JYD26" s="2692"/>
      <c r="JYE26" s="2692"/>
      <c r="JYF26" s="2692"/>
      <c r="JYG26" s="2692"/>
      <c r="JYH26" s="2692"/>
      <c r="JYI26" s="2692"/>
      <c r="JYJ26" s="2692"/>
      <c r="JYK26" s="2692"/>
      <c r="JYL26" s="2692"/>
      <c r="JYM26" s="2692"/>
      <c r="JYN26" s="2692"/>
      <c r="JYO26" s="2692"/>
      <c r="JYP26" s="2692"/>
      <c r="JYQ26" s="2692"/>
      <c r="JYR26" s="2692"/>
      <c r="JYS26" s="2692"/>
      <c r="JYT26" s="2692"/>
      <c r="JYU26" s="2692"/>
      <c r="JYV26" s="2692"/>
      <c r="JYW26" s="2692"/>
      <c r="JYX26" s="2692"/>
      <c r="JYY26" s="2692"/>
      <c r="JYZ26" s="2692"/>
      <c r="JZA26" s="2692"/>
      <c r="JZB26" s="2692"/>
      <c r="JZC26" s="2692"/>
      <c r="JZD26" s="2692"/>
      <c r="JZE26" s="2692"/>
      <c r="JZF26" s="2692"/>
      <c r="JZG26" s="2692"/>
      <c r="JZH26" s="2692"/>
      <c r="JZI26" s="2692"/>
      <c r="JZJ26" s="2692"/>
      <c r="JZK26" s="2692"/>
      <c r="JZL26" s="2692"/>
      <c r="JZM26" s="2692"/>
      <c r="JZN26" s="2692"/>
      <c r="JZO26" s="2692"/>
      <c r="JZP26" s="2692"/>
      <c r="JZQ26" s="2692"/>
      <c r="JZR26" s="2692"/>
      <c r="JZS26" s="2692"/>
      <c r="JZT26" s="2692"/>
      <c r="JZU26" s="2692"/>
      <c r="JZV26" s="2692"/>
      <c r="JZW26" s="2692"/>
      <c r="JZX26" s="2692"/>
      <c r="JZY26" s="2692"/>
      <c r="JZZ26" s="2692"/>
      <c r="KAA26" s="2692"/>
      <c r="KAB26" s="2692"/>
      <c r="KAC26" s="2692"/>
      <c r="KAD26" s="2692"/>
      <c r="KAE26" s="2692"/>
      <c r="KAF26" s="2692"/>
      <c r="KAG26" s="2692"/>
      <c r="KAH26" s="2692"/>
      <c r="KAI26" s="2692"/>
      <c r="KAJ26" s="2692"/>
      <c r="KAK26" s="2692"/>
      <c r="KAL26" s="2692"/>
      <c r="KAM26" s="2692"/>
      <c r="KAN26" s="2692"/>
      <c r="KAO26" s="2692"/>
      <c r="KAP26" s="2692"/>
      <c r="KAQ26" s="2692"/>
      <c r="KAR26" s="2692"/>
      <c r="KAS26" s="2692"/>
      <c r="KAT26" s="2692"/>
      <c r="KAU26" s="2692"/>
      <c r="KAV26" s="2692"/>
      <c r="KAW26" s="2692"/>
      <c r="KAX26" s="2692"/>
      <c r="KAY26" s="2692"/>
      <c r="KAZ26" s="2692"/>
      <c r="KBA26" s="2692"/>
      <c r="KBB26" s="2692"/>
      <c r="KBC26" s="2692"/>
      <c r="KBD26" s="2692"/>
      <c r="KBE26" s="2692"/>
      <c r="KBF26" s="2692"/>
      <c r="KBG26" s="2692"/>
      <c r="KBH26" s="2692"/>
      <c r="KBI26" s="2692"/>
      <c r="KBJ26" s="2692"/>
      <c r="KBK26" s="2692"/>
      <c r="KBL26" s="2692"/>
      <c r="KBM26" s="2692"/>
      <c r="KBN26" s="2692"/>
      <c r="KBO26" s="2692"/>
      <c r="KBP26" s="2692"/>
      <c r="KBQ26" s="2692"/>
      <c r="KBR26" s="2692"/>
      <c r="KBS26" s="2692"/>
      <c r="KBT26" s="2692"/>
      <c r="KBU26" s="2692"/>
      <c r="KBV26" s="2692"/>
      <c r="KBW26" s="2692"/>
      <c r="KBX26" s="2692"/>
      <c r="KBY26" s="2692"/>
      <c r="KBZ26" s="2692"/>
      <c r="KCA26" s="2692"/>
      <c r="KCB26" s="2692"/>
      <c r="KCC26" s="2692"/>
      <c r="KCD26" s="2692"/>
      <c r="KCE26" s="2692"/>
      <c r="KCF26" s="2692"/>
      <c r="KCG26" s="2692"/>
      <c r="KCH26" s="2692"/>
      <c r="KCI26" s="2692"/>
      <c r="KCJ26" s="2692"/>
      <c r="KCK26" s="2692"/>
      <c r="KCL26" s="2692"/>
      <c r="KCM26" s="2692"/>
      <c r="KCN26" s="2692"/>
      <c r="KCO26" s="2692"/>
      <c r="KCP26" s="2692"/>
      <c r="KCQ26" s="2692"/>
      <c r="KCR26" s="2692"/>
      <c r="KCS26" s="2692"/>
      <c r="KCT26" s="2692"/>
      <c r="KCU26" s="2692"/>
      <c r="KCV26" s="2692"/>
      <c r="KCW26" s="2692"/>
      <c r="KCX26" s="2692"/>
      <c r="KCY26" s="2692"/>
      <c r="KCZ26" s="2692"/>
      <c r="KDA26" s="2692"/>
      <c r="KDB26" s="2692"/>
      <c r="KDC26" s="2692"/>
      <c r="KDD26" s="2692"/>
      <c r="KDE26" s="2692"/>
      <c r="KDF26" s="2692"/>
      <c r="KDG26" s="2692"/>
      <c r="KDH26" s="2692"/>
      <c r="KDI26" s="2692"/>
      <c r="KDJ26" s="2692"/>
      <c r="KDK26" s="2692"/>
      <c r="KDL26" s="2692"/>
      <c r="KDM26" s="2692"/>
      <c r="KDN26" s="2692"/>
      <c r="KDO26" s="2692"/>
      <c r="KDP26" s="2692"/>
      <c r="KDQ26" s="2692"/>
      <c r="KDR26" s="2692"/>
      <c r="KDS26" s="2692"/>
      <c r="KDT26" s="2692"/>
      <c r="KDU26" s="2692"/>
      <c r="KDV26" s="2692"/>
      <c r="KDW26" s="2692"/>
      <c r="KDX26" s="2692"/>
      <c r="KDY26" s="2692"/>
      <c r="KDZ26" s="2692"/>
      <c r="KEA26" s="2692"/>
      <c r="KEB26" s="2692"/>
      <c r="KEC26" s="2692"/>
      <c r="KED26" s="2692"/>
      <c r="KEE26" s="2692"/>
      <c r="KEF26" s="2692"/>
      <c r="KEG26" s="2692"/>
      <c r="KEH26" s="2692"/>
      <c r="KEI26" s="2692"/>
      <c r="KEJ26" s="2692"/>
      <c r="KEK26" s="2692"/>
      <c r="KEL26" s="2692"/>
      <c r="KEM26" s="2692"/>
      <c r="KEN26" s="2692"/>
      <c r="KEO26" s="2692"/>
      <c r="KEP26" s="2692"/>
      <c r="KEQ26" s="2692"/>
      <c r="KER26" s="2692"/>
      <c r="KES26" s="2692"/>
      <c r="KET26" s="2692"/>
      <c r="KEU26" s="2692"/>
      <c r="KEV26" s="2692"/>
      <c r="KEW26" s="2692"/>
      <c r="KEX26" s="2692"/>
      <c r="KEY26" s="2692"/>
      <c r="KEZ26" s="2692"/>
      <c r="KFA26" s="2692"/>
      <c r="KFB26" s="2692"/>
      <c r="KFC26" s="2692"/>
      <c r="KFD26" s="2692"/>
      <c r="KFE26" s="2692"/>
      <c r="KFF26" s="2692"/>
      <c r="KFG26" s="2692"/>
      <c r="KFH26" s="2692"/>
      <c r="KFI26" s="2692"/>
      <c r="KFJ26" s="2692"/>
      <c r="KFK26" s="2692"/>
      <c r="KFL26" s="2692"/>
      <c r="KFM26" s="2692"/>
      <c r="KFN26" s="2692"/>
      <c r="KFO26" s="2692"/>
      <c r="KFP26" s="2692"/>
      <c r="KFQ26" s="2692"/>
      <c r="KFR26" s="2692"/>
      <c r="KFS26" s="2692"/>
      <c r="KFT26" s="2692"/>
      <c r="KFU26" s="2692"/>
      <c r="KFV26" s="2692"/>
      <c r="KFW26" s="2692"/>
      <c r="KFX26" s="2692"/>
      <c r="KFY26" s="2692"/>
      <c r="KFZ26" s="2692"/>
      <c r="KGA26" s="2692"/>
      <c r="KGB26" s="2692"/>
      <c r="KGC26" s="2692"/>
      <c r="KGD26" s="2692"/>
      <c r="KGE26" s="2692"/>
      <c r="KGF26" s="2692"/>
      <c r="KGG26" s="2692"/>
      <c r="KGH26" s="2692"/>
      <c r="KGI26" s="2692"/>
      <c r="KGJ26" s="2692"/>
      <c r="KGK26" s="2692"/>
      <c r="KGL26" s="2692"/>
      <c r="KGM26" s="2692"/>
      <c r="KGN26" s="2692"/>
      <c r="KGO26" s="2692"/>
      <c r="KGP26" s="2692"/>
      <c r="KGQ26" s="2692"/>
      <c r="KGR26" s="2692"/>
      <c r="KGS26" s="2692"/>
      <c r="KGT26" s="2692"/>
      <c r="KGU26" s="2692"/>
      <c r="KGV26" s="2692"/>
      <c r="KGW26" s="2692"/>
      <c r="KGX26" s="2692"/>
      <c r="KGY26" s="2692"/>
      <c r="KGZ26" s="2692"/>
      <c r="KHA26" s="2692"/>
      <c r="KHB26" s="2692"/>
      <c r="KHC26" s="2692"/>
      <c r="KHD26" s="2692"/>
      <c r="KHE26" s="2692"/>
      <c r="KHF26" s="2692"/>
      <c r="KHG26" s="2692"/>
      <c r="KHH26" s="2692"/>
      <c r="KHI26" s="2692"/>
      <c r="KHJ26" s="2692"/>
      <c r="KHK26" s="2692"/>
      <c r="KHL26" s="2692"/>
      <c r="KHM26" s="2692"/>
      <c r="KHN26" s="2692"/>
      <c r="KHO26" s="2692"/>
      <c r="KHP26" s="2692"/>
      <c r="KHQ26" s="2692"/>
      <c r="KHR26" s="2692"/>
      <c r="KHS26" s="2692"/>
      <c r="KHT26" s="2692"/>
      <c r="KHU26" s="2692"/>
      <c r="KHV26" s="2692"/>
      <c r="KHW26" s="2692"/>
      <c r="KHX26" s="2692"/>
      <c r="KHY26" s="2692"/>
      <c r="KHZ26" s="2692"/>
      <c r="KIA26" s="2692"/>
      <c r="KIB26" s="2692"/>
      <c r="KIC26" s="2692"/>
      <c r="KID26" s="2692"/>
      <c r="KIE26" s="2692"/>
      <c r="KIF26" s="2692"/>
      <c r="KIG26" s="2692"/>
      <c r="KIH26" s="2692"/>
      <c r="KII26" s="2692"/>
      <c r="KIJ26" s="2692"/>
      <c r="KIK26" s="2692"/>
      <c r="KIL26" s="2692"/>
      <c r="KIM26" s="2692"/>
      <c r="KIN26" s="2692"/>
      <c r="KIO26" s="2692"/>
      <c r="KIP26" s="2692"/>
      <c r="KIQ26" s="2692"/>
      <c r="KIR26" s="2692"/>
      <c r="KIS26" s="2692"/>
      <c r="KIT26" s="2692"/>
      <c r="KIU26" s="2692"/>
      <c r="KIV26" s="2692"/>
      <c r="KIW26" s="2692"/>
      <c r="KIX26" s="2692"/>
      <c r="KIY26" s="2692"/>
      <c r="KIZ26" s="2692"/>
      <c r="KJA26" s="2692"/>
      <c r="KJB26" s="2692"/>
      <c r="KJC26" s="2692"/>
      <c r="KJD26" s="2692"/>
      <c r="KJE26" s="2692"/>
      <c r="KJF26" s="2692"/>
      <c r="KJG26" s="2692"/>
      <c r="KJH26" s="2692"/>
      <c r="KJI26" s="2692"/>
      <c r="KJJ26" s="2692"/>
      <c r="KJK26" s="2692"/>
      <c r="KJL26" s="2692"/>
      <c r="KJM26" s="2692"/>
      <c r="KJN26" s="2692"/>
      <c r="KJO26" s="2692"/>
      <c r="KJP26" s="2692"/>
      <c r="KJQ26" s="2692"/>
      <c r="KJR26" s="2692"/>
      <c r="KJS26" s="2692"/>
      <c r="KJT26" s="2692"/>
      <c r="KJU26" s="2692"/>
      <c r="KJV26" s="2692"/>
      <c r="KJW26" s="2692"/>
      <c r="KJX26" s="2692"/>
      <c r="KJY26" s="2692"/>
      <c r="KJZ26" s="2692"/>
      <c r="KKA26" s="2692"/>
      <c r="KKB26" s="2692"/>
      <c r="KKC26" s="2692"/>
      <c r="KKD26" s="2692"/>
      <c r="KKE26" s="2692"/>
      <c r="KKF26" s="2692"/>
      <c r="KKG26" s="2692"/>
      <c r="KKH26" s="2692"/>
      <c r="KKI26" s="2692"/>
      <c r="KKJ26" s="2692"/>
      <c r="KKK26" s="2692"/>
      <c r="KKL26" s="2692"/>
      <c r="KKM26" s="2692"/>
      <c r="KKN26" s="2692"/>
      <c r="KKO26" s="2692"/>
      <c r="KKP26" s="2692"/>
      <c r="KKQ26" s="2692"/>
      <c r="KKR26" s="2692"/>
      <c r="KKS26" s="2692"/>
      <c r="KKT26" s="2692"/>
      <c r="KKU26" s="2692"/>
      <c r="KKV26" s="2692"/>
      <c r="KKW26" s="2692"/>
      <c r="KKX26" s="2692"/>
      <c r="KKY26" s="2692"/>
      <c r="KKZ26" s="2692"/>
      <c r="KLA26" s="2692"/>
      <c r="KLB26" s="2692"/>
      <c r="KLC26" s="2692"/>
      <c r="KLD26" s="2692"/>
      <c r="KLE26" s="2692"/>
      <c r="KLF26" s="2692"/>
      <c r="KLG26" s="2692"/>
      <c r="KLH26" s="2692"/>
      <c r="KLI26" s="2692"/>
      <c r="KLJ26" s="2692"/>
      <c r="KLK26" s="2692"/>
      <c r="KLL26" s="2692"/>
      <c r="KLM26" s="2692"/>
      <c r="KLN26" s="2692"/>
      <c r="KLO26" s="2692"/>
      <c r="KLP26" s="2692"/>
      <c r="KLQ26" s="2692"/>
      <c r="KLR26" s="2692"/>
      <c r="KLS26" s="2692"/>
      <c r="KLT26" s="2692"/>
      <c r="KLU26" s="2692"/>
      <c r="KLV26" s="2692"/>
      <c r="KLW26" s="2692"/>
      <c r="KLX26" s="2692"/>
      <c r="KLY26" s="2692"/>
      <c r="KLZ26" s="2692"/>
      <c r="KMA26" s="2692"/>
      <c r="KMB26" s="2692"/>
      <c r="KMC26" s="2692"/>
      <c r="KMD26" s="2692"/>
      <c r="KME26" s="2692"/>
      <c r="KMF26" s="2692"/>
      <c r="KMG26" s="2692"/>
      <c r="KMH26" s="2692"/>
      <c r="KMI26" s="2692"/>
      <c r="KMJ26" s="2692"/>
      <c r="KMK26" s="2692"/>
      <c r="KML26" s="2692"/>
      <c r="KMM26" s="2692"/>
      <c r="KMN26" s="2692"/>
      <c r="KMO26" s="2692"/>
      <c r="KMP26" s="2692"/>
      <c r="KMQ26" s="2692"/>
      <c r="KMR26" s="2692"/>
      <c r="KMS26" s="2692"/>
      <c r="KMT26" s="2692"/>
      <c r="KMU26" s="2692"/>
      <c r="KMV26" s="2692"/>
      <c r="KMW26" s="2692"/>
      <c r="KMX26" s="2692"/>
      <c r="KMY26" s="2692"/>
      <c r="KMZ26" s="2692"/>
      <c r="KNA26" s="2692"/>
      <c r="KNB26" s="2692"/>
      <c r="KNC26" s="2692"/>
      <c r="KND26" s="2692"/>
      <c r="KNE26" s="2692"/>
      <c r="KNF26" s="2692"/>
      <c r="KNG26" s="2692"/>
      <c r="KNH26" s="2692"/>
      <c r="KNI26" s="2692"/>
      <c r="KNJ26" s="2692"/>
      <c r="KNK26" s="2692"/>
      <c r="KNL26" s="2692"/>
      <c r="KNM26" s="2692"/>
      <c r="KNN26" s="2692"/>
      <c r="KNO26" s="2692"/>
      <c r="KNP26" s="2692"/>
      <c r="KNQ26" s="2692"/>
      <c r="KNR26" s="2692"/>
      <c r="KNS26" s="2692"/>
      <c r="KNT26" s="2692"/>
      <c r="KNU26" s="2692"/>
      <c r="KNV26" s="2692"/>
      <c r="KNW26" s="2692"/>
      <c r="KNX26" s="2692"/>
      <c r="KNY26" s="2692"/>
      <c r="KNZ26" s="2692"/>
      <c r="KOA26" s="2692"/>
      <c r="KOB26" s="2692"/>
      <c r="KOC26" s="2692"/>
      <c r="KOD26" s="2692"/>
      <c r="KOE26" s="2692"/>
      <c r="KOF26" s="2692"/>
      <c r="KOG26" s="2692"/>
      <c r="KOH26" s="2692"/>
      <c r="KOI26" s="2692"/>
      <c r="KOJ26" s="2692"/>
      <c r="KOK26" s="2692"/>
      <c r="KOL26" s="2692"/>
      <c r="KOM26" s="2692"/>
      <c r="KON26" s="2692"/>
      <c r="KOO26" s="2692"/>
      <c r="KOP26" s="2692"/>
      <c r="KOQ26" s="2692"/>
      <c r="KOR26" s="2692"/>
      <c r="KOS26" s="2692"/>
      <c r="KOT26" s="2692"/>
      <c r="KOU26" s="2692"/>
      <c r="KOV26" s="2692"/>
      <c r="KOW26" s="2692"/>
      <c r="KOX26" s="2692"/>
      <c r="KOY26" s="2692"/>
      <c r="KOZ26" s="2692"/>
      <c r="KPA26" s="2692"/>
      <c r="KPB26" s="2692"/>
      <c r="KPC26" s="2692"/>
      <c r="KPD26" s="2692"/>
      <c r="KPE26" s="2692"/>
      <c r="KPF26" s="2692"/>
      <c r="KPG26" s="2692"/>
      <c r="KPH26" s="2692"/>
      <c r="KPI26" s="2692"/>
      <c r="KPJ26" s="2692"/>
      <c r="KPK26" s="2692"/>
      <c r="KPL26" s="2692"/>
      <c r="KPM26" s="2692"/>
      <c r="KPN26" s="2692"/>
      <c r="KPO26" s="2692"/>
      <c r="KPP26" s="2692"/>
      <c r="KPQ26" s="2692"/>
      <c r="KPR26" s="2692"/>
      <c r="KPS26" s="2692"/>
      <c r="KPT26" s="2692"/>
      <c r="KPU26" s="2692"/>
      <c r="KPV26" s="2692"/>
      <c r="KPW26" s="2692"/>
      <c r="KPX26" s="2692"/>
      <c r="KPY26" s="2692"/>
      <c r="KPZ26" s="2692"/>
      <c r="KQA26" s="2692"/>
      <c r="KQB26" s="2692"/>
      <c r="KQC26" s="2692"/>
      <c r="KQD26" s="2692"/>
      <c r="KQE26" s="2692"/>
      <c r="KQF26" s="2692"/>
      <c r="KQG26" s="2692"/>
      <c r="KQH26" s="2692"/>
      <c r="KQI26" s="2692"/>
      <c r="KQJ26" s="2692"/>
      <c r="KQK26" s="2692"/>
      <c r="KQL26" s="2692"/>
      <c r="KQM26" s="2692"/>
      <c r="KQN26" s="2692"/>
      <c r="KQO26" s="2692"/>
      <c r="KQP26" s="2692"/>
      <c r="KQQ26" s="2692"/>
      <c r="KQR26" s="2692"/>
      <c r="KQS26" s="2692"/>
      <c r="KQT26" s="2692"/>
      <c r="KQU26" s="2692"/>
      <c r="KQV26" s="2692"/>
      <c r="KQW26" s="2692"/>
      <c r="KQX26" s="2692"/>
      <c r="KQY26" s="2692"/>
      <c r="KQZ26" s="2692"/>
      <c r="KRA26" s="2692"/>
      <c r="KRB26" s="2692"/>
      <c r="KRC26" s="2692"/>
      <c r="KRD26" s="2692"/>
      <c r="KRE26" s="2692"/>
      <c r="KRF26" s="2692"/>
      <c r="KRG26" s="2692"/>
      <c r="KRH26" s="2692"/>
      <c r="KRI26" s="2692"/>
      <c r="KRJ26" s="2692"/>
      <c r="KRK26" s="2692"/>
      <c r="KRL26" s="2692"/>
      <c r="KRM26" s="2692"/>
      <c r="KRN26" s="2692"/>
      <c r="KRO26" s="2692"/>
      <c r="KRP26" s="2692"/>
      <c r="KRQ26" s="2692"/>
      <c r="KRR26" s="2692"/>
      <c r="KRS26" s="2692"/>
      <c r="KRT26" s="2692"/>
      <c r="KRU26" s="2692"/>
      <c r="KRV26" s="2692"/>
      <c r="KRW26" s="2692"/>
      <c r="KRX26" s="2692"/>
      <c r="KRY26" s="2692"/>
      <c r="KRZ26" s="2692"/>
      <c r="KSA26" s="2692"/>
      <c r="KSB26" s="2692"/>
      <c r="KSC26" s="2692"/>
      <c r="KSD26" s="2692"/>
      <c r="KSE26" s="2692"/>
      <c r="KSF26" s="2692"/>
      <c r="KSG26" s="2692"/>
      <c r="KSH26" s="2692"/>
      <c r="KSI26" s="2692"/>
      <c r="KSJ26" s="2692"/>
      <c r="KSK26" s="2692"/>
      <c r="KSL26" s="2692"/>
      <c r="KSM26" s="2692"/>
      <c r="KSN26" s="2692"/>
      <c r="KSO26" s="2692"/>
      <c r="KSP26" s="2692"/>
      <c r="KSQ26" s="2692"/>
      <c r="KSR26" s="2692"/>
      <c r="KSS26" s="2692"/>
      <c r="KST26" s="2692"/>
      <c r="KSU26" s="2692"/>
      <c r="KSV26" s="2692"/>
      <c r="KSW26" s="2692"/>
      <c r="KSX26" s="2692"/>
      <c r="KSY26" s="2692"/>
      <c r="KSZ26" s="2692"/>
      <c r="KTA26" s="2692"/>
      <c r="KTB26" s="2692"/>
      <c r="KTC26" s="2692"/>
      <c r="KTD26" s="2692"/>
      <c r="KTE26" s="2692"/>
      <c r="KTF26" s="2692"/>
      <c r="KTG26" s="2692"/>
      <c r="KTH26" s="2692"/>
      <c r="KTI26" s="2692"/>
      <c r="KTJ26" s="2692"/>
      <c r="KTK26" s="2692"/>
      <c r="KTL26" s="2692"/>
      <c r="KTM26" s="2692"/>
      <c r="KTN26" s="2692"/>
      <c r="KTO26" s="2692"/>
      <c r="KTP26" s="2692"/>
      <c r="KTQ26" s="2692"/>
      <c r="KTR26" s="2692"/>
      <c r="KTS26" s="2692"/>
      <c r="KTT26" s="2692"/>
      <c r="KTU26" s="2692"/>
      <c r="KTV26" s="2692"/>
      <c r="KTW26" s="2692"/>
      <c r="KTX26" s="2692"/>
      <c r="KTY26" s="2692"/>
      <c r="KTZ26" s="2692"/>
      <c r="KUA26" s="2692"/>
      <c r="KUB26" s="2692"/>
      <c r="KUC26" s="2692"/>
      <c r="KUD26" s="2692"/>
      <c r="KUE26" s="2692"/>
      <c r="KUF26" s="2692"/>
      <c r="KUG26" s="2692"/>
      <c r="KUH26" s="2692"/>
      <c r="KUI26" s="2692"/>
      <c r="KUJ26" s="2692"/>
      <c r="KUK26" s="2692"/>
      <c r="KUL26" s="2692"/>
      <c r="KUM26" s="2692"/>
      <c r="KUN26" s="2692"/>
      <c r="KUO26" s="2692"/>
      <c r="KUP26" s="2692"/>
      <c r="KUQ26" s="2692"/>
      <c r="KUR26" s="2692"/>
      <c r="KUS26" s="2692"/>
      <c r="KUT26" s="2692"/>
      <c r="KUU26" s="2692"/>
      <c r="KUV26" s="2692"/>
      <c r="KUW26" s="2692"/>
      <c r="KUX26" s="2692"/>
      <c r="KUY26" s="2692"/>
      <c r="KUZ26" s="2692"/>
      <c r="KVA26" s="2692"/>
      <c r="KVB26" s="2692"/>
      <c r="KVC26" s="2692"/>
      <c r="KVD26" s="2692"/>
      <c r="KVE26" s="2692"/>
      <c r="KVF26" s="2692"/>
      <c r="KVG26" s="2692"/>
      <c r="KVH26" s="2692"/>
      <c r="KVI26" s="2692"/>
      <c r="KVJ26" s="2692"/>
      <c r="KVK26" s="2692"/>
      <c r="KVL26" s="2692"/>
      <c r="KVM26" s="2692"/>
      <c r="KVN26" s="2692"/>
      <c r="KVO26" s="2692"/>
      <c r="KVP26" s="2692"/>
      <c r="KVQ26" s="2692"/>
      <c r="KVR26" s="2692"/>
      <c r="KVS26" s="2692"/>
      <c r="KVT26" s="2692"/>
      <c r="KVU26" s="2692"/>
      <c r="KVV26" s="2692"/>
      <c r="KVW26" s="2692"/>
      <c r="KVX26" s="2692"/>
      <c r="KVY26" s="2692"/>
      <c r="KVZ26" s="2692"/>
      <c r="KWA26" s="2692"/>
      <c r="KWB26" s="2692"/>
      <c r="KWC26" s="2692"/>
      <c r="KWD26" s="2692"/>
      <c r="KWE26" s="2692"/>
      <c r="KWF26" s="2692"/>
      <c r="KWG26" s="2692"/>
      <c r="KWH26" s="2692"/>
      <c r="KWI26" s="2692"/>
      <c r="KWJ26" s="2692"/>
      <c r="KWK26" s="2692"/>
      <c r="KWL26" s="2692"/>
      <c r="KWM26" s="2692"/>
      <c r="KWN26" s="2692"/>
      <c r="KWO26" s="2692"/>
      <c r="KWP26" s="2692"/>
      <c r="KWQ26" s="2692"/>
      <c r="KWR26" s="2692"/>
      <c r="KWS26" s="2692"/>
      <c r="KWT26" s="2692"/>
      <c r="KWU26" s="2692"/>
      <c r="KWV26" s="2692"/>
      <c r="KWW26" s="2692"/>
      <c r="KWX26" s="2692"/>
      <c r="KWY26" s="2692"/>
      <c r="KWZ26" s="2692"/>
      <c r="KXA26" s="2692"/>
      <c r="KXB26" s="2692"/>
      <c r="KXC26" s="2692"/>
      <c r="KXD26" s="2692"/>
      <c r="KXE26" s="2692"/>
      <c r="KXF26" s="2692"/>
      <c r="KXG26" s="2692"/>
      <c r="KXH26" s="2692"/>
      <c r="KXI26" s="2692"/>
      <c r="KXJ26" s="2692"/>
      <c r="KXK26" s="2692"/>
      <c r="KXL26" s="2692"/>
      <c r="KXM26" s="2692"/>
      <c r="KXN26" s="2692"/>
      <c r="KXO26" s="2692"/>
      <c r="KXP26" s="2692"/>
      <c r="KXQ26" s="2692"/>
      <c r="KXR26" s="2692"/>
      <c r="KXS26" s="2692"/>
      <c r="KXT26" s="2692"/>
      <c r="KXU26" s="2692"/>
      <c r="KXV26" s="2692"/>
      <c r="KXW26" s="2692"/>
      <c r="KXX26" s="2692"/>
      <c r="KXY26" s="2692"/>
      <c r="KXZ26" s="2692"/>
      <c r="KYA26" s="2692"/>
      <c r="KYB26" s="2692"/>
      <c r="KYC26" s="2692"/>
      <c r="KYD26" s="2692"/>
      <c r="KYE26" s="2692"/>
      <c r="KYF26" s="2692"/>
      <c r="KYG26" s="2692"/>
      <c r="KYH26" s="2692"/>
      <c r="KYI26" s="2692"/>
      <c r="KYJ26" s="2692"/>
      <c r="KYK26" s="2692"/>
      <c r="KYL26" s="2692"/>
      <c r="KYM26" s="2692"/>
      <c r="KYN26" s="2692"/>
      <c r="KYO26" s="2692"/>
      <c r="KYP26" s="2692"/>
      <c r="KYQ26" s="2692"/>
      <c r="KYR26" s="2692"/>
      <c r="KYS26" s="2692"/>
      <c r="KYT26" s="2692"/>
      <c r="KYU26" s="2692"/>
      <c r="KYV26" s="2692"/>
      <c r="KYW26" s="2692"/>
      <c r="KYX26" s="2692"/>
      <c r="KYY26" s="2692"/>
      <c r="KYZ26" s="2692"/>
      <c r="KZA26" s="2692"/>
      <c r="KZB26" s="2692"/>
      <c r="KZC26" s="2692"/>
      <c r="KZD26" s="2692"/>
      <c r="KZE26" s="2692"/>
      <c r="KZF26" s="2692"/>
      <c r="KZG26" s="2692"/>
      <c r="KZH26" s="2692"/>
      <c r="KZI26" s="2692"/>
      <c r="KZJ26" s="2692"/>
      <c r="KZK26" s="2692"/>
      <c r="KZL26" s="2692"/>
      <c r="KZM26" s="2692"/>
      <c r="KZN26" s="2692"/>
      <c r="KZO26" s="2692"/>
      <c r="KZP26" s="2692"/>
      <c r="KZQ26" s="2692"/>
      <c r="KZR26" s="2692"/>
      <c r="KZS26" s="2692"/>
      <c r="KZT26" s="2692"/>
      <c r="KZU26" s="2692"/>
      <c r="KZV26" s="2692"/>
      <c r="KZW26" s="2692"/>
      <c r="KZX26" s="2692"/>
      <c r="KZY26" s="2692"/>
      <c r="KZZ26" s="2692"/>
      <c r="LAA26" s="2692"/>
      <c r="LAB26" s="2692"/>
      <c r="LAC26" s="2692"/>
      <c r="LAD26" s="2692"/>
      <c r="LAE26" s="2692"/>
      <c r="LAF26" s="2692"/>
      <c r="LAG26" s="2692"/>
      <c r="LAH26" s="2692"/>
      <c r="LAI26" s="2692"/>
      <c r="LAJ26" s="2692"/>
      <c r="LAK26" s="2692"/>
      <c r="LAL26" s="2692"/>
      <c r="LAM26" s="2692"/>
      <c r="LAN26" s="2692"/>
      <c r="LAO26" s="2692"/>
      <c r="LAP26" s="2692"/>
      <c r="LAQ26" s="2692"/>
      <c r="LAR26" s="2692"/>
      <c r="LAS26" s="2692"/>
      <c r="LAT26" s="2692"/>
      <c r="LAU26" s="2692"/>
      <c r="LAV26" s="2692"/>
      <c r="LAW26" s="2692"/>
      <c r="LAX26" s="2692"/>
      <c r="LAY26" s="2692"/>
      <c r="LAZ26" s="2692"/>
      <c r="LBA26" s="2692"/>
      <c r="LBB26" s="2692"/>
      <c r="LBC26" s="2692"/>
      <c r="LBD26" s="2692"/>
      <c r="LBE26" s="2692"/>
      <c r="LBF26" s="2692"/>
      <c r="LBG26" s="2692"/>
      <c r="LBH26" s="2692"/>
      <c r="LBI26" s="2692"/>
      <c r="LBJ26" s="2692"/>
      <c r="LBK26" s="2692"/>
      <c r="LBL26" s="2692"/>
      <c r="LBM26" s="2692"/>
      <c r="LBN26" s="2692"/>
      <c r="LBO26" s="2692"/>
      <c r="LBP26" s="2692"/>
      <c r="LBQ26" s="2692"/>
      <c r="LBR26" s="2692"/>
      <c r="LBS26" s="2692"/>
      <c r="LBT26" s="2692"/>
      <c r="LBU26" s="2692"/>
      <c r="LBV26" s="2692"/>
      <c r="LBW26" s="2692"/>
      <c r="LBX26" s="2692"/>
      <c r="LBY26" s="2692"/>
      <c r="LBZ26" s="2692"/>
      <c r="LCA26" s="2692"/>
      <c r="LCB26" s="2692"/>
      <c r="LCC26" s="2692"/>
      <c r="LCD26" s="2692"/>
      <c r="LCE26" s="2692"/>
      <c r="LCF26" s="2692"/>
      <c r="LCG26" s="2692"/>
      <c r="LCH26" s="2692"/>
      <c r="LCI26" s="2692"/>
      <c r="LCJ26" s="2692"/>
      <c r="LCK26" s="2692"/>
      <c r="LCL26" s="2692"/>
      <c r="LCM26" s="2692"/>
      <c r="LCN26" s="2692"/>
      <c r="LCO26" s="2692"/>
      <c r="LCP26" s="2692"/>
      <c r="LCQ26" s="2692"/>
      <c r="LCR26" s="2692"/>
      <c r="LCS26" s="2692"/>
      <c r="LCT26" s="2692"/>
      <c r="LCU26" s="2692"/>
      <c r="LCV26" s="2692"/>
      <c r="LCW26" s="2692"/>
      <c r="LCX26" s="2692"/>
      <c r="LCY26" s="2692"/>
      <c r="LCZ26" s="2692"/>
      <c r="LDA26" s="2692"/>
      <c r="LDB26" s="2692"/>
      <c r="LDC26" s="2692"/>
      <c r="LDD26" s="2692"/>
      <c r="LDE26" s="2692"/>
      <c r="LDF26" s="2692"/>
      <c r="LDG26" s="2692"/>
      <c r="LDH26" s="2692"/>
      <c r="LDI26" s="2692"/>
      <c r="LDJ26" s="2692"/>
      <c r="LDK26" s="2692"/>
      <c r="LDL26" s="2692"/>
      <c r="LDM26" s="2692"/>
      <c r="LDN26" s="2692"/>
      <c r="LDO26" s="2692"/>
      <c r="LDP26" s="2692"/>
      <c r="LDQ26" s="2692"/>
      <c r="LDR26" s="2692"/>
      <c r="LDS26" s="2692"/>
      <c r="LDT26" s="2692"/>
      <c r="LDU26" s="2692"/>
      <c r="LDV26" s="2692"/>
      <c r="LDW26" s="2692"/>
      <c r="LDX26" s="2692"/>
      <c r="LDY26" s="2692"/>
      <c r="LDZ26" s="2692"/>
      <c r="LEA26" s="2692"/>
      <c r="LEB26" s="2692"/>
      <c r="LEC26" s="2692"/>
      <c r="LED26" s="2692"/>
      <c r="LEE26" s="2692"/>
      <c r="LEF26" s="2692"/>
      <c r="LEG26" s="2692"/>
      <c r="LEH26" s="2692"/>
      <c r="LEI26" s="2692"/>
      <c r="LEJ26" s="2692"/>
      <c r="LEK26" s="2692"/>
      <c r="LEL26" s="2692"/>
      <c r="LEM26" s="2692"/>
      <c r="LEN26" s="2692"/>
      <c r="LEO26" s="2692"/>
      <c r="LEP26" s="2692"/>
      <c r="LEQ26" s="2692"/>
      <c r="LER26" s="2692"/>
      <c r="LES26" s="2692"/>
      <c r="LET26" s="2692"/>
      <c r="LEU26" s="2692"/>
      <c r="LEV26" s="2692"/>
      <c r="LEW26" s="2692"/>
      <c r="LEX26" s="2692"/>
      <c r="LEY26" s="2692"/>
      <c r="LEZ26" s="2692"/>
      <c r="LFA26" s="2692"/>
      <c r="LFB26" s="2692"/>
      <c r="LFC26" s="2692"/>
      <c r="LFD26" s="2692"/>
      <c r="LFE26" s="2692"/>
      <c r="LFF26" s="2692"/>
      <c r="LFG26" s="2692"/>
      <c r="LFH26" s="2692"/>
      <c r="LFI26" s="2692"/>
      <c r="LFJ26" s="2692"/>
      <c r="LFK26" s="2692"/>
      <c r="LFL26" s="2692"/>
      <c r="LFM26" s="2692"/>
      <c r="LFN26" s="2692"/>
      <c r="LFO26" s="2692"/>
      <c r="LFP26" s="2692"/>
      <c r="LFQ26" s="2692"/>
      <c r="LFR26" s="2692"/>
      <c r="LFS26" s="2692"/>
      <c r="LFT26" s="2692"/>
      <c r="LFU26" s="2692"/>
      <c r="LFV26" s="2692"/>
      <c r="LFW26" s="2692"/>
      <c r="LFX26" s="2692"/>
      <c r="LFY26" s="2692"/>
      <c r="LFZ26" s="2692"/>
      <c r="LGA26" s="2692"/>
      <c r="LGB26" s="2692"/>
      <c r="LGC26" s="2692"/>
      <c r="LGD26" s="2692"/>
      <c r="LGE26" s="2692"/>
      <c r="LGF26" s="2692"/>
      <c r="LGG26" s="2692"/>
      <c r="LGH26" s="2692"/>
      <c r="LGI26" s="2692"/>
      <c r="LGJ26" s="2692"/>
      <c r="LGK26" s="2692"/>
      <c r="LGL26" s="2692"/>
      <c r="LGM26" s="2692"/>
      <c r="LGN26" s="2692"/>
      <c r="LGO26" s="2692"/>
      <c r="LGP26" s="2692"/>
      <c r="LGQ26" s="2692"/>
      <c r="LGR26" s="2692"/>
      <c r="LGS26" s="2692"/>
      <c r="LGT26" s="2692"/>
      <c r="LGU26" s="2692"/>
      <c r="LGV26" s="2692"/>
      <c r="LGW26" s="2692"/>
      <c r="LGX26" s="2692"/>
      <c r="LGY26" s="2692"/>
      <c r="LGZ26" s="2692"/>
      <c r="LHA26" s="2692"/>
      <c r="LHB26" s="2692"/>
      <c r="LHC26" s="2692"/>
      <c r="LHD26" s="2692"/>
      <c r="LHE26" s="2692"/>
      <c r="LHF26" s="2692"/>
      <c r="LHG26" s="2692"/>
      <c r="LHH26" s="2692"/>
      <c r="LHI26" s="2692"/>
      <c r="LHJ26" s="2692"/>
      <c r="LHK26" s="2692"/>
      <c r="LHL26" s="2692"/>
      <c r="LHM26" s="2692"/>
      <c r="LHN26" s="2692"/>
      <c r="LHO26" s="2692"/>
      <c r="LHP26" s="2692"/>
      <c r="LHQ26" s="2692"/>
      <c r="LHR26" s="2692"/>
      <c r="LHS26" s="2692"/>
      <c r="LHT26" s="2692"/>
      <c r="LHU26" s="2692"/>
      <c r="LHV26" s="2692"/>
      <c r="LHW26" s="2692"/>
      <c r="LHX26" s="2692"/>
      <c r="LHY26" s="2692"/>
      <c r="LHZ26" s="2692"/>
      <c r="LIA26" s="2692"/>
      <c r="LIB26" s="2692"/>
      <c r="LIC26" s="2692"/>
      <c r="LID26" s="2692"/>
      <c r="LIE26" s="2692"/>
      <c r="LIF26" s="2692"/>
      <c r="LIG26" s="2692"/>
      <c r="LIH26" s="2692"/>
      <c r="LII26" s="2692"/>
      <c r="LIJ26" s="2692"/>
      <c r="LIK26" s="2692"/>
      <c r="LIL26" s="2692"/>
      <c r="LIM26" s="2692"/>
      <c r="LIN26" s="2692"/>
      <c r="LIO26" s="2692"/>
      <c r="LIP26" s="2692"/>
      <c r="LIQ26" s="2692"/>
      <c r="LIR26" s="2692"/>
      <c r="LIS26" s="2692"/>
      <c r="LIT26" s="2692"/>
      <c r="LIU26" s="2692"/>
      <c r="LIV26" s="2692"/>
      <c r="LIW26" s="2692"/>
      <c r="LIX26" s="2692"/>
      <c r="LIY26" s="2692"/>
      <c r="LIZ26" s="2692"/>
      <c r="LJA26" s="2692"/>
      <c r="LJB26" s="2692"/>
      <c r="LJC26" s="2692"/>
      <c r="LJD26" s="2692"/>
      <c r="LJE26" s="2692"/>
      <c r="LJF26" s="2692"/>
      <c r="LJG26" s="2692"/>
      <c r="LJH26" s="2692"/>
      <c r="LJI26" s="2692"/>
      <c r="LJJ26" s="2692"/>
      <c r="LJK26" s="2692"/>
      <c r="LJL26" s="2692"/>
      <c r="LJM26" s="2692"/>
      <c r="LJN26" s="2692"/>
      <c r="LJO26" s="2692"/>
      <c r="LJP26" s="2692"/>
      <c r="LJQ26" s="2692"/>
      <c r="LJR26" s="2692"/>
      <c r="LJS26" s="2692"/>
      <c r="LJT26" s="2692"/>
      <c r="LJU26" s="2692"/>
      <c r="LJV26" s="2692"/>
      <c r="LJW26" s="2692"/>
      <c r="LJX26" s="2692"/>
      <c r="LJY26" s="2692"/>
      <c r="LJZ26" s="2692"/>
      <c r="LKA26" s="2692"/>
      <c r="LKB26" s="2692"/>
      <c r="LKC26" s="2692"/>
      <c r="LKD26" s="2692"/>
      <c r="LKE26" s="2692"/>
      <c r="LKF26" s="2692"/>
      <c r="LKG26" s="2692"/>
      <c r="LKH26" s="2692"/>
      <c r="LKI26" s="2692"/>
      <c r="LKJ26" s="2692"/>
      <c r="LKK26" s="2692"/>
      <c r="LKL26" s="2692"/>
      <c r="LKM26" s="2692"/>
      <c r="LKN26" s="2692"/>
      <c r="LKO26" s="2692"/>
      <c r="LKP26" s="2692"/>
      <c r="LKQ26" s="2692"/>
      <c r="LKR26" s="2692"/>
      <c r="LKS26" s="2692"/>
      <c r="LKT26" s="2692"/>
      <c r="LKU26" s="2692"/>
      <c r="LKV26" s="2692"/>
      <c r="LKW26" s="2692"/>
      <c r="LKX26" s="2692"/>
      <c r="LKY26" s="2692"/>
      <c r="LKZ26" s="2692"/>
      <c r="LLA26" s="2692"/>
      <c r="LLB26" s="2692"/>
      <c r="LLC26" s="2692"/>
      <c r="LLD26" s="2692"/>
      <c r="LLE26" s="2692"/>
      <c r="LLF26" s="2692"/>
      <c r="LLG26" s="2692"/>
      <c r="LLH26" s="2692"/>
      <c r="LLI26" s="2692"/>
      <c r="LLJ26" s="2692"/>
      <c r="LLK26" s="2692"/>
      <c r="LLL26" s="2692"/>
      <c r="LLM26" s="2692"/>
      <c r="LLN26" s="2692"/>
      <c r="LLO26" s="2692"/>
      <c r="LLP26" s="2692"/>
      <c r="LLQ26" s="2692"/>
      <c r="LLR26" s="2692"/>
      <c r="LLS26" s="2692"/>
      <c r="LLT26" s="2692"/>
      <c r="LLU26" s="2692"/>
      <c r="LLV26" s="2692"/>
      <c r="LLW26" s="2692"/>
      <c r="LLX26" s="2692"/>
      <c r="LLY26" s="2692"/>
      <c r="LLZ26" s="2692"/>
      <c r="LMA26" s="2692"/>
      <c r="LMB26" s="2692"/>
      <c r="LMC26" s="2692"/>
      <c r="LMD26" s="2692"/>
      <c r="LME26" s="2692"/>
      <c r="LMF26" s="2692"/>
      <c r="LMG26" s="2692"/>
      <c r="LMH26" s="2692"/>
      <c r="LMI26" s="2692"/>
      <c r="LMJ26" s="2692"/>
      <c r="LMK26" s="2692"/>
      <c r="LML26" s="2692"/>
      <c r="LMM26" s="2692"/>
      <c r="LMN26" s="2692"/>
      <c r="LMO26" s="2692"/>
      <c r="LMP26" s="2692"/>
      <c r="LMQ26" s="2692"/>
      <c r="LMR26" s="2692"/>
      <c r="LMS26" s="2692"/>
      <c r="LMT26" s="2692"/>
      <c r="LMU26" s="2692"/>
      <c r="LMV26" s="2692"/>
      <c r="LMW26" s="2692"/>
      <c r="LMX26" s="2692"/>
      <c r="LMY26" s="2692"/>
      <c r="LMZ26" s="2692"/>
      <c r="LNA26" s="2692"/>
      <c r="LNB26" s="2692"/>
      <c r="LNC26" s="2692"/>
      <c r="LND26" s="2692"/>
      <c r="LNE26" s="2692"/>
      <c r="LNF26" s="2692"/>
      <c r="LNG26" s="2692"/>
      <c r="LNH26" s="2692"/>
      <c r="LNI26" s="2692"/>
      <c r="LNJ26" s="2692"/>
      <c r="LNK26" s="2692"/>
      <c r="LNL26" s="2692"/>
      <c r="LNM26" s="2692"/>
      <c r="LNN26" s="2692"/>
      <c r="LNO26" s="2692"/>
      <c r="LNP26" s="2692"/>
      <c r="LNQ26" s="2692"/>
      <c r="LNR26" s="2692"/>
      <c r="LNS26" s="2692"/>
      <c r="LNT26" s="2692"/>
      <c r="LNU26" s="2692"/>
      <c r="LNV26" s="2692"/>
      <c r="LNW26" s="2692"/>
      <c r="LNX26" s="2692"/>
      <c r="LNY26" s="2692"/>
      <c r="LNZ26" s="2692"/>
      <c r="LOA26" s="2692"/>
      <c r="LOB26" s="2692"/>
      <c r="LOC26" s="2692"/>
      <c r="LOD26" s="2692"/>
      <c r="LOE26" s="2692"/>
      <c r="LOF26" s="2692"/>
      <c r="LOG26" s="2692"/>
      <c r="LOH26" s="2692"/>
      <c r="LOI26" s="2692"/>
      <c r="LOJ26" s="2692"/>
      <c r="LOK26" s="2692"/>
      <c r="LOL26" s="2692"/>
      <c r="LOM26" s="2692"/>
      <c r="LON26" s="2692"/>
      <c r="LOO26" s="2692"/>
      <c r="LOP26" s="2692"/>
      <c r="LOQ26" s="2692"/>
      <c r="LOR26" s="2692"/>
      <c r="LOS26" s="2692"/>
      <c r="LOT26" s="2692"/>
      <c r="LOU26" s="2692"/>
      <c r="LOV26" s="2692"/>
      <c r="LOW26" s="2692"/>
      <c r="LOX26" s="2692"/>
      <c r="LOY26" s="2692"/>
      <c r="LOZ26" s="2692"/>
      <c r="LPA26" s="2692"/>
      <c r="LPB26" s="2692"/>
      <c r="LPC26" s="2692"/>
      <c r="LPD26" s="2692"/>
      <c r="LPE26" s="2692"/>
      <c r="LPF26" s="2692"/>
      <c r="LPG26" s="2692"/>
      <c r="LPH26" s="2692"/>
      <c r="LPI26" s="2692"/>
      <c r="LPJ26" s="2692"/>
      <c r="LPK26" s="2692"/>
      <c r="LPL26" s="2692"/>
      <c r="LPM26" s="2692"/>
      <c r="LPN26" s="2692"/>
      <c r="LPO26" s="2692"/>
      <c r="LPP26" s="2692"/>
      <c r="LPQ26" s="2692"/>
      <c r="LPR26" s="2692"/>
      <c r="LPS26" s="2692"/>
      <c r="LPT26" s="2692"/>
      <c r="LPU26" s="2692"/>
      <c r="LPV26" s="2692"/>
      <c r="LPW26" s="2692"/>
      <c r="LPX26" s="2692"/>
      <c r="LPY26" s="2692"/>
      <c r="LPZ26" s="2692"/>
      <c r="LQA26" s="2692"/>
      <c r="LQB26" s="2692"/>
      <c r="LQC26" s="2692"/>
      <c r="LQD26" s="2692"/>
      <c r="LQE26" s="2692"/>
      <c r="LQF26" s="2692"/>
      <c r="LQG26" s="2692"/>
      <c r="LQH26" s="2692"/>
      <c r="LQI26" s="2692"/>
      <c r="LQJ26" s="2692"/>
      <c r="LQK26" s="2692"/>
      <c r="LQL26" s="2692"/>
      <c r="LQM26" s="2692"/>
      <c r="LQN26" s="2692"/>
      <c r="LQO26" s="2692"/>
      <c r="LQP26" s="2692"/>
      <c r="LQQ26" s="2692"/>
      <c r="LQR26" s="2692"/>
      <c r="LQS26" s="2692"/>
      <c r="LQT26" s="2692"/>
      <c r="LQU26" s="2692"/>
      <c r="LQV26" s="2692"/>
      <c r="LQW26" s="2692"/>
      <c r="LQX26" s="2692"/>
      <c r="LQY26" s="2692"/>
      <c r="LQZ26" s="2692"/>
      <c r="LRA26" s="2692"/>
      <c r="LRB26" s="2692"/>
      <c r="LRC26" s="2692"/>
      <c r="LRD26" s="2692"/>
      <c r="LRE26" s="2692"/>
      <c r="LRF26" s="2692"/>
      <c r="LRG26" s="2692"/>
      <c r="LRH26" s="2692"/>
      <c r="LRI26" s="2692"/>
      <c r="LRJ26" s="2692"/>
      <c r="LRK26" s="2692"/>
      <c r="LRL26" s="2692"/>
      <c r="LRM26" s="2692"/>
      <c r="LRN26" s="2692"/>
      <c r="LRO26" s="2692"/>
      <c r="LRP26" s="2692"/>
      <c r="LRQ26" s="2692"/>
      <c r="LRR26" s="2692"/>
      <c r="LRS26" s="2692"/>
      <c r="LRT26" s="2692"/>
      <c r="LRU26" s="2692"/>
      <c r="LRV26" s="2692"/>
      <c r="LRW26" s="2692"/>
      <c r="LRX26" s="2692"/>
      <c r="LRY26" s="2692"/>
      <c r="LRZ26" s="2692"/>
      <c r="LSA26" s="2692"/>
      <c r="LSB26" s="2692"/>
      <c r="LSC26" s="2692"/>
      <c r="LSD26" s="2692"/>
      <c r="LSE26" s="2692"/>
      <c r="LSF26" s="2692"/>
      <c r="LSG26" s="2692"/>
      <c r="LSH26" s="2692"/>
      <c r="LSI26" s="2692"/>
      <c r="LSJ26" s="2692"/>
      <c r="LSK26" s="2692"/>
      <c r="LSL26" s="2692"/>
      <c r="LSM26" s="2692"/>
      <c r="LSN26" s="2692"/>
      <c r="LSO26" s="2692"/>
      <c r="LSP26" s="2692"/>
      <c r="LSQ26" s="2692"/>
      <c r="LSR26" s="2692"/>
      <c r="LSS26" s="2692"/>
      <c r="LST26" s="2692"/>
      <c r="LSU26" s="2692"/>
      <c r="LSV26" s="2692"/>
      <c r="LSW26" s="2692"/>
      <c r="LSX26" s="2692"/>
      <c r="LSY26" s="2692"/>
      <c r="LSZ26" s="2692"/>
      <c r="LTA26" s="2692"/>
      <c r="LTB26" s="2692"/>
      <c r="LTC26" s="2692"/>
      <c r="LTD26" s="2692"/>
      <c r="LTE26" s="2692"/>
      <c r="LTF26" s="2692"/>
      <c r="LTG26" s="2692"/>
      <c r="LTH26" s="2692"/>
      <c r="LTI26" s="2692"/>
      <c r="LTJ26" s="2692"/>
      <c r="LTK26" s="2692"/>
      <c r="LTL26" s="2692"/>
      <c r="LTM26" s="2692"/>
      <c r="LTN26" s="2692"/>
      <c r="LTO26" s="2692"/>
      <c r="LTP26" s="2692"/>
      <c r="LTQ26" s="2692"/>
      <c r="LTR26" s="2692"/>
      <c r="LTS26" s="2692"/>
      <c r="LTT26" s="2692"/>
      <c r="LTU26" s="2692"/>
      <c r="LTV26" s="2692"/>
      <c r="LTW26" s="2692"/>
      <c r="LTX26" s="2692"/>
      <c r="LTY26" s="2692"/>
      <c r="LTZ26" s="2692"/>
      <c r="LUA26" s="2692"/>
      <c r="LUB26" s="2692"/>
      <c r="LUC26" s="2692"/>
      <c r="LUD26" s="2692"/>
      <c r="LUE26" s="2692"/>
      <c r="LUF26" s="2692"/>
      <c r="LUG26" s="2692"/>
      <c r="LUH26" s="2692"/>
      <c r="LUI26" s="2692"/>
      <c r="LUJ26" s="2692"/>
      <c r="LUK26" s="2692"/>
      <c r="LUL26" s="2692"/>
      <c r="LUM26" s="2692"/>
      <c r="LUN26" s="2692"/>
      <c r="LUO26" s="2692"/>
      <c r="LUP26" s="2692"/>
      <c r="LUQ26" s="2692"/>
      <c r="LUR26" s="2692"/>
      <c r="LUS26" s="2692"/>
      <c r="LUT26" s="2692"/>
      <c r="LUU26" s="2692"/>
      <c r="LUV26" s="2692"/>
      <c r="LUW26" s="2692"/>
      <c r="LUX26" s="2692"/>
      <c r="LUY26" s="2692"/>
      <c r="LUZ26" s="2692"/>
      <c r="LVA26" s="2692"/>
      <c r="LVB26" s="2692"/>
      <c r="LVC26" s="2692"/>
      <c r="LVD26" s="2692"/>
      <c r="LVE26" s="2692"/>
      <c r="LVF26" s="2692"/>
      <c r="LVG26" s="2692"/>
      <c r="LVH26" s="2692"/>
      <c r="LVI26" s="2692"/>
      <c r="LVJ26" s="2692"/>
      <c r="LVK26" s="2692"/>
      <c r="LVL26" s="2692"/>
      <c r="LVM26" s="2692"/>
      <c r="LVN26" s="2692"/>
      <c r="LVO26" s="2692"/>
      <c r="LVP26" s="2692"/>
      <c r="LVQ26" s="2692"/>
      <c r="LVR26" s="2692"/>
      <c r="LVS26" s="2692"/>
      <c r="LVT26" s="2692"/>
      <c r="LVU26" s="2692"/>
      <c r="LVV26" s="2692"/>
      <c r="LVW26" s="2692"/>
      <c r="LVX26" s="2692"/>
      <c r="LVY26" s="2692"/>
      <c r="LVZ26" s="2692"/>
      <c r="LWA26" s="2692"/>
      <c r="LWB26" s="2692"/>
      <c r="LWC26" s="2692"/>
      <c r="LWD26" s="2692"/>
      <c r="LWE26" s="2692"/>
      <c r="LWF26" s="2692"/>
      <c r="LWG26" s="2692"/>
      <c r="LWH26" s="2692"/>
      <c r="LWI26" s="2692"/>
      <c r="LWJ26" s="2692"/>
      <c r="LWK26" s="2692"/>
      <c r="LWL26" s="2692"/>
      <c r="LWM26" s="2692"/>
      <c r="LWN26" s="2692"/>
      <c r="LWO26" s="2692"/>
      <c r="LWP26" s="2692"/>
      <c r="LWQ26" s="2692"/>
      <c r="LWR26" s="2692"/>
      <c r="LWS26" s="2692"/>
      <c r="LWT26" s="2692"/>
      <c r="LWU26" s="2692"/>
      <c r="LWV26" s="2692"/>
      <c r="LWW26" s="2692"/>
      <c r="LWX26" s="2692"/>
      <c r="LWY26" s="2692"/>
      <c r="LWZ26" s="2692"/>
      <c r="LXA26" s="2692"/>
      <c r="LXB26" s="2692"/>
      <c r="LXC26" s="2692"/>
      <c r="LXD26" s="2692"/>
      <c r="LXE26" s="2692"/>
      <c r="LXF26" s="2692"/>
      <c r="LXG26" s="2692"/>
      <c r="LXH26" s="2692"/>
      <c r="LXI26" s="2692"/>
      <c r="LXJ26" s="2692"/>
      <c r="LXK26" s="2692"/>
      <c r="LXL26" s="2692"/>
      <c r="LXM26" s="2692"/>
      <c r="LXN26" s="2692"/>
      <c r="LXO26" s="2692"/>
      <c r="LXP26" s="2692"/>
      <c r="LXQ26" s="2692"/>
      <c r="LXR26" s="2692"/>
      <c r="LXS26" s="2692"/>
      <c r="LXT26" s="2692"/>
      <c r="LXU26" s="2692"/>
      <c r="LXV26" s="2692"/>
      <c r="LXW26" s="2692"/>
      <c r="LXX26" s="2692"/>
      <c r="LXY26" s="2692"/>
      <c r="LXZ26" s="2692"/>
      <c r="LYA26" s="2692"/>
      <c r="LYB26" s="2692"/>
      <c r="LYC26" s="2692"/>
      <c r="LYD26" s="2692"/>
      <c r="LYE26" s="2692"/>
      <c r="LYF26" s="2692"/>
      <c r="LYG26" s="2692"/>
      <c r="LYH26" s="2692"/>
      <c r="LYI26" s="2692"/>
      <c r="LYJ26" s="2692"/>
      <c r="LYK26" s="2692"/>
      <c r="LYL26" s="2692"/>
      <c r="LYM26" s="2692"/>
      <c r="LYN26" s="2692"/>
      <c r="LYO26" s="2692"/>
      <c r="LYP26" s="2692"/>
      <c r="LYQ26" s="2692"/>
      <c r="LYR26" s="2692"/>
      <c r="LYS26" s="2692"/>
      <c r="LYT26" s="2692"/>
      <c r="LYU26" s="2692"/>
      <c r="LYV26" s="2692"/>
      <c r="LYW26" s="2692"/>
      <c r="LYX26" s="2692"/>
      <c r="LYY26" s="2692"/>
      <c r="LYZ26" s="2692"/>
      <c r="LZA26" s="2692"/>
      <c r="LZB26" s="2692"/>
      <c r="LZC26" s="2692"/>
      <c r="LZD26" s="2692"/>
      <c r="LZE26" s="2692"/>
      <c r="LZF26" s="2692"/>
      <c r="LZG26" s="2692"/>
      <c r="LZH26" s="2692"/>
      <c r="LZI26" s="2692"/>
      <c r="LZJ26" s="2692"/>
      <c r="LZK26" s="2692"/>
      <c r="LZL26" s="2692"/>
      <c r="LZM26" s="2692"/>
      <c r="LZN26" s="2692"/>
      <c r="LZO26" s="2692"/>
      <c r="LZP26" s="2692"/>
      <c r="LZQ26" s="2692"/>
      <c r="LZR26" s="2692"/>
      <c r="LZS26" s="2692"/>
      <c r="LZT26" s="2692"/>
      <c r="LZU26" s="2692"/>
      <c r="LZV26" s="2692"/>
      <c r="LZW26" s="2692"/>
      <c r="LZX26" s="2692"/>
      <c r="LZY26" s="2692"/>
      <c r="LZZ26" s="2692"/>
      <c r="MAA26" s="2692"/>
      <c r="MAB26" s="2692"/>
      <c r="MAC26" s="2692"/>
      <c r="MAD26" s="2692"/>
      <c r="MAE26" s="2692"/>
      <c r="MAF26" s="2692"/>
      <c r="MAG26" s="2692"/>
      <c r="MAH26" s="2692"/>
      <c r="MAI26" s="2692"/>
      <c r="MAJ26" s="2692"/>
      <c r="MAK26" s="2692"/>
      <c r="MAL26" s="2692"/>
      <c r="MAM26" s="2692"/>
      <c r="MAN26" s="2692"/>
      <c r="MAO26" s="2692"/>
      <c r="MAP26" s="2692"/>
      <c r="MAQ26" s="2692"/>
      <c r="MAR26" s="2692"/>
      <c r="MAS26" s="2692"/>
      <c r="MAT26" s="2692"/>
      <c r="MAU26" s="2692"/>
      <c r="MAV26" s="2692"/>
      <c r="MAW26" s="2692"/>
      <c r="MAX26" s="2692"/>
      <c r="MAY26" s="2692"/>
      <c r="MAZ26" s="2692"/>
      <c r="MBA26" s="2692"/>
      <c r="MBB26" s="2692"/>
      <c r="MBC26" s="2692"/>
      <c r="MBD26" s="2692"/>
      <c r="MBE26" s="2692"/>
      <c r="MBF26" s="2692"/>
      <c r="MBG26" s="2692"/>
      <c r="MBH26" s="2692"/>
      <c r="MBI26" s="2692"/>
      <c r="MBJ26" s="2692"/>
      <c r="MBK26" s="2692"/>
      <c r="MBL26" s="2692"/>
      <c r="MBM26" s="2692"/>
      <c r="MBN26" s="2692"/>
      <c r="MBO26" s="2692"/>
      <c r="MBP26" s="2692"/>
      <c r="MBQ26" s="2692"/>
      <c r="MBR26" s="2692"/>
      <c r="MBS26" s="2692"/>
      <c r="MBT26" s="2692"/>
      <c r="MBU26" s="2692"/>
      <c r="MBV26" s="2692"/>
      <c r="MBW26" s="2692"/>
      <c r="MBX26" s="2692"/>
      <c r="MBY26" s="2692"/>
      <c r="MBZ26" s="2692"/>
      <c r="MCA26" s="2692"/>
      <c r="MCB26" s="2692"/>
      <c r="MCC26" s="2692"/>
      <c r="MCD26" s="2692"/>
      <c r="MCE26" s="2692"/>
      <c r="MCF26" s="2692"/>
      <c r="MCG26" s="2692"/>
      <c r="MCH26" s="2692"/>
      <c r="MCI26" s="2692"/>
      <c r="MCJ26" s="2692"/>
      <c r="MCK26" s="2692"/>
      <c r="MCL26" s="2692"/>
      <c r="MCM26" s="2692"/>
      <c r="MCN26" s="2692"/>
      <c r="MCO26" s="2692"/>
      <c r="MCP26" s="2692"/>
      <c r="MCQ26" s="2692"/>
      <c r="MCR26" s="2692"/>
      <c r="MCS26" s="2692"/>
      <c r="MCT26" s="2692"/>
      <c r="MCU26" s="2692"/>
      <c r="MCV26" s="2692"/>
      <c r="MCW26" s="2692"/>
      <c r="MCX26" s="2692"/>
      <c r="MCY26" s="2692"/>
      <c r="MCZ26" s="2692"/>
      <c r="MDA26" s="2692"/>
      <c r="MDB26" s="2692"/>
      <c r="MDC26" s="2692"/>
      <c r="MDD26" s="2692"/>
      <c r="MDE26" s="2692"/>
      <c r="MDF26" s="2692"/>
      <c r="MDG26" s="2692"/>
      <c r="MDH26" s="2692"/>
      <c r="MDI26" s="2692"/>
      <c r="MDJ26" s="2692"/>
      <c r="MDK26" s="2692"/>
      <c r="MDL26" s="2692"/>
      <c r="MDM26" s="2692"/>
      <c r="MDN26" s="2692"/>
      <c r="MDO26" s="2692"/>
      <c r="MDP26" s="2692"/>
      <c r="MDQ26" s="2692"/>
      <c r="MDR26" s="2692"/>
      <c r="MDS26" s="2692"/>
      <c r="MDT26" s="2692"/>
      <c r="MDU26" s="2692"/>
      <c r="MDV26" s="2692"/>
      <c r="MDW26" s="2692"/>
      <c r="MDX26" s="2692"/>
      <c r="MDY26" s="2692"/>
      <c r="MDZ26" s="2692"/>
      <c r="MEA26" s="2692"/>
      <c r="MEB26" s="2692"/>
      <c r="MEC26" s="2692"/>
      <c r="MED26" s="2692"/>
      <c r="MEE26" s="2692"/>
      <c r="MEF26" s="2692"/>
      <c r="MEG26" s="2692"/>
      <c r="MEH26" s="2692"/>
      <c r="MEI26" s="2692"/>
      <c r="MEJ26" s="2692"/>
      <c r="MEK26" s="2692"/>
      <c r="MEL26" s="2692"/>
      <c r="MEM26" s="2692"/>
      <c r="MEN26" s="2692"/>
      <c r="MEO26" s="2692"/>
      <c r="MEP26" s="2692"/>
      <c r="MEQ26" s="2692"/>
      <c r="MER26" s="2692"/>
      <c r="MES26" s="2692"/>
      <c r="MET26" s="2692"/>
      <c r="MEU26" s="2692"/>
      <c r="MEV26" s="2692"/>
      <c r="MEW26" s="2692"/>
      <c r="MEX26" s="2692"/>
      <c r="MEY26" s="2692"/>
      <c r="MEZ26" s="2692"/>
      <c r="MFA26" s="2692"/>
      <c r="MFB26" s="2692"/>
      <c r="MFC26" s="2692"/>
      <c r="MFD26" s="2692"/>
      <c r="MFE26" s="2692"/>
      <c r="MFF26" s="2692"/>
      <c r="MFG26" s="2692"/>
      <c r="MFH26" s="2692"/>
      <c r="MFI26" s="2692"/>
      <c r="MFJ26" s="2692"/>
      <c r="MFK26" s="2692"/>
      <c r="MFL26" s="2692"/>
      <c r="MFM26" s="2692"/>
      <c r="MFN26" s="2692"/>
      <c r="MFO26" s="2692"/>
      <c r="MFP26" s="2692"/>
      <c r="MFQ26" s="2692"/>
      <c r="MFR26" s="2692"/>
      <c r="MFS26" s="2692"/>
      <c r="MFT26" s="2692"/>
      <c r="MFU26" s="2692"/>
      <c r="MFV26" s="2692"/>
      <c r="MFW26" s="2692"/>
      <c r="MFX26" s="2692"/>
      <c r="MFY26" s="2692"/>
      <c r="MFZ26" s="2692"/>
      <c r="MGA26" s="2692"/>
      <c r="MGB26" s="2692"/>
      <c r="MGC26" s="2692"/>
      <c r="MGD26" s="2692"/>
      <c r="MGE26" s="2692"/>
      <c r="MGF26" s="2692"/>
      <c r="MGG26" s="2692"/>
      <c r="MGH26" s="2692"/>
      <c r="MGI26" s="2692"/>
      <c r="MGJ26" s="2692"/>
      <c r="MGK26" s="2692"/>
      <c r="MGL26" s="2692"/>
      <c r="MGM26" s="2692"/>
      <c r="MGN26" s="2692"/>
      <c r="MGO26" s="2692"/>
      <c r="MGP26" s="2692"/>
      <c r="MGQ26" s="2692"/>
      <c r="MGR26" s="2692"/>
      <c r="MGS26" s="2692"/>
      <c r="MGT26" s="2692"/>
      <c r="MGU26" s="2692"/>
      <c r="MGV26" s="2692"/>
      <c r="MGW26" s="2692"/>
      <c r="MGX26" s="2692"/>
      <c r="MGY26" s="2692"/>
      <c r="MGZ26" s="2692"/>
      <c r="MHA26" s="2692"/>
      <c r="MHB26" s="2692"/>
      <c r="MHC26" s="2692"/>
      <c r="MHD26" s="2692"/>
      <c r="MHE26" s="2692"/>
      <c r="MHF26" s="2692"/>
      <c r="MHG26" s="2692"/>
      <c r="MHH26" s="2692"/>
      <c r="MHI26" s="2692"/>
      <c r="MHJ26" s="2692"/>
      <c r="MHK26" s="2692"/>
      <c r="MHL26" s="2692"/>
      <c r="MHM26" s="2692"/>
      <c r="MHN26" s="2692"/>
      <c r="MHO26" s="2692"/>
      <c r="MHP26" s="2692"/>
      <c r="MHQ26" s="2692"/>
      <c r="MHR26" s="2692"/>
      <c r="MHS26" s="2692"/>
      <c r="MHT26" s="2692"/>
      <c r="MHU26" s="2692"/>
      <c r="MHV26" s="2692"/>
      <c r="MHW26" s="2692"/>
      <c r="MHX26" s="2692"/>
      <c r="MHY26" s="2692"/>
      <c r="MHZ26" s="2692"/>
      <c r="MIA26" s="2692"/>
      <c r="MIB26" s="2692"/>
      <c r="MIC26" s="2692"/>
      <c r="MID26" s="2692"/>
      <c r="MIE26" s="2692"/>
      <c r="MIF26" s="2692"/>
      <c r="MIG26" s="2692"/>
      <c r="MIH26" s="2692"/>
      <c r="MII26" s="2692"/>
      <c r="MIJ26" s="2692"/>
      <c r="MIK26" s="2692"/>
      <c r="MIL26" s="2692"/>
      <c r="MIM26" s="2692"/>
      <c r="MIN26" s="2692"/>
      <c r="MIO26" s="2692"/>
      <c r="MIP26" s="2692"/>
      <c r="MIQ26" s="2692"/>
      <c r="MIR26" s="2692"/>
      <c r="MIS26" s="2692"/>
      <c r="MIT26" s="2692"/>
      <c r="MIU26" s="2692"/>
      <c r="MIV26" s="2692"/>
      <c r="MIW26" s="2692"/>
      <c r="MIX26" s="2692"/>
      <c r="MIY26" s="2692"/>
      <c r="MIZ26" s="2692"/>
      <c r="MJA26" s="2692"/>
      <c r="MJB26" s="2692"/>
      <c r="MJC26" s="2692"/>
      <c r="MJD26" s="2692"/>
      <c r="MJE26" s="2692"/>
      <c r="MJF26" s="2692"/>
      <c r="MJG26" s="2692"/>
      <c r="MJH26" s="2692"/>
      <c r="MJI26" s="2692"/>
      <c r="MJJ26" s="2692"/>
      <c r="MJK26" s="2692"/>
      <c r="MJL26" s="2692"/>
      <c r="MJM26" s="2692"/>
      <c r="MJN26" s="2692"/>
      <c r="MJO26" s="2692"/>
      <c r="MJP26" s="2692"/>
      <c r="MJQ26" s="2692"/>
      <c r="MJR26" s="2692"/>
      <c r="MJS26" s="2692"/>
      <c r="MJT26" s="2692"/>
      <c r="MJU26" s="2692"/>
      <c r="MJV26" s="2692"/>
      <c r="MJW26" s="2692"/>
      <c r="MJX26" s="2692"/>
      <c r="MJY26" s="2692"/>
      <c r="MJZ26" s="2692"/>
      <c r="MKA26" s="2692"/>
      <c r="MKB26" s="2692"/>
      <c r="MKC26" s="2692"/>
      <c r="MKD26" s="2692"/>
      <c r="MKE26" s="2692"/>
      <c r="MKF26" s="2692"/>
      <c r="MKG26" s="2692"/>
      <c r="MKH26" s="2692"/>
      <c r="MKI26" s="2692"/>
      <c r="MKJ26" s="2692"/>
      <c r="MKK26" s="2692"/>
      <c r="MKL26" s="2692"/>
      <c r="MKM26" s="2692"/>
      <c r="MKN26" s="2692"/>
      <c r="MKO26" s="2692"/>
      <c r="MKP26" s="2692"/>
      <c r="MKQ26" s="2692"/>
      <c r="MKR26" s="2692"/>
      <c r="MKS26" s="2692"/>
      <c r="MKT26" s="2692"/>
      <c r="MKU26" s="2692"/>
      <c r="MKV26" s="2692"/>
      <c r="MKW26" s="2692"/>
      <c r="MKX26" s="2692"/>
      <c r="MKY26" s="2692"/>
      <c r="MKZ26" s="2692"/>
      <c r="MLA26" s="2692"/>
      <c r="MLB26" s="2692"/>
      <c r="MLC26" s="2692"/>
      <c r="MLD26" s="2692"/>
      <c r="MLE26" s="2692"/>
      <c r="MLF26" s="2692"/>
      <c r="MLG26" s="2692"/>
      <c r="MLH26" s="2692"/>
      <c r="MLI26" s="2692"/>
      <c r="MLJ26" s="2692"/>
      <c r="MLK26" s="2692"/>
      <c r="MLL26" s="2692"/>
      <c r="MLM26" s="2692"/>
      <c r="MLN26" s="2692"/>
      <c r="MLO26" s="2692"/>
      <c r="MLP26" s="2692"/>
      <c r="MLQ26" s="2692"/>
      <c r="MLR26" s="2692"/>
      <c r="MLS26" s="2692"/>
      <c r="MLT26" s="2692"/>
      <c r="MLU26" s="2692"/>
      <c r="MLV26" s="2692"/>
      <c r="MLW26" s="2692"/>
      <c r="MLX26" s="2692"/>
      <c r="MLY26" s="2692"/>
      <c r="MLZ26" s="2692"/>
      <c r="MMA26" s="2692"/>
      <c r="MMB26" s="2692"/>
      <c r="MMC26" s="2692"/>
      <c r="MMD26" s="2692"/>
      <c r="MME26" s="2692"/>
      <c r="MMF26" s="2692"/>
      <c r="MMG26" s="2692"/>
      <c r="MMH26" s="2692"/>
      <c r="MMI26" s="2692"/>
      <c r="MMJ26" s="2692"/>
      <c r="MMK26" s="2692"/>
      <c r="MML26" s="2692"/>
      <c r="MMM26" s="2692"/>
      <c r="MMN26" s="2692"/>
      <c r="MMO26" s="2692"/>
      <c r="MMP26" s="2692"/>
      <c r="MMQ26" s="2692"/>
      <c r="MMR26" s="2692"/>
      <c r="MMS26" s="2692"/>
      <c r="MMT26" s="2692"/>
      <c r="MMU26" s="2692"/>
      <c r="MMV26" s="2692"/>
      <c r="MMW26" s="2692"/>
      <c r="MMX26" s="2692"/>
      <c r="MMY26" s="2692"/>
      <c r="MMZ26" s="2692"/>
      <c r="MNA26" s="2692"/>
      <c r="MNB26" s="2692"/>
      <c r="MNC26" s="2692"/>
      <c r="MND26" s="2692"/>
      <c r="MNE26" s="2692"/>
      <c r="MNF26" s="2692"/>
      <c r="MNG26" s="2692"/>
      <c r="MNH26" s="2692"/>
      <c r="MNI26" s="2692"/>
      <c r="MNJ26" s="2692"/>
      <c r="MNK26" s="2692"/>
      <c r="MNL26" s="2692"/>
      <c r="MNM26" s="2692"/>
      <c r="MNN26" s="2692"/>
      <c r="MNO26" s="2692"/>
      <c r="MNP26" s="2692"/>
      <c r="MNQ26" s="2692"/>
      <c r="MNR26" s="2692"/>
      <c r="MNS26" s="2692"/>
      <c r="MNT26" s="2692"/>
      <c r="MNU26" s="2692"/>
      <c r="MNV26" s="2692"/>
      <c r="MNW26" s="2692"/>
      <c r="MNX26" s="2692"/>
      <c r="MNY26" s="2692"/>
      <c r="MNZ26" s="2692"/>
      <c r="MOA26" s="2692"/>
      <c r="MOB26" s="2692"/>
      <c r="MOC26" s="2692"/>
      <c r="MOD26" s="2692"/>
      <c r="MOE26" s="2692"/>
      <c r="MOF26" s="2692"/>
      <c r="MOG26" s="2692"/>
      <c r="MOH26" s="2692"/>
      <c r="MOI26" s="2692"/>
      <c r="MOJ26" s="2692"/>
      <c r="MOK26" s="2692"/>
      <c r="MOL26" s="2692"/>
      <c r="MOM26" s="2692"/>
      <c r="MON26" s="2692"/>
      <c r="MOO26" s="2692"/>
      <c r="MOP26" s="2692"/>
      <c r="MOQ26" s="2692"/>
      <c r="MOR26" s="2692"/>
      <c r="MOS26" s="2692"/>
      <c r="MOT26" s="2692"/>
      <c r="MOU26" s="2692"/>
      <c r="MOV26" s="2692"/>
      <c r="MOW26" s="2692"/>
      <c r="MOX26" s="2692"/>
      <c r="MOY26" s="2692"/>
      <c r="MOZ26" s="2692"/>
      <c r="MPA26" s="2692"/>
      <c r="MPB26" s="2692"/>
      <c r="MPC26" s="2692"/>
      <c r="MPD26" s="2692"/>
      <c r="MPE26" s="2692"/>
      <c r="MPF26" s="2692"/>
      <c r="MPG26" s="2692"/>
      <c r="MPH26" s="2692"/>
      <c r="MPI26" s="2692"/>
      <c r="MPJ26" s="2692"/>
      <c r="MPK26" s="2692"/>
      <c r="MPL26" s="2692"/>
      <c r="MPM26" s="2692"/>
      <c r="MPN26" s="2692"/>
      <c r="MPO26" s="2692"/>
      <c r="MPP26" s="2692"/>
      <c r="MPQ26" s="2692"/>
      <c r="MPR26" s="2692"/>
      <c r="MPS26" s="2692"/>
      <c r="MPT26" s="2692"/>
      <c r="MPU26" s="2692"/>
      <c r="MPV26" s="2692"/>
      <c r="MPW26" s="2692"/>
      <c r="MPX26" s="2692"/>
      <c r="MPY26" s="2692"/>
      <c r="MPZ26" s="2692"/>
      <c r="MQA26" s="2692"/>
      <c r="MQB26" s="2692"/>
      <c r="MQC26" s="2692"/>
      <c r="MQD26" s="2692"/>
      <c r="MQE26" s="2692"/>
      <c r="MQF26" s="2692"/>
      <c r="MQG26" s="2692"/>
      <c r="MQH26" s="2692"/>
      <c r="MQI26" s="2692"/>
      <c r="MQJ26" s="2692"/>
      <c r="MQK26" s="2692"/>
      <c r="MQL26" s="2692"/>
      <c r="MQM26" s="2692"/>
      <c r="MQN26" s="2692"/>
      <c r="MQO26" s="2692"/>
      <c r="MQP26" s="2692"/>
      <c r="MQQ26" s="2692"/>
      <c r="MQR26" s="2692"/>
      <c r="MQS26" s="2692"/>
      <c r="MQT26" s="2692"/>
      <c r="MQU26" s="2692"/>
      <c r="MQV26" s="2692"/>
      <c r="MQW26" s="2692"/>
      <c r="MQX26" s="2692"/>
      <c r="MQY26" s="2692"/>
      <c r="MQZ26" s="2692"/>
      <c r="MRA26" s="2692"/>
      <c r="MRB26" s="2692"/>
      <c r="MRC26" s="2692"/>
      <c r="MRD26" s="2692"/>
      <c r="MRE26" s="2692"/>
      <c r="MRF26" s="2692"/>
      <c r="MRG26" s="2692"/>
      <c r="MRH26" s="2692"/>
      <c r="MRI26" s="2692"/>
      <c r="MRJ26" s="2692"/>
      <c r="MRK26" s="2692"/>
      <c r="MRL26" s="2692"/>
      <c r="MRM26" s="2692"/>
      <c r="MRN26" s="2692"/>
      <c r="MRO26" s="2692"/>
      <c r="MRP26" s="2692"/>
      <c r="MRQ26" s="2692"/>
      <c r="MRR26" s="2692"/>
      <c r="MRS26" s="2692"/>
      <c r="MRT26" s="2692"/>
      <c r="MRU26" s="2692"/>
      <c r="MRV26" s="2692"/>
      <c r="MRW26" s="2692"/>
      <c r="MRX26" s="2692"/>
      <c r="MRY26" s="2692"/>
      <c r="MRZ26" s="2692"/>
      <c r="MSA26" s="2692"/>
      <c r="MSB26" s="2692"/>
      <c r="MSC26" s="2692"/>
      <c r="MSD26" s="2692"/>
      <c r="MSE26" s="2692"/>
      <c r="MSF26" s="2692"/>
      <c r="MSG26" s="2692"/>
      <c r="MSH26" s="2692"/>
      <c r="MSI26" s="2692"/>
      <c r="MSJ26" s="2692"/>
      <c r="MSK26" s="2692"/>
      <c r="MSL26" s="2692"/>
      <c r="MSM26" s="2692"/>
      <c r="MSN26" s="2692"/>
      <c r="MSO26" s="2692"/>
      <c r="MSP26" s="2692"/>
      <c r="MSQ26" s="2692"/>
      <c r="MSR26" s="2692"/>
      <c r="MSS26" s="2692"/>
      <c r="MST26" s="2692"/>
      <c r="MSU26" s="2692"/>
      <c r="MSV26" s="2692"/>
      <c r="MSW26" s="2692"/>
      <c r="MSX26" s="2692"/>
      <c r="MSY26" s="2692"/>
      <c r="MSZ26" s="2692"/>
      <c r="MTA26" s="2692"/>
      <c r="MTB26" s="2692"/>
      <c r="MTC26" s="2692"/>
      <c r="MTD26" s="2692"/>
      <c r="MTE26" s="2692"/>
      <c r="MTF26" s="2692"/>
      <c r="MTG26" s="2692"/>
      <c r="MTH26" s="2692"/>
      <c r="MTI26" s="2692"/>
      <c r="MTJ26" s="2692"/>
      <c r="MTK26" s="2692"/>
      <c r="MTL26" s="2692"/>
      <c r="MTM26" s="2692"/>
      <c r="MTN26" s="2692"/>
      <c r="MTO26" s="2692"/>
      <c r="MTP26" s="2692"/>
      <c r="MTQ26" s="2692"/>
      <c r="MTR26" s="2692"/>
      <c r="MTS26" s="2692"/>
      <c r="MTT26" s="2692"/>
      <c r="MTU26" s="2692"/>
      <c r="MTV26" s="2692"/>
      <c r="MTW26" s="2692"/>
      <c r="MTX26" s="2692"/>
      <c r="MTY26" s="2692"/>
      <c r="MTZ26" s="2692"/>
      <c r="MUA26" s="2692"/>
      <c r="MUB26" s="2692"/>
      <c r="MUC26" s="2692"/>
      <c r="MUD26" s="2692"/>
      <c r="MUE26" s="2692"/>
      <c r="MUF26" s="2692"/>
      <c r="MUG26" s="2692"/>
      <c r="MUH26" s="2692"/>
      <c r="MUI26" s="2692"/>
      <c r="MUJ26" s="2692"/>
      <c r="MUK26" s="2692"/>
      <c r="MUL26" s="2692"/>
      <c r="MUM26" s="2692"/>
      <c r="MUN26" s="2692"/>
      <c r="MUO26" s="2692"/>
      <c r="MUP26" s="2692"/>
      <c r="MUQ26" s="2692"/>
      <c r="MUR26" s="2692"/>
      <c r="MUS26" s="2692"/>
      <c r="MUT26" s="2692"/>
      <c r="MUU26" s="2692"/>
      <c r="MUV26" s="2692"/>
      <c r="MUW26" s="2692"/>
      <c r="MUX26" s="2692"/>
      <c r="MUY26" s="2692"/>
      <c r="MUZ26" s="2692"/>
      <c r="MVA26" s="2692"/>
      <c r="MVB26" s="2692"/>
      <c r="MVC26" s="2692"/>
      <c r="MVD26" s="2692"/>
      <c r="MVE26" s="2692"/>
      <c r="MVF26" s="2692"/>
      <c r="MVG26" s="2692"/>
      <c r="MVH26" s="2692"/>
      <c r="MVI26" s="2692"/>
      <c r="MVJ26" s="2692"/>
      <c r="MVK26" s="2692"/>
      <c r="MVL26" s="2692"/>
      <c r="MVM26" s="2692"/>
      <c r="MVN26" s="2692"/>
      <c r="MVO26" s="2692"/>
      <c r="MVP26" s="2692"/>
      <c r="MVQ26" s="2692"/>
      <c r="MVR26" s="2692"/>
      <c r="MVS26" s="2692"/>
      <c r="MVT26" s="2692"/>
      <c r="MVU26" s="2692"/>
      <c r="MVV26" s="2692"/>
      <c r="MVW26" s="2692"/>
      <c r="MVX26" s="2692"/>
      <c r="MVY26" s="2692"/>
      <c r="MVZ26" s="2692"/>
      <c r="MWA26" s="2692"/>
      <c r="MWB26" s="2692"/>
      <c r="MWC26" s="2692"/>
      <c r="MWD26" s="2692"/>
      <c r="MWE26" s="2692"/>
      <c r="MWF26" s="2692"/>
      <c r="MWG26" s="2692"/>
      <c r="MWH26" s="2692"/>
      <c r="MWI26" s="2692"/>
      <c r="MWJ26" s="2692"/>
      <c r="MWK26" s="2692"/>
      <c r="MWL26" s="2692"/>
      <c r="MWM26" s="2692"/>
      <c r="MWN26" s="2692"/>
      <c r="MWO26" s="2692"/>
      <c r="MWP26" s="2692"/>
      <c r="MWQ26" s="2692"/>
      <c r="MWR26" s="2692"/>
      <c r="MWS26" s="2692"/>
      <c r="MWT26" s="2692"/>
      <c r="MWU26" s="2692"/>
      <c r="MWV26" s="2692"/>
      <c r="MWW26" s="2692"/>
      <c r="MWX26" s="2692"/>
      <c r="MWY26" s="2692"/>
      <c r="MWZ26" s="2692"/>
      <c r="MXA26" s="2692"/>
      <c r="MXB26" s="2692"/>
      <c r="MXC26" s="2692"/>
      <c r="MXD26" s="2692"/>
      <c r="MXE26" s="2692"/>
      <c r="MXF26" s="2692"/>
      <c r="MXG26" s="2692"/>
      <c r="MXH26" s="2692"/>
      <c r="MXI26" s="2692"/>
      <c r="MXJ26" s="2692"/>
      <c r="MXK26" s="2692"/>
      <c r="MXL26" s="2692"/>
      <c r="MXM26" s="2692"/>
      <c r="MXN26" s="2692"/>
      <c r="MXO26" s="2692"/>
      <c r="MXP26" s="2692"/>
      <c r="MXQ26" s="2692"/>
      <c r="MXR26" s="2692"/>
      <c r="MXS26" s="2692"/>
      <c r="MXT26" s="2692"/>
      <c r="MXU26" s="2692"/>
      <c r="MXV26" s="2692"/>
      <c r="MXW26" s="2692"/>
      <c r="MXX26" s="2692"/>
      <c r="MXY26" s="2692"/>
      <c r="MXZ26" s="2692"/>
      <c r="MYA26" s="2692"/>
      <c r="MYB26" s="2692"/>
      <c r="MYC26" s="2692"/>
      <c r="MYD26" s="2692"/>
      <c r="MYE26" s="2692"/>
      <c r="MYF26" s="2692"/>
      <c r="MYG26" s="2692"/>
      <c r="MYH26" s="2692"/>
      <c r="MYI26" s="2692"/>
      <c r="MYJ26" s="2692"/>
      <c r="MYK26" s="2692"/>
      <c r="MYL26" s="2692"/>
      <c r="MYM26" s="2692"/>
      <c r="MYN26" s="2692"/>
      <c r="MYO26" s="2692"/>
      <c r="MYP26" s="2692"/>
      <c r="MYQ26" s="2692"/>
      <c r="MYR26" s="2692"/>
      <c r="MYS26" s="2692"/>
      <c r="MYT26" s="2692"/>
      <c r="MYU26" s="2692"/>
      <c r="MYV26" s="2692"/>
      <c r="MYW26" s="2692"/>
      <c r="MYX26" s="2692"/>
      <c r="MYY26" s="2692"/>
      <c r="MYZ26" s="2692"/>
      <c r="MZA26" s="2692"/>
      <c r="MZB26" s="2692"/>
      <c r="MZC26" s="2692"/>
      <c r="MZD26" s="2692"/>
      <c r="MZE26" s="2692"/>
      <c r="MZF26" s="2692"/>
      <c r="MZG26" s="2692"/>
      <c r="MZH26" s="2692"/>
      <c r="MZI26" s="2692"/>
      <c r="MZJ26" s="2692"/>
      <c r="MZK26" s="2692"/>
      <c r="MZL26" s="2692"/>
      <c r="MZM26" s="2692"/>
      <c r="MZN26" s="2692"/>
      <c r="MZO26" s="2692"/>
      <c r="MZP26" s="2692"/>
      <c r="MZQ26" s="2692"/>
      <c r="MZR26" s="2692"/>
      <c r="MZS26" s="2692"/>
      <c r="MZT26" s="2692"/>
      <c r="MZU26" s="2692"/>
      <c r="MZV26" s="2692"/>
      <c r="MZW26" s="2692"/>
      <c r="MZX26" s="2692"/>
      <c r="MZY26" s="2692"/>
      <c r="MZZ26" s="2692"/>
      <c r="NAA26" s="2692"/>
      <c r="NAB26" s="2692"/>
      <c r="NAC26" s="2692"/>
      <c r="NAD26" s="2692"/>
      <c r="NAE26" s="2692"/>
      <c r="NAF26" s="2692"/>
      <c r="NAG26" s="2692"/>
      <c r="NAH26" s="2692"/>
      <c r="NAI26" s="2692"/>
      <c r="NAJ26" s="2692"/>
      <c r="NAK26" s="2692"/>
      <c r="NAL26" s="2692"/>
      <c r="NAM26" s="2692"/>
      <c r="NAN26" s="2692"/>
      <c r="NAO26" s="2692"/>
      <c r="NAP26" s="2692"/>
      <c r="NAQ26" s="2692"/>
      <c r="NAR26" s="2692"/>
      <c r="NAS26" s="2692"/>
      <c r="NAT26" s="2692"/>
      <c r="NAU26" s="2692"/>
      <c r="NAV26" s="2692"/>
      <c r="NAW26" s="2692"/>
      <c r="NAX26" s="2692"/>
      <c r="NAY26" s="2692"/>
      <c r="NAZ26" s="2692"/>
      <c r="NBA26" s="2692"/>
      <c r="NBB26" s="2692"/>
      <c r="NBC26" s="2692"/>
      <c r="NBD26" s="2692"/>
      <c r="NBE26" s="2692"/>
      <c r="NBF26" s="2692"/>
      <c r="NBG26" s="2692"/>
      <c r="NBH26" s="2692"/>
      <c r="NBI26" s="2692"/>
      <c r="NBJ26" s="2692"/>
      <c r="NBK26" s="2692"/>
      <c r="NBL26" s="2692"/>
      <c r="NBM26" s="2692"/>
      <c r="NBN26" s="2692"/>
      <c r="NBO26" s="2692"/>
      <c r="NBP26" s="2692"/>
      <c r="NBQ26" s="2692"/>
      <c r="NBR26" s="2692"/>
      <c r="NBS26" s="2692"/>
      <c r="NBT26" s="2692"/>
      <c r="NBU26" s="2692"/>
      <c r="NBV26" s="2692"/>
      <c r="NBW26" s="2692"/>
      <c r="NBX26" s="2692"/>
      <c r="NBY26" s="2692"/>
      <c r="NBZ26" s="2692"/>
      <c r="NCA26" s="2692"/>
      <c r="NCB26" s="2692"/>
      <c r="NCC26" s="2692"/>
      <c r="NCD26" s="2692"/>
      <c r="NCE26" s="2692"/>
      <c r="NCF26" s="2692"/>
      <c r="NCG26" s="2692"/>
      <c r="NCH26" s="2692"/>
      <c r="NCI26" s="2692"/>
      <c r="NCJ26" s="2692"/>
      <c r="NCK26" s="2692"/>
      <c r="NCL26" s="2692"/>
      <c r="NCM26" s="2692"/>
      <c r="NCN26" s="2692"/>
      <c r="NCO26" s="2692"/>
      <c r="NCP26" s="2692"/>
      <c r="NCQ26" s="2692"/>
      <c r="NCR26" s="2692"/>
      <c r="NCS26" s="2692"/>
      <c r="NCT26" s="2692"/>
      <c r="NCU26" s="2692"/>
      <c r="NCV26" s="2692"/>
      <c r="NCW26" s="2692"/>
      <c r="NCX26" s="2692"/>
      <c r="NCY26" s="2692"/>
      <c r="NCZ26" s="2692"/>
      <c r="NDA26" s="2692"/>
      <c r="NDB26" s="2692"/>
      <c r="NDC26" s="2692"/>
      <c r="NDD26" s="2692"/>
      <c r="NDE26" s="2692"/>
      <c r="NDF26" s="2692"/>
      <c r="NDG26" s="2692"/>
      <c r="NDH26" s="2692"/>
      <c r="NDI26" s="2692"/>
      <c r="NDJ26" s="2692"/>
      <c r="NDK26" s="2692"/>
      <c r="NDL26" s="2692"/>
      <c r="NDM26" s="2692"/>
      <c r="NDN26" s="2692"/>
      <c r="NDO26" s="2692"/>
      <c r="NDP26" s="2692"/>
      <c r="NDQ26" s="2692"/>
      <c r="NDR26" s="2692"/>
      <c r="NDS26" s="2692"/>
      <c r="NDT26" s="2692"/>
      <c r="NDU26" s="2692"/>
      <c r="NDV26" s="2692"/>
      <c r="NDW26" s="2692"/>
      <c r="NDX26" s="2692"/>
      <c r="NDY26" s="2692"/>
      <c r="NDZ26" s="2692"/>
      <c r="NEA26" s="2692"/>
      <c r="NEB26" s="2692"/>
      <c r="NEC26" s="2692"/>
      <c r="NED26" s="2692"/>
      <c r="NEE26" s="2692"/>
      <c r="NEF26" s="2692"/>
      <c r="NEG26" s="2692"/>
      <c r="NEH26" s="2692"/>
      <c r="NEI26" s="2692"/>
      <c r="NEJ26" s="2692"/>
      <c r="NEK26" s="2692"/>
      <c r="NEL26" s="2692"/>
      <c r="NEM26" s="2692"/>
      <c r="NEN26" s="2692"/>
      <c r="NEO26" s="2692"/>
      <c r="NEP26" s="2692"/>
      <c r="NEQ26" s="2692"/>
      <c r="NER26" s="2692"/>
      <c r="NES26" s="2692"/>
      <c r="NET26" s="2692"/>
      <c r="NEU26" s="2692"/>
      <c r="NEV26" s="2692"/>
      <c r="NEW26" s="2692"/>
      <c r="NEX26" s="2692"/>
      <c r="NEY26" s="2692"/>
      <c r="NEZ26" s="2692"/>
      <c r="NFA26" s="2692"/>
      <c r="NFB26" s="2692"/>
      <c r="NFC26" s="2692"/>
      <c r="NFD26" s="2692"/>
      <c r="NFE26" s="2692"/>
      <c r="NFF26" s="2692"/>
      <c r="NFG26" s="2692"/>
      <c r="NFH26" s="2692"/>
      <c r="NFI26" s="2692"/>
      <c r="NFJ26" s="2692"/>
      <c r="NFK26" s="2692"/>
      <c r="NFL26" s="2692"/>
      <c r="NFM26" s="2692"/>
      <c r="NFN26" s="2692"/>
      <c r="NFO26" s="2692"/>
      <c r="NFP26" s="2692"/>
      <c r="NFQ26" s="2692"/>
      <c r="NFR26" s="2692"/>
      <c r="NFS26" s="2692"/>
      <c r="NFT26" s="2692"/>
      <c r="NFU26" s="2692"/>
      <c r="NFV26" s="2692"/>
      <c r="NFW26" s="2692"/>
      <c r="NFX26" s="2692"/>
      <c r="NFY26" s="2692"/>
      <c r="NFZ26" s="2692"/>
      <c r="NGA26" s="2692"/>
      <c r="NGB26" s="2692"/>
      <c r="NGC26" s="2692"/>
      <c r="NGD26" s="2692"/>
      <c r="NGE26" s="2692"/>
      <c r="NGF26" s="2692"/>
      <c r="NGG26" s="2692"/>
      <c r="NGH26" s="2692"/>
      <c r="NGI26" s="2692"/>
      <c r="NGJ26" s="2692"/>
      <c r="NGK26" s="2692"/>
      <c r="NGL26" s="2692"/>
      <c r="NGM26" s="2692"/>
      <c r="NGN26" s="2692"/>
      <c r="NGO26" s="2692"/>
      <c r="NGP26" s="2692"/>
      <c r="NGQ26" s="2692"/>
      <c r="NGR26" s="2692"/>
      <c r="NGS26" s="2692"/>
      <c r="NGT26" s="2692"/>
      <c r="NGU26" s="2692"/>
      <c r="NGV26" s="2692"/>
      <c r="NGW26" s="2692"/>
      <c r="NGX26" s="2692"/>
      <c r="NGY26" s="2692"/>
      <c r="NGZ26" s="2692"/>
      <c r="NHA26" s="2692"/>
      <c r="NHB26" s="2692"/>
      <c r="NHC26" s="2692"/>
      <c r="NHD26" s="2692"/>
      <c r="NHE26" s="2692"/>
      <c r="NHF26" s="2692"/>
      <c r="NHG26" s="2692"/>
      <c r="NHH26" s="2692"/>
      <c r="NHI26" s="2692"/>
      <c r="NHJ26" s="2692"/>
      <c r="NHK26" s="2692"/>
      <c r="NHL26" s="2692"/>
      <c r="NHM26" s="2692"/>
      <c r="NHN26" s="2692"/>
      <c r="NHO26" s="2692"/>
      <c r="NHP26" s="2692"/>
      <c r="NHQ26" s="2692"/>
      <c r="NHR26" s="2692"/>
      <c r="NHS26" s="2692"/>
      <c r="NHT26" s="2692"/>
      <c r="NHU26" s="2692"/>
      <c r="NHV26" s="2692"/>
      <c r="NHW26" s="2692"/>
      <c r="NHX26" s="2692"/>
      <c r="NHY26" s="2692"/>
      <c r="NHZ26" s="2692"/>
      <c r="NIA26" s="2692"/>
      <c r="NIB26" s="2692"/>
      <c r="NIC26" s="2692"/>
      <c r="NID26" s="2692"/>
      <c r="NIE26" s="2692"/>
      <c r="NIF26" s="2692"/>
      <c r="NIG26" s="2692"/>
      <c r="NIH26" s="2692"/>
      <c r="NII26" s="2692"/>
      <c r="NIJ26" s="2692"/>
      <c r="NIK26" s="2692"/>
      <c r="NIL26" s="2692"/>
      <c r="NIM26" s="2692"/>
      <c r="NIN26" s="2692"/>
      <c r="NIO26" s="2692"/>
      <c r="NIP26" s="2692"/>
      <c r="NIQ26" s="2692"/>
      <c r="NIR26" s="2692"/>
      <c r="NIS26" s="2692"/>
      <c r="NIT26" s="2692"/>
      <c r="NIU26" s="2692"/>
      <c r="NIV26" s="2692"/>
      <c r="NIW26" s="2692"/>
      <c r="NIX26" s="2692"/>
      <c r="NIY26" s="2692"/>
      <c r="NIZ26" s="2692"/>
      <c r="NJA26" s="2692"/>
      <c r="NJB26" s="2692"/>
      <c r="NJC26" s="2692"/>
      <c r="NJD26" s="2692"/>
      <c r="NJE26" s="2692"/>
      <c r="NJF26" s="2692"/>
      <c r="NJG26" s="2692"/>
      <c r="NJH26" s="2692"/>
      <c r="NJI26" s="2692"/>
      <c r="NJJ26" s="2692"/>
      <c r="NJK26" s="2692"/>
      <c r="NJL26" s="2692"/>
      <c r="NJM26" s="2692"/>
      <c r="NJN26" s="2692"/>
      <c r="NJO26" s="2692"/>
      <c r="NJP26" s="2692"/>
      <c r="NJQ26" s="2692"/>
      <c r="NJR26" s="2692"/>
      <c r="NJS26" s="2692"/>
      <c r="NJT26" s="2692"/>
      <c r="NJU26" s="2692"/>
      <c r="NJV26" s="2692"/>
      <c r="NJW26" s="2692"/>
      <c r="NJX26" s="2692"/>
      <c r="NJY26" s="2692"/>
      <c r="NJZ26" s="2692"/>
      <c r="NKA26" s="2692"/>
      <c r="NKB26" s="2692"/>
      <c r="NKC26" s="2692"/>
      <c r="NKD26" s="2692"/>
      <c r="NKE26" s="2692"/>
      <c r="NKF26" s="2692"/>
      <c r="NKG26" s="2692"/>
      <c r="NKH26" s="2692"/>
      <c r="NKI26" s="2692"/>
      <c r="NKJ26" s="2692"/>
      <c r="NKK26" s="2692"/>
      <c r="NKL26" s="2692"/>
      <c r="NKM26" s="2692"/>
      <c r="NKN26" s="2692"/>
      <c r="NKO26" s="2692"/>
      <c r="NKP26" s="2692"/>
      <c r="NKQ26" s="2692"/>
      <c r="NKR26" s="2692"/>
      <c r="NKS26" s="2692"/>
      <c r="NKT26" s="2692"/>
      <c r="NKU26" s="2692"/>
      <c r="NKV26" s="2692"/>
      <c r="NKW26" s="2692"/>
      <c r="NKX26" s="2692"/>
      <c r="NKY26" s="2692"/>
      <c r="NKZ26" s="2692"/>
      <c r="NLA26" s="2692"/>
      <c r="NLB26" s="2692"/>
      <c r="NLC26" s="2692"/>
      <c r="NLD26" s="2692"/>
      <c r="NLE26" s="2692"/>
      <c r="NLF26" s="2692"/>
      <c r="NLG26" s="2692"/>
      <c r="NLH26" s="2692"/>
      <c r="NLI26" s="2692"/>
      <c r="NLJ26" s="2692"/>
      <c r="NLK26" s="2692"/>
      <c r="NLL26" s="2692"/>
      <c r="NLM26" s="2692"/>
      <c r="NLN26" s="2692"/>
      <c r="NLO26" s="2692"/>
      <c r="NLP26" s="2692"/>
      <c r="NLQ26" s="2692"/>
      <c r="NLR26" s="2692"/>
      <c r="NLS26" s="2692"/>
      <c r="NLT26" s="2692"/>
      <c r="NLU26" s="2692"/>
      <c r="NLV26" s="2692"/>
      <c r="NLW26" s="2692"/>
      <c r="NLX26" s="2692"/>
      <c r="NLY26" s="2692"/>
      <c r="NLZ26" s="2692"/>
      <c r="NMA26" s="2692"/>
      <c r="NMB26" s="2692"/>
      <c r="NMC26" s="2692"/>
      <c r="NMD26" s="2692"/>
      <c r="NME26" s="2692"/>
      <c r="NMF26" s="2692"/>
      <c r="NMG26" s="2692"/>
      <c r="NMH26" s="2692"/>
      <c r="NMI26" s="2692"/>
      <c r="NMJ26" s="2692"/>
      <c r="NMK26" s="2692"/>
      <c r="NML26" s="2692"/>
      <c r="NMM26" s="2692"/>
      <c r="NMN26" s="2692"/>
      <c r="NMO26" s="2692"/>
      <c r="NMP26" s="2692"/>
      <c r="NMQ26" s="2692"/>
      <c r="NMR26" s="2692"/>
      <c r="NMS26" s="2692"/>
      <c r="NMT26" s="2692"/>
      <c r="NMU26" s="2692"/>
      <c r="NMV26" s="2692"/>
      <c r="NMW26" s="2692"/>
      <c r="NMX26" s="2692"/>
      <c r="NMY26" s="2692"/>
      <c r="NMZ26" s="2692"/>
      <c r="NNA26" s="2692"/>
      <c r="NNB26" s="2692"/>
      <c r="NNC26" s="2692"/>
      <c r="NND26" s="2692"/>
      <c r="NNE26" s="2692"/>
      <c r="NNF26" s="2692"/>
      <c r="NNG26" s="2692"/>
      <c r="NNH26" s="2692"/>
      <c r="NNI26" s="2692"/>
      <c r="NNJ26" s="2692"/>
      <c r="NNK26" s="2692"/>
      <c r="NNL26" s="2692"/>
      <c r="NNM26" s="2692"/>
      <c r="NNN26" s="2692"/>
      <c r="NNO26" s="2692"/>
      <c r="NNP26" s="2692"/>
      <c r="NNQ26" s="2692"/>
      <c r="NNR26" s="2692"/>
      <c r="NNS26" s="2692"/>
      <c r="NNT26" s="2692"/>
      <c r="NNU26" s="2692"/>
      <c r="NNV26" s="2692"/>
      <c r="NNW26" s="2692"/>
      <c r="NNX26" s="2692"/>
      <c r="NNY26" s="2692"/>
      <c r="NNZ26" s="2692"/>
      <c r="NOA26" s="2692"/>
      <c r="NOB26" s="2692"/>
      <c r="NOC26" s="2692"/>
      <c r="NOD26" s="2692"/>
      <c r="NOE26" s="2692"/>
      <c r="NOF26" s="2692"/>
      <c r="NOG26" s="2692"/>
      <c r="NOH26" s="2692"/>
      <c r="NOI26" s="2692"/>
      <c r="NOJ26" s="2692"/>
      <c r="NOK26" s="2692"/>
      <c r="NOL26" s="2692"/>
      <c r="NOM26" s="2692"/>
      <c r="NON26" s="2692"/>
      <c r="NOO26" s="2692"/>
      <c r="NOP26" s="2692"/>
      <c r="NOQ26" s="2692"/>
      <c r="NOR26" s="2692"/>
      <c r="NOS26" s="2692"/>
      <c r="NOT26" s="2692"/>
      <c r="NOU26" s="2692"/>
      <c r="NOV26" s="2692"/>
      <c r="NOW26" s="2692"/>
      <c r="NOX26" s="2692"/>
      <c r="NOY26" s="2692"/>
      <c r="NOZ26" s="2692"/>
      <c r="NPA26" s="2692"/>
      <c r="NPB26" s="2692"/>
      <c r="NPC26" s="2692"/>
      <c r="NPD26" s="2692"/>
      <c r="NPE26" s="2692"/>
      <c r="NPF26" s="2692"/>
      <c r="NPG26" s="2692"/>
      <c r="NPH26" s="2692"/>
      <c r="NPI26" s="2692"/>
      <c r="NPJ26" s="2692"/>
      <c r="NPK26" s="2692"/>
      <c r="NPL26" s="2692"/>
      <c r="NPM26" s="2692"/>
      <c r="NPN26" s="2692"/>
      <c r="NPO26" s="2692"/>
      <c r="NPP26" s="2692"/>
      <c r="NPQ26" s="2692"/>
      <c r="NPR26" s="2692"/>
      <c r="NPS26" s="2692"/>
      <c r="NPT26" s="2692"/>
      <c r="NPU26" s="2692"/>
      <c r="NPV26" s="2692"/>
      <c r="NPW26" s="2692"/>
      <c r="NPX26" s="2692"/>
      <c r="NPY26" s="2692"/>
      <c r="NPZ26" s="2692"/>
      <c r="NQA26" s="2692"/>
      <c r="NQB26" s="2692"/>
      <c r="NQC26" s="2692"/>
      <c r="NQD26" s="2692"/>
      <c r="NQE26" s="2692"/>
      <c r="NQF26" s="2692"/>
      <c r="NQG26" s="2692"/>
      <c r="NQH26" s="2692"/>
      <c r="NQI26" s="2692"/>
      <c r="NQJ26" s="2692"/>
      <c r="NQK26" s="2692"/>
      <c r="NQL26" s="2692"/>
      <c r="NQM26" s="2692"/>
      <c r="NQN26" s="2692"/>
      <c r="NQO26" s="2692"/>
      <c r="NQP26" s="2692"/>
      <c r="NQQ26" s="2692"/>
      <c r="NQR26" s="2692"/>
      <c r="NQS26" s="2692"/>
      <c r="NQT26" s="2692"/>
      <c r="NQU26" s="2692"/>
      <c r="NQV26" s="2692"/>
      <c r="NQW26" s="2692"/>
      <c r="NQX26" s="2692"/>
      <c r="NQY26" s="2692"/>
      <c r="NQZ26" s="2692"/>
      <c r="NRA26" s="2692"/>
      <c r="NRB26" s="2692"/>
      <c r="NRC26" s="2692"/>
      <c r="NRD26" s="2692"/>
      <c r="NRE26" s="2692"/>
      <c r="NRF26" s="2692"/>
      <c r="NRG26" s="2692"/>
      <c r="NRH26" s="2692"/>
      <c r="NRI26" s="2692"/>
      <c r="NRJ26" s="2692"/>
      <c r="NRK26" s="2692"/>
      <c r="NRL26" s="2692"/>
      <c r="NRM26" s="2692"/>
      <c r="NRN26" s="2692"/>
      <c r="NRO26" s="2692"/>
      <c r="NRP26" s="2692"/>
      <c r="NRQ26" s="2692"/>
      <c r="NRR26" s="2692"/>
      <c r="NRS26" s="2692"/>
      <c r="NRT26" s="2692"/>
      <c r="NRU26" s="2692"/>
      <c r="NRV26" s="2692"/>
      <c r="NRW26" s="2692"/>
      <c r="NRX26" s="2692"/>
      <c r="NRY26" s="2692"/>
      <c r="NRZ26" s="2692"/>
      <c r="NSA26" s="2692"/>
      <c r="NSB26" s="2692"/>
      <c r="NSC26" s="2692"/>
      <c r="NSD26" s="2692"/>
      <c r="NSE26" s="2692"/>
      <c r="NSF26" s="2692"/>
      <c r="NSG26" s="2692"/>
      <c r="NSH26" s="2692"/>
      <c r="NSI26" s="2692"/>
      <c r="NSJ26" s="2692"/>
      <c r="NSK26" s="2692"/>
      <c r="NSL26" s="2692"/>
      <c r="NSM26" s="2692"/>
      <c r="NSN26" s="2692"/>
      <c r="NSO26" s="2692"/>
      <c r="NSP26" s="2692"/>
      <c r="NSQ26" s="2692"/>
      <c r="NSR26" s="2692"/>
      <c r="NSS26" s="2692"/>
      <c r="NST26" s="2692"/>
      <c r="NSU26" s="2692"/>
      <c r="NSV26" s="2692"/>
      <c r="NSW26" s="2692"/>
      <c r="NSX26" s="2692"/>
      <c r="NSY26" s="2692"/>
      <c r="NSZ26" s="2692"/>
      <c r="NTA26" s="2692"/>
      <c r="NTB26" s="2692"/>
      <c r="NTC26" s="2692"/>
      <c r="NTD26" s="2692"/>
      <c r="NTE26" s="2692"/>
      <c r="NTF26" s="2692"/>
      <c r="NTG26" s="2692"/>
      <c r="NTH26" s="2692"/>
      <c r="NTI26" s="2692"/>
      <c r="NTJ26" s="2692"/>
      <c r="NTK26" s="2692"/>
      <c r="NTL26" s="2692"/>
      <c r="NTM26" s="2692"/>
      <c r="NTN26" s="2692"/>
      <c r="NTO26" s="2692"/>
      <c r="NTP26" s="2692"/>
      <c r="NTQ26" s="2692"/>
      <c r="NTR26" s="2692"/>
      <c r="NTS26" s="2692"/>
      <c r="NTT26" s="2692"/>
      <c r="NTU26" s="2692"/>
      <c r="NTV26" s="2692"/>
      <c r="NTW26" s="2692"/>
      <c r="NTX26" s="2692"/>
      <c r="NTY26" s="2692"/>
      <c r="NTZ26" s="2692"/>
      <c r="NUA26" s="2692"/>
      <c r="NUB26" s="2692"/>
      <c r="NUC26" s="2692"/>
      <c r="NUD26" s="2692"/>
      <c r="NUE26" s="2692"/>
      <c r="NUF26" s="2692"/>
      <c r="NUG26" s="2692"/>
      <c r="NUH26" s="2692"/>
      <c r="NUI26" s="2692"/>
      <c r="NUJ26" s="2692"/>
      <c r="NUK26" s="2692"/>
      <c r="NUL26" s="2692"/>
      <c r="NUM26" s="2692"/>
      <c r="NUN26" s="2692"/>
      <c r="NUO26" s="2692"/>
      <c r="NUP26" s="2692"/>
      <c r="NUQ26" s="2692"/>
      <c r="NUR26" s="2692"/>
      <c r="NUS26" s="2692"/>
      <c r="NUT26" s="2692"/>
      <c r="NUU26" s="2692"/>
      <c r="NUV26" s="2692"/>
      <c r="NUW26" s="2692"/>
      <c r="NUX26" s="2692"/>
      <c r="NUY26" s="2692"/>
      <c r="NUZ26" s="2692"/>
      <c r="NVA26" s="2692"/>
      <c r="NVB26" s="2692"/>
      <c r="NVC26" s="2692"/>
      <c r="NVD26" s="2692"/>
      <c r="NVE26" s="2692"/>
      <c r="NVF26" s="2692"/>
      <c r="NVG26" s="2692"/>
      <c r="NVH26" s="2692"/>
      <c r="NVI26" s="2692"/>
      <c r="NVJ26" s="2692"/>
      <c r="NVK26" s="2692"/>
      <c r="NVL26" s="2692"/>
      <c r="NVM26" s="2692"/>
      <c r="NVN26" s="2692"/>
      <c r="NVO26" s="2692"/>
      <c r="NVP26" s="2692"/>
      <c r="NVQ26" s="2692"/>
      <c r="NVR26" s="2692"/>
      <c r="NVS26" s="2692"/>
      <c r="NVT26" s="2692"/>
      <c r="NVU26" s="2692"/>
      <c r="NVV26" s="2692"/>
      <c r="NVW26" s="2692"/>
      <c r="NVX26" s="2692"/>
      <c r="NVY26" s="2692"/>
      <c r="NVZ26" s="2692"/>
      <c r="NWA26" s="2692"/>
      <c r="NWB26" s="2692"/>
      <c r="NWC26" s="2692"/>
      <c r="NWD26" s="2692"/>
      <c r="NWE26" s="2692"/>
      <c r="NWF26" s="2692"/>
      <c r="NWG26" s="2692"/>
      <c r="NWH26" s="2692"/>
      <c r="NWI26" s="2692"/>
      <c r="NWJ26" s="2692"/>
      <c r="NWK26" s="2692"/>
      <c r="NWL26" s="2692"/>
      <c r="NWM26" s="2692"/>
      <c r="NWN26" s="2692"/>
      <c r="NWO26" s="2692"/>
      <c r="NWP26" s="2692"/>
      <c r="NWQ26" s="2692"/>
      <c r="NWR26" s="2692"/>
      <c r="NWS26" s="2692"/>
      <c r="NWT26" s="2692"/>
      <c r="NWU26" s="2692"/>
      <c r="NWV26" s="2692"/>
      <c r="NWW26" s="2692"/>
      <c r="NWX26" s="2692"/>
      <c r="NWY26" s="2692"/>
      <c r="NWZ26" s="2692"/>
      <c r="NXA26" s="2692"/>
      <c r="NXB26" s="2692"/>
      <c r="NXC26" s="2692"/>
      <c r="NXD26" s="2692"/>
      <c r="NXE26" s="2692"/>
      <c r="NXF26" s="2692"/>
      <c r="NXG26" s="2692"/>
      <c r="NXH26" s="2692"/>
      <c r="NXI26" s="2692"/>
      <c r="NXJ26" s="2692"/>
      <c r="NXK26" s="2692"/>
      <c r="NXL26" s="2692"/>
      <c r="NXM26" s="2692"/>
      <c r="NXN26" s="2692"/>
      <c r="NXO26" s="2692"/>
      <c r="NXP26" s="2692"/>
      <c r="NXQ26" s="2692"/>
      <c r="NXR26" s="2692"/>
      <c r="NXS26" s="2692"/>
      <c r="NXT26" s="2692"/>
      <c r="NXU26" s="2692"/>
      <c r="NXV26" s="2692"/>
      <c r="NXW26" s="2692"/>
      <c r="NXX26" s="2692"/>
      <c r="NXY26" s="2692"/>
      <c r="NXZ26" s="2692"/>
      <c r="NYA26" s="2692"/>
      <c r="NYB26" s="2692"/>
      <c r="NYC26" s="2692"/>
      <c r="NYD26" s="2692"/>
      <c r="NYE26" s="2692"/>
      <c r="NYF26" s="2692"/>
      <c r="NYG26" s="2692"/>
      <c r="NYH26" s="2692"/>
      <c r="NYI26" s="2692"/>
      <c r="NYJ26" s="2692"/>
      <c r="NYK26" s="2692"/>
      <c r="NYL26" s="2692"/>
      <c r="NYM26" s="2692"/>
      <c r="NYN26" s="2692"/>
      <c r="NYO26" s="2692"/>
      <c r="NYP26" s="2692"/>
      <c r="NYQ26" s="2692"/>
      <c r="NYR26" s="2692"/>
      <c r="NYS26" s="2692"/>
      <c r="NYT26" s="2692"/>
      <c r="NYU26" s="2692"/>
      <c r="NYV26" s="2692"/>
      <c r="NYW26" s="2692"/>
      <c r="NYX26" s="2692"/>
      <c r="NYY26" s="2692"/>
      <c r="NYZ26" s="2692"/>
      <c r="NZA26" s="2692"/>
      <c r="NZB26" s="2692"/>
      <c r="NZC26" s="2692"/>
      <c r="NZD26" s="2692"/>
      <c r="NZE26" s="2692"/>
      <c r="NZF26" s="2692"/>
      <c r="NZG26" s="2692"/>
      <c r="NZH26" s="2692"/>
      <c r="NZI26" s="2692"/>
      <c r="NZJ26" s="2692"/>
      <c r="NZK26" s="2692"/>
      <c r="NZL26" s="2692"/>
      <c r="NZM26" s="2692"/>
      <c r="NZN26" s="2692"/>
      <c r="NZO26" s="2692"/>
      <c r="NZP26" s="2692"/>
      <c r="NZQ26" s="2692"/>
      <c r="NZR26" s="2692"/>
      <c r="NZS26" s="2692"/>
      <c r="NZT26" s="2692"/>
      <c r="NZU26" s="2692"/>
      <c r="NZV26" s="2692"/>
      <c r="NZW26" s="2692"/>
      <c r="NZX26" s="2692"/>
      <c r="NZY26" s="2692"/>
      <c r="NZZ26" s="2692"/>
      <c r="OAA26" s="2692"/>
      <c r="OAB26" s="2692"/>
      <c r="OAC26" s="2692"/>
      <c r="OAD26" s="2692"/>
      <c r="OAE26" s="2692"/>
      <c r="OAF26" s="2692"/>
      <c r="OAG26" s="2692"/>
      <c r="OAH26" s="2692"/>
      <c r="OAI26" s="2692"/>
      <c r="OAJ26" s="2692"/>
      <c r="OAK26" s="2692"/>
      <c r="OAL26" s="2692"/>
      <c r="OAM26" s="2692"/>
      <c r="OAN26" s="2692"/>
      <c r="OAO26" s="2692"/>
      <c r="OAP26" s="2692"/>
      <c r="OAQ26" s="2692"/>
      <c r="OAR26" s="2692"/>
      <c r="OAS26" s="2692"/>
      <c r="OAT26" s="2692"/>
      <c r="OAU26" s="2692"/>
      <c r="OAV26" s="2692"/>
      <c r="OAW26" s="2692"/>
      <c r="OAX26" s="2692"/>
      <c r="OAY26" s="2692"/>
      <c r="OAZ26" s="2692"/>
      <c r="OBA26" s="2692"/>
      <c r="OBB26" s="2692"/>
      <c r="OBC26" s="2692"/>
      <c r="OBD26" s="2692"/>
      <c r="OBE26" s="2692"/>
      <c r="OBF26" s="2692"/>
      <c r="OBG26" s="2692"/>
      <c r="OBH26" s="2692"/>
      <c r="OBI26" s="2692"/>
      <c r="OBJ26" s="2692"/>
      <c r="OBK26" s="2692"/>
      <c r="OBL26" s="2692"/>
      <c r="OBM26" s="2692"/>
      <c r="OBN26" s="2692"/>
      <c r="OBO26" s="2692"/>
      <c r="OBP26" s="2692"/>
      <c r="OBQ26" s="2692"/>
      <c r="OBR26" s="2692"/>
      <c r="OBS26" s="2692"/>
      <c r="OBT26" s="2692"/>
      <c r="OBU26" s="2692"/>
      <c r="OBV26" s="2692"/>
      <c r="OBW26" s="2692"/>
      <c r="OBX26" s="2692"/>
      <c r="OBY26" s="2692"/>
      <c r="OBZ26" s="2692"/>
      <c r="OCA26" s="2692"/>
      <c r="OCB26" s="2692"/>
      <c r="OCC26" s="2692"/>
      <c r="OCD26" s="2692"/>
      <c r="OCE26" s="2692"/>
      <c r="OCF26" s="2692"/>
      <c r="OCG26" s="2692"/>
      <c r="OCH26" s="2692"/>
      <c r="OCI26" s="2692"/>
      <c r="OCJ26" s="2692"/>
      <c r="OCK26" s="2692"/>
      <c r="OCL26" s="2692"/>
      <c r="OCM26" s="2692"/>
      <c r="OCN26" s="2692"/>
      <c r="OCO26" s="2692"/>
      <c r="OCP26" s="2692"/>
      <c r="OCQ26" s="2692"/>
      <c r="OCR26" s="2692"/>
      <c r="OCS26" s="2692"/>
      <c r="OCT26" s="2692"/>
      <c r="OCU26" s="2692"/>
      <c r="OCV26" s="2692"/>
      <c r="OCW26" s="2692"/>
      <c r="OCX26" s="2692"/>
      <c r="OCY26" s="2692"/>
      <c r="OCZ26" s="2692"/>
      <c r="ODA26" s="2692"/>
      <c r="ODB26" s="2692"/>
      <c r="ODC26" s="2692"/>
      <c r="ODD26" s="2692"/>
      <c r="ODE26" s="2692"/>
      <c r="ODF26" s="2692"/>
      <c r="ODG26" s="2692"/>
      <c r="ODH26" s="2692"/>
      <c r="ODI26" s="2692"/>
      <c r="ODJ26" s="2692"/>
      <c r="ODK26" s="2692"/>
      <c r="ODL26" s="2692"/>
      <c r="ODM26" s="2692"/>
      <c r="ODN26" s="2692"/>
      <c r="ODO26" s="2692"/>
      <c r="ODP26" s="2692"/>
      <c r="ODQ26" s="2692"/>
      <c r="ODR26" s="2692"/>
      <c r="ODS26" s="2692"/>
      <c r="ODT26" s="2692"/>
      <c r="ODU26" s="2692"/>
      <c r="ODV26" s="2692"/>
      <c r="ODW26" s="2692"/>
      <c r="ODX26" s="2692"/>
      <c r="ODY26" s="2692"/>
      <c r="ODZ26" s="2692"/>
      <c r="OEA26" s="2692"/>
      <c r="OEB26" s="2692"/>
      <c r="OEC26" s="2692"/>
      <c r="OED26" s="2692"/>
      <c r="OEE26" s="2692"/>
      <c r="OEF26" s="2692"/>
      <c r="OEG26" s="2692"/>
      <c r="OEH26" s="2692"/>
      <c r="OEI26" s="2692"/>
      <c r="OEJ26" s="2692"/>
      <c r="OEK26" s="2692"/>
      <c r="OEL26" s="2692"/>
      <c r="OEM26" s="2692"/>
      <c r="OEN26" s="2692"/>
      <c r="OEO26" s="2692"/>
      <c r="OEP26" s="2692"/>
      <c r="OEQ26" s="2692"/>
      <c r="OER26" s="2692"/>
      <c r="OES26" s="2692"/>
      <c r="OET26" s="2692"/>
      <c r="OEU26" s="2692"/>
      <c r="OEV26" s="2692"/>
      <c r="OEW26" s="2692"/>
      <c r="OEX26" s="2692"/>
      <c r="OEY26" s="2692"/>
      <c r="OEZ26" s="2692"/>
      <c r="OFA26" s="2692"/>
      <c r="OFB26" s="2692"/>
      <c r="OFC26" s="2692"/>
      <c r="OFD26" s="2692"/>
      <c r="OFE26" s="2692"/>
      <c r="OFF26" s="2692"/>
      <c r="OFG26" s="2692"/>
      <c r="OFH26" s="2692"/>
      <c r="OFI26" s="2692"/>
      <c r="OFJ26" s="2692"/>
      <c r="OFK26" s="2692"/>
      <c r="OFL26" s="2692"/>
      <c r="OFM26" s="2692"/>
      <c r="OFN26" s="2692"/>
      <c r="OFO26" s="2692"/>
      <c r="OFP26" s="2692"/>
      <c r="OFQ26" s="2692"/>
      <c r="OFR26" s="2692"/>
      <c r="OFS26" s="2692"/>
      <c r="OFT26" s="2692"/>
      <c r="OFU26" s="2692"/>
      <c r="OFV26" s="2692"/>
      <c r="OFW26" s="2692"/>
      <c r="OFX26" s="2692"/>
      <c r="OFY26" s="2692"/>
      <c r="OFZ26" s="2692"/>
      <c r="OGA26" s="2692"/>
      <c r="OGB26" s="2692"/>
      <c r="OGC26" s="2692"/>
      <c r="OGD26" s="2692"/>
      <c r="OGE26" s="2692"/>
      <c r="OGF26" s="2692"/>
      <c r="OGG26" s="2692"/>
      <c r="OGH26" s="2692"/>
      <c r="OGI26" s="2692"/>
      <c r="OGJ26" s="2692"/>
      <c r="OGK26" s="2692"/>
      <c r="OGL26" s="2692"/>
      <c r="OGM26" s="2692"/>
      <c r="OGN26" s="2692"/>
      <c r="OGO26" s="2692"/>
      <c r="OGP26" s="2692"/>
      <c r="OGQ26" s="2692"/>
      <c r="OGR26" s="2692"/>
      <c r="OGS26" s="2692"/>
      <c r="OGT26" s="2692"/>
      <c r="OGU26" s="2692"/>
      <c r="OGV26" s="2692"/>
      <c r="OGW26" s="2692"/>
      <c r="OGX26" s="2692"/>
      <c r="OGY26" s="2692"/>
      <c r="OGZ26" s="2692"/>
      <c r="OHA26" s="2692"/>
      <c r="OHB26" s="2692"/>
      <c r="OHC26" s="2692"/>
      <c r="OHD26" s="2692"/>
      <c r="OHE26" s="2692"/>
      <c r="OHF26" s="2692"/>
      <c r="OHG26" s="2692"/>
      <c r="OHH26" s="2692"/>
      <c r="OHI26" s="2692"/>
      <c r="OHJ26" s="2692"/>
      <c r="OHK26" s="2692"/>
      <c r="OHL26" s="2692"/>
      <c r="OHM26" s="2692"/>
      <c r="OHN26" s="2692"/>
      <c r="OHO26" s="2692"/>
      <c r="OHP26" s="2692"/>
      <c r="OHQ26" s="2692"/>
      <c r="OHR26" s="2692"/>
      <c r="OHS26" s="2692"/>
      <c r="OHT26" s="2692"/>
      <c r="OHU26" s="2692"/>
      <c r="OHV26" s="2692"/>
      <c r="OHW26" s="2692"/>
      <c r="OHX26" s="2692"/>
      <c r="OHY26" s="2692"/>
      <c r="OHZ26" s="2692"/>
      <c r="OIA26" s="2692"/>
      <c r="OIB26" s="2692"/>
      <c r="OIC26" s="2692"/>
      <c r="OID26" s="2692"/>
      <c r="OIE26" s="2692"/>
      <c r="OIF26" s="2692"/>
      <c r="OIG26" s="2692"/>
      <c r="OIH26" s="2692"/>
      <c r="OII26" s="2692"/>
      <c r="OIJ26" s="2692"/>
      <c r="OIK26" s="2692"/>
      <c r="OIL26" s="2692"/>
      <c r="OIM26" s="2692"/>
      <c r="OIN26" s="2692"/>
      <c r="OIO26" s="2692"/>
      <c r="OIP26" s="2692"/>
      <c r="OIQ26" s="2692"/>
      <c r="OIR26" s="2692"/>
      <c r="OIS26" s="2692"/>
      <c r="OIT26" s="2692"/>
      <c r="OIU26" s="2692"/>
      <c r="OIV26" s="2692"/>
      <c r="OIW26" s="2692"/>
      <c r="OIX26" s="2692"/>
      <c r="OIY26" s="2692"/>
      <c r="OIZ26" s="2692"/>
      <c r="OJA26" s="2692"/>
      <c r="OJB26" s="2692"/>
      <c r="OJC26" s="2692"/>
      <c r="OJD26" s="2692"/>
      <c r="OJE26" s="2692"/>
      <c r="OJF26" s="2692"/>
      <c r="OJG26" s="2692"/>
      <c r="OJH26" s="2692"/>
      <c r="OJI26" s="2692"/>
      <c r="OJJ26" s="2692"/>
      <c r="OJK26" s="2692"/>
      <c r="OJL26" s="2692"/>
      <c r="OJM26" s="2692"/>
      <c r="OJN26" s="2692"/>
      <c r="OJO26" s="2692"/>
      <c r="OJP26" s="2692"/>
      <c r="OJQ26" s="2692"/>
      <c r="OJR26" s="2692"/>
      <c r="OJS26" s="2692"/>
      <c r="OJT26" s="2692"/>
      <c r="OJU26" s="2692"/>
      <c r="OJV26" s="2692"/>
      <c r="OJW26" s="2692"/>
      <c r="OJX26" s="2692"/>
      <c r="OJY26" s="2692"/>
      <c r="OJZ26" s="2692"/>
      <c r="OKA26" s="2692"/>
      <c r="OKB26" s="2692"/>
      <c r="OKC26" s="2692"/>
      <c r="OKD26" s="2692"/>
      <c r="OKE26" s="2692"/>
      <c r="OKF26" s="2692"/>
      <c r="OKG26" s="2692"/>
      <c r="OKH26" s="2692"/>
      <c r="OKI26" s="2692"/>
      <c r="OKJ26" s="2692"/>
      <c r="OKK26" s="2692"/>
      <c r="OKL26" s="2692"/>
      <c r="OKM26" s="2692"/>
      <c r="OKN26" s="2692"/>
      <c r="OKO26" s="2692"/>
      <c r="OKP26" s="2692"/>
      <c r="OKQ26" s="2692"/>
      <c r="OKR26" s="2692"/>
      <c r="OKS26" s="2692"/>
      <c r="OKT26" s="2692"/>
      <c r="OKU26" s="2692"/>
      <c r="OKV26" s="2692"/>
      <c r="OKW26" s="2692"/>
      <c r="OKX26" s="2692"/>
      <c r="OKY26" s="2692"/>
      <c r="OKZ26" s="2692"/>
      <c r="OLA26" s="2692"/>
      <c r="OLB26" s="2692"/>
      <c r="OLC26" s="2692"/>
      <c r="OLD26" s="2692"/>
      <c r="OLE26" s="2692"/>
      <c r="OLF26" s="2692"/>
      <c r="OLG26" s="2692"/>
      <c r="OLH26" s="2692"/>
      <c r="OLI26" s="2692"/>
      <c r="OLJ26" s="2692"/>
      <c r="OLK26" s="2692"/>
      <c r="OLL26" s="2692"/>
      <c r="OLM26" s="2692"/>
      <c r="OLN26" s="2692"/>
      <c r="OLO26" s="2692"/>
      <c r="OLP26" s="2692"/>
      <c r="OLQ26" s="2692"/>
      <c r="OLR26" s="2692"/>
      <c r="OLS26" s="2692"/>
      <c r="OLT26" s="2692"/>
      <c r="OLU26" s="2692"/>
      <c r="OLV26" s="2692"/>
      <c r="OLW26" s="2692"/>
      <c r="OLX26" s="2692"/>
      <c r="OLY26" s="2692"/>
      <c r="OLZ26" s="2692"/>
      <c r="OMA26" s="2692"/>
      <c r="OMB26" s="2692"/>
      <c r="OMC26" s="2692"/>
      <c r="OMD26" s="2692"/>
      <c r="OME26" s="2692"/>
      <c r="OMF26" s="2692"/>
      <c r="OMG26" s="2692"/>
      <c r="OMH26" s="2692"/>
      <c r="OMI26" s="2692"/>
      <c r="OMJ26" s="2692"/>
      <c r="OMK26" s="2692"/>
      <c r="OML26" s="2692"/>
      <c r="OMM26" s="2692"/>
      <c r="OMN26" s="2692"/>
      <c r="OMO26" s="2692"/>
      <c r="OMP26" s="2692"/>
      <c r="OMQ26" s="2692"/>
      <c r="OMR26" s="2692"/>
      <c r="OMS26" s="2692"/>
      <c r="OMT26" s="2692"/>
      <c r="OMU26" s="2692"/>
      <c r="OMV26" s="2692"/>
      <c r="OMW26" s="2692"/>
      <c r="OMX26" s="2692"/>
      <c r="OMY26" s="2692"/>
      <c r="OMZ26" s="2692"/>
      <c r="ONA26" s="2692"/>
      <c r="ONB26" s="2692"/>
      <c r="ONC26" s="2692"/>
      <c r="OND26" s="2692"/>
      <c r="ONE26" s="2692"/>
      <c r="ONF26" s="2692"/>
      <c r="ONG26" s="2692"/>
      <c r="ONH26" s="2692"/>
      <c r="ONI26" s="2692"/>
      <c r="ONJ26" s="2692"/>
      <c r="ONK26" s="2692"/>
      <c r="ONL26" s="2692"/>
      <c r="ONM26" s="2692"/>
      <c r="ONN26" s="2692"/>
      <c r="ONO26" s="2692"/>
      <c r="ONP26" s="2692"/>
      <c r="ONQ26" s="2692"/>
      <c r="ONR26" s="2692"/>
      <c r="ONS26" s="2692"/>
      <c r="ONT26" s="2692"/>
      <c r="ONU26" s="2692"/>
      <c r="ONV26" s="2692"/>
      <c r="ONW26" s="2692"/>
      <c r="ONX26" s="2692"/>
      <c r="ONY26" s="2692"/>
      <c r="ONZ26" s="2692"/>
      <c r="OOA26" s="2692"/>
      <c r="OOB26" s="2692"/>
      <c r="OOC26" s="2692"/>
      <c r="OOD26" s="2692"/>
      <c r="OOE26" s="2692"/>
      <c r="OOF26" s="2692"/>
      <c r="OOG26" s="2692"/>
      <c r="OOH26" s="2692"/>
      <c r="OOI26" s="2692"/>
      <c r="OOJ26" s="2692"/>
      <c r="OOK26" s="2692"/>
      <c r="OOL26" s="2692"/>
      <c r="OOM26" s="2692"/>
      <c r="OON26" s="2692"/>
      <c r="OOO26" s="2692"/>
      <c r="OOP26" s="2692"/>
      <c r="OOQ26" s="2692"/>
      <c r="OOR26" s="2692"/>
      <c r="OOS26" s="2692"/>
      <c r="OOT26" s="2692"/>
      <c r="OOU26" s="2692"/>
      <c r="OOV26" s="2692"/>
      <c r="OOW26" s="2692"/>
      <c r="OOX26" s="2692"/>
      <c r="OOY26" s="2692"/>
      <c r="OOZ26" s="2692"/>
      <c r="OPA26" s="2692"/>
      <c r="OPB26" s="2692"/>
      <c r="OPC26" s="2692"/>
      <c r="OPD26" s="2692"/>
      <c r="OPE26" s="2692"/>
      <c r="OPF26" s="2692"/>
      <c r="OPG26" s="2692"/>
      <c r="OPH26" s="2692"/>
      <c r="OPI26" s="2692"/>
      <c r="OPJ26" s="2692"/>
      <c r="OPK26" s="2692"/>
      <c r="OPL26" s="2692"/>
      <c r="OPM26" s="2692"/>
      <c r="OPN26" s="2692"/>
      <c r="OPO26" s="2692"/>
      <c r="OPP26" s="2692"/>
      <c r="OPQ26" s="2692"/>
      <c r="OPR26" s="2692"/>
      <c r="OPS26" s="2692"/>
      <c r="OPT26" s="2692"/>
      <c r="OPU26" s="2692"/>
      <c r="OPV26" s="2692"/>
      <c r="OPW26" s="2692"/>
      <c r="OPX26" s="2692"/>
      <c r="OPY26" s="2692"/>
      <c r="OPZ26" s="2692"/>
      <c r="OQA26" s="2692"/>
      <c r="OQB26" s="2692"/>
      <c r="OQC26" s="2692"/>
      <c r="OQD26" s="2692"/>
      <c r="OQE26" s="2692"/>
      <c r="OQF26" s="2692"/>
      <c r="OQG26" s="2692"/>
      <c r="OQH26" s="2692"/>
      <c r="OQI26" s="2692"/>
      <c r="OQJ26" s="2692"/>
      <c r="OQK26" s="2692"/>
      <c r="OQL26" s="2692"/>
      <c r="OQM26" s="2692"/>
      <c r="OQN26" s="2692"/>
      <c r="OQO26" s="2692"/>
      <c r="OQP26" s="2692"/>
      <c r="OQQ26" s="2692"/>
      <c r="OQR26" s="2692"/>
      <c r="OQS26" s="2692"/>
      <c r="OQT26" s="2692"/>
      <c r="OQU26" s="2692"/>
      <c r="OQV26" s="2692"/>
      <c r="OQW26" s="2692"/>
      <c r="OQX26" s="2692"/>
      <c r="OQY26" s="2692"/>
      <c r="OQZ26" s="2692"/>
      <c r="ORA26" s="2692"/>
      <c r="ORB26" s="2692"/>
      <c r="ORC26" s="2692"/>
      <c r="ORD26" s="2692"/>
      <c r="ORE26" s="2692"/>
      <c r="ORF26" s="2692"/>
      <c r="ORG26" s="2692"/>
      <c r="ORH26" s="2692"/>
      <c r="ORI26" s="2692"/>
      <c r="ORJ26" s="2692"/>
      <c r="ORK26" s="2692"/>
      <c r="ORL26" s="2692"/>
      <c r="ORM26" s="2692"/>
      <c r="ORN26" s="2692"/>
      <c r="ORO26" s="2692"/>
      <c r="ORP26" s="2692"/>
      <c r="ORQ26" s="2692"/>
      <c r="ORR26" s="2692"/>
      <c r="ORS26" s="2692"/>
      <c r="ORT26" s="2692"/>
      <c r="ORU26" s="2692"/>
      <c r="ORV26" s="2692"/>
      <c r="ORW26" s="2692"/>
      <c r="ORX26" s="2692"/>
      <c r="ORY26" s="2692"/>
      <c r="ORZ26" s="2692"/>
      <c r="OSA26" s="2692"/>
      <c r="OSB26" s="2692"/>
      <c r="OSC26" s="2692"/>
      <c r="OSD26" s="2692"/>
      <c r="OSE26" s="2692"/>
      <c r="OSF26" s="2692"/>
      <c r="OSG26" s="2692"/>
      <c r="OSH26" s="2692"/>
      <c r="OSI26" s="2692"/>
      <c r="OSJ26" s="2692"/>
      <c r="OSK26" s="2692"/>
      <c r="OSL26" s="2692"/>
      <c r="OSM26" s="2692"/>
      <c r="OSN26" s="2692"/>
      <c r="OSO26" s="2692"/>
      <c r="OSP26" s="2692"/>
      <c r="OSQ26" s="2692"/>
      <c r="OSR26" s="2692"/>
      <c r="OSS26" s="2692"/>
      <c r="OST26" s="2692"/>
      <c r="OSU26" s="2692"/>
      <c r="OSV26" s="2692"/>
      <c r="OSW26" s="2692"/>
      <c r="OSX26" s="2692"/>
      <c r="OSY26" s="2692"/>
      <c r="OSZ26" s="2692"/>
      <c r="OTA26" s="2692"/>
      <c r="OTB26" s="2692"/>
      <c r="OTC26" s="2692"/>
      <c r="OTD26" s="2692"/>
      <c r="OTE26" s="2692"/>
      <c r="OTF26" s="2692"/>
      <c r="OTG26" s="2692"/>
      <c r="OTH26" s="2692"/>
      <c r="OTI26" s="2692"/>
      <c r="OTJ26" s="2692"/>
      <c r="OTK26" s="2692"/>
      <c r="OTL26" s="2692"/>
      <c r="OTM26" s="2692"/>
      <c r="OTN26" s="2692"/>
      <c r="OTO26" s="2692"/>
      <c r="OTP26" s="2692"/>
      <c r="OTQ26" s="2692"/>
      <c r="OTR26" s="2692"/>
      <c r="OTS26" s="2692"/>
      <c r="OTT26" s="2692"/>
      <c r="OTU26" s="2692"/>
      <c r="OTV26" s="2692"/>
      <c r="OTW26" s="2692"/>
      <c r="OTX26" s="2692"/>
      <c r="OTY26" s="2692"/>
      <c r="OTZ26" s="2692"/>
      <c r="OUA26" s="2692"/>
      <c r="OUB26" s="2692"/>
      <c r="OUC26" s="2692"/>
      <c r="OUD26" s="2692"/>
      <c r="OUE26" s="2692"/>
      <c r="OUF26" s="2692"/>
      <c r="OUG26" s="2692"/>
      <c r="OUH26" s="2692"/>
      <c r="OUI26" s="2692"/>
      <c r="OUJ26" s="2692"/>
      <c r="OUK26" s="2692"/>
      <c r="OUL26" s="2692"/>
      <c r="OUM26" s="2692"/>
      <c r="OUN26" s="2692"/>
      <c r="OUO26" s="2692"/>
      <c r="OUP26" s="2692"/>
      <c r="OUQ26" s="2692"/>
      <c r="OUR26" s="2692"/>
      <c r="OUS26" s="2692"/>
      <c r="OUT26" s="2692"/>
      <c r="OUU26" s="2692"/>
      <c r="OUV26" s="2692"/>
      <c r="OUW26" s="2692"/>
      <c r="OUX26" s="2692"/>
      <c r="OUY26" s="2692"/>
      <c r="OUZ26" s="2692"/>
      <c r="OVA26" s="2692"/>
      <c r="OVB26" s="2692"/>
      <c r="OVC26" s="2692"/>
      <c r="OVD26" s="2692"/>
      <c r="OVE26" s="2692"/>
      <c r="OVF26" s="2692"/>
      <c r="OVG26" s="2692"/>
      <c r="OVH26" s="2692"/>
      <c r="OVI26" s="2692"/>
      <c r="OVJ26" s="2692"/>
      <c r="OVK26" s="2692"/>
      <c r="OVL26" s="2692"/>
      <c r="OVM26" s="2692"/>
      <c r="OVN26" s="2692"/>
      <c r="OVO26" s="2692"/>
      <c r="OVP26" s="2692"/>
      <c r="OVQ26" s="2692"/>
      <c r="OVR26" s="2692"/>
      <c r="OVS26" s="2692"/>
      <c r="OVT26" s="2692"/>
      <c r="OVU26" s="2692"/>
      <c r="OVV26" s="2692"/>
      <c r="OVW26" s="2692"/>
      <c r="OVX26" s="2692"/>
      <c r="OVY26" s="2692"/>
      <c r="OVZ26" s="2692"/>
      <c r="OWA26" s="2692"/>
      <c r="OWB26" s="2692"/>
      <c r="OWC26" s="2692"/>
      <c r="OWD26" s="2692"/>
      <c r="OWE26" s="2692"/>
      <c r="OWF26" s="2692"/>
      <c r="OWG26" s="2692"/>
      <c r="OWH26" s="2692"/>
      <c r="OWI26" s="2692"/>
      <c r="OWJ26" s="2692"/>
      <c r="OWK26" s="2692"/>
      <c r="OWL26" s="2692"/>
      <c r="OWM26" s="2692"/>
      <c r="OWN26" s="2692"/>
      <c r="OWO26" s="2692"/>
      <c r="OWP26" s="2692"/>
      <c r="OWQ26" s="2692"/>
      <c r="OWR26" s="2692"/>
      <c r="OWS26" s="2692"/>
      <c r="OWT26" s="2692"/>
      <c r="OWU26" s="2692"/>
      <c r="OWV26" s="2692"/>
      <c r="OWW26" s="2692"/>
      <c r="OWX26" s="2692"/>
      <c r="OWY26" s="2692"/>
      <c r="OWZ26" s="2692"/>
      <c r="OXA26" s="2692"/>
      <c r="OXB26" s="2692"/>
      <c r="OXC26" s="2692"/>
      <c r="OXD26" s="2692"/>
      <c r="OXE26" s="2692"/>
      <c r="OXF26" s="2692"/>
      <c r="OXG26" s="2692"/>
      <c r="OXH26" s="2692"/>
      <c r="OXI26" s="2692"/>
      <c r="OXJ26" s="2692"/>
      <c r="OXK26" s="2692"/>
      <c r="OXL26" s="2692"/>
      <c r="OXM26" s="2692"/>
      <c r="OXN26" s="2692"/>
      <c r="OXO26" s="2692"/>
      <c r="OXP26" s="2692"/>
      <c r="OXQ26" s="2692"/>
      <c r="OXR26" s="2692"/>
      <c r="OXS26" s="2692"/>
      <c r="OXT26" s="2692"/>
      <c r="OXU26" s="2692"/>
      <c r="OXV26" s="2692"/>
      <c r="OXW26" s="2692"/>
      <c r="OXX26" s="2692"/>
      <c r="OXY26" s="2692"/>
      <c r="OXZ26" s="2692"/>
      <c r="OYA26" s="2692"/>
      <c r="OYB26" s="2692"/>
      <c r="OYC26" s="2692"/>
      <c r="OYD26" s="2692"/>
      <c r="OYE26" s="2692"/>
      <c r="OYF26" s="2692"/>
      <c r="OYG26" s="2692"/>
      <c r="OYH26" s="2692"/>
      <c r="OYI26" s="2692"/>
      <c r="OYJ26" s="2692"/>
      <c r="OYK26" s="2692"/>
      <c r="OYL26" s="2692"/>
      <c r="OYM26" s="2692"/>
      <c r="OYN26" s="2692"/>
      <c r="OYO26" s="2692"/>
      <c r="OYP26" s="2692"/>
      <c r="OYQ26" s="2692"/>
      <c r="OYR26" s="2692"/>
      <c r="OYS26" s="2692"/>
      <c r="OYT26" s="2692"/>
      <c r="OYU26" s="2692"/>
      <c r="OYV26" s="2692"/>
      <c r="OYW26" s="2692"/>
      <c r="OYX26" s="2692"/>
      <c r="OYY26" s="2692"/>
      <c r="OYZ26" s="2692"/>
      <c r="OZA26" s="2692"/>
      <c r="OZB26" s="2692"/>
      <c r="OZC26" s="2692"/>
      <c r="OZD26" s="2692"/>
      <c r="OZE26" s="2692"/>
      <c r="OZF26" s="2692"/>
      <c r="OZG26" s="2692"/>
      <c r="OZH26" s="2692"/>
      <c r="OZI26" s="2692"/>
      <c r="OZJ26" s="2692"/>
      <c r="OZK26" s="2692"/>
      <c r="OZL26" s="2692"/>
      <c r="OZM26" s="2692"/>
      <c r="OZN26" s="2692"/>
      <c r="OZO26" s="2692"/>
      <c r="OZP26" s="2692"/>
      <c r="OZQ26" s="2692"/>
      <c r="OZR26" s="2692"/>
      <c r="OZS26" s="2692"/>
      <c r="OZT26" s="2692"/>
      <c r="OZU26" s="2692"/>
      <c r="OZV26" s="2692"/>
      <c r="OZW26" s="2692"/>
      <c r="OZX26" s="2692"/>
      <c r="OZY26" s="2692"/>
      <c r="OZZ26" s="2692"/>
      <c r="PAA26" s="2692"/>
      <c r="PAB26" s="2692"/>
      <c r="PAC26" s="2692"/>
      <c r="PAD26" s="2692"/>
      <c r="PAE26" s="2692"/>
      <c r="PAF26" s="2692"/>
      <c r="PAG26" s="2692"/>
      <c r="PAH26" s="2692"/>
      <c r="PAI26" s="2692"/>
      <c r="PAJ26" s="2692"/>
      <c r="PAK26" s="2692"/>
      <c r="PAL26" s="2692"/>
      <c r="PAM26" s="2692"/>
      <c r="PAN26" s="2692"/>
      <c r="PAO26" s="2692"/>
      <c r="PAP26" s="2692"/>
      <c r="PAQ26" s="2692"/>
      <c r="PAR26" s="2692"/>
      <c r="PAS26" s="2692"/>
      <c r="PAT26" s="2692"/>
      <c r="PAU26" s="2692"/>
      <c r="PAV26" s="2692"/>
      <c r="PAW26" s="2692"/>
      <c r="PAX26" s="2692"/>
      <c r="PAY26" s="2692"/>
      <c r="PAZ26" s="2692"/>
      <c r="PBA26" s="2692"/>
      <c r="PBB26" s="2692"/>
      <c r="PBC26" s="2692"/>
      <c r="PBD26" s="2692"/>
      <c r="PBE26" s="2692"/>
      <c r="PBF26" s="2692"/>
      <c r="PBG26" s="2692"/>
      <c r="PBH26" s="2692"/>
      <c r="PBI26" s="2692"/>
      <c r="PBJ26" s="2692"/>
      <c r="PBK26" s="2692"/>
      <c r="PBL26" s="2692"/>
      <c r="PBM26" s="2692"/>
      <c r="PBN26" s="2692"/>
      <c r="PBO26" s="2692"/>
      <c r="PBP26" s="2692"/>
      <c r="PBQ26" s="2692"/>
      <c r="PBR26" s="2692"/>
      <c r="PBS26" s="2692"/>
      <c r="PBT26" s="2692"/>
      <c r="PBU26" s="2692"/>
      <c r="PBV26" s="2692"/>
      <c r="PBW26" s="2692"/>
      <c r="PBX26" s="2692"/>
      <c r="PBY26" s="2692"/>
      <c r="PBZ26" s="2692"/>
      <c r="PCA26" s="2692"/>
      <c r="PCB26" s="2692"/>
      <c r="PCC26" s="2692"/>
      <c r="PCD26" s="2692"/>
      <c r="PCE26" s="2692"/>
      <c r="PCF26" s="2692"/>
      <c r="PCG26" s="2692"/>
      <c r="PCH26" s="2692"/>
      <c r="PCI26" s="2692"/>
      <c r="PCJ26" s="2692"/>
      <c r="PCK26" s="2692"/>
      <c r="PCL26" s="2692"/>
      <c r="PCM26" s="2692"/>
      <c r="PCN26" s="2692"/>
      <c r="PCO26" s="2692"/>
      <c r="PCP26" s="2692"/>
      <c r="PCQ26" s="2692"/>
      <c r="PCR26" s="2692"/>
      <c r="PCS26" s="2692"/>
      <c r="PCT26" s="2692"/>
      <c r="PCU26" s="2692"/>
      <c r="PCV26" s="2692"/>
      <c r="PCW26" s="2692"/>
      <c r="PCX26" s="2692"/>
      <c r="PCY26" s="2692"/>
      <c r="PCZ26" s="2692"/>
      <c r="PDA26" s="2692"/>
      <c r="PDB26" s="2692"/>
      <c r="PDC26" s="2692"/>
      <c r="PDD26" s="2692"/>
      <c r="PDE26" s="2692"/>
      <c r="PDF26" s="2692"/>
      <c r="PDG26" s="2692"/>
      <c r="PDH26" s="2692"/>
      <c r="PDI26" s="2692"/>
      <c r="PDJ26" s="2692"/>
      <c r="PDK26" s="2692"/>
      <c r="PDL26" s="2692"/>
      <c r="PDM26" s="2692"/>
      <c r="PDN26" s="2692"/>
      <c r="PDO26" s="2692"/>
      <c r="PDP26" s="2692"/>
      <c r="PDQ26" s="2692"/>
      <c r="PDR26" s="2692"/>
      <c r="PDS26" s="2692"/>
      <c r="PDT26" s="2692"/>
      <c r="PDU26" s="2692"/>
      <c r="PDV26" s="2692"/>
      <c r="PDW26" s="2692"/>
      <c r="PDX26" s="2692"/>
      <c r="PDY26" s="2692"/>
      <c r="PDZ26" s="2692"/>
      <c r="PEA26" s="2692"/>
      <c r="PEB26" s="2692"/>
      <c r="PEC26" s="2692"/>
      <c r="PED26" s="2692"/>
      <c r="PEE26" s="2692"/>
      <c r="PEF26" s="2692"/>
      <c r="PEG26" s="2692"/>
      <c r="PEH26" s="2692"/>
      <c r="PEI26" s="2692"/>
      <c r="PEJ26" s="2692"/>
      <c r="PEK26" s="2692"/>
      <c r="PEL26" s="2692"/>
      <c r="PEM26" s="2692"/>
      <c r="PEN26" s="2692"/>
      <c r="PEO26" s="2692"/>
      <c r="PEP26" s="2692"/>
      <c r="PEQ26" s="2692"/>
      <c r="PER26" s="2692"/>
      <c r="PES26" s="2692"/>
      <c r="PET26" s="2692"/>
      <c r="PEU26" s="2692"/>
      <c r="PEV26" s="2692"/>
      <c r="PEW26" s="2692"/>
      <c r="PEX26" s="2692"/>
      <c r="PEY26" s="2692"/>
      <c r="PEZ26" s="2692"/>
      <c r="PFA26" s="2692"/>
      <c r="PFB26" s="2692"/>
      <c r="PFC26" s="2692"/>
      <c r="PFD26" s="2692"/>
      <c r="PFE26" s="2692"/>
      <c r="PFF26" s="2692"/>
      <c r="PFG26" s="2692"/>
      <c r="PFH26" s="2692"/>
      <c r="PFI26" s="2692"/>
      <c r="PFJ26" s="2692"/>
      <c r="PFK26" s="2692"/>
      <c r="PFL26" s="2692"/>
      <c r="PFM26" s="2692"/>
      <c r="PFN26" s="2692"/>
      <c r="PFO26" s="2692"/>
      <c r="PFP26" s="2692"/>
      <c r="PFQ26" s="2692"/>
      <c r="PFR26" s="2692"/>
      <c r="PFS26" s="2692"/>
      <c r="PFT26" s="2692"/>
      <c r="PFU26" s="2692"/>
      <c r="PFV26" s="2692"/>
      <c r="PFW26" s="2692"/>
      <c r="PFX26" s="2692"/>
      <c r="PFY26" s="2692"/>
      <c r="PFZ26" s="2692"/>
      <c r="PGA26" s="2692"/>
      <c r="PGB26" s="2692"/>
      <c r="PGC26" s="2692"/>
      <c r="PGD26" s="2692"/>
      <c r="PGE26" s="2692"/>
      <c r="PGF26" s="2692"/>
      <c r="PGG26" s="2692"/>
      <c r="PGH26" s="2692"/>
      <c r="PGI26" s="2692"/>
      <c r="PGJ26" s="2692"/>
      <c r="PGK26" s="2692"/>
      <c r="PGL26" s="2692"/>
      <c r="PGM26" s="2692"/>
      <c r="PGN26" s="2692"/>
      <c r="PGO26" s="2692"/>
      <c r="PGP26" s="2692"/>
      <c r="PGQ26" s="2692"/>
      <c r="PGR26" s="2692"/>
      <c r="PGS26" s="2692"/>
      <c r="PGT26" s="2692"/>
      <c r="PGU26" s="2692"/>
      <c r="PGV26" s="2692"/>
      <c r="PGW26" s="2692"/>
      <c r="PGX26" s="2692"/>
      <c r="PGY26" s="2692"/>
      <c r="PGZ26" s="2692"/>
      <c r="PHA26" s="2692"/>
      <c r="PHB26" s="2692"/>
      <c r="PHC26" s="2692"/>
      <c r="PHD26" s="2692"/>
      <c r="PHE26" s="2692"/>
      <c r="PHF26" s="2692"/>
      <c r="PHG26" s="2692"/>
      <c r="PHH26" s="2692"/>
      <c r="PHI26" s="2692"/>
      <c r="PHJ26" s="2692"/>
      <c r="PHK26" s="2692"/>
      <c r="PHL26" s="2692"/>
      <c r="PHM26" s="2692"/>
      <c r="PHN26" s="2692"/>
      <c r="PHO26" s="2692"/>
      <c r="PHP26" s="2692"/>
      <c r="PHQ26" s="2692"/>
      <c r="PHR26" s="2692"/>
      <c r="PHS26" s="2692"/>
      <c r="PHT26" s="2692"/>
      <c r="PHU26" s="2692"/>
      <c r="PHV26" s="2692"/>
      <c r="PHW26" s="2692"/>
      <c r="PHX26" s="2692"/>
      <c r="PHY26" s="2692"/>
      <c r="PHZ26" s="2692"/>
      <c r="PIA26" s="2692"/>
      <c r="PIB26" s="2692"/>
      <c r="PIC26" s="2692"/>
      <c r="PID26" s="2692"/>
      <c r="PIE26" s="2692"/>
      <c r="PIF26" s="2692"/>
      <c r="PIG26" s="2692"/>
      <c r="PIH26" s="2692"/>
      <c r="PII26" s="2692"/>
      <c r="PIJ26" s="2692"/>
      <c r="PIK26" s="2692"/>
      <c r="PIL26" s="2692"/>
      <c r="PIM26" s="2692"/>
      <c r="PIN26" s="2692"/>
      <c r="PIO26" s="2692"/>
      <c r="PIP26" s="2692"/>
      <c r="PIQ26" s="2692"/>
      <c r="PIR26" s="2692"/>
      <c r="PIS26" s="2692"/>
      <c r="PIT26" s="2692"/>
      <c r="PIU26" s="2692"/>
      <c r="PIV26" s="2692"/>
      <c r="PIW26" s="2692"/>
      <c r="PIX26" s="2692"/>
      <c r="PIY26" s="2692"/>
      <c r="PIZ26" s="2692"/>
      <c r="PJA26" s="2692"/>
      <c r="PJB26" s="2692"/>
      <c r="PJC26" s="2692"/>
      <c r="PJD26" s="2692"/>
      <c r="PJE26" s="2692"/>
      <c r="PJF26" s="2692"/>
      <c r="PJG26" s="2692"/>
      <c r="PJH26" s="2692"/>
      <c r="PJI26" s="2692"/>
      <c r="PJJ26" s="2692"/>
      <c r="PJK26" s="2692"/>
      <c r="PJL26" s="2692"/>
      <c r="PJM26" s="2692"/>
      <c r="PJN26" s="2692"/>
      <c r="PJO26" s="2692"/>
      <c r="PJP26" s="2692"/>
      <c r="PJQ26" s="2692"/>
      <c r="PJR26" s="2692"/>
      <c r="PJS26" s="2692"/>
      <c r="PJT26" s="2692"/>
      <c r="PJU26" s="2692"/>
      <c r="PJV26" s="2692"/>
      <c r="PJW26" s="2692"/>
      <c r="PJX26" s="2692"/>
      <c r="PJY26" s="2692"/>
      <c r="PJZ26" s="2692"/>
      <c r="PKA26" s="2692"/>
      <c r="PKB26" s="2692"/>
      <c r="PKC26" s="2692"/>
      <c r="PKD26" s="2692"/>
      <c r="PKE26" s="2692"/>
      <c r="PKF26" s="2692"/>
      <c r="PKG26" s="2692"/>
      <c r="PKH26" s="2692"/>
      <c r="PKI26" s="2692"/>
      <c r="PKJ26" s="2692"/>
      <c r="PKK26" s="2692"/>
      <c r="PKL26" s="2692"/>
      <c r="PKM26" s="2692"/>
      <c r="PKN26" s="2692"/>
      <c r="PKO26" s="2692"/>
      <c r="PKP26" s="2692"/>
      <c r="PKQ26" s="2692"/>
      <c r="PKR26" s="2692"/>
      <c r="PKS26" s="2692"/>
      <c r="PKT26" s="2692"/>
      <c r="PKU26" s="2692"/>
      <c r="PKV26" s="2692"/>
      <c r="PKW26" s="2692"/>
      <c r="PKX26" s="2692"/>
      <c r="PKY26" s="2692"/>
      <c r="PKZ26" s="2692"/>
      <c r="PLA26" s="2692"/>
      <c r="PLB26" s="2692"/>
      <c r="PLC26" s="2692"/>
      <c r="PLD26" s="2692"/>
      <c r="PLE26" s="2692"/>
      <c r="PLF26" s="2692"/>
      <c r="PLG26" s="2692"/>
      <c r="PLH26" s="2692"/>
      <c r="PLI26" s="2692"/>
      <c r="PLJ26" s="2692"/>
      <c r="PLK26" s="2692"/>
      <c r="PLL26" s="2692"/>
      <c r="PLM26" s="2692"/>
      <c r="PLN26" s="2692"/>
      <c r="PLO26" s="2692"/>
      <c r="PLP26" s="2692"/>
      <c r="PLQ26" s="2692"/>
      <c r="PLR26" s="2692"/>
      <c r="PLS26" s="2692"/>
      <c r="PLT26" s="2692"/>
      <c r="PLU26" s="2692"/>
      <c r="PLV26" s="2692"/>
      <c r="PLW26" s="2692"/>
      <c r="PLX26" s="2692"/>
      <c r="PLY26" s="2692"/>
      <c r="PLZ26" s="2692"/>
      <c r="PMA26" s="2692"/>
      <c r="PMB26" s="2692"/>
      <c r="PMC26" s="2692"/>
      <c r="PMD26" s="2692"/>
      <c r="PME26" s="2692"/>
      <c r="PMF26" s="2692"/>
      <c r="PMG26" s="2692"/>
      <c r="PMH26" s="2692"/>
      <c r="PMI26" s="2692"/>
      <c r="PMJ26" s="2692"/>
      <c r="PMK26" s="2692"/>
      <c r="PML26" s="2692"/>
      <c r="PMM26" s="2692"/>
      <c r="PMN26" s="2692"/>
      <c r="PMO26" s="2692"/>
      <c r="PMP26" s="2692"/>
      <c r="PMQ26" s="2692"/>
      <c r="PMR26" s="2692"/>
      <c r="PMS26" s="2692"/>
      <c r="PMT26" s="2692"/>
      <c r="PMU26" s="2692"/>
      <c r="PMV26" s="2692"/>
      <c r="PMW26" s="2692"/>
      <c r="PMX26" s="2692"/>
      <c r="PMY26" s="2692"/>
      <c r="PMZ26" s="2692"/>
      <c r="PNA26" s="2692"/>
      <c r="PNB26" s="2692"/>
      <c r="PNC26" s="2692"/>
      <c r="PND26" s="2692"/>
      <c r="PNE26" s="2692"/>
      <c r="PNF26" s="2692"/>
      <c r="PNG26" s="2692"/>
      <c r="PNH26" s="2692"/>
      <c r="PNI26" s="2692"/>
      <c r="PNJ26" s="2692"/>
      <c r="PNK26" s="2692"/>
      <c r="PNL26" s="2692"/>
      <c r="PNM26" s="2692"/>
      <c r="PNN26" s="2692"/>
      <c r="PNO26" s="2692"/>
      <c r="PNP26" s="2692"/>
      <c r="PNQ26" s="2692"/>
      <c r="PNR26" s="2692"/>
      <c r="PNS26" s="2692"/>
      <c r="PNT26" s="2692"/>
      <c r="PNU26" s="2692"/>
      <c r="PNV26" s="2692"/>
      <c r="PNW26" s="2692"/>
      <c r="PNX26" s="2692"/>
      <c r="PNY26" s="2692"/>
      <c r="PNZ26" s="2692"/>
      <c r="POA26" s="2692"/>
      <c r="POB26" s="2692"/>
      <c r="POC26" s="2692"/>
      <c r="POD26" s="2692"/>
      <c r="POE26" s="2692"/>
      <c r="POF26" s="2692"/>
      <c r="POG26" s="2692"/>
      <c r="POH26" s="2692"/>
      <c r="POI26" s="2692"/>
      <c r="POJ26" s="2692"/>
      <c r="POK26" s="2692"/>
      <c r="POL26" s="2692"/>
      <c r="POM26" s="2692"/>
      <c r="PON26" s="2692"/>
      <c r="POO26" s="2692"/>
      <c r="POP26" s="2692"/>
      <c r="POQ26" s="2692"/>
      <c r="POR26" s="2692"/>
      <c r="POS26" s="2692"/>
      <c r="POT26" s="2692"/>
      <c r="POU26" s="2692"/>
      <c r="POV26" s="2692"/>
      <c r="POW26" s="2692"/>
      <c r="POX26" s="2692"/>
      <c r="POY26" s="2692"/>
      <c r="POZ26" s="2692"/>
      <c r="PPA26" s="2692"/>
      <c r="PPB26" s="2692"/>
      <c r="PPC26" s="2692"/>
      <c r="PPD26" s="2692"/>
      <c r="PPE26" s="2692"/>
      <c r="PPF26" s="2692"/>
      <c r="PPG26" s="2692"/>
      <c r="PPH26" s="2692"/>
      <c r="PPI26" s="2692"/>
      <c r="PPJ26" s="2692"/>
      <c r="PPK26" s="2692"/>
      <c r="PPL26" s="2692"/>
      <c r="PPM26" s="2692"/>
      <c r="PPN26" s="2692"/>
      <c r="PPO26" s="2692"/>
      <c r="PPP26" s="2692"/>
      <c r="PPQ26" s="2692"/>
      <c r="PPR26" s="2692"/>
      <c r="PPS26" s="2692"/>
      <c r="PPT26" s="2692"/>
      <c r="PPU26" s="2692"/>
      <c r="PPV26" s="2692"/>
      <c r="PPW26" s="2692"/>
      <c r="PPX26" s="2692"/>
      <c r="PPY26" s="2692"/>
      <c r="PPZ26" s="2692"/>
      <c r="PQA26" s="2692"/>
      <c r="PQB26" s="2692"/>
      <c r="PQC26" s="2692"/>
      <c r="PQD26" s="2692"/>
      <c r="PQE26" s="2692"/>
      <c r="PQF26" s="2692"/>
      <c r="PQG26" s="2692"/>
      <c r="PQH26" s="2692"/>
      <c r="PQI26" s="2692"/>
      <c r="PQJ26" s="2692"/>
      <c r="PQK26" s="2692"/>
      <c r="PQL26" s="2692"/>
      <c r="PQM26" s="2692"/>
      <c r="PQN26" s="2692"/>
      <c r="PQO26" s="2692"/>
      <c r="PQP26" s="2692"/>
      <c r="PQQ26" s="2692"/>
      <c r="PQR26" s="2692"/>
      <c r="PQS26" s="2692"/>
      <c r="PQT26" s="2692"/>
      <c r="PQU26" s="2692"/>
      <c r="PQV26" s="2692"/>
      <c r="PQW26" s="2692"/>
      <c r="PQX26" s="2692"/>
      <c r="PQY26" s="2692"/>
      <c r="PQZ26" s="2692"/>
      <c r="PRA26" s="2692"/>
      <c r="PRB26" s="2692"/>
      <c r="PRC26" s="2692"/>
      <c r="PRD26" s="2692"/>
      <c r="PRE26" s="2692"/>
      <c r="PRF26" s="2692"/>
      <c r="PRG26" s="2692"/>
      <c r="PRH26" s="2692"/>
      <c r="PRI26" s="2692"/>
      <c r="PRJ26" s="2692"/>
      <c r="PRK26" s="2692"/>
      <c r="PRL26" s="2692"/>
      <c r="PRM26" s="2692"/>
      <c r="PRN26" s="2692"/>
      <c r="PRO26" s="2692"/>
      <c r="PRP26" s="2692"/>
      <c r="PRQ26" s="2692"/>
      <c r="PRR26" s="2692"/>
      <c r="PRS26" s="2692"/>
      <c r="PRT26" s="2692"/>
      <c r="PRU26" s="2692"/>
      <c r="PRV26" s="2692"/>
      <c r="PRW26" s="2692"/>
      <c r="PRX26" s="2692"/>
      <c r="PRY26" s="2692"/>
      <c r="PRZ26" s="2692"/>
      <c r="PSA26" s="2692"/>
      <c r="PSB26" s="2692"/>
      <c r="PSC26" s="2692"/>
      <c r="PSD26" s="2692"/>
      <c r="PSE26" s="2692"/>
      <c r="PSF26" s="2692"/>
      <c r="PSG26" s="2692"/>
      <c r="PSH26" s="2692"/>
      <c r="PSI26" s="2692"/>
      <c r="PSJ26" s="2692"/>
      <c r="PSK26" s="2692"/>
      <c r="PSL26" s="2692"/>
      <c r="PSM26" s="2692"/>
      <c r="PSN26" s="2692"/>
      <c r="PSO26" s="2692"/>
      <c r="PSP26" s="2692"/>
      <c r="PSQ26" s="2692"/>
      <c r="PSR26" s="2692"/>
      <c r="PSS26" s="2692"/>
      <c r="PST26" s="2692"/>
      <c r="PSU26" s="2692"/>
      <c r="PSV26" s="2692"/>
      <c r="PSW26" s="2692"/>
      <c r="PSX26" s="2692"/>
      <c r="PSY26" s="2692"/>
      <c r="PSZ26" s="2692"/>
      <c r="PTA26" s="2692"/>
      <c r="PTB26" s="2692"/>
      <c r="PTC26" s="2692"/>
      <c r="PTD26" s="2692"/>
      <c r="PTE26" s="2692"/>
      <c r="PTF26" s="2692"/>
      <c r="PTG26" s="2692"/>
      <c r="PTH26" s="2692"/>
      <c r="PTI26" s="2692"/>
      <c r="PTJ26" s="2692"/>
      <c r="PTK26" s="2692"/>
      <c r="PTL26" s="2692"/>
      <c r="PTM26" s="2692"/>
      <c r="PTN26" s="2692"/>
      <c r="PTO26" s="2692"/>
      <c r="PTP26" s="2692"/>
      <c r="PTQ26" s="2692"/>
      <c r="PTR26" s="2692"/>
      <c r="PTS26" s="2692"/>
      <c r="PTT26" s="2692"/>
      <c r="PTU26" s="2692"/>
      <c r="PTV26" s="2692"/>
      <c r="PTW26" s="2692"/>
      <c r="PTX26" s="2692"/>
      <c r="PTY26" s="2692"/>
      <c r="PTZ26" s="2692"/>
      <c r="PUA26" s="2692"/>
      <c r="PUB26" s="2692"/>
      <c r="PUC26" s="2692"/>
      <c r="PUD26" s="2692"/>
      <c r="PUE26" s="2692"/>
      <c r="PUF26" s="2692"/>
      <c r="PUG26" s="2692"/>
      <c r="PUH26" s="2692"/>
      <c r="PUI26" s="2692"/>
      <c r="PUJ26" s="2692"/>
      <c r="PUK26" s="2692"/>
      <c r="PUL26" s="2692"/>
      <c r="PUM26" s="2692"/>
      <c r="PUN26" s="2692"/>
      <c r="PUO26" s="2692"/>
      <c r="PUP26" s="2692"/>
      <c r="PUQ26" s="2692"/>
      <c r="PUR26" s="2692"/>
      <c r="PUS26" s="2692"/>
      <c r="PUT26" s="2692"/>
      <c r="PUU26" s="2692"/>
      <c r="PUV26" s="2692"/>
      <c r="PUW26" s="2692"/>
      <c r="PUX26" s="2692"/>
      <c r="PUY26" s="2692"/>
      <c r="PUZ26" s="2692"/>
      <c r="PVA26" s="2692"/>
      <c r="PVB26" s="2692"/>
      <c r="PVC26" s="2692"/>
      <c r="PVD26" s="2692"/>
      <c r="PVE26" s="2692"/>
      <c r="PVF26" s="2692"/>
      <c r="PVG26" s="2692"/>
      <c r="PVH26" s="2692"/>
      <c r="PVI26" s="2692"/>
      <c r="PVJ26" s="2692"/>
      <c r="PVK26" s="2692"/>
      <c r="PVL26" s="2692"/>
      <c r="PVM26" s="2692"/>
      <c r="PVN26" s="2692"/>
      <c r="PVO26" s="2692"/>
      <c r="PVP26" s="2692"/>
      <c r="PVQ26" s="2692"/>
      <c r="PVR26" s="2692"/>
      <c r="PVS26" s="2692"/>
      <c r="PVT26" s="2692"/>
      <c r="PVU26" s="2692"/>
      <c r="PVV26" s="2692"/>
      <c r="PVW26" s="2692"/>
      <c r="PVX26" s="2692"/>
      <c r="PVY26" s="2692"/>
      <c r="PVZ26" s="2692"/>
      <c r="PWA26" s="2692"/>
      <c r="PWB26" s="2692"/>
      <c r="PWC26" s="2692"/>
      <c r="PWD26" s="2692"/>
      <c r="PWE26" s="2692"/>
      <c r="PWF26" s="2692"/>
      <c r="PWG26" s="2692"/>
      <c r="PWH26" s="2692"/>
      <c r="PWI26" s="2692"/>
      <c r="PWJ26" s="2692"/>
      <c r="PWK26" s="2692"/>
      <c r="PWL26" s="2692"/>
      <c r="PWM26" s="2692"/>
      <c r="PWN26" s="2692"/>
      <c r="PWO26" s="2692"/>
      <c r="PWP26" s="2692"/>
      <c r="PWQ26" s="2692"/>
      <c r="PWR26" s="2692"/>
      <c r="PWS26" s="2692"/>
      <c r="PWT26" s="2692"/>
      <c r="PWU26" s="2692"/>
      <c r="PWV26" s="2692"/>
      <c r="PWW26" s="2692"/>
      <c r="PWX26" s="2692"/>
      <c r="PWY26" s="2692"/>
      <c r="PWZ26" s="2692"/>
      <c r="PXA26" s="2692"/>
      <c r="PXB26" s="2692"/>
      <c r="PXC26" s="2692"/>
      <c r="PXD26" s="2692"/>
      <c r="PXE26" s="2692"/>
      <c r="PXF26" s="2692"/>
      <c r="PXG26" s="2692"/>
      <c r="PXH26" s="2692"/>
      <c r="PXI26" s="2692"/>
      <c r="PXJ26" s="2692"/>
      <c r="PXK26" s="2692"/>
      <c r="PXL26" s="2692"/>
      <c r="PXM26" s="2692"/>
      <c r="PXN26" s="2692"/>
      <c r="PXO26" s="2692"/>
      <c r="PXP26" s="2692"/>
      <c r="PXQ26" s="2692"/>
      <c r="PXR26" s="2692"/>
      <c r="PXS26" s="2692"/>
      <c r="PXT26" s="2692"/>
      <c r="PXU26" s="2692"/>
      <c r="PXV26" s="2692"/>
      <c r="PXW26" s="2692"/>
      <c r="PXX26" s="2692"/>
      <c r="PXY26" s="2692"/>
      <c r="PXZ26" s="2692"/>
      <c r="PYA26" s="2692"/>
      <c r="PYB26" s="2692"/>
      <c r="PYC26" s="2692"/>
      <c r="PYD26" s="2692"/>
      <c r="PYE26" s="2692"/>
      <c r="PYF26" s="2692"/>
      <c r="PYG26" s="2692"/>
      <c r="PYH26" s="2692"/>
      <c r="PYI26" s="2692"/>
      <c r="PYJ26" s="2692"/>
      <c r="PYK26" s="2692"/>
      <c r="PYL26" s="2692"/>
      <c r="PYM26" s="2692"/>
      <c r="PYN26" s="2692"/>
      <c r="PYO26" s="2692"/>
      <c r="PYP26" s="2692"/>
      <c r="PYQ26" s="2692"/>
      <c r="PYR26" s="2692"/>
      <c r="PYS26" s="2692"/>
      <c r="PYT26" s="2692"/>
      <c r="PYU26" s="2692"/>
      <c r="PYV26" s="2692"/>
      <c r="PYW26" s="2692"/>
      <c r="PYX26" s="2692"/>
      <c r="PYY26" s="2692"/>
      <c r="PYZ26" s="2692"/>
      <c r="PZA26" s="2692"/>
      <c r="PZB26" s="2692"/>
      <c r="PZC26" s="2692"/>
      <c r="PZD26" s="2692"/>
      <c r="PZE26" s="2692"/>
      <c r="PZF26" s="2692"/>
      <c r="PZG26" s="2692"/>
      <c r="PZH26" s="2692"/>
      <c r="PZI26" s="2692"/>
      <c r="PZJ26" s="2692"/>
      <c r="PZK26" s="2692"/>
      <c r="PZL26" s="2692"/>
      <c r="PZM26" s="2692"/>
      <c r="PZN26" s="2692"/>
      <c r="PZO26" s="2692"/>
      <c r="PZP26" s="2692"/>
      <c r="PZQ26" s="2692"/>
      <c r="PZR26" s="2692"/>
      <c r="PZS26" s="2692"/>
      <c r="PZT26" s="2692"/>
      <c r="PZU26" s="2692"/>
      <c r="PZV26" s="2692"/>
      <c r="PZW26" s="2692"/>
      <c r="PZX26" s="2692"/>
      <c r="PZY26" s="2692"/>
      <c r="PZZ26" s="2692"/>
      <c r="QAA26" s="2692"/>
      <c r="QAB26" s="2692"/>
      <c r="QAC26" s="2692"/>
      <c r="QAD26" s="2692"/>
      <c r="QAE26" s="2692"/>
      <c r="QAF26" s="2692"/>
      <c r="QAG26" s="2692"/>
      <c r="QAH26" s="2692"/>
      <c r="QAI26" s="2692"/>
      <c r="QAJ26" s="2692"/>
      <c r="QAK26" s="2692"/>
      <c r="QAL26" s="2692"/>
      <c r="QAM26" s="2692"/>
      <c r="QAN26" s="2692"/>
      <c r="QAO26" s="2692"/>
      <c r="QAP26" s="2692"/>
      <c r="QAQ26" s="2692"/>
      <c r="QAR26" s="2692"/>
      <c r="QAS26" s="2692"/>
      <c r="QAT26" s="2692"/>
      <c r="QAU26" s="2692"/>
      <c r="QAV26" s="2692"/>
      <c r="QAW26" s="2692"/>
      <c r="QAX26" s="2692"/>
      <c r="QAY26" s="2692"/>
      <c r="QAZ26" s="2692"/>
      <c r="QBA26" s="2692"/>
      <c r="QBB26" s="2692"/>
      <c r="QBC26" s="2692"/>
      <c r="QBD26" s="2692"/>
      <c r="QBE26" s="2692"/>
      <c r="QBF26" s="2692"/>
      <c r="QBG26" s="2692"/>
      <c r="QBH26" s="2692"/>
      <c r="QBI26" s="2692"/>
      <c r="QBJ26" s="2692"/>
      <c r="QBK26" s="2692"/>
      <c r="QBL26" s="2692"/>
      <c r="QBM26" s="2692"/>
      <c r="QBN26" s="2692"/>
      <c r="QBO26" s="2692"/>
      <c r="QBP26" s="2692"/>
      <c r="QBQ26" s="2692"/>
      <c r="QBR26" s="2692"/>
      <c r="QBS26" s="2692"/>
      <c r="QBT26" s="2692"/>
      <c r="QBU26" s="2692"/>
      <c r="QBV26" s="2692"/>
      <c r="QBW26" s="2692"/>
      <c r="QBX26" s="2692"/>
      <c r="QBY26" s="2692"/>
      <c r="QBZ26" s="2692"/>
      <c r="QCA26" s="2692"/>
      <c r="QCB26" s="2692"/>
      <c r="QCC26" s="2692"/>
      <c r="QCD26" s="2692"/>
      <c r="QCE26" s="2692"/>
      <c r="QCF26" s="2692"/>
      <c r="QCG26" s="2692"/>
      <c r="QCH26" s="2692"/>
      <c r="QCI26" s="2692"/>
      <c r="QCJ26" s="2692"/>
      <c r="QCK26" s="2692"/>
      <c r="QCL26" s="2692"/>
      <c r="QCM26" s="2692"/>
      <c r="QCN26" s="2692"/>
      <c r="QCO26" s="2692"/>
      <c r="QCP26" s="2692"/>
      <c r="QCQ26" s="2692"/>
      <c r="QCR26" s="2692"/>
      <c r="QCS26" s="2692"/>
      <c r="QCT26" s="2692"/>
      <c r="QCU26" s="2692"/>
      <c r="QCV26" s="2692"/>
      <c r="QCW26" s="2692"/>
      <c r="QCX26" s="2692"/>
      <c r="QCY26" s="2692"/>
      <c r="QCZ26" s="2692"/>
      <c r="QDA26" s="2692"/>
      <c r="QDB26" s="2692"/>
      <c r="QDC26" s="2692"/>
      <c r="QDD26" s="2692"/>
      <c r="QDE26" s="2692"/>
      <c r="QDF26" s="2692"/>
      <c r="QDG26" s="2692"/>
      <c r="QDH26" s="2692"/>
      <c r="QDI26" s="2692"/>
      <c r="QDJ26" s="2692"/>
      <c r="QDK26" s="2692"/>
      <c r="QDL26" s="2692"/>
      <c r="QDM26" s="2692"/>
      <c r="QDN26" s="2692"/>
      <c r="QDO26" s="2692"/>
      <c r="QDP26" s="2692"/>
      <c r="QDQ26" s="2692"/>
      <c r="QDR26" s="2692"/>
      <c r="QDS26" s="2692"/>
      <c r="QDT26" s="2692"/>
      <c r="QDU26" s="2692"/>
      <c r="QDV26" s="2692"/>
      <c r="QDW26" s="2692"/>
      <c r="QDX26" s="2692"/>
      <c r="QDY26" s="2692"/>
      <c r="QDZ26" s="2692"/>
      <c r="QEA26" s="2692"/>
      <c r="QEB26" s="2692"/>
      <c r="QEC26" s="2692"/>
      <c r="QED26" s="2692"/>
      <c r="QEE26" s="2692"/>
      <c r="QEF26" s="2692"/>
      <c r="QEG26" s="2692"/>
      <c r="QEH26" s="2692"/>
      <c r="QEI26" s="2692"/>
      <c r="QEJ26" s="2692"/>
      <c r="QEK26" s="2692"/>
      <c r="QEL26" s="2692"/>
      <c r="QEM26" s="2692"/>
      <c r="QEN26" s="2692"/>
      <c r="QEO26" s="2692"/>
      <c r="QEP26" s="2692"/>
      <c r="QEQ26" s="2692"/>
      <c r="QER26" s="2692"/>
      <c r="QES26" s="2692"/>
      <c r="QET26" s="2692"/>
      <c r="QEU26" s="2692"/>
      <c r="QEV26" s="2692"/>
      <c r="QEW26" s="2692"/>
      <c r="QEX26" s="2692"/>
      <c r="QEY26" s="2692"/>
      <c r="QEZ26" s="2692"/>
      <c r="QFA26" s="2692"/>
      <c r="QFB26" s="2692"/>
      <c r="QFC26" s="2692"/>
      <c r="QFD26" s="2692"/>
      <c r="QFE26" s="2692"/>
      <c r="QFF26" s="2692"/>
      <c r="QFG26" s="2692"/>
      <c r="QFH26" s="2692"/>
      <c r="QFI26" s="2692"/>
      <c r="QFJ26" s="2692"/>
      <c r="QFK26" s="2692"/>
      <c r="QFL26" s="2692"/>
      <c r="QFM26" s="2692"/>
      <c r="QFN26" s="2692"/>
      <c r="QFO26" s="2692"/>
      <c r="QFP26" s="2692"/>
      <c r="QFQ26" s="2692"/>
      <c r="QFR26" s="2692"/>
      <c r="QFS26" s="2692"/>
      <c r="QFT26" s="2692"/>
      <c r="QFU26" s="2692"/>
      <c r="QFV26" s="2692"/>
      <c r="QFW26" s="2692"/>
      <c r="QFX26" s="2692"/>
      <c r="QFY26" s="2692"/>
      <c r="QFZ26" s="2692"/>
      <c r="QGA26" s="2692"/>
      <c r="QGB26" s="2692"/>
      <c r="QGC26" s="2692"/>
      <c r="QGD26" s="2692"/>
      <c r="QGE26" s="2692"/>
      <c r="QGF26" s="2692"/>
      <c r="QGG26" s="2692"/>
      <c r="QGH26" s="2692"/>
      <c r="QGI26" s="2692"/>
      <c r="QGJ26" s="2692"/>
      <c r="QGK26" s="2692"/>
      <c r="QGL26" s="2692"/>
      <c r="QGM26" s="2692"/>
      <c r="QGN26" s="2692"/>
      <c r="QGO26" s="2692"/>
      <c r="QGP26" s="2692"/>
      <c r="QGQ26" s="2692"/>
      <c r="QGR26" s="2692"/>
      <c r="QGS26" s="2692"/>
      <c r="QGT26" s="2692"/>
      <c r="QGU26" s="2692"/>
      <c r="QGV26" s="2692"/>
      <c r="QGW26" s="2692"/>
      <c r="QGX26" s="2692"/>
      <c r="QGY26" s="2692"/>
      <c r="QGZ26" s="2692"/>
      <c r="QHA26" s="2692"/>
      <c r="QHB26" s="2692"/>
      <c r="QHC26" s="2692"/>
      <c r="QHD26" s="2692"/>
      <c r="QHE26" s="2692"/>
      <c r="QHF26" s="2692"/>
      <c r="QHG26" s="2692"/>
      <c r="QHH26" s="2692"/>
      <c r="QHI26" s="2692"/>
      <c r="QHJ26" s="2692"/>
      <c r="QHK26" s="2692"/>
      <c r="QHL26" s="2692"/>
      <c r="QHM26" s="2692"/>
      <c r="QHN26" s="2692"/>
      <c r="QHO26" s="2692"/>
      <c r="QHP26" s="2692"/>
      <c r="QHQ26" s="2692"/>
      <c r="QHR26" s="2692"/>
      <c r="QHS26" s="2692"/>
      <c r="QHT26" s="2692"/>
      <c r="QHU26" s="2692"/>
      <c r="QHV26" s="2692"/>
      <c r="QHW26" s="2692"/>
      <c r="QHX26" s="2692"/>
      <c r="QHY26" s="2692"/>
      <c r="QHZ26" s="2692"/>
      <c r="QIA26" s="2692"/>
      <c r="QIB26" s="2692"/>
      <c r="QIC26" s="2692"/>
      <c r="QID26" s="2692"/>
      <c r="QIE26" s="2692"/>
      <c r="QIF26" s="2692"/>
      <c r="QIG26" s="2692"/>
      <c r="QIH26" s="2692"/>
      <c r="QII26" s="2692"/>
      <c r="QIJ26" s="2692"/>
      <c r="QIK26" s="2692"/>
      <c r="QIL26" s="2692"/>
      <c r="QIM26" s="2692"/>
      <c r="QIN26" s="2692"/>
      <c r="QIO26" s="2692"/>
      <c r="QIP26" s="2692"/>
      <c r="QIQ26" s="2692"/>
      <c r="QIR26" s="2692"/>
      <c r="QIS26" s="2692"/>
      <c r="QIT26" s="2692"/>
      <c r="QIU26" s="2692"/>
      <c r="QIV26" s="2692"/>
      <c r="QIW26" s="2692"/>
      <c r="QIX26" s="2692"/>
      <c r="QIY26" s="2692"/>
      <c r="QIZ26" s="2692"/>
      <c r="QJA26" s="2692"/>
      <c r="QJB26" s="2692"/>
      <c r="QJC26" s="2692"/>
      <c r="QJD26" s="2692"/>
      <c r="QJE26" s="2692"/>
      <c r="QJF26" s="2692"/>
      <c r="QJG26" s="2692"/>
      <c r="QJH26" s="2692"/>
      <c r="QJI26" s="2692"/>
      <c r="QJJ26" s="2692"/>
      <c r="QJK26" s="2692"/>
      <c r="QJL26" s="2692"/>
      <c r="QJM26" s="2692"/>
      <c r="QJN26" s="2692"/>
      <c r="QJO26" s="2692"/>
      <c r="QJP26" s="2692"/>
      <c r="QJQ26" s="2692"/>
      <c r="QJR26" s="2692"/>
      <c r="QJS26" s="2692"/>
      <c r="QJT26" s="2692"/>
      <c r="QJU26" s="2692"/>
      <c r="QJV26" s="2692"/>
      <c r="QJW26" s="2692"/>
      <c r="QJX26" s="2692"/>
      <c r="QJY26" s="2692"/>
      <c r="QJZ26" s="2692"/>
      <c r="QKA26" s="2692"/>
      <c r="QKB26" s="2692"/>
      <c r="QKC26" s="2692"/>
      <c r="QKD26" s="2692"/>
      <c r="QKE26" s="2692"/>
      <c r="QKF26" s="2692"/>
      <c r="QKG26" s="2692"/>
      <c r="QKH26" s="2692"/>
      <c r="QKI26" s="2692"/>
      <c r="QKJ26" s="2692"/>
      <c r="QKK26" s="2692"/>
      <c r="QKL26" s="2692"/>
      <c r="QKM26" s="2692"/>
      <c r="QKN26" s="2692"/>
      <c r="QKO26" s="2692"/>
      <c r="QKP26" s="2692"/>
      <c r="QKQ26" s="2692"/>
      <c r="QKR26" s="2692"/>
      <c r="QKS26" s="2692"/>
      <c r="QKT26" s="2692"/>
      <c r="QKU26" s="2692"/>
      <c r="QKV26" s="2692"/>
      <c r="QKW26" s="2692"/>
      <c r="QKX26" s="2692"/>
      <c r="QKY26" s="2692"/>
      <c r="QKZ26" s="2692"/>
      <c r="QLA26" s="2692"/>
      <c r="QLB26" s="2692"/>
      <c r="QLC26" s="2692"/>
      <c r="QLD26" s="2692"/>
      <c r="QLE26" s="2692"/>
      <c r="QLF26" s="2692"/>
      <c r="QLG26" s="2692"/>
      <c r="QLH26" s="2692"/>
      <c r="QLI26" s="2692"/>
      <c r="QLJ26" s="2692"/>
      <c r="QLK26" s="2692"/>
      <c r="QLL26" s="2692"/>
      <c r="QLM26" s="2692"/>
      <c r="QLN26" s="2692"/>
      <c r="QLO26" s="2692"/>
      <c r="QLP26" s="2692"/>
      <c r="QLQ26" s="2692"/>
      <c r="QLR26" s="2692"/>
      <c r="QLS26" s="2692"/>
      <c r="QLT26" s="2692"/>
      <c r="QLU26" s="2692"/>
      <c r="QLV26" s="2692"/>
      <c r="QLW26" s="2692"/>
      <c r="QLX26" s="2692"/>
      <c r="QLY26" s="2692"/>
      <c r="QLZ26" s="2692"/>
      <c r="QMA26" s="2692"/>
      <c r="QMB26" s="2692"/>
      <c r="QMC26" s="2692"/>
      <c r="QMD26" s="2692"/>
      <c r="QME26" s="2692"/>
      <c r="QMF26" s="2692"/>
      <c r="QMG26" s="2692"/>
      <c r="QMH26" s="2692"/>
      <c r="QMI26" s="2692"/>
      <c r="QMJ26" s="2692"/>
      <c r="QMK26" s="2692"/>
      <c r="QML26" s="2692"/>
      <c r="QMM26" s="2692"/>
      <c r="QMN26" s="2692"/>
      <c r="QMO26" s="2692"/>
      <c r="QMP26" s="2692"/>
      <c r="QMQ26" s="2692"/>
      <c r="QMR26" s="2692"/>
      <c r="QMS26" s="2692"/>
      <c r="QMT26" s="2692"/>
      <c r="QMU26" s="2692"/>
      <c r="QMV26" s="2692"/>
      <c r="QMW26" s="2692"/>
      <c r="QMX26" s="2692"/>
      <c r="QMY26" s="2692"/>
      <c r="QMZ26" s="2692"/>
      <c r="QNA26" s="2692"/>
      <c r="QNB26" s="2692"/>
      <c r="QNC26" s="2692"/>
      <c r="QND26" s="2692"/>
      <c r="QNE26" s="2692"/>
      <c r="QNF26" s="2692"/>
      <c r="QNG26" s="2692"/>
      <c r="QNH26" s="2692"/>
      <c r="QNI26" s="2692"/>
      <c r="QNJ26" s="2692"/>
      <c r="QNK26" s="2692"/>
      <c r="QNL26" s="2692"/>
      <c r="QNM26" s="2692"/>
      <c r="QNN26" s="2692"/>
      <c r="QNO26" s="2692"/>
      <c r="QNP26" s="2692"/>
      <c r="QNQ26" s="2692"/>
      <c r="QNR26" s="2692"/>
      <c r="QNS26" s="2692"/>
      <c r="QNT26" s="2692"/>
      <c r="QNU26" s="2692"/>
      <c r="QNV26" s="2692"/>
      <c r="QNW26" s="2692"/>
      <c r="QNX26" s="2692"/>
      <c r="QNY26" s="2692"/>
      <c r="QNZ26" s="2692"/>
      <c r="QOA26" s="2692"/>
      <c r="QOB26" s="2692"/>
      <c r="QOC26" s="2692"/>
      <c r="QOD26" s="2692"/>
      <c r="QOE26" s="2692"/>
      <c r="QOF26" s="2692"/>
      <c r="QOG26" s="2692"/>
      <c r="QOH26" s="2692"/>
      <c r="QOI26" s="2692"/>
      <c r="QOJ26" s="2692"/>
      <c r="QOK26" s="2692"/>
      <c r="QOL26" s="2692"/>
      <c r="QOM26" s="2692"/>
      <c r="QON26" s="2692"/>
      <c r="QOO26" s="2692"/>
      <c r="QOP26" s="2692"/>
      <c r="QOQ26" s="2692"/>
      <c r="QOR26" s="2692"/>
      <c r="QOS26" s="2692"/>
      <c r="QOT26" s="2692"/>
      <c r="QOU26" s="2692"/>
      <c r="QOV26" s="2692"/>
      <c r="QOW26" s="2692"/>
      <c r="QOX26" s="2692"/>
      <c r="QOY26" s="2692"/>
      <c r="QOZ26" s="2692"/>
      <c r="QPA26" s="2692"/>
      <c r="QPB26" s="2692"/>
      <c r="QPC26" s="2692"/>
      <c r="QPD26" s="2692"/>
      <c r="QPE26" s="2692"/>
      <c r="QPF26" s="2692"/>
      <c r="QPG26" s="2692"/>
      <c r="QPH26" s="2692"/>
      <c r="QPI26" s="2692"/>
      <c r="QPJ26" s="2692"/>
      <c r="QPK26" s="2692"/>
      <c r="QPL26" s="2692"/>
      <c r="QPM26" s="2692"/>
      <c r="QPN26" s="2692"/>
      <c r="QPO26" s="2692"/>
      <c r="QPP26" s="2692"/>
      <c r="QPQ26" s="2692"/>
      <c r="QPR26" s="2692"/>
      <c r="QPS26" s="2692"/>
      <c r="QPT26" s="2692"/>
      <c r="QPU26" s="2692"/>
      <c r="QPV26" s="2692"/>
      <c r="QPW26" s="2692"/>
      <c r="QPX26" s="2692"/>
      <c r="QPY26" s="2692"/>
      <c r="QPZ26" s="2692"/>
      <c r="QQA26" s="2692"/>
      <c r="QQB26" s="2692"/>
      <c r="QQC26" s="2692"/>
      <c r="QQD26" s="2692"/>
      <c r="QQE26" s="2692"/>
      <c r="QQF26" s="2692"/>
      <c r="QQG26" s="2692"/>
      <c r="QQH26" s="2692"/>
      <c r="QQI26" s="2692"/>
      <c r="QQJ26" s="2692"/>
      <c r="QQK26" s="2692"/>
      <c r="QQL26" s="2692"/>
      <c r="QQM26" s="2692"/>
      <c r="QQN26" s="2692"/>
      <c r="QQO26" s="2692"/>
      <c r="QQP26" s="2692"/>
      <c r="QQQ26" s="2692"/>
      <c r="QQR26" s="2692"/>
      <c r="QQS26" s="2692"/>
      <c r="QQT26" s="2692"/>
      <c r="QQU26" s="2692"/>
      <c r="QQV26" s="2692"/>
      <c r="QQW26" s="2692"/>
      <c r="QQX26" s="2692"/>
      <c r="QQY26" s="2692"/>
      <c r="QQZ26" s="2692"/>
      <c r="QRA26" s="2692"/>
      <c r="QRB26" s="2692"/>
      <c r="QRC26" s="2692"/>
      <c r="QRD26" s="2692"/>
      <c r="QRE26" s="2692"/>
      <c r="QRF26" s="2692"/>
      <c r="QRG26" s="2692"/>
      <c r="QRH26" s="2692"/>
      <c r="QRI26" s="2692"/>
      <c r="QRJ26" s="2692"/>
      <c r="QRK26" s="2692"/>
      <c r="QRL26" s="2692"/>
      <c r="QRM26" s="2692"/>
      <c r="QRN26" s="2692"/>
      <c r="QRO26" s="2692"/>
      <c r="QRP26" s="2692"/>
      <c r="QRQ26" s="2692"/>
      <c r="QRR26" s="2692"/>
      <c r="QRS26" s="2692"/>
      <c r="QRT26" s="2692"/>
      <c r="QRU26" s="2692"/>
      <c r="QRV26" s="2692"/>
      <c r="QRW26" s="2692"/>
      <c r="QRX26" s="2692"/>
      <c r="QRY26" s="2692"/>
      <c r="QRZ26" s="2692"/>
      <c r="QSA26" s="2692"/>
      <c r="QSB26" s="2692"/>
      <c r="QSC26" s="2692"/>
      <c r="QSD26" s="2692"/>
      <c r="QSE26" s="2692"/>
      <c r="QSF26" s="2692"/>
      <c r="QSG26" s="2692"/>
      <c r="QSH26" s="2692"/>
      <c r="QSI26" s="2692"/>
      <c r="QSJ26" s="2692"/>
      <c r="QSK26" s="2692"/>
      <c r="QSL26" s="2692"/>
      <c r="QSM26" s="2692"/>
      <c r="QSN26" s="2692"/>
      <c r="QSO26" s="2692"/>
      <c r="QSP26" s="2692"/>
      <c r="QSQ26" s="2692"/>
      <c r="QSR26" s="2692"/>
      <c r="QSS26" s="2692"/>
      <c r="QST26" s="2692"/>
      <c r="QSU26" s="2692"/>
      <c r="QSV26" s="2692"/>
      <c r="QSW26" s="2692"/>
      <c r="QSX26" s="2692"/>
      <c r="QSY26" s="2692"/>
      <c r="QSZ26" s="2692"/>
      <c r="QTA26" s="2692"/>
      <c r="QTB26" s="2692"/>
      <c r="QTC26" s="2692"/>
      <c r="QTD26" s="2692"/>
      <c r="QTE26" s="2692"/>
      <c r="QTF26" s="2692"/>
      <c r="QTG26" s="2692"/>
      <c r="QTH26" s="2692"/>
      <c r="QTI26" s="2692"/>
      <c r="QTJ26" s="2692"/>
      <c r="QTK26" s="2692"/>
      <c r="QTL26" s="2692"/>
      <c r="QTM26" s="2692"/>
      <c r="QTN26" s="2692"/>
      <c r="QTO26" s="2692"/>
      <c r="QTP26" s="2692"/>
      <c r="QTQ26" s="2692"/>
      <c r="QTR26" s="2692"/>
      <c r="QTS26" s="2692"/>
      <c r="QTT26" s="2692"/>
      <c r="QTU26" s="2692"/>
      <c r="QTV26" s="2692"/>
      <c r="QTW26" s="2692"/>
      <c r="QTX26" s="2692"/>
      <c r="QTY26" s="2692"/>
      <c r="QTZ26" s="2692"/>
      <c r="QUA26" s="2692"/>
      <c r="QUB26" s="2692"/>
      <c r="QUC26" s="2692"/>
      <c r="QUD26" s="2692"/>
      <c r="QUE26" s="2692"/>
      <c r="QUF26" s="2692"/>
      <c r="QUG26" s="2692"/>
      <c r="QUH26" s="2692"/>
      <c r="QUI26" s="2692"/>
      <c r="QUJ26" s="2692"/>
      <c r="QUK26" s="2692"/>
      <c r="QUL26" s="2692"/>
      <c r="QUM26" s="2692"/>
      <c r="QUN26" s="2692"/>
      <c r="QUO26" s="2692"/>
      <c r="QUP26" s="2692"/>
      <c r="QUQ26" s="2692"/>
      <c r="QUR26" s="2692"/>
      <c r="QUS26" s="2692"/>
      <c r="QUT26" s="2692"/>
      <c r="QUU26" s="2692"/>
      <c r="QUV26" s="2692"/>
      <c r="QUW26" s="2692"/>
      <c r="QUX26" s="2692"/>
      <c r="QUY26" s="2692"/>
      <c r="QUZ26" s="2692"/>
      <c r="QVA26" s="2692"/>
      <c r="QVB26" s="2692"/>
      <c r="QVC26" s="2692"/>
      <c r="QVD26" s="2692"/>
      <c r="QVE26" s="2692"/>
      <c r="QVF26" s="2692"/>
      <c r="QVG26" s="2692"/>
      <c r="QVH26" s="2692"/>
      <c r="QVI26" s="2692"/>
      <c r="QVJ26" s="2692"/>
      <c r="QVK26" s="2692"/>
      <c r="QVL26" s="2692"/>
      <c r="QVM26" s="2692"/>
      <c r="QVN26" s="2692"/>
      <c r="QVO26" s="2692"/>
      <c r="QVP26" s="2692"/>
      <c r="QVQ26" s="2692"/>
      <c r="QVR26" s="2692"/>
      <c r="QVS26" s="2692"/>
      <c r="QVT26" s="2692"/>
      <c r="QVU26" s="2692"/>
      <c r="QVV26" s="2692"/>
      <c r="QVW26" s="2692"/>
      <c r="QVX26" s="2692"/>
      <c r="QVY26" s="2692"/>
      <c r="QVZ26" s="2692"/>
      <c r="QWA26" s="2692"/>
      <c r="QWB26" s="2692"/>
      <c r="QWC26" s="2692"/>
      <c r="QWD26" s="2692"/>
      <c r="QWE26" s="2692"/>
      <c r="QWF26" s="2692"/>
      <c r="QWG26" s="2692"/>
      <c r="QWH26" s="2692"/>
      <c r="QWI26" s="2692"/>
      <c r="QWJ26" s="2692"/>
      <c r="QWK26" s="2692"/>
      <c r="QWL26" s="2692"/>
      <c r="QWM26" s="2692"/>
      <c r="QWN26" s="2692"/>
      <c r="QWO26" s="2692"/>
      <c r="QWP26" s="2692"/>
      <c r="QWQ26" s="2692"/>
      <c r="QWR26" s="2692"/>
      <c r="QWS26" s="2692"/>
      <c r="QWT26" s="2692"/>
      <c r="QWU26" s="2692"/>
      <c r="QWV26" s="2692"/>
      <c r="QWW26" s="2692"/>
      <c r="QWX26" s="2692"/>
      <c r="QWY26" s="2692"/>
      <c r="QWZ26" s="2692"/>
      <c r="QXA26" s="2692"/>
      <c r="QXB26" s="2692"/>
      <c r="QXC26" s="2692"/>
      <c r="QXD26" s="2692"/>
      <c r="QXE26" s="2692"/>
      <c r="QXF26" s="2692"/>
      <c r="QXG26" s="2692"/>
      <c r="QXH26" s="2692"/>
      <c r="QXI26" s="2692"/>
      <c r="QXJ26" s="2692"/>
      <c r="QXK26" s="2692"/>
      <c r="QXL26" s="2692"/>
      <c r="QXM26" s="2692"/>
      <c r="QXN26" s="2692"/>
      <c r="QXO26" s="2692"/>
      <c r="QXP26" s="2692"/>
      <c r="QXQ26" s="2692"/>
      <c r="QXR26" s="2692"/>
      <c r="QXS26" s="2692"/>
      <c r="QXT26" s="2692"/>
      <c r="QXU26" s="2692"/>
      <c r="QXV26" s="2692"/>
      <c r="QXW26" s="2692"/>
      <c r="QXX26" s="2692"/>
      <c r="QXY26" s="2692"/>
      <c r="QXZ26" s="2692"/>
      <c r="QYA26" s="2692"/>
      <c r="QYB26" s="2692"/>
      <c r="QYC26" s="2692"/>
      <c r="QYD26" s="2692"/>
      <c r="QYE26" s="2692"/>
      <c r="QYF26" s="2692"/>
      <c r="QYG26" s="2692"/>
      <c r="QYH26" s="2692"/>
      <c r="QYI26" s="2692"/>
      <c r="QYJ26" s="2692"/>
      <c r="QYK26" s="2692"/>
      <c r="QYL26" s="2692"/>
      <c r="QYM26" s="2692"/>
      <c r="QYN26" s="2692"/>
      <c r="QYO26" s="2692"/>
      <c r="QYP26" s="2692"/>
      <c r="QYQ26" s="2692"/>
      <c r="QYR26" s="2692"/>
      <c r="QYS26" s="2692"/>
      <c r="QYT26" s="2692"/>
      <c r="QYU26" s="2692"/>
      <c r="QYV26" s="2692"/>
      <c r="QYW26" s="2692"/>
      <c r="QYX26" s="2692"/>
      <c r="QYY26" s="2692"/>
      <c r="QYZ26" s="2692"/>
      <c r="QZA26" s="2692"/>
      <c r="QZB26" s="2692"/>
      <c r="QZC26" s="2692"/>
      <c r="QZD26" s="2692"/>
      <c r="QZE26" s="2692"/>
      <c r="QZF26" s="2692"/>
      <c r="QZG26" s="2692"/>
      <c r="QZH26" s="2692"/>
      <c r="QZI26" s="2692"/>
      <c r="QZJ26" s="2692"/>
      <c r="QZK26" s="2692"/>
      <c r="QZL26" s="2692"/>
      <c r="QZM26" s="2692"/>
      <c r="QZN26" s="2692"/>
      <c r="QZO26" s="2692"/>
      <c r="QZP26" s="2692"/>
      <c r="QZQ26" s="2692"/>
      <c r="QZR26" s="2692"/>
      <c r="QZS26" s="2692"/>
      <c r="QZT26" s="2692"/>
      <c r="QZU26" s="2692"/>
      <c r="QZV26" s="2692"/>
      <c r="QZW26" s="2692"/>
      <c r="QZX26" s="2692"/>
      <c r="QZY26" s="2692"/>
      <c r="QZZ26" s="2692"/>
      <c r="RAA26" s="2692"/>
      <c r="RAB26" s="2692"/>
      <c r="RAC26" s="2692"/>
      <c r="RAD26" s="2692"/>
      <c r="RAE26" s="2692"/>
      <c r="RAF26" s="2692"/>
      <c r="RAG26" s="2692"/>
      <c r="RAH26" s="2692"/>
      <c r="RAI26" s="2692"/>
      <c r="RAJ26" s="2692"/>
      <c r="RAK26" s="2692"/>
      <c r="RAL26" s="2692"/>
      <c r="RAM26" s="2692"/>
      <c r="RAN26" s="2692"/>
      <c r="RAO26" s="2692"/>
      <c r="RAP26" s="2692"/>
      <c r="RAQ26" s="2692"/>
      <c r="RAR26" s="2692"/>
      <c r="RAS26" s="2692"/>
      <c r="RAT26" s="2692"/>
      <c r="RAU26" s="2692"/>
      <c r="RAV26" s="2692"/>
      <c r="RAW26" s="2692"/>
      <c r="RAX26" s="2692"/>
      <c r="RAY26" s="2692"/>
      <c r="RAZ26" s="2692"/>
      <c r="RBA26" s="2692"/>
      <c r="RBB26" s="2692"/>
      <c r="RBC26" s="2692"/>
      <c r="RBD26" s="2692"/>
      <c r="RBE26" s="2692"/>
      <c r="RBF26" s="2692"/>
      <c r="RBG26" s="2692"/>
      <c r="RBH26" s="2692"/>
      <c r="RBI26" s="2692"/>
      <c r="RBJ26" s="2692"/>
      <c r="RBK26" s="2692"/>
      <c r="RBL26" s="2692"/>
      <c r="RBM26" s="2692"/>
      <c r="RBN26" s="2692"/>
      <c r="RBO26" s="2692"/>
      <c r="RBP26" s="2692"/>
      <c r="RBQ26" s="2692"/>
      <c r="RBR26" s="2692"/>
      <c r="RBS26" s="2692"/>
      <c r="RBT26" s="2692"/>
      <c r="RBU26" s="2692"/>
      <c r="RBV26" s="2692"/>
      <c r="RBW26" s="2692"/>
      <c r="RBX26" s="2692"/>
      <c r="RBY26" s="2692"/>
      <c r="RBZ26" s="2692"/>
      <c r="RCA26" s="2692"/>
      <c r="RCB26" s="2692"/>
      <c r="RCC26" s="2692"/>
      <c r="RCD26" s="2692"/>
      <c r="RCE26" s="2692"/>
      <c r="RCF26" s="2692"/>
      <c r="RCG26" s="2692"/>
      <c r="RCH26" s="2692"/>
      <c r="RCI26" s="2692"/>
      <c r="RCJ26" s="2692"/>
      <c r="RCK26" s="2692"/>
      <c r="RCL26" s="2692"/>
      <c r="RCM26" s="2692"/>
      <c r="RCN26" s="2692"/>
      <c r="RCO26" s="2692"/>
      <c r="RCP26" s="2692"/>
      <c r="RCQ26" s="2692"/>
      <c r="RCR26" s="2692"/>
      <c r="RCS26" s="2692"/>
      <c r="RCT26" s="2692"/>
      <c r="RCU26" s="2692"/>
      <c r="RCV26" s="2692"/>
      <c r="RCW26" s="2692"/>
      <c r="RCX26" s="2692"/>
      <c r="RCY26" s="2692"/>
      <c r="RCZ26" s="2692"/>
      <c r="RDA26" s="2692"/>
      <c r="RDB26" s="2692"/>
      <c r="RDC26" s="2692"/>
      <c r="RDD26" s="2692"/>
      <c r="RDE26" s="2692"/>
      <c r="RDF26" s="2692"/>
      <c r="RDG26" s="2692"/>
      <c r="RDH26" s="2692"/>
      <c r="RDI26" s="2692"/>
      <c r="RDJ26" s="2692"/>
      <c r="RDK26" s="2692"/>
      <c r="RDL26" s="2692"/>
      <c r="RDM26" s="2692"/>
      <c r="RDN26" s="2692"/>
      <c r="RDO26" s="2692"/>
      <c r="RDP26" s="2692"/>
      <c r="RDQ26" s="2692"/>
      <c r="RDR26" s="2692"/>
      <c r="RDS26" s="2692"/>
      <c r="RDT26" s="2692"/>
      <c r="RDU26" s="2692"/>
      <c r="RDV26" s="2692"/>
      <c r="RDW26" s="2692"/>
      <c r="RDX26" s="2692"/>
      <c r="RDY26" s="2692"/>
      <c r="RDZ26" s="2692"/>
      <c r="REA26" s="2692"/>
      <c r="REB26" s="2692"/>
      <c r="REC26" s="2692"/>
      <c r="RED26" s="2692"/>
      <c r="REE26" s="2692"/>
      <c r="REF26" s="2692"/>
      <c r="REG26" s="2692"/>
      <c r="REH26" s="2692"/>
      <c r="REI26" s="2692"/>
      <c r="REJ26" s="2692"/>
      <c r="REK26" s="2692"/>
      <c r="REL26" s="2692"/>
      <c r="REM26" s="2692"/>
      <c r="REN26" s="2692"/>
      <c r="REO26" s="2692"/>
      <c r="REP26" s="2692"/>
      <c r="REQ26" s="2692"/>
      <c r="RER26" s="2692"/>
      <c r="RES26" s="2692"/>
      <c r="RET26" s="2692"/>
      <c r="REU26" s="2692"/>
      <c r="REV26" s="2692"/>
      <c r="REW26" s="2692"/>
      <c r="REX26" s="2692"/>
      <c r="REY26" s="2692"/>
      <c r="REZ26" s="2692"/>
      <c r="RFA26" s="2692"/>
      <c r="RFB26" s="2692"/>
      <c r="RFC26" s="2692"/>
      <c r="RFD26" s="2692"/>
      <c r="RFE26" s="2692"/>
      <c r="RFF26" s="2692"/>
      <c r="RFG26" s="2692"/>
      <c r="RFH26" s="2692"/>
      <c r="RFI26" s="2692"/>
      <c r="RFJ26" s="2692"/>
      <c r="RFK26" s="2692"/>
      <c r="RFL26" s="2692"/>
      <c r="RFM26" s="2692"/>
      <c r="RFN26" s="2692"/>
      <c r="RFO26" s="2692"/>
      <c r="RFP26" s="2692"/>
      <c r="RFQ26" s="2692"/>
      <c r="RFR26" s="2692"/>
      <c r="RFS26" s="2692"/>
      <c r="RFT26" s="2692"/>
      <c r="RFU26" s="2692"/>
      <c r="RFV26" s="2692"/>
      <c r="RFW26" s="2692"/>
      <c r="RFX26" s="2692"/>
      <c r="RFY26" s="2692"/>
      <c r="RFZ26" s="2692"/>
      <c r="RGA26" s="2692"/>
      <c r="RGB26" s="2692"/>
      <c r="RGC26" s="2692"/>
      <c r="RGD26" s="2692"/>
      <c r="RGE26" s="2692"/>
      <c r="RGF26" s="2692"/>
      <c r="RGG26" s="2692"/>
      <c r="RGH26" s="2692"/>
      <c r="RGI26" s="2692"/>
      <c r="RGJ26" s="2692"/>
      <c r="RGK26" s="2692"/>
      <c r="RGL26" s="2692"/>
      <c r="RGM26" s="2692"/>
      <c r="RGN26" s="2692"/>
      <c r="RGO26" s="2692"/>
      <c r="RGP26" s="2692"/>
      <c r="RGQ26" s="2692"/>
      <c r="RGR26" s="2692"/>
      <c r="RGS26" s="2692"/>
      <c r="RGT26" s="2692"/>
      <c r="RGU26" s="2692"/>
      <c r="RGV26" s="2692"/>
      <c r="RGW26" s="2692"/>
      <c r="RGX26" s="2692"/>
      <c r="RGY26" s="2692"/>
      <c r="RGZ26" s="2692"/>
      <c r="RHA26" s="2692"/>
      <c r="RHB26" s="2692"/>
      <c r="RHC26" s="2692"/>
      <c r="RHD26" s="2692"/>
      <c r="RHE26" s="2692"/>
      <c r="RHF26" s="2692"/>
      <c r="RHG26" s="2692"/>
      <c r="RHH26" s="2692"/>
      <c r="RHI26" s="2692"/>
      <c r="RHJ26" s="2692"/>
      <c r="RHK26" s="2692"/>
      <c r="RHL26" s="2692"/>
      <c r="RHM26" s="2692"/>
      <c r="RHN26" s="2692"/>
      <c r="RHO26" s="2692"/>
      <c r="RHP26" s="2692"/>
      <c r="RHQ26" s="2692"/>
      <c r="RHR26" s="2692"/>
      <c r="RHS26" s="2692"/>
      <c r="RHT26" s="2692"/>
      <c r="RHU26" s="2692"/>
      <c r="RHV26" s="2692"/>
      <c r="RHW26" s="2692"/>
      <c r="RHX26" s="2692"/>
      <c r="RHY26" s="2692"/>
      <c r="RHZ26" s="2692"/>
      <c r="RIA26" s="2692"/>
      <c r="RIB26" s="2692"/>
      <c r="RIC26" s="2692"/>
      <c r="RID26" s="2692"/>
      <c r="RIE26" s="2692"/>
      <c r="RIF26" s="2692"/>
      <c r="RIG26" s="2692"/>
      <c r="RIH26" s="2692"/>
      <c r="RII26" s="2692"/>
      <c r="RIJ26" s="2692"/>
      <c r="RIK26" s="2692"/>
      <c r="RIL26" s="2692"/>
      <c r="RIM26" s="2692"/>
      <c r="RIN26" s="2692"/>
      <c r="RIO26" s="2692"/>
      <c r="RIP26" s="2692"/>
      <c r="RIQ26" s="2692"/>
      <c r="RIR26" s="2692"/>
      <c r="RIS26" s="2692"/>
      <c r="RIT26" s="2692"/>
      <c r="RIU26" s="2692"/>
      <c r="RIV26" s="2692"/>
      <c r="RIW26" s="2692"/>
      <c r="RIX26" s="2692"/>
      <c r="RIY26" s="2692"/>
      <c r="RIZ26" s="2692"/>
      <c r="RJA26" s="2692"/>
      <c r="RJB26" s="2692"/>
      <c r="RJC26" s="2692"/>
      <c r="RJD26" s="2692"/>
      <c r="RJE26" s="2692"/>
      <c r="RJF26" s="2692"/>
      <c r="RJG26" s="2692"/>
      <c r="RJH26" s="2692"/>
      <c r="RJI26" s="2692"/>
      <c r="RJJ26" s="2692"/>
      <c r="RJK26" s="2692"/>
      <c r="RJL26" s="2692"/>
      <c r="RJM26" s="2692"/>
      <c r="RJN26" s="2692"/>
      <c r="RJO26" s="2692"/>
      <c r="RJP26" s="2692"/>
      <c r="RJQ26" s="2692"/>
      <c r="RJR26" s="2692"/>
      <c r="RJS26" s="2692"/>
      <c r="RJT26" s="2692"/>
      <c r="RJU26" s="2692"/>
      <c r="RJV26" s="2692"/>
      <c r="RJW26" s="2692"/>
      <c r="RJX26" s="2692"/>
      <c r="RJY26" s="2692"/>
      <c r="RJZ26" s="2692"/>
      <c r="RKA26" s="2692"/>
      <c r="RKB26" s="2692"/>
      <c r="RKC26" s="2692"/>
      <c r="RKD26" s="2692"/>
      <c r="RKE26" s="2692"/>
      <c r="RKF26" s="2692"/>
      <c r="RKG26" s="2692"/>
      <c r="RKH26" s="2692"/>
      <c r="RKI26" s="2692"/>
      <c r="RKJ26" s="2692"/>
      <c r="RKK26" s="2692"/>
      <c r="RKL26" s="2692"/>
      <c r="RKM26" s="2692"/>
      <c r="RKN26" s="2692"/>
      <c r="RKO26" s="2692"/>
      <c r="RKP26" s="2692"/>
      <c r="RKQ26" s="2692"/>
      <c r="RKR26" s="2692"/>
      <c r="RKS26" s="2692"/>
      <c r="RKT26" s="2692"/>
      <c r="RKU26" s="2692"/>
      <c r="RKV26" s="2692"/>
      <c r="RKW26" s="2692"/>
      <c r="RKX26" s="2692"/>
      <c r="RKY26" s="2692"/>
      <c r="RKZ26" s="2692"/>
      <c r="RLA26" s="2692"/>
      <c r="RLB26" s="2692"/>
      <c r="RLC26" s="2692"/>
      <c r="RLD26" s="2692"/>
      <c r="RLE26" s="2692"/>
      <c r="RLF26" s="2692"/>
      <c r="RLG26" s="2692"/>
      <c r="RLH26" s="2692"/>
      <c r="RLI26" s="2692"/>
      <c r="RLJ26" s="2692"/>
      <c r="RLK26" s="2692"/>
      <c r="RLL26" s="2692"/>
      <c r="RLM26" s="2692"/>
      <c r="RLN26" s="2692"/>
      <c r="RLO26" s="2692"/>
      <c r="RLP26" s="2692"/>
      <c r="RLQ26" s="2692"/>
      <c r="RLR26" s="2692"/>
      <c r="RLS26" s="2692"/>
      <c r="RLT26" s="2692"/>
      <c r="RLU26" s="2692"/>
      <c r="RLV26" s="2692"/>
      <c r="RLW26" s="2692"/>
      <c r="RLX26" s="2692"/>
      <c r="RLY26" s="2692"/>
      <c r="RLZ26" s="2692"/>
      <c r="RMA26" s="2692"/>
      <c r="RMB26" s="2692"/>
      <c r="RMC26" s="2692"/>
      <c r="RMD26" s="2692"/>
      <c r="RME26" s="2692"/>
      <c r="RMF26" s="2692"/>
      <c r="RMG26" s="2692"/>
      <c r="RMH26" s="2692"/>
      <c r="RMI26" s="2692"/>
      <c r="RMJ26" s="2692"/>
      <c r="RMK26" s="2692"/>
      <c r="RML26" s="2692"/>
      <c r="RMM26" s="2692"/>
      <c r="RMN26" s="2692"/>
      <c r="RMO26" s="2692"/>
      <c r="RMP26" s="2692"/>
      <c r="RMQ26" s="2692"/>
      <c r="RMR26" s="2692"/>
      <c r="RMS26" s="2692"/>
      <c r="RMT26" s="2692"/>
      <c r="RMU26" s="2692"/>
      <c r="RMV26" s="2692"/>
      <c r="RMW26" s="2692"/>
      <c r="RMX26" s="2692"/>
      <c r="RMY26" s="2692"/>
      <c r="RMZ26" s="2692"/>
      <c r="RNA26" s="2692"/>
      <c r="RNB26" s="2692"/>
      <c r="RNC26" s="2692"/>
      <c r="RND26" s="2692"/>
      <c r="RNE26" s="2692"/>
      <c r="RNF26" s="2692"/>
      <c r="RNG26" s="2692"/>
      <c r="RNH26" s="2692"/>
      <c r="RNI26" s="2692"/>
      <c r="RNJ26" s="2692"/>
      <c r="RNK26" s="2692"/>
      <c r="RNL26" s="2692"/>
      <c r="RNM26" s="2692"/>
      <c r="RNN26" s="2692"/>
      <c r="RNO26" s="2692"/>
      <c r="RNP26" s="2692"/>
      <c r="RNQ26" s="2692"/>
      <c r="RNR26" s="2692"/>
      <c r="RNS26" s="2692"/>
      <c r="RNT26" s="2692"/>
      <c r="RNU26" s="2692"/>
      <c r="RNV26" s="2692"/>
      <c r="RNW26" s="2692"/>
      <c r="RNX26" s="2692"/>
      <c r="RNY26" s="2692"/>
      <c r="RNZ26" s="2692"/>
      <c r="ROA26" s="2692"/>
      <c r="ROB26" s="2692"/>
      <c r="ROC26" s="2692"/>
      <c r="ROD26" s="2692"/>
      <c r="ROE26" s="2692"/>
      <c r="ROF26" s="2692"/>
      <c r="ROG26" s="2692"/>
      <c r="ROH26" s="2692"/>
      <c r="ROI26" s="2692"/>
      <c r="ROJ26" s="2692"/>
      <c r="ROK26" s="2692"/>
      <c r="ROL26" s="2692"/>
      <c r="ROM26" s="2692"/>
      <c r="RON26" s="2692"/>
      <c r="ROO26" s="2692"/>
      <c r="ROP26" s="2692"/>
      <c r="ROQ26" s="2692"/>
      <c r="ROR26" s="2692"/>
      <c r="ROS26" s="2692"/>
      <c r="ROT26" s="2692"/>
      <c r="ROU26" s="2692"/>
      <c r="ROV26" s="2692"/>
      <c r="ROW26" s="2692"/>
      <c r="ROX26" s="2692"/>
      <c r="ROY26" s="2692"/>
      <c r="ROZ26" s="2692"/>
      <c r="RPA26" s="2692"/>
      <c r="RPB26" s="2692"/>
      <c r="RPC26" s="2692"/>
      <c r="RPD26" s="2692"/>
      <c r="RPE26" s="2692"/>
      <c r="RPF26" s="2692"/>
      <c r="RPG26" s="2692"/>
      <c r="RPH26" s="2692"/>
      <c r="RPI26" s="2692"/>
      <c r="RPJ26" s="2692"/>
      <c r="RPK26" s="2692"/>
      <c r="RPL26" s="2692"/>
      <c r="RPM26" s="2692"/>
      <c r="RPN26" s="2692"/>
      <c r="RPO26" s="2692"/>
      <c r="RPP26" s="2692"/>
      <c r="RPQ26" s="2692"/>
      <c r="RPR26" s="2692"/>
      <c r="RPS26" s="2692"/>
      <c r="RPT26" s="2692"/>
      <c r="RPU26" s="2692"/>
      <c r="RPV26" s="2692"/>
      <c r="RPW26" s="2692"/>
      <c r="RPX26" s="2692"/>
      <c r="RPY26" s="2692"/>
      <c r="RPZ26" s="2692"/>
      <c r="RQA26" s="2692"/>
      <c r="RQB26" s="2692"/>
      <c r="RQC26" s="2692"/>
      <c r="RQD26" s="2692"/>
      <c r="RQE26" s="2692"/>
      <c r="RQF26" s="2692"/>
      <c r="RQG26" s="2692"/>
      <c r="RQH26" s="2692"/>
      <c r="RQI26" s="2692"/>
      <c r="RQJ26" s="2692"/>
      <c r="RQK26" s="2692"/>
      <c r="RQL26" s="2692"/>
      <c r="RQM26" s="2692"/>
      <c r="RQN26" s="2692"/>
      <c r="RQO26" s="2692"/>
      <c r="RQP26" s="2692"/>
      <c r="RQQ26" s="2692"/>
      <c r="RQR26" s="2692"/>
      <c r="RQS26" s="2692"/>
      <c r="RQT26" s="2692"/>
      <c r="RQU26" s="2692"/>
      <c r="RQV26" s="2692"/>
      <c r="RQW26" s="2692"/>
      <c r="RQX26" s="2692"/>
      <c r="RQY26" s="2692"/>
      <c r="RQZ26" s="2692"/>
      <c r="RRA26" s="2692"/>
      <c r="RRB26" s="2692"/>
      <c r="RRC26" s="2692"/>
      <c r="RRD26" s="2692"/>
      <c r="RRE26" s="2692"/>
      <c r="RRF26" s="2692"/>
      <c r="RRG26" s="2692"/>
      <c r="RRH26" s="2692"/>
      <c r="RRI26" s="2692"/>
      <c r="RRJ26" s="2692"/>
      <c r="RRK26" s="2692"/>
      <c r="RRL26" s="2692"/>
      <c r="RRM26" s="2692"/>
      <c r="RRN26" s="2692"/>
      <c r="RRO26" s="2692"/>
      <c r="RRP26" s="2692"/>
      <c r="RRQ26" s="2692"/>
      <c r="RRR26" s="2692"/>
      <c r="RRS26" s="2692"/>
      <c r="RRT26" s="2692"/>
      <c r="RRU26" s="2692"/>
      <c r="RRV26" s="2692"/>
      <c r="RRW26" s="2692"/>
      <c r="RRX26" s="2692"/>
      <c r="RRY26" s="2692"/>
      <c r="RRZ26" s="2692"/>
      <c r="RSA26" s="2692"/>
      <c r="RSB26" s="2692"/>
      <c r="RSC26" s="2692"/>
      <c r="RSD26" s="2692"/>
      <c r="RSE26" s="2692"/>
      <c r="RSF26" s="2692"/>
      <c r="RSG26" s="2692"/>
      <c r="RSH26" s="2692"/>
      <c r="RSI26" s="2692"/>
      <c r="RSJ26" s="2692"/>
      <c r="RSK26" s="2692"/>
      <c r="RSL26" s="2692"/>
      <c r="RSM26" s="2692"/>
      <c r="RSN26" s="2692"/>
      <c r="RSO26" s="2692"/>
      <c r="RSP26" s="2692"/>
      <c r="RSQ26" s="2692"/>
      <c r="RSR26" s="2692"/>
      <c r="RSS26" s="2692"/>
      <c r="RST26" s="2692"/>
      <c r="RSU26" s="2692"/>
      <c r="RSV26" s="2692"/>
      <c r="RSW26" s="2692"/>
      <c r="RSX26" s="2692"/>
      <c r="RSY26" s="2692"/>
      <c r="RSZ26" s="2692"/>
      <c r="RTA26" s="2692"/>
      <c r="RTB26" s="2692"/>
      <c r="RTC26" s="2692"/>
      <c r="RTD26" s="2692"/>
      <c r="RTE26" s="2692"/>
      <c r="RTF26" s="2692"/>
      <c r="RTG26" s="2692"/>
      <c r="RTH26" s="2692"/>
      <c r="RTI26" s="2692"/>
      <c r="RTJ26" s="2692"/>
      <c r="RTK26" s="2692"/>
      <c r="RTL26" s="2692"/>
      <c r="RTM26" s="2692"/>
      <c r="RTN26" s="2692"/>
      <c r="RTO26" s="2692"/>
      <c r="RTP26" s="2692"/>
      <c r="RTQ26" s="2692"/>
      <c r="RTR26" s="2692"/>
      <c r="RTS26" s="2692"/>
      <c r="RTT26" s="2692"/>
      <c r="RTU26" s="2692"/>
      <c r="RTV26" s="2692"/>
      <c r="RTW26" s="2692"/>
      <c r="RTX26" s="2692"/>
      <c r="RTY26" s="2692"/>
      <c r="RTZ26" s="2692"/>
      <c r="RUA26" s="2692"/>
      <c r="RUB26" s="2692"/>
      <c r="RUC26" s="2692"/>
      <c r="RUD26" s="2692"/>
      <c r="RUE26" s="2692"/>
      <c r="RUF26" s="2692"/>
      <c r="RUG26" s="2692"/>
      <c r="RUH26" s="2692"/>
      <c r="RUI26" s="2692"/>
      <c r="RUJ26" s="2692"/>
      <c r="RUK26" s="2692"/>
      <c r="RUL26" s="2692"/>
      <c r="RUM26" s="2692"/>
      <c r="RUN26" s="2692"/>
      <c r="RUO26" s="2692"/>
      <c r="RUP26" s="2692"/>
      <c r="RUQ26" s="2692"/>
      <c r="RUR26" s="2692"/>
      <c r="RUS26" s="2692"/>
      <c r="RUT26" s="2692"/>
      <c r="RUU26" s="2692"/>
      <c r="RUV26" s="2692"/>
      <c r="RUW26" s="2692"/>
      <c r="RUX26" s="2692"/>
      <c r="RUY26" s="2692"/>
      <c r="RUZ26" s="2692"/>
      <c r="RVA26" s="2692"/>
      <c r="RVB26" s="2692"/>
      <c r="RVC26" s="2692"/>
      <c r="RVD26" s="2692"/>
      <c r="RVE26" s="2692"/>
      <c r="RVF26" s="2692"/>
      <c r="RVG26" s="2692"/>
      <c r="RVH26" s="2692"/>
      <c r="RVI26" s="2692"/>
      <c r="RVJ26" s="2692"/>
      <c r="RVK26" s="2692"/>
      <c r="RVL26" s="2692"/>
      <c r="RVM26" s="2692"/>
      <c r="RVN26" s="2692"/>
      <c r="RVO26" s="2692"/>
      <c r="RVP26" s="2692"/>
      <c r="RVQ26" s="2692"/>
      <c r="RVR26" s="2692"/>
      <c r="RVS26" s="2692"/>
      <c r="RVT26" s="2692"/>
      <c r="RVU26" s="2692"/>
      <c r="RVV26" s="2692"/>
      <c r="RVW26" s="2692"/>
      <c r="RVX26" s="2692"/>
      <c r="RVY26" s="2692"/>
      <c r="RVZ26" s="2692"/>
      <c r="RWA26" s="2692"/>
      <c r="RWB26" s="2692"/>
      <c r="RWC26" s="2692"/>
      <c r="RWD26" s="2692"/>
      <c r="RWE26" s="2692"/>
      <c r="RWF26" s="2692"/>
      <c r="RWG26" s="2692"/>
      <c r="RWH26" s="2692"/>
      <c r="RWI26" s="2692"/>
      <c r="RWJ26" s="2692"/>
      <c r="RWK26" s="2692"/>
      <c r="RWL26" s="2692"/>
      <c r="RWM26" s="2692"/>
      <c r="RWN26" s="2692"/>
      <c r="RWO26" s="2692"/>
      <c r="RWP26" s="2692"/>
      <c r="RWQ26" s="2692"/>
      <c r="RWR26" s="2692"/>
      <c r="RWS26" s="2692"/>
      <c r="RWT26" s="2692"/>
      <c r="RWU26" s="2692"/>
      <c r="RWV26" s="2692"/>
      <c r="RWW26" s="2692"/>
      <c r="RWX26" s="2692"/>
      <c r="RWY26" s="2692"/>
      <c r="RWZ26" s="2692"/>
      <c r="RXA26" s="2692"/>
      <c r="RXB26" s="2692"/>
      <c r="RXC26" s="2692"/>
      <c r="RXD26" s="2692"/>
      <c r="RXE26" s="2692"/>
      <c r="RXF26" s="2692"/>
      <c r="RXG26" s="2692"/>
      <c r="RXH26" s="2692"/>
      <c r="RXI26" s="2692"/>
      <c r="RXJ26" s="2692"/>
      <c r="RXK26" s="2692"/>
      <c r="RXL26" s="2692"/>
      <c r="RXM26" s="2692"/>
      <c r="RXN26" s="2692"/>
      <c r="RXO26" s="2692"/>
      <c r="RXP26" s="2692"/>
      <c r="RXQ26" s="2692"/>
      <c r="RXR26" s="2692"/>
      <c r="RXS26" s="2692"/>
      <c r="RXT26" s="2692"/>
      <c r="RXU26" s="2692"/>
      <c r="RXV26" s="2692"/>
      <c r="RXW26" s="2692"/>
      <c r="RXX26" s="2692"/>
      <c r="RXY26" s="2692"/>
      <c r="RXZ26" s="2692"/>
      <c r="RYA26" s="2692"/>
      <c r="RYB26" s="2692"/>
      <c r="RYC26" s="2692"/>
      <c r="RYD26" s="2692"/>
      <c r="RYE26" s="2692"/>
      <c r="RYF26" s="2692"/>
      <c r="RYG26" s="2692"/>
      <c r="RYH26" s="2692"/>
      <c r="RYI26" s="2692"/>
      <c r="RYJ26" s="2692"/>
      <c r="RYK26" s="2692"/>
      <c r="RYL26" s="2692"/>
      <c r="RYM26" s="2692"/>
      <c r="RYN26" s="2692"/>
      <c r="RYO26" s="2692"/>
      <c r="RYP26" s="2692"/>
      <c r="RYQ26" s="2692"/>
      <c r="RYR26" s="2692"/>
      <c r="RYS26" s="2692"/>
      <c r="RYT26" s="2692"/>
      <c r="RYU26" s="2692"/>
      <c r="RYV26" s="2692"/>
      <c r="RYW26" s="2692"/>
      <c r="RYX26" s="2692"/>
      <c r="RYY26" s="2692"/>
      <c r="RYZ26" s="2692"/>
      <c r="RZA26" s="2692"/>
      <c r="RZB26" s="2692"/>
      <c r="RZC26" s="2692"/>
      <c r="RZD26" s="2692"/>
      <c r="RZE26" s="2692"/>
      <c r="RZF26" s="2692"/>
      <c r="RZG26" s="2692"/>
      <c r="RZH26" s="2692"/>
      <c r="RZI26" s="2692"/>
      <c r="RZJ26" s="2692"/>
      <c r="RZK26" s="2692"/>
      <c r="RZL26" s="2692"/>
      <c r="RZM26" s="2692"/>
      <c r="RZN26" s="2692"/>
      <c r="RZO26" s="2692"/>
      <c r="RZP26" s="2692"/>
      <c r="RZQ26" s="2692"/>
      <c r="RZR26" s="2692"/>
      <c r="RZS26" s="2692"/>
      <c r="RZT26" s="2692"/>
      <c r="RZU26" s="2692"/>
      <c r="RZV26" s="2692"/>
      <c r="RZW26" s="2692"/>
      <c r="RZX26" s="2692"/>
      <c r="RZY26" s="2692"/>
      <c r="RZZ26" s="2692"/>
      <c r="SAA26" s="2692"/>
      <c r="SAB26" s="2692"/>
      <c r="SAC26" s="2692"/>
      <c r="SAD26" s="2692"/>
      <c r="SAE26" s="2692"/>
      <c r="SAF26" s="2692"/>
      <c r="SAG26" s="2692"/>
      <c r="SAH26" s="2692"/>
      <c r="SAI26" s="2692"/>
      <c r="SAJ26" s="2692"/>
      <c r="SAK26" s="2692"/>
      <c r="SAL26" s="2692"/>
      <c r="SAM26" s="2692"/>
      <c r="SAN26" s="2692"/>
      <c r="SAO26" s="2692"/>
      <c r="SAP26" s="2692"/>
      <c r="SAQ26" s="2692"/>
      <c r="SAR26" s="2692"/>
      <c r="SAS26" s="2692"/>
      <c r="SAT26" s="2692"/>
      <c r="SAU26" s="2692"/>
      <c r="SAV26" s="2692"/>
      <c r="SAW26" s="2692"/>
      <c r="SAX26" s="2692"/>
      <c r="SAY26" s="2692"/>
      <c r="SAZ26" s="2692"/>
      <c r="SBA26" s="2692"/>
      <c r="SBB26" s="2692"/>
      <c r="SBC26" s="2692"/>
      <c r="SBD26" s="2692"/>
      <c r="SBE26" s="2692"/>
      <c r="SBF26" s="2692"/>
      <c r="SBG26" s="2692"/>
      <c r="SBH26" s="2692"/>
      <c r="SBI26" s="2692"/>
      <c r="SBJ26" s="2692"/>
      <c r="SBK26" s="2692"/>
      <c r="SBL26" s="2692"/>
      <c r="SBM26" s="2692"/>
      <c r="SBN26" s="2692"/>
      <c r="SBO26" s="2692"/>
      <c r="SBP26" s="2692"/>
      <c r="SBQ26" s="2692"/>
      <c r="SBR26" s="2692"/>
      <c r="SBS26" s="2692"/>
      <c r="SBT26" s="2692"/>
      <c r="SBU26" s="2692"/>
      <c r="SBV26" s="2692"/>
      <c r="SBW26" s="2692"/>
      <c r="SBX26" s="2692"/>
      <c r="SBY26" s="2692"/>
      <c r="SBZ26" s="2692"/>
      <c r="SCA26" s="2692"/>
      <c r="SCB26" s="2692"/>
      <c r="SCC26" s="2692"/>
      <c r="SCD26" s="2692"/>
      <c r="SCE26" s="2692"/>
      <c r="SCF26" s="2692"/>
      <c r="SCG26" s="2692"/>
      <c r="SCH26" s="2692"/>
      <c r="SCI26" s="2692"/>
      <c r="SCJ26" s="2692"/>
      <c r="SCK26" s="2692"/>
      <c r="SCL26" s="2692"/>
      <c r="SCM26" s="2692"/>
      <c r="SCN26" s="2692"/>
      <c r="SCO26" s="2692"/>
      <c r="SCP26" s="2692"/>
      <c r="SCQ26" s="2692"/>
      <c r="SCR26" s="2692"/>
      <c r="SCS26" s="2692"/>
      <c r="SCT26" s="2692"/>
      <c r="SCU26" s="2692"/>
      <c r="SCV26" s="2692"/>
      <c r="SCW26" s="2692"/>
      <c r="SCX26" s="2692"/>
      <c r="SCY26" s="2692"/>
      <c r="SCZ26" s="2692"/>
      <c r="SDA26" s="2692"/>
      <c r="SDB26" s="2692"/>
      <c r="SDC26" s="2692"/>
      <c r="SDD26" s="2692"/>
      <c r="SDE26" s="2692"/>
      <c r="SDF26" s="2692"/>
      <c r="SDG26" s="2692"/>
      <c r="SDH26" s="2692"/>
      <c r="SDI26" s="2692"/>
      <c r="SDJ26" s="2692"/>
      <c r="SDK26" s="2692"/>
      <c r="SDL26" s="2692"/>
      <c r="SDM26" s="2692"/>
      <c r="SDN26" s="2692"/>
      <c r="SDO26" s="2692"/>
      <c r="SDP26" s="2692"/>
      <c r="SDQ26" s="2692"/>
      <c r="SDR26" s="2692"/>
      <c r="SDS26" s="2692"/>
      <c r="SDT26" s="2692"/>
      <c r="SDU26" s="2692"/>
      <c r="SDV26" s="2692"/>
      <c r="SDW26" s="2692"/>
      <c r="SDX26" s="2692"/>
      <c r="SDY26" s="2692"/>
      <c r="SDZ26" s="2692"/>
      <c r="SEA26" s="2692"/>
      <c r="SEB26" s="2692"/>
      <c r="SEC26" s="2692"/>
      <c r="SED26" s="2692"/>
      <c r="SEE26" s="2692"/>
      <c r="SEF26" s="2692"/>
      <c r="SEG26" s="2692"/>
      <c r="SEH26" s="2692"/>
      <c r="SEI26" s="2692"/>
      <c r="SEJ26" s="2692"/>
      <c r="SEK26" s="2692"/>
      <c r="SEL26" s="2692"/>
      <c r="SEM26" s="2692"/>
      <c r="SEN26" s="2692"/>
      <c r="SEO26" s="2692"/>
      <c r="SEP26" s="2692"/>
      <c r="SEQ26" s="2692"/>
      <c r="SER26" s="2692"/>
      <c r="SES26" s="2692"/>
      <c r="SET26" s="2692"/>
      <c r="SEU26" s="2692"/>
      <c r="SEV26" s="2692"/>
      <c r="SEW26" s="2692"/>
      <c r="SEX26" s="2692"/>
      <c r="SEY26" s="2692"/>
      <c r="SEZ26" s="2692"/>
      <c r="SFA26" s="2692"/>
      <c r="SFB26" s="2692"/>
      <c r="SFC26" s="2692"/>
      <c r="SFD26" s="2692"/>
      <c r="SFE26" s="2692"/>
      <c r="SFF26" s="2692"/>
      <c r="SFG26" s="2692"/>
      <c r="SFH26" s="2692"/>
      <c r="SFI26" s="2692"/>
      <c r="SFJ26" s="2692"/>
      <c r="SFK26" s="2692"/>
      <c r="SFL26" s="2692"/>
      <c r="SFM26" s="2692"/>
      <c r="SFN26" s="2692"/>
      <c r="SFO26" s="2692"/>
      <c r="SFP26" s="2692"/>
      <c r="SFQ26" s="2692"/>
      <c r="SFR26" s="2692"/>
      <c r="SFS26" s="2692"/>
      <c r="SFT26" s="2692"/>
      <c r="SFU26" s="2692"/>
      <c r="SFV26" s="2692"/>
      <c r="SFW26" s="2692"/>
      <c r="SFX26" s="2692"/>
      <c r="SFY26" s="2692"/>
      <c r="SFZ26" s="2692"/>
      <c r="SGA26" s="2692"/>
      <c r="SGB26" s="2692"/>
      <c r="SGC26" s="2692"/>
      <c r="SGD26" s="2692"/>
      <c r="SGE26" s="2692"/>
      <c r="SGF26" s="2692"/>
      <c r="SGG26" s="2692"/>
      <c r="SGH26" s="2692"/>
      <c r="SGI26" s="2692"/>
      <c r="SGJ26" s="2692"/>
      <c r="SGK26" s="2692"/>
      <c r="SGL26" s="2692"/>
      <c r="SGM26" s="2692"/>
      <c r="SGN26" s="2692"/>
      <c r="SGO26" s="2692"/>
      <c r="SGP26" s="2692"/>
      <c r="SGQ26" s="2692"/>
      <c r="SGR26" s="2692"/>
      <c r="SGS26" s="2692"/>
      <c r="SGT26" s="2692"/>
      <c r="SGU26" s="2692"/>
      <c r="SGV26" s="2692"/>
      <c r="SGW26" s="2692"/>
      <c r="SGX26" s="2692"/>
      <c r="SGY26" s="2692"/>
      <c r="SGZ26" s="2692"/>
      <c r="SHA26" s="2692"/>
      <c r="SHB26" s="2692"/>
      <c r="SHC26" s="2692"/>
      <c r="SHD26" s="2692"/>
      <c r="SHE26" s="2692"/>
      <c r="SHF26" s="2692"/>
      <c r="SHG26" s="2692"/>
      <c r="SHH26" s="2692"/>
      <c r="SHI26" s="2692"/>
      <c r="SHJ26" s="2692"/>
      <c r="SHK26" s="2692"/>
      <c r="SHL26" s="2692"/>
      <c r="SHM26" s="2692"/>
      <c r="SHN26" s="2692"/>
      <c r="SHO26" s="2692"/>
      <c r="SHP26" s="2692"/>
      <c r="SHQ26" s="2692"/>
      <c r="SHR26" s="2692"/>
      <c r="SHS26" s="2692"/>
      <c r="SHT26" s="2692"/>
      <c r="SHU26" s="2692"/>
      <c r="SHV26" s="2692"/>
      <c r="SHW26" s="2692"/>
      <c r="SHX26" s="2692"/>
      <c r="SHY26" s="2692"/>
      <c r="SHZ26" s="2692"/>
      <c r="SIA26" s="2692"/>
      <c r="SIB26" s="2692"/>
      <c r="SIC26" s="2692"/>
      <c r="SID26" s="2692"/>
      <c r="SIE26" s="2692"/>
      <c r="SIF26" s="2692"/>
      <c r="SIG26" s="2692"/>
      <c r="SIH26" s="2692"/>
      <c r="SII26" s="2692"/>
      <c r="SIJ26" s="2692"/>
      <c r="SIK26" s="2692"/>
      <c r="SIL26" s="2692"/>
      <c r="SIM26" s="2692"/>
      <c r="SIN26" s="2692"/>
      <c r="SIO26" s="2692"/>
      <c r="SIP26" s="2692"/>
      <c r="SIQ26" s="2692"/>
      <c r="SIR26" s="2692"/>
      <c r="SIS26" s="2692"/>
      <c r="SIT26" s="2692"/>
      <c r="SIU26" s="2692"/>
      <c r="SIV26" s="2692"/>
      <c r="SIW26" s="2692"/>
      <c r="SIX26" s="2692"/>
      <c r="SIY26" s="2692"/>
      <c r="SIZ26" s="2692"/>
      <c r="SJA26" s="2692"/>
      <c r="SJB26" s="2692"/>
      <c r="SJC26" s="2692"/>
      <c r="SJD26" s="2692"/>
      <c r="SJE26" s="2692"/>
      <c r="SJF26" s="2692"/>
      <c r="SJG26" s="2692"/>
      <c r="SJH26" s="2692"/>
      <c r="SJI26" s="2692"/>
      <c r="SJJ26" s="2692"/>
      <c r="SJK26" s="2692"/>
      <c r="SJL26" s="2692"/>
      <c r="SJM26" s="2692"/>
      <c r="SJN26" s="2692"/>
      <c r="SJO26" s="2692"/>
      <c r="SJP26" s="2692"/>
      <c r="SJQ26" s="2692"/>
      <c r="SJR26" s="2692"/>
      <c r="SJS26" s="2692"/>
      <c r="SJT26" s="2692"/>
      <c r="SJU26" s="2692"/>
      <c r="SJV26" s="2692"/>
      <c r="SJW26" s="2692"/>
      <c r="SJX26" s="2692"/>
      <c r="SJY26" s="2692"/>
      <c r="SJZ26" s="2692"/>
      <c r="SKA26" s="2692"/>
      <c r="SKB26" s="2692"/>
      <c r="SKC26" s="2692"/>
      <c r="SKD26" s="2692"/>
      <c r="SKE26" s="2692"/>
      <c r="SKF26" s="2692"/>
      <c r="SKG26" s="2692"/>
      <c r="SKH26" s="2692"/>
      <c r="SKI26" s="2692"/>
      <c r="SKJ26" s="2692"/>
      <c r="SKK26" s="2692"/>
      <c r="SKL26" s="2692"/>
      <c r="SKM26" s="2692"/>
      <c r="SKN26" s="2692"/>
      <c r="SKO26" s="2692"/>
      <c r="SKP26" s="2692"/>
      <c r="SKQ26" s="2692"/>
      <c r="SKR26" s="2692"/>
      <c r="SKS26" s="2692"/>
      <c r="SKT26" s="2692"/>
      <c r="SKU26" s="2692"/>
      <c r="SKV26" s="2692"/>
      <c r="SKW26" s="2692"/>
      <c r="SKX26" s="2692"/>
      <c r="SKY26" s="2692"/>
      <c r="SKZ26" s="2692"/>
      <c r="SLA26" s="2692"/>
      <c r="SLB26" s="2692"/>
      <c r="SLC26" s="2692"/>
      <c r="SLD26" s="2692"/>
      <c r="SLE26" s="2692"/>
      <c r="SLF26" s="2692"/>
      <c r="SLG26" s="2692"/>
      <c r="SLH26" s="2692"/>
      <c r="SLI26" s="2692"/>
      <c r="SLJ26" s="2692"/>
      <c r="SLK26" s="2692"/>
      <c r="SLL26" s="2692"/>
      <c r="SLM26" s="2692"/>
      <c r="SLN26" s="2692"/>
      <c r="SLO26" s="2692"/>
      <c r="SLP26" s="2692"/>
      <c r="SLQ26" s="2692"/>
      <c r="SLR26" s="2692"/>
      <c r="SLS26" s="2692"/>
      <c r="SLT26" s="2692"/>
      <c r="SLU26" s="2692"/>
      <c r="SLV26" s="2692"/>
      <c r="SLW26" s="2692"/>
      <c r="SLX26" s="2692"/>
      <c r="SLY26" s="2692"/>
      <c r="SLZ26" s="2692"/>
      <c r="SMA26" s="2692"/>
      <c r="SMB26" s="2692"/>
      <c r="SMC26" s="2692"/>
      <c r="SMD26" s="2692"/>
      <c r="SME26" s="2692"/>
      <c r="SMF26" s="2692"/>
      <c r="SMG26" s="2692"/>
      <c r="SMH26" s="2692"/>
      <c r="SMI26" s="2692"/>
      <c r="SMJ26" s="2692"/>
      <c r="SMK26" s="2692"/>
      <c r="SML26" s="2692"/>
      <c r="SMM26" s="2692"/>
      <c r="SMN26" s="2692"/>
      <c r="SMO26" s="2692"/>
      <c r="SMP26" s="2692"/>
      <c r="SMQ26" s="2692"/>
      <c r="SMR26" s="2692"/>
      <c r="SMS26" s="2692"/>
      <c r="SMT26" s="2692"/>
      <c r="SMU26" s="2692"/>
      <c r="SMV26" s="2692"/>
      <c r="SMW26" s="2692"/>
      <c r="SMX26" s="2692"/>
      <c r="SMY26" s="2692"/>
      <c r="SMZ26" s="2692"/>
      <c r="SNA26" s="2692"/>
      <c r="SNB26" s="2692"/>
      <c r="SNC26" s="2692"/>
      <c r="SND26" s="2692"/>
      <c r="SNE26" s="2692"/>
      <c r="SNF26" s="2692"/>
      <c r="SNG26" s="2692"/>
      <c r="SNH26" s="2692"/>
      <c r="SNI26" s="2692"/>
      <c r="SNJ26" s="2692"/>
      <c r="SNK26" s="2692"/>
      <c r="SNL26" s="2692"/>
      <c r="SNM26" s="2692"/>
      <c r="SNN26" s="2692"/>
      <c r="SNO26" s="2692"/>
      <c r="SNP26" s="2692"/>
      <c r="SNQ26" s="2692"/>
      <c r="SNR26" s="2692"/>
      <c r="SNS26" s="2692"/>
      <c r="SNT26" s="2692"/>
      <c r="SNU26" s="2692"/>
      <c r="SNV26" s="2692"/>
      <c r="SNW26" s="2692"/>
      <c r="SNX26" s="2692"/>
      <c r="SNY26" s="2692"/>
      <c r="SNZ26" s="2692"/>
      <c r="SOA26" s="2692"/>
      <c r="SOB26" s="2692"/>
      <c r="SOC26" s="2692"/>
      <c r="SOD26" s="2692"/>
      <c r="SOE26" s="2692"/>
      <c r="SOF26" s="2692"/>
      <c r="SOG26" s="2692"/>
      <c r="SOH26" s="2692"/>
      <c r="SOI26" s="2692"/>
      <c r="SOJ26" s="2692"/>
      <c r="SOK26" s="2692"/>
      <c r="SOL26" s="2692"/>
      <c r="SOM26" s="2692"/>
      <c r="SON26" s="2692"/>
      <c r="SOO26" s="2692"/>
      <c r="SOP26" s="2692"/>
      <c r="SOQ26" s="2692"/>
      <c r="SOR26" s="2692"/>
      <c r="SOS26" s="2692"/>
      <c r="SOT26" s="2692"/>
      <c r="SOU26" s="2692"/>
      <c r="SOV26" s="2692"/>
      <c r="SOW26" s="2692"/>
      <c r="SOX26" s="2692"/>
      <c r="SOY26" s="2692"/>
      <c r="SOZ26" s="2692"/>
      <c r="SPA26" s="2692"/>
      <c r="SPB26" s="2692"/>
      <c r="SPC26" s="2692"/>
      <c r="SPD26" s="2692"/>
      <c r="SPE26" s="2692"/>
      <c r="SPF26" s="2692"/>
      <c r="SPG26" s="2692"/>
      <c r="SPH26" s="2692"/>
      <c r="SPI26" s="2692"/>
      <c r="SPJ26" s="2692"/>
      <c r="SPK26" s="2692"/>
      <c r="SPL26" s="2692"/>
      <c r="SPM26" s="2692"/>
      <c r="SPN26" s="2692"/>
      <c r="SPO26" s="2692"/>
      <c r="SPP26" s="2692"/>
      <c r="SPQ26" s="2692"/>
      <c r="SPR26" s="2692"/>
      <c r="SPS26" s="2692"/>
      <c r="SPT26" s="2692"/>
      <c r="SPU26" s="2692"/>
      <c r="SPV26" s="2692"/>
      <c r="SPW26" s="2692"/>
      <c r="SPX26" s="2692"/>
      <c r="SPY26" s="2692"/>
      <c r="SPZ26" s="2692"/>
      <c r="SQA26" s="2692"/>
      <c r="SQB26" s="2692"/>
      <c r="SQC26" s="2692"/>
      <c r="SQD26" s="2692"/>
      <c r="SQE26" s="2692"/>
      <c r="SQF26" s="2692"/>
      <c r="SQG26" s="2692"/>
      <c r="SQH26" s="2692"/>
      <c r="SQI26" s="2692"/>
      <c r="SQJ26" s="2692"/>
      <c r="SQK26" s="2692"/>
      <c r="SQL26" s="2692"/>
      <c r="SQM26" s="2692"/>
      <c r="SQN26" s="2692"/>
      <c r="SQO26" s="2692"/>
      <c r="SQP26" s="2692"/>
      <c r="SQQ26" s="2692"/>
      <c r="SQR26" s="2692"/>
      <c r="SQS26" s="2692"/>
      <c r="SQT26" s="2692"/>
      <c r="SQU26" s="2692"/>
      <c r="SQV26" s="2692"/>
      <c r="SQW26" s="2692"/>
      <c r="SQX26" s="2692"/>
      <c r="SQY26" s="2692"/>
      <c r="SQZ26" s="2692"/>
      <c r="SRA26" s="2692"/>
      <c r="SRB26" s="2692"/>
      <c r="SRC26" s="2692"/>
      <c r="SRD26" s="2692"/>
      <c r="SRE26" s="2692"/>
      <c r="SRF26" s="2692"/>
      <c r="SRG26" s="2692"/>
      <c r="SRH26" s="2692"/>
      <c r="SRI26" s="2692"/>
      <c r="SRJ26" s="2692"/>
      <c r="SRK26" s="2692"/>
      <c r="SRL26" s="2692"/>
      <c r="SRM26" s="2692"/>
      <c r="SRN26" s="2692"/>
      <c r="SRO26" s="2692"/>
      <c r="SRP26" s="2692"/>
      <c r="SRQ26" s="2692"/>
      <c r="SRR26" s="2692"/>
      <c r="SRS26" s="2692"/>
      <c r="SRT26" s="2692"/>
      <c r="SRU26" s="2692"/>
      <c r="SRV26" s="2692"/>
      <c r="SRW26" s="2692"/>
      <c r="SRX26" s="2692"/>
      <c r="SRY26" s="2692"/>
      <c r="SRZ26" s="2692"/>
      <c r="SSA26" s="2692"/>
      <c r="SSB26" s="2692"/>
      <c r="SSC26" s="2692"/>
      <c r="SSD26" s="2692"/>
      <c r="SSE26" s="2692"/>
      <c r="SSF26" s="2692"/>
      <c r="SSG26" s="2692"/>
      <c r="SSH26" s="2692"/>
      <c r="SSI26" s="2692"/>
      <c r="SSJ26" s="2692"/>
      <c r="SSK26" s="2692"/>
      <c r="SSL26" s="2692"/>
      <c r="SSM26" s="2692"/>
      <c r="SSN26" s="2692"/>
      <c r="SSO26" s="2692"/>
      <c r="SSP26" s="2692"/>
      <c r="SSQ26" s="2692"/>
      <c r="SSR26" s="2692"/>
      <c r="SSS26" s="2692"/>
      <c r="SST26" s="2692"/>
      <c r="SSU26" s="2692"/>
      <c r="SSV26" s="2692"/>
      <c r="SSW26" s="2692"/>
      <c r="SSX26" s="2692"/>
      <c r="SSY26" s="2692"/>
      <c r="SSZ26" s="2692"/>
      <c r="STA26" s="2692"/>
      <c r="STB26" s="2692"/>
      <c r="STC26" s="2692"/>
      <c r="STD26" s="2692"/>
      <c r="STE26" s="2692"/>
      <c r="STF26" s="2692"/>
      <c r="STG26" s="2692"/>
      <c r="STH26" s="2692"/>
      <c r="STI26" s="2692"/>
      <c r="STJ26" s="2692"/>
      <c r="STK26" s="2692"/>
      <c r="STL26" s="2692"/>
      <c r="STM26" s="2692"/>
      <c r="STN26" s="2692"/>
      <c r="STO26" s="2692"/>
      <c r="STP26" s="2692"/>
      <c r="STQ26" s="2692"/>
      <c r="STR26" s="2692"/>
      <c r="STS26" s="2692"/>
      <c r="STT26" s="2692"/>
      <c r="STU26" s="2692"/>
      <c r="STV26" s="2692"/>
      <c r="STW26" s="2692"/>
      <c r="STX26" s="2692"/>
      <c r="STY26" s="2692"/>
      <c r="STZ26" s="2692"/>
      <c r="SUA26" s="2692"/>
      <c r="SUB26" s="2692"/>
      <c r="SUC26" s="2692"/>
      <c r="SUD26" s="2692"/>
      <c r="SUE26" s="2692"/>
      <c r="SUF26" s="2692"/>
      <c r="SUG26" s="2692"/>
      <c r="SUH26" s="2692"/>
      <c r="SUI26" s="2692"/>
      <c r="SUJ26" s="2692"/>
      <c r="SUK26" s="2692"/>
      <c r="SUL26" s="2692"/>
      <c r="SUM26" s="2692"/>
      <c r="SUN26" s="2692"/>
      <c r="SUO26" s="2692"/>
      <c r="SUP26" s="2692"/>
      <c r="SUQ26" s="2692"/>
      <c r="SUR26" s="2692"/>
      <c r="SUS26" s="2692"/>
      <c r="SUT26" s="2692"/>
      <c r="SUU26" s="2692"/>
      <c r="SUV26" s="2692"/>
      <c r="SUW26" s="2692"/>
      <c r="SUX26" s="2692"/>
      <c r="SUY26" s="2692"/>
      <c r="SUZ26" s="2692"/>
      <c r="SVA26" s="2692"/>
      <c r="SVB26" s="2692"/>
      <c r="SVC26" s="2692"/>
      <c r="SVD26" s="2692"/>
      <c r="SVE26" s="2692"/>
      <c r="SVF26" s="2692"/>
      <c r="SVG26" s="2692"/>
      <c r="SVH26" s="2692"/>
      <c r="SVI26" s="2692"/>
      <c r="SVJ26" s="2692"/>
      <c r="SVK26" s="2692"/>
      <c r="SVL26" s="2692"/>
      <c r="SVM26" s="2692"/>
      <c r="SVN26" s="2692"/>
      <c r="SVO26" s="2692"/>
      <c r="SVP26" s="2692"/>
      <c r="SVQ26" s="2692"/>
      <c r="SVR26" s="2692"/>
      <c r="SVS26" s="2692"/>
      <c r="SVT26" s="2692"/>
      <c r="SVU26" s="2692"/>
      <c r="SVV26" s="2692"/>
      <c r="SVW26" s="2692"/>
      <c r="SVX26" s="2692"/>
      <c r="SVY26" s="2692"/>
      <c r="SVZ26" s="2692"/>
      <c r="SWA26" s="2692"/>
      <c r="SWB26" s="2692"/>
      <c r="SWC26" s="2692"/>
      <c r="SWD26" s="2692"/>
      <c r="SWE26" s="2692"/>
      <c r="SWF26" s="2692"/>
      <c r="SWG26" s="2692"/>
      <c r="SWH26" s="2692"/>
      <c r="SWI26" s="2692"/>
      <c r="SWJ26" s="2692"/>
      <c r="SWK26" s="2692"/>
      <c r="SWL26" s="2692"/>
      <c r="SWM26" s="2692"/>
      <c r="SWN26" s="2692"/>
      <c r="SWO26" s="2692"/>
      <c r="SWP26" s="2692"/>
      <c r="SWQ26" s="2692"/>
      <c r="SWR26" s="2692"/>
      <c r="SWS26" s="2692"/>
      <c r="SWT26" s="2692"/>
      <c r="SWU26" s="2692"/>
      <c r="SWV26" s="2692"/>
      <c r="SWW26" s="2692"/>
      <c r="SWX26" s="2692"/>
      <c r="SWY26" s="2692"/>
      <c r="SWZ26" s="2692"/>
      <c r="SXA26" s="2692"/>
      <c r="SXB26" s="2692"/>
      <c r="SXC26" s="2692"/>
      <c r="SXD26" s="2692"/>
      <c r="SXE26" s="2692"/>
      <c r="SXF26" s="2692"/>
      <c r="SXG26" s="2692"/>
      <c r="SXH26" s="2692"/>
      <c r="SXI26" s="2692"/>
      <c r="SXJ26" s="2692"/>
      <c r="SXK26" s="2692"/>
      <c r="SXL26" s="2692"/>
      <c r="SXM26" s="2692"/>
      <c r="SXN26" s="2692"/>
      <c r="SXO26" s="2692"/>
      <c r="SXP26" s="2692"/>
      <c r="SXQ26" s="2692"/>
      <c r="SXR26" s="2692"/>
      <c r="SXS26" s="2692"/>
      <c r="SXT26" s="2692"/>
      <c r="SXU26" s="2692"/>
      <c r="SXV26" s="2692"/>
      <c r="SXW26" s="2692"/>
      <c r="SXX26" s="2692"/>
      <c r="SXY26" s="2692"/>
      <c r="SXZ26" s="2692"/>
      <c r="SYA26" s="2692"/>
      <c r="SYB26" s="2692"/>
      <c r="SYC26" s="2692"/>
      <c r="SYD26" s="2692"/>
      <c r="SYE26" s="2692"/>
      <c r="SYF26" s="2692"/>
      <c r="SYG26" s="2692"/>
      <c r="SYH26" s="2692"/>
      <c r="SYI26" s="2692"/>
      <c r="SYJ26" s="2692"/>
      <c r="SYK26" s="2692"/>
      <c r="SYL26" s="2692"/>
      <c r="SYM26" s="2692"/>
      <c r="SYN26" s="2692"/>
      <c r="SYO26" s="2692"/>
      <c r="SYP26" s="2692"/>
      <c r="SYQ26" s="2692"/>
      <c r="SYR26" s="2692"/>
      <c r="SYS26" s="2692"/>
      <c r="SYT26" s="2692"/>
      <c r="SYU26" s="2692"/>
      <c r="SYV26" s="2692"/>
      <c r="SYW26" s="2692"/>
      <c r="SYX26" s="2692"/>
      <c r="SYY26" s="2692"/>
      <c r="SYZ26" s="2692"/>
      <c r="SZA26" s="2692"/>
      <c r="SZB26" s="2692"/>
      <c r="SZC26" s="2692"/>
      <c r="SZD26" s="2692"/>
      <c r="SZE26" s="2692"/>
      <c r="SZF26" s="2692"/>
      <c r="SZG26" s="2692"/>
      <c r="SZH26" s="2692"/>
      <c r="SZI26" s="2692"/>
      <c r="SZJ26" s="2692"/>
      <c r="SZK26" s="2692"/>
      <c r="SZL26" s="2692"/>
      <c r="SZM26" s="2692"/>
      <c r="SZN26" s="2692"/>
      <c r="SZO26" s="2692"/>
      <c r="SZP26" s="2692"/>
      <c r="SZQ26" s="2692"/>
      <c r="SZR26" s="2692"/>
      <c r="SZS26" s="2692"/>
      <c r="SZT26" s="2692"/>
      <c r="SZU26" s="2692"/>
      <c r="SZV26" s="2692"/>
      <c r="SZW26" s="2692"/>
      <c r="SZX26" s="2692"/>
      <c r="SZY26" s="2692"/>
      <c r="SZZ26" s="2692"/>
      <c r="TAA26" s="2692"/>
      <c r="TAB26" s="2692"/>
      <c r="TAC26" s="2692"/>
      <c r="TAD26" s="2692"/>
      <c r="TAE26" s="2692"/>
      <c r="TAF26" s="2692"/>
      <c r="TAG26" s="2692"/>
      <c r="TAH26" s="2692"/>
      <c r="TAI26" s="2692"/>
      <c r="TAJ26" s="2692"/>
      <c r="TAK26" s="2692"/>
      <c r="TAL26" s="2692"/>
      <c r="TAM26" s="2692"/>
      <c r="TAN26" s="2692"/>
      <c r="TAO26" s="2692"/>
      <c r="TAP26" s="2692"/>
      <c r="TAQ26" s="2692"/>
      <c r="TAR26" s="2692"/>
      <c r="TAS26" s="2692"/>
      <c r="TAT26" s="2692"/>
      <c r="TAU26" s="2692"/>
      <c r="TAV26" s="2692"/>
      <c r="TAW26" s="2692"/>
      <c r="TAX26" s="2692"/>
      <c r="TAY26" s="2692"/>
      <c r="TAZ26" s="2692"/>
      <c r="TBA26" s="2692"/>
      <c r="TBB26" s="2692"/>
      <c r="TBC26" s="2692"/>
      <c r="TBD26" s="2692"/>
      <c r="TBE26" s="2692"/>
      <c r="TBF26" s="2692"/>
      <c r="TBG26" s="2692"/>
      <c r="TBH26" s="2692"/>
      <c r="TBI26" s="2692"/>
      <c r="TBJ26" s="2692"/>
      <c r="TBK26" s="2692"/>
      <c r="TBL26" s="2692"/>
      <c r="TBM26" s="2692"/>
      <c r="TBN26" s="2692"/>
      <c r="TBO26" s="2692"/>
      <c r="TBP26" s="2692"/>
      <c r="TBQ26" s="2692"/>
      <c r="TBR26" s="2692"/>
      <c r="TBS26" s="2692"/>
      <c r="TBT26" s="2692"/>
      <c r="TBU26" s="2692"/>
      <c r="TBV26" s="2692"/>
      <c r="TBW26" s="2692"/>
      <c r="TBX26" s="2692"/>
      <c r="TBY26" s="2692"/>
      <c r="TBZ26" s="2692"/>
      <c r="TCA26" s="2692"/>
      <c r="TCB26" s="2692"/>
      <c r="TCC26" s="2692"/>
      <c r="TCD26" s="2692"/>
      <c r="TCE26" s="2692"/>
      <c r="TCF26" s="2692"/>
      <c r="TCG26" s="2692"/>
      <c r="TCH26" s="2692"/>
      <c r="TCI26" s="2692"/>
      <c r="TCJ26" s="2692"/>
      <c r="TCK26" s="2692"/>
      <c r="TCL26" s="2692"/>
      <c r="TCM26" s="2692"/>
      <c r="TCN26" s="2692"/>
      <c r="TCO26" s="2692"/>
      <c r="TCP26" s="2692"/>
      <c r="TCQ26" s="2692"/>
      <c r="TCR26" s="2692"/>
      <c r="TCS26" s="2692"/>
      <c r="TCT26" s="2692"/>
      <c r="TCU26" s="2692"/>
      <c r="TCV26" s="2692"/>
      <c r="TCW26" s="2692"/>
      <c r="TCX26" s="2692"/>
      <c r="TCY26" s="2692"/>
      <c r="TCZ26" s="2692"/>
      <c r="TDA26" s="2692"/>
      <c r="TDB26" s="2692"/>
      <c r="TDC26" s="2692"/>
      <c r="TDD26" s="2692"/>
      <c r="TDE26" s="2692"/>
      <c r="TDF26" s="2692"/>
      <c r="TDG26" s="2692"/>
      <c r="TDH26" s="2692"/>
      <c r="TDI26" s="2692"/>
      <c r="TDJ26" s="2692"/>
      <c r="TDK26" s="2692"/>
      <c r="TDL26" s="2692"/>
      <c r="TDM26" s="2692"/>
      <c r="TDN26" s="2692"/>
      <c r="TDO26" s="2692"/>
      <c r="TDP26" s="2692"/>
      <c r="TDQ26" s="2692"/>
      <c r="TDR26" s="2692"/>
      <c r="TDS26" s="2692"/>
      <c r="TDT26" s="2692"/>
      <c r="TDU26" s="2692"/>
      <c r="TDV26" s="2692"/>
      <c r="TDW26" s="2692"/>
      <c r="TDX26" s="2692"/>
      <c r="TDY26" s="2692"/>
      <c r="TDZ26" s="2692"/>
      <c r="TEA26" s="2692"/>
      <c r="TEB26" s="2692"/>
      <c r="TEC26" s="2692"/>
      <c r="TED26" s="2692"/>
      <c r="TEE26" s="2692"/>
      <c r="TEF26" s="2692"/>
      <c r="TEG26" s="2692"/>
      <c r="TEH26" s="2692"/>
      <c r="TEI26" s="2692"/>
      <c r="TEJ26" s="2692"/>
      <c r="TEK26" s="2692"/>
      <c r="TEL26" s="2692"/>
      <c r="TEM26" s="2692"/>
      <c r="TEN26" s="2692"/>
      <c r="TEO26" s="2692"/>
      <c r="TEP26" s="2692"/>
      <c r="TEQ26" s="2692"/>
      <c r="TER26" s="2692"/>
      <c r="TES26" s="2692"/>
      <c r="TET26" s="2692"/>
      <c r="TEU26" s="2692"/>
      <c r="TEV26" s="2692"/>
      <c r="TEW26" s="2692"/>
      <c r="TEX26" s="2692"/>
      <c r="TEY26" s="2692"/>
      <c r="TEZ26" s="2692"/>
      <c r="TFA26" s="2692"/>
      <c r="TFB26" s="2692"/>
      <c r="TFC26" s="2692"/>
      <c r="TFD26" s="2692"/>
      <c r="TFE26" s="2692"/>
      <c r="TFF26" s="2692"/>
      <c r="TFG26" s="2692"/>
      <c r="TFH26" s="2692"/>
      <c r="TFI26" s="2692"/>
      <c r="TFJ26" s="2692"/>
      <c r="TFK26" s="2692"/>
      <c r="TFL26" s="2692"/>
      <c r="TFM26" s="2692"/>
      <c r="TFN26" s="2692"/>
      <c r="TFO26" s="2692"/>
      <c r="TFP26" s="2692"/>
      <c r="TFQ26" s="2692"/>
      <c r="TFR26" s="2692"/>
      <c r="TFS26" s="2692"/>
      <c r="TFT26" s="2692"/>
      <c r="TFU26" s="2692"/>
      <c r="TFV26" s="2692"/>
      <c r="TFW26" s="2692"/>
      <c r="TFX26" s="2692"/>
      <c r="TFY26" s="2692"/>
      <c r="TFZ26" s="2692"/>
      <c r="TGA26" s="2692"/>
      <c r="TGB26" s="2692"/>
      <c r="TGC26" s="2692"/>
      <c r="TGD26" s="2692"/>
      <c r="TGE26" s="2692"/>
      <c r="TGF26" s="2692"/>
      <c r="TGG26" s="2692"/>
      <c r="TGH26" s="2692"/>
      <c r="TGI26" s="2692"/>
      <c r="TGJ26" s="2692"/>
      <c r="TGK26" s="2692"/>
      <c r="TGL26" s="2692"/>
      <c r="TGM26" s="2692"/>
      <c r="TGN26" s="2692"/>
      <c r="TGO26" s="2692"/>
      <c r="TGP26" s="2692"/>
      <c r="TGQ26" s="2692"/>
      <c r="TGR26" s="2692"/>
      <c r="TGS26" s="2692"/>
      <c r="TGT26" s="2692"/>
      <c r="TGU26" s="2692"/>
      <c r="TGV26" s="2692"/>
      <c r="TGW26" s="2692"/>
      <c r="TGX26" s="2692"/>
      <c r="TGY26" s="2692"/>
      <c r="TGZ26" s="2692"/>
      <c r="THA26" s="2692"/>
      <c r="THB26" s="2692"/>
      <c r="THC26" s="2692"/>
      <c r="THD26" s="2692"/>
      <c r="THE26" s="2692"/>
      <c r="THF26" s="2692"/>
      <c r="THG26" s="2692"/>
      <c r="THH26" s="2692"/>
      <c r="THI26" s="2692"/>
      <c r="THJ26" s="2692"/>
      <c r="THK26" s="2692"/>
      <c r="THL26" s="2692"/>
      <c r="THM26" s="2692"/>
      <c r="THN26" s="2692"/>
      <c r="THO26" s="2692"/>
      <c r="THP26" s="2692"/>
      <c r="THQ26" s="2692"/>
      <c r="THR26" s="2692"/>
      <c r="THS26" s="2692"/>
      <c r="THT26" s="2692"/>
      <c r="THU26" s="2692"/>
      <c r="THV26" s="2692"/>
      <c r="THW26" s="2692"/>
      <c r="THX26" s="2692"/>
      <c r="THY26" s="2692"/>
      <c r="THZ26" s="2692"/>
      <c r="TIA26" s="2692"/>
      <c r="TIB26" s="2692"/>
      <c r="TIC26" s="2692"/>
      <c r="TID26" s="2692"/>
      <c r="TIE26" s="2692"/>
      <c r="TIF26" s="2692"/>
      <c r="TIG26" s="2692"/>
      <c r="TIH26" s="2692"/>
      <c r="TII26" s="2692"/>
      <c r="TIJ26" s="2692"/>
      <c r="TIK26" s="2692"/>
      <c r="TIL26" s="2692"/>
      <c r="TIM26" s="2692"/>
      <c r="TIN26" s="2692"/>
      <c r="TIO26" s="2692"/>
      <c r="TIP26" s="2692"/>
      <c r="TIQ26" s="2692"/>
      <c r="TIR26" s="2692"/>
      <c r="TIS26" s="2692"/>
      <c r="TIT26" s="2692"/>
      <c r="TIU26" s="2692"/>
      <c r="TIV26" s="2692"/>
      <c r="TIW26" s="2692"/>
      <c r="TIX26" s="2692"/>
      <c r="TIY26" s="2692"/>
      <c r="TIZ26" s="2692"/>
      <c r="TJA26" s="2692"/>
      <c r="TJB26" s="2692"/>
      <c r="TJC26" s="2692"/>
      <c r="TJD26" s="2692"/>
      <c r="TJE26" s="2692"/>
      <c r="TJF26" s="2692"/>
      <c r="TJG26" s="2692"/>
      <c r="TJH26" s="2692"/>
      <c r="TJI26" s="2692"/>
      <c r="TJJ26" s="2692"/>
      <c r="TJK26" s="2692"/>
      <c r="TJL26" s="2692"/>
      <c r="TJM26" s="2692"/>
      <c r="TJN26" s="2692"/>
      <c r="TJO26" s="2692"/>
      <c r="TJP26" s="2692"/>
      <c r="TJQ26" s="2692"/>
      <c r="TJR26" s="2692"/>
      <c r="TJS26" s="2692"/>
      <c r="TJT26" s="2692"/>
      <c r="TJU26" s="2692"/>
      <c r="TJV26" s="2692"/>
      <c r="TJW26" s="2692"/>
      <c r="TJX26" s="2692"/>
      <c r="TJY26" s="2692"/>
      <c r="TJZ26" s="2692"/>
      <c r="TKA26" s="2692"/>
      <c r="TKB26" s="2692"/>
      <c r="TKC26" s="2692"/>
      <c r="TKD26" s="2692"/>
      <c r="TKE26" s="2692"/>
      <c r="TKF26" s="2692"/>
      <c r="TKG26" s="2692"/>
      <c r="TKH26" s="2692"/>
      <c r="TKI26" s="2692"/>
      <c r="TKJ26" s="2692"/>
      <c r="TKK26" s="2692"/>
      <c r="TKL26" s="2692"/>
      <c r="TKM26" s="2692"/>
      <c r="TKN26" s="2692"/>
      <c r="TKO26" s="2692"/>
      <c r="TKP26" s="2692"/>
      <c r="TKQ26" s="2692"/>
      <c r="TKR26" s="2692"/>
      <c r="TKS26" s="2692"/>
      <c r="TKT26" s="2692"/>
      <c r="TKU26" s="2692"/>
      <c r="TKV26" s="2692"/>
      <c r="TKW26" s="2692"/>
      <c r="TKX26" s="2692"/>
      <c r="TKY26" s="2692"/>
      <c r="TKZ26" s="2692"/>
      <c r="TLA26" s="2692"/>
      <c r="TLB26" s="2692"/>
      <c r="TLC26" s="2692"/>
      <c r="TLD26" s="2692"/>
      <c r="TLE26" s="2692"/>
      <c r="TLF26" s="2692"/>
      <c r="TLG26" s="2692"/>
      <c r="TLH26" s="2692"/>
      <c r="TLI26" s="2692"/>
      <c r="TLJ26" s="2692"/>
      <c r="TLK26" s="2692"/>
      <c r="TLL26" s="2692"/>
      <c r="TLM26" s="2692"/>
      <c r="TLN26" s="2692"/>
      <c r="TLO26" s="2692"/>
      <c r="TLP26" s="2692"/>
      <c r="TLQ26" s="2692"/>
      <c r="TLR26" s="2692"/>
      <c r="TLS26" s="2692"/>
      <c r="TLT26" s="2692"/>
      <c r="TLU26" s="2692"/>
      <c r="TLV26" s="2692"/>
      <c r="TLW26" s="2692"/>
      <c r="TLX26" s="2692"/>
      <c r="TLY26" s="2692"/>
      <c r="TLZ26" s="2692"/>
      <c r="TMA26" s="2692"/>
      <c r="TMB26" s="2692"/>
      <c r="TMC26" s="2692"/>
      <c r="TMD26" s="2692"/>
      <c r="TME26" s="2692"/>
      <c r="TMF26" s="2692"/>
      <c r="TMG26" s="2692"/>
      <c r="TMH26" s="2692"/>
      <c r="TMI26" s="2692"/>
      <c r="TMJ26" s="2692"/>
      <c r="TMK26" s="2692"/>
      <c r="TML26" s="2692"/>
      <c r="TMM26" s="2692"/>
      <c r="TMN26" s="2692"/>
      <c r="TMO26" s="2692"/>
      <c r="TMP26" s="2692"/>
      <c r="TMQ26" s="2692"/>
      <c r="TMR26" s="2692"/>
      <c r="TMS26" s="2692"/>
      <c r="TMT26" s="2692"/>
      <c r="TMU26" s="2692"/>
      <c r="TMV26" s="2692"/>
      <c r="TMW26" s="2692"/>
      <c r="TMX26" s="2692"/>
      <c r="TMY26" s="2692"/>
      <c r="TMZ26" s="2692"/>
      <c r="TNA26" s="2692"/>
      <c r="TNB26" s="2692"/>
      <c r="TNC26" s="2692"/>
      <c r="TND26" s="2692"/>
      <c r="TNE26" s="2692"/>
      <c r="TNF26" s="2692"/>
      <c r="TNG26" s="2692"/>
      <c r="TNH26" s="2692"/>
      <c r="TNI26" s="2692"/>
      <c r="TNJ26" s="2692"/>
      <c r="TNK26" s="2692"/>
      <c r="TNL26" s="2692"/>
      <c r="TNM26" s="2692"/>
      <c r="TNN26" s="2692"/>
      <c r="TNO26" s="2692"/>
      <c r="TNP26" s="2692"/>
      <c r="TNQ26" s="2692"/>
      <c r="TNR26" s="2692"/>
      <c r="TNS26" s="2692"/>
      <c r="TNT26" s="2692"/>
      <c r="TNU26" s="2692"/>
      <c r="TNV26" s="2692"/>
      <c r="TNW26" s="2692"/>
      <c r="TNX26" s="2692"/>
      <c r="TNY26" s="2692"/>
      <c r="TNZ26" s="2692"/>
      <c r="TOA26" s="2692"/>
      <c r="TOB26" s="2692"/>
      <c r="TOC26" s="2692"/>
      <c r="TOD26" s="2692"/>
      <c r="TOE26" s="2692"/>
      <c r="TOF26" s="2692"/>
      <c r="TOG26" s="2692"/>
      <c r="TOH26" s="2692"/>
      <c r="TOI26" s="2692"/>
      <c r="TOJ26" s="2692"/>
      <c r="TOK26" s="2692"/>
      <c r="TOL26" s="2692"/>
      <c r="TOM26" s="2692"/>
      <c r="TON26" s="2692"/>
      <c r="TOO26" s="2692"/>
      <c r="TOP26" s="2692"/>
      <c r="TOQ26" s="2692"/>
      <c r="TOR26" s="2692"/>
      <c r="TOS26" s="2692"/>
      <c r="TOT26" s="2692"/>
      <c r="TOU26" s="2692"/>
      <c r="TOV26" s="2692"/>
      <c r="TOW26" s="2692"/>
      <c r="TOX26" s="2692"/>
      <c r="TOY26" s="2692"/>
      <c r="TOZ26" s="2692"/>
      <c r="TPA26" s="2692"/>
      <c r="TPB26" s="2692"/>
      <c r="TPC26" s="2692"/>
      <c r="TPD26" s="2692"/>
      <c r="TPE26" s="2692"/>
      <c r="TPF26" s="2692"/>
      <c r="TPG26" s="2692"/>
      <c r="TPH26" s="2692"/>
      <c r="TPI26" s="2692"/>
      <c r="TPJ26" s="2692"/>
      <c r="TPK26" s="2692"/>
      <c r="TPL26" s="2692"/>
      <c r="TPM26" s="2692"/>
      <c r="TPN26" s="2692"/>
      <c r="TPO26" s="2692"/>
      <c r="TPP26" s="2692"/>
      <c r="TPQ26" s="2692"/>
      <c r="TPR26" s="2692"/>
      <c r="TPS26" s="2692"/>
      <c r="TPT26" s="2692"/>
      <c r="TPU26" s="2692"/>
      <c r="TPV26" s="2692"/>
      <c r="TPW26" s="2692"/>
      <c r="TPX26" s="2692"/>
      <c r="TPY26" s="2692"/>
      <c r="TPZ26" s="2692"/>
      <c r="TQA26" s="2692"/>
      <c r="TQB26" s="2692"/>
      <c r="TQC26" s="2692"/>
      <c r="TQD26" s="2692"/>
      <c r="TQE26" s="2692"/>
      <c r="TQF26" s="2692"/>
      <c r="TQG26" s="2692"/>
      <c r="TQH26" s="2692"/>
      <c r="TQI26" s="2692"/>
      <c r="TQJ26" s="2692"/>
      <c r="TQK26" s="2692"/>
      <c r="TQL26" s="2692"/>
      <c r="TQM26" s="2692"/>
      <c r="TQN26" s="2692"/>
      <c r="TQO26" s="2692"/>
      <c r="TQP26" s="2692"/>
      <c r="TQQ26" s="2692"/>
      <c r="TQR26" s="2692"/>
      <c r="TQS26" s="2692"/>
      <c r="TQT26" s="2692"/>
      <c r="TQU26" s="2692"/>
      <c r="TQV26" s="2692"/>
      <c r="TQW26" s="2692"/>
      <c r="TQX26" s="2692"/>
      <c r="TQY26" s="2692"/>
      <c r="TQZ26" s="2692"/>
      <c r="TRA26" s="2692"/>
      <c r="TRB26" s="2692"/>
      <c r="TRC26" s="2692"/>
      <c r="TRD26" s="2692"/>
      <c r="TRE26" s="2692"/>
      <c r="TRF26" s="2692"/>
      <c r="TRG26" s="2692"/>
      <c r="TRH26" s="2692"/>
      <c r="TRI26" s="2692"/>
      <c r="TRJ26" s="2692"/>
      <c r="TRK26" s="2692"/>
      <c r="TRL26" s="2692"/>
      <c r="TRM26" s="2692"/>
      <c r="TRN26" s="2692"/>
      <c r="TRO26" s="2692"/>
      <c r="TRP26" s="2692"/>
      <c r="TRQ26" s="2692"/>
      <c r="TRR26" s="2692"/>
      <c r="TRS26" s="2692"/>
      <c r="TRT26" s="2692"/>
      <c r="TRU26" s="2692"/>
      <c r="TRV26" s="2692"/>
      <c r="TRW26" s="2692"/>
      <c r="TRX26" s="2692"/>
      <c r="TRY26" s="2692"/>
      <c r="TRZ26" s="2692"/>
      <c r="TSA26" s="2692"/>
      <c r="TSB26" s="2692"/>
      <c r="TSC26" s="2692"/>
      <c r="TSD26" s="2692"/>
      <c r="TSE26" s="2692"/>
      <c r="TSF26" s="2692"/>
      <c r="TSG26" s="2692"/>
      <c r="TSH26" s="2692"/>
      <c r="TSI26" s="2692"/>
      <c r="TSJ26" s="2692"/>
      <c r="TSK26" s="2692"/>
      <c r="TSL26" s="2692"/>
      <c r="TSM26" s="2692"/>
      <c r="TSN26" s="2692"/>
      <c r="TSO26" s="2692"/>
      <c r="TSP26" s="2692"/>
      <c r="TSQ26" s="2692"/>
      <c r="TSR26" s="2692"/>
      <c r="TSS26" s="2692"/>
      <c r="TST26" s="2692"/>
      <c r="TSU26" s="2692"/>
      <c r="TSV26" s="2692"/>
      <c r="TSW26" s="2692"/>
      <c r="TSX26" s="2692"/>
      <c r="TSY26" s="2692"/>
      <c r="TSZ26" s="2692"/>
      <c r="TTA26" s="2692"/>
      <c r="TTB26" s="2692"/>
      <c r="TTC26" s="2692"/>
      <c r="TTD26" s="2692"/>
      <c r="TTE26" s="2692"/>
      <c r="TTF26" s="2692"/>
      <c r="TTG26" s="2692"/>
      <c r="TTH26" s="2692"/>
      <c r="TTI26" s="2692"/>
      <c r="TTJ26" s="2692"/>
      <c r="TTK26" s="2692"/>
      <c r="TTL26" s="2692"/>
      <c r="TTM26" s="2692"/>
      <c r="TTN26" s="2692"/>
      <c r="TTO26" s="2692"/>
      <c r="TTP26" s="2692"/>
      <c r="TTQ26" s="2692"/>
      <c r="TTR26" s="2692"/>
      <c r="TTS26" s="2692"/>
      <c r="TTT26" s="2692"/>
      <c r="TTU26" s="2692"/>
      <c r="TTV26" s="2692"/>
      <c r="TTW26" s="2692"/>
      <c r="TTX26" s="2692"/>
      <c r="TTY26" s="2692"/>
      <c r="TTZ26" s="2692"/>
      <c r="TUA26" s="2692"/>
      <c r="TUB26" s="2692"/>
      <c r="TUC26" s="2692"/>
      <c r="TUD26" s="2692"/>
      <c r="TUE26" s="2692"/>
      <c r="TUF26" s="2692"/>
      <c r="TUG26" s="2692"/>
      <c r="TUH26" s="2692"/>
      <c r="TUI26" s="2692"/>
      <c r="TUJ26" s="2692"/>
      <c r="TUK26" s="2692"/>
      <c r="TUL26" s="2692"/>
      <c r="TUM26" s="2692"/>
      <c r="TUN26" s="2692"/>
      <c r="TUO26" s="2692"/>
      <c r="TUP26" s="2692"/>
      <c r="TUQ26" s="2692"/>
      <c r="TUR26" s="2692"/>
      <c r="TUS26" s="2692"/>
      <c r="TUT26" s="2692"/>
      <c r="TUU26" s="2692"/>
      <c r="TUV26" s="2692"/>
      <c r="TUW26" s="2692"/>
      <c r="TUX26" s="2692"/>
      <c r="TUY26" s="2692"/>
      <c r="TUZ26" s="2692"/>
      <c r="TVA26" s="2692"/>
      <c r="TVB26" s="2692"/>
      <c r="TVC26" s="2692"/>
      <c r="TVD26" s="2692"/>
      <c r="TVE26" s="2692"/>
      <c r="TVF26" s="2692"/>
      <c r="TVG26" s="2692"/>
      <c r="TVH26" s="2692"/>
      <c r="TVI26" s="2692"/>
      <c r="TVJ26" s="2692"/>
      <c r="TVK26" s="2692"/>
      <c r="TVL26" s="2692"/>
      <c r="TVM26" s="2692"/>
      <c r="TVN26" s="2692"/>
      <c r="TVO26" s="2692"/>
      <c r="TVP26" s="2692"/>
      <c r="TVQ26" s="2692"/>
      <c r="TVR26" s="2692"/>
      <c r="TVS26" s="2692"/>
      <c r="TVT26" s="2692"/>
      <c r="TVU26" s="2692"/>
      <c r="TVV26" s="2692"/>
      <c r="TVW26" s="2692"/>
      <c r="TVX26" s="2692"/>
      <c r="TVY26" s="2692"/>
      <c r="TVZ26" s="2692"/>
      <c r="TWA26" s="2692"/>
      <c r="TWB26" s="2692"/>
      <c r="TWC26" s="2692"/>
      <c r="TWD26" s="2692"/>
      <c r="TWE26" s="2692"/>
      <c r="TWF26" s="2692"/>
      <c r="TWG26" s="2692"/>
      <c r="TWH26" s="2692"/>
      <c r="TWI26" s="2692"/>
      <c r="TWJ26" s="2692"/>
      <c r="TWK26" s="2692"/>
      <c r="TWL26" s="2692"/>
      <c r="TWM26" s="2692"/>
      <c r="TWN26" s="2692"/>
      <c r="TWO26" s="2692"/>
      <c r="TWP26" s="2692"/>
      <c r="TWQ26" s="2692"/>
      <c r="TWR26" s="2692"/>
      <c r="TWS26" s="2692"/>
      <c r="TWT26" s="2692"/>
      <c r="TWU26" s="2692"/>
      <c r="TWV26" s="2692"/>
      <c r="TWW26" s="2692"/>
      <c r="TWX26" s="2692"/>
      <c r="TWY26" s="2692"/>
      <c r="TWZ26" s="2692"/>
      <c r="TXA26" s="2692"/>
      <c r="TXB26" s="2692"/>
      <c r="TXC26" s="2692"/>
      <c r="TXD26" s="2692"/>
      <c r="TXE26" s="2692"/>
      <c r="TXF26" s="2692"/>
      <c r="TXG26" s="2692"/>
      <c r="TXH26" s="2692"/>
      <c r="TXI26" s="2692"/>
      <c r="TXJ26" s="2692"/>
      <c r="TXK26" s="2692"/>
      <c r="TXL26" s="2692"/>
      <c r="TXM26" s="2692"/>
      <c r="TXN26" s="2692"/>
      <c r="TXO26" s="2692"/>
      <c r="TXP26" s="2692"/>
      <c r="TXQ26" s="2692"/>
      <c r="TXR26" s="2692"/>
      <c r="TXS26" s="2692"/>
      <c r="TXT26" s="2692"/>
      <c r="TXU26" s="2692"/>
      <c r="TXV26" s="2692"/>
      <c r="TXW26" s="2692"/>
      <c r="TXX26" s="2692"/>
      <c r="TXY26" s="2692"/>
      <c r="TXZ26" s="2692"/>
      <c r="TYA26" s="2692"/>
      <c r="TYB26" s="2692"/>
      <c r="TYC26" s="2692"/>
      <c r="TYD26" s="2692"/>
      <c r="TYE26" s="2692"/>
      <c r="TYF26" s="2692"/>
      <c r="TYG26" s="2692"/>
      <c r="TYH26" s="2692"/>
      <c r="TYI26" s="2692"/>
      <c r="TYJ26" s="2692"/>
      <c r="TYK26" s="2692"/>
      <c r="TYL26" s="2692"/>
      <c r="TYM26" s="2692"/>
      <c r="TYN26" s="2692"/>
      <c r="TYO26" s="2692"/>
      <c r="TYP26" s="2692"/>
      <c r="TYQ26" s="2692"/>
      <c r="TYR26" s="2692"/>
      <c r="TYS26" s="2692"/>
      <c r="TYT26" s="2692"/>
      <c r="TYU26" s="2692"/>
      <c r="TYV26" s="2692"/>
      <c r="TYW26" s="2692"/>
      <c r="TYX26" s="2692"/>
      <c r="TYY26" s="2692"/>
      <c r="TYZ26" s="2692"/>
      <c r="TZA26" s="2692"/>
      <c r="TZB26" s="2692"/>
      <c r="TZC26" s="2692"/>
      <c r="TZD26" s="2692"/>
      <c r="TZE26" s="2692"/>
      <c r="TZF26" s="2692"/>
      <c r="TZG26" s="2692"/>
      <c r="TZH26" s="2692"/>
      <c r="TZI26" s="2692"/>
      <c r="TZJ26" s="2692"/>
      <c r="TZK26" s="2692"/>
      <c r="TZL26" s="2692"/>
      <c r="TZM26" s="2692"/>
      <c r="TZN26" s="2692"/>
      <c r="TZO26" s="2692"/>
      <c r="TZP26" s="2692"/>
      <c r="TZQ26" s="2692"/>
      <c r="TZR26" s="2692"/>
      <c r="TZS26" s="2692"/>
      <c r="TZT26" s="2692"/>
      <c r="TZU26" s="2692"/>
      <c r="TZV26" s="2692"/>
      <c r="TZW26" s="2692"/>
      <c r="TZX26" s="2692"/>
      <c r="TZY26" s="2692"/>
      <c r="TZZ26" s="2692"/>
      <c r="UAA26" s="2692"/>
      <c r="UAB26" s="2692"/>
      <c r="UAC26" s="2692"/>
      <c r="UAD26" s="2692"/>
      <c r="UAE26" s="2692"/>
      <c r="UAF26" s="2692"/>
      <c r="UAG26" s="2692"/>
      <c r="UAH26" s="2692"/>
      <c r="UAI26" s="2692"/>
      <c r="UAJ26" s="2692"/>
      <c r="UAK26" s="2692"/>
      <c r="UAL26" s="2692"/>
      <c r="UAM26" s="2692"/>
      <c r="UAN26" s="2692"/>
      <c r="UAO26" s="2692"/>
      <c r="UAP26" s="2692"/>
      <c r="UAQ26" s="2692"/>
      <c r="UAR26" s="2692"/>
      <c r="UAS26" s="2692"/>
      <c r="UAT26" s="2692"/>
      <c r="UAU26" s="2692"/>
      <c r="UAV26" s="2692"/>
      <c r="UAW26" s="2692"/>
      <c r="UAX26" s="2692"/>
      <c r="UAY26" s="2692"/>
      <c r="UAZ26" s="2692"/>
      <c r="UBA26" s="2692"/>
      <c r="UBB26" s="2692"/>
      <c r="UBC26" s="2692"/>
      <c r="UBD26" s="2692"/>
      <c r="UBE26" s="2692"/>
      <c r="UBF26" s="2692"/>
      <c r="UBG26" s="2692"/>
      <c r="UBH26" s="2692"/>
      <c r="UBI26" s="2692"/>
      <c r="UBJ26" s="2692"/>
      <c r="UBK26" s="2692"/>
      <c r="UBL26" s="2692"/>
      <c r="UBM26" s="2692"/>
      <c r="UBN26" s="2692"/>
      <c r="UBO26" s="2692"/>
      <c r="UBP26" s="2692"/>
      <c r="UBQ26" s="2692"/>
      <c r="UBR26" s="2692"/>
      <c r="UBS26" s="2692"/>
      <c r="UBT26" s="2692"/>
      <c r="UBU26" s="2692"/>
      <c r="UBV26" s="2692"/>
      <c r="UBW26" s="2692"/>
      <c r="UBX26" s="2692"/>
      <c r="UBY26" s="2692"/>
      <c r="UBZ26" s="2692"/>
      <c r="UCA26" s="2692"/>
      <c r="UCB26" s="2692"/>
      <c r="UCC26" s="2692"/>
      <c r="UCD26" s="2692"/>
      <c r="UCE26" s="2692"/>
      <c r="UCF26" s="2692"/>
      <c r="UCG26" s="2692"/>
      <c r="UCH26" s="2692"/>
      <c r="UCI26" s="2692"/>
      <c r="UCJ26" s="2692"/>
      <c r="UCK26" s="2692"/>
      <c r="UCL26" s="2692"/>
      <c r="UCM26" s="2692"/>
      <c r="UCN26" s="2692"/>
      <c r="UCO26" s="2692"/>
      <c r="UCP26" s="2692"/>
      <c r="UCQ26" s="2692"/>
      <c r="UCR26" s="2692"/>
      <c r="UCS26" s="2692"/>
      <c r="UCT26" s="2692"/>
      <c r="UCU26" s="2692"/>
      <c r="UCV26" s="2692"/>
      <c r="UCW26" s="2692"/>
      <c r="UCX26" s="2692"/>
      <c r="UCY26" s="2692"/>
      <c r="UCZ26" s="2692"/>
      <c r="UDA26" s="2692"/>
      <c r="UDB26" s="2692"/>
      <c r="UDC26" s="2692"/>
      <c r="UDD26" s="2692"/>
      <c r="UDE26" s="2692"/>
      <c r="UDF26" s="2692"/>
      <c r="UDG26" s="2692"/>
      <c r="UDH26" s="2692"/>
      <c r="UDI26" s="2692"/>
      <c r="UDJ26" s="2692"/>
      <c r="UDK26" s="2692"/>
      <c r="UDL26" s="2692"/>
      <c r="UDM26" s="2692"/>
      <c r="UDN26" s="2692"/>
      <c r="UDO26" s="2692"/>
      <c r="UDP26" s="2692"/>
      <c r="UDQ26" s="2692"/>
      <c r="UDR26" s="2692"/>
      <c r="UDS26" s="2692"/>
      <c r="UDT26" s="2692"/>
      <c r="UDU26" s="2692"/>
      <c r="UDV26" s="2692"/>
      <c r="UDW26" s="2692"/>
      <c r="UDX26" s="2692"/>
      <c r="UDY26" s="2692"/>
      <c r="UDZ26" s="2692"/>
      <c r="UEA26" s="2692"/>
      <c r="UEB26" s="2692"/>
      <c r="UEC26" s="2692"/>
      <c r="UED26" s="2692"/>
      <c r="UEE26" s="2692"/>
      <c r="UEF26" s="2692"/>
      <c r="UEG26" s="2692"/>
      <c r="UEH26" s="2692"/>
      <c r="UEI26" s="2692"/>
      <c r="UEJ26" s="2692"/>
      <c r="UEK26" s="2692"/>
      <c r="UEL26" s="2692"/>
      <c r="UEM26" s="2692"/>
      <c r="UEN26" s="2692"/>
      <c r="UEO26" s="2692"/>
      <c r="UEP26" s="2692"/>
      <c r="UEQ26" s="2692"/>
      <c r="UER26" s="2692"/>
      <c r="UES26" s="2692"/>
      <c r="UET26" s="2692"/>
      <c r="UEU26" s="2692"/>
      <c r="UEV26" s="2692"/>
      <c r="UEW26" s="2692"/>
      <c r="UEX26" s="2692"/>
      <c r="UEY26" s="2692"/>
      <c r="UEZ26" s="2692"/>
      <c r="UFA26" s="2692"/>
      <c r="UFB26" s="2692"/>
      <c r="UFC26" s="2692"/>
      <c r="UFD26" s="2692"/>
      <c r="UFE26" s="2692"/>
      <c r="UFF26" s="2692"/>
      <c r="UFG26" s="2692"/>
      <c r="UFH26" s="2692"/>
      <c r="UFI26" s="2692"/>
      <c r="UFJ26" s="2692"/>
      <c r="UFK26" s="2692"/>
      <c r="UFL26" s="2692"/>
      <c r="UFM26" s="2692"/>
      <c r="UFN26" s="2692"/>
      <c r="UFO26" s="2692"/>
      <c r="UFP26" s="2692"/>
      <c r="UFQ26" s="2692"/>
      <c r="UFR26" s="2692"/>
      <c r="UFS26" s="2692"/>
      <c r="UFT26" s="2692"/>
      <c r="UFU26" s="2692"/>
      <c r="UFV26" s="2692"/>
      <c r="UFW26" s="2692"/>
      <c r="UFX26" s="2692"/>
      <c r="UFY26" s="2692"/>
      <c r="UFZ26" s="2692"/>
      <c r="UGA26" s="2692"/>
      <c r="UGB26" s="2692"/>
      <c r="UGC26" s="2692"/>
      <c r="UGD26" s="2692"/>
      <c r="UGE26" s="2692"/>
      <c r="UGF26" s="2692"/>
      <c r="UGG26" s="2692"/>
      <c r="UGH26" s="2692"/>
      <c r="UGI26" s="2692"/>
      <c r="UGJ26" s="2692"/>
      <c r="UGK26" s="2692"/>
      <c r="UGL26" s="2692"/>
      <c r="UGM26" s="2692"/>
      <c r="UGN26" s="2692"/>
      <c r="UGO26" s="2692"/>
      <c r="UGP26" s="2692"/>
      <c r="UGQ26" s="2692"/>
      <c r="UGR26" s="2692"/>
      <c r="UGS26" s="2692"/>
      <c r="UGT26" s="2692"/>
      <c r="UGU26" s="2692"/>
      <c r="UGV26" s="2692"/>
      <c r="UGW26" s="2692"/>
      <c r="UGX26" s="2692"/>
      <c r="UGY26" s="2692"/>
      <c r="UGZ26" s="2692"/>
      <c r="UHA26" s="2692"/>
      <c r="UHB26" s="2692"/>
      <c r="UHC26" s="2692"/>
      <c r="UHD26" s="2692"/>
      <c r="UHE26" s="2692"/>
      <c r="UHF26" s="2692"/>
      <c r="UHG26" s="2692"/>
      <c r="UHH26" s="2692"/>
      <c r="UHI26" s="2692"/>
      <c r="UHJ26" s="2692"/>
      <c r="UHK26" s="2692"/>
      <c r="UHL26" s="2692"/>
      <c r="UHM26" s="2692"/>
      <c r="UHN26" s="2692"/>
      <c r="UHO26" s="2692"/>
      <c r="UHP26" s="2692"/>
      <c r="UHQ26" s="2692"/>
      <c r="UHR26" s="2692"/>
      <c r="UHS26" s="2692"/>
      <c r="UHT26" s="2692"/>
      <c r="UHU26" s="2692"/>
      <c r="UHV26" s="2692"/>
      <c r="UHW26" s="2692"/>
      <c r="UHX26" s="2692"/>
      <c r="UHY26" s="2692"/>
      <c r="UHZ26" s="2692"/>
      <c r="UIA26" s="2692"/>
      <c r="UIB26" s="2692"/>
      <c r="UIC26" s="2692"/>
      <c r="UID26" s="2692"/>
      <c r="UIE26" s="2692"/>
      <c r="UIF26" s="2692"/>
      <c r="UIG26" s="2692"/>
      <c r="UIH26" s="2692"/>
      <c r="UII26" s="2692"/>
      <c r="UIJ26" s="2692"/>
      <c r="UIK26" s="2692"/>
      <c r="UIL26" s="2692"/>
      <c r="UIM26" s="2692"/>
      <c r="UIN26" s="2692"/>
      <c r="UIO26" s="2692"/>
      <c r="UIP26" s="2692"/>
      <c r="UIQ26" s="2692"/>
      <c r="UIR26" s="2692"/>
      <c r="UIS26" s="2692"/>
      <c r="UIT26" s="2692"/>
      <c r="UIU26" s="2692"/>
      <c r="UIV26" s="2692"/>
      <c r="UIW26" s="2692"/>
      <c r="UIX26" s="2692"/>
      <c r="UIY26" s="2692"/>
      <c r="UIZ26" s="2692"/>
      <c r="UJA26" s="2692"/>
      <c r="UJB26" s="2692"/>
      <c r="UJC26" s="2692"/>
      <c r="UJD26" s="2692"/>
      <c r="UJE26" s="2692"/>
      <c r="UJF26" s="2692"/>
      <c r="UJG26" s="2692"/>
      <c r="UJH26" s="2692"/>
      <c r="UJI26" s="2692"/>
      <c r="UJJ26" s="2692"/>
      <c r="UJK26" s="2692"/>
      <c r="UJL26" s="2692"/>
      <c r="UJM26" s="2692"/>
      <c r="UJN26" s="2692"/>
      <c r="UJO26" s="2692"/>
      <c r="UJP26" s="2692"/>
      <c r="UJQ26" s="2692"/>
      <c r="UJR26" s="2692"/>
      <c r="UJS26" s="2692"/>
      <c r="UJT26" s="2692"/>
      <c r="UJU26" s="2692"/>
      <c r="UJV26" s="2692"/>
      <c r="UJW26" s="2692"/>
      <c r="UJX26" s="2692"/>
      <c r="UJY26" s="2692"/>
      <c r="UJZ26" s="2692"/>
      <c r="UKA26" s="2692"/>
      <c r="UKB26" s="2692"/>
      <c r="UKC26" s="2692"/>
      <c r="UKD26" s="2692"/>
      <c r="UKE26" s="2692"/>
      <c r="UKF26" s="2692"/>
      <c r="UKG26" s="2692"/>
      <c r="UKH26" s="2692"/>
      <c r="UKI26" s="2692"/>
      <c r="UKJ26" s="2692"/>
      <c r="UKK26" s="2692"/>
      <c r="UKL26" s="2692"/>
      <c r="UKM26" s="2692"/>
      <c r="UKN26" s="2692"/>
      <c r="UKO26" s="2692"/>
      <c r="UKP26" s="2692"/>
      <c r="UKQ26" s="2692"/>
      <c r="UKR26" s="2692"/>
      <c r="UKS26" s="2692"/>
      <c r="UKT26" s="2692"/>
      <c r="UKU26" s="2692"/>
      <c r="UKV26" s="2692"/>
      <c r="UKW26" s="2692"/>
      <c r="UKX26" s="2692"/>
      <c r="UKY26" s="2692"/>
      <c r="UKZ26" s="2692"/>
      <c r="ULA26" s="2692"/>
      <c r="ULB26" s="2692"/>
      <c r="ULC26" s="2692"/>
      <c r="ULD26" s="2692"/>
      <c r="ULE26" s="2692"/>
      <c r="ULF26" s="2692"/>
      <c r="ULG26" s="2692"/>
      <c r="ULH26" s="2692"/>
      <c r="ULI26" s="2692"/>
      <c r="ULJ26" s="2692"/>
      <c r="ULK26" s="2692"/>
      <c r="ULL26" s="2692"/>
      <c r="ULM26" s="2692"/>
      <c r="ULN26" s="2692"/>
      <c r="ULO26" s="2692"/>
      <c r="ULP26" s="2692"/>
      <c r="ULQ26" s="2692"/>
      <c r="ULR26" s="2692"/>
      <c r="ULS26" s="2692"/>
      <c r="ULT26" s="2692"/>
      <c r="ULU26" s="2692"/>
      <c r="ULV26" s="2692"/>
      <c r="ULW26" s="2692"/>
      <c r="ULX26" s="2692"/>
      <c r="ULY26" s="2692"/>
      <c r="ULZ26" s="2692"/>
      <c r="UMA26" s="2692"/>
      <c r="UMB26" s="2692"/>
      <c r="UMC26" s="2692"/>
      <c r="UMD26" s="2692"/>
      <c r="UME26" s="2692"/>
      <c r="UMF26" s="2692"/>
      <c r="UMG26" s="2692"/>
      <c r="UMH26" s="2692"/>
      <c r="UMI26" s="2692"/>
      <c r="UMJ26" s="2692"/>
      <c r="UMK26" s="2692"/>
      <c r="UML26" s="2692"/>
      <c r="UMM26" s="2692"/>
      <c r="UMN26" s="2692"/>
      <c r="UMO26" s="2692"/>
      <c r="UMP26" s="2692"/>
      <c r="UMQ26" s="2692"/>
      <c r="UMR26" s="2692"/>
      <c r="UMS26" s="2692"/>
      <c r="UMT26" s="2692"/>
      <c r="UMU26" s="2692"/>
      <c r="UMV26" s="2692"/>
      <c r="UMW26" s="2692"/>
      <c r="UMX26" s="2692"/>
      <c r="UMY26" s="2692"/>
      <c r="UMZ26" s="2692"/>
      <c r="UNA26" s="2692"/>
      <c r="UNB26" s="2692"/>
      <c r="UNC26" s="2692"/>
      <c r="UND26" s="2692"/>
      <c r="UNE26" s="2692"/>
      <c r="UNF26" s="2692"/>
      <c r="UNG26" s="2692"/>
      <c r="UNH26" s="2692"/>
      <c r="UNI26" s="2692"/>
      <c r="UNJ26" s="2692"/>
      <c r="UNK26" s="2692"/>
      <c r="UNL26" s="2692"/>
      <c r="UNM26" s="2692"/>
      <c r="UNN26" s="2692"/>
      <c r="UNO26" s="2692"/>
      <c r="UNP26" s="2692"/>
      <c r="UNQ26" s="2692"/>
      <c r="UNR26" s="2692"/>
      <c r="UNS26" s="2692"/>
      <c r="UNT26" s="2692"/>
      <c r="UNU26" s="2692"/>
      <c r="UNV26" s="2692"/>
      <c r="UNW26" s="2692"/>
      <c r="UNX26" s="2692"/>
      <c r="UNY26" s="2692"/>
      <c r="UNZ26" s="2692"/>
      <c r="UOA26" s="2692"/>
      <c r="UOB26" s="2692"/>
      <c r="UOC26" s="2692"/>
      <c r="UOD26" s="2692"/>
      <c r="UOE26" s="2692"/>
      <c r="UOF26" s="2692"/>
      <c r="UOG26" s="2692"/>
      <c r="UOH26" s="2692"/>
      <c r="UOI26" s="2692"/>
      <c r="UOJ26" s="2692"/>
      <c r="UOK26" s="2692"/>
      <c r="UOL26" s="2692"/>
      <c r="UOM26" s="2692"/>
      <c r="UON26" s="2692"/>
      <c r="UOO26" s="2692"/>
      <c r="UOP26" s="2692"/>
      <c r="UOQ26" s="2692"/>
      <c r="UOR26" s="2692"/>
      <c r="UOS26" s="2692"/>
      <c r="UOT26" s="2692"/>
      <c r="UOU26" s="2692"/>
      <c r="UOV26" s="2692"/>
      <c r="UOW26" s="2692"/>
      <c r="UOX26" s="2692"/>
      <c r="UOY26" s="2692"/>
      <c r="UOZ26" s="2692"/>
      <c r="UPA26" s="2692"/>
      <c r="UPB26" s="2692"/>
      <c r="UPC26" s="2692"/>
      <c r="UPD26" s="2692"/>
      <c r="UPE26" s="2692"/>
      <c r="UPF26" s="2692"/>
      <c r="UPG26" s="2692"/>
      <c r="UPH26" s="2692"/>
      <c r="UPI26" s="2692"/>
      <c r="UPJ26" s="2692"/>
      <c r="UPK26" s="2692"/>
      <c r="UPL26" s="2692"/>
      <c r="UPM26" s="2692"/>
      <c r="UPN26" s="2692"/>
      <c r="UPO26" s="2692"/>
      <c r="UPP26" s="2692"/>
      <c r="UPQ26" s="2692"/>
      <c r="UPR26" s="2692"/>
      <c r="UPS26" s="2692"/>
      <c r="UPT26" s="2692"/>
      <c r="UPU26" s="2692"/>
      <c r="UPV26" s="2692"/>
      <c r="UPW26" s="2692"/>
      <c r="UPX26" s="2692"/>
      <c r="UPY26" s="2692"/>
      <c r="UPZ26" s="2692"/>
      <c r="UQA26" s="2692"/>
      <c r="UQB26" s="2692"/>
      <c r="UQC26" s="2692"/>
      <c r="UQD26" s="2692"/>
      <c r="UQE26" s="2692"/>
      <c r="UQF26" s="2692"/>
      <c r="UQG26" s="2692"/>
      <c r="UQH26" s="2692"/>
      <c r="UQI26" s="2692"/>
      <c r="UQJ26" s="2692"/>
      <c r="UQK26" s="2692"/>
      <c r="UQL26" s="2692"/>
      <c r="UQM26" s="2692"/>
      <c r="UQN26" s="2692"/>
      <c r="UQO26" s="2692"/>
      <c r="UQP26" s="2692"/>
      <c r="UQQ26" s="2692"/>
      <c r="UQR26" s="2692"/>
      <c r="UQS26" s="2692"/>
      <c r="UQT26" s="2692"/>
      <c r="UQU26" s="2692"/>
      <c r="UQV26" s="2692"/>
      <c r="UQW26" s="2692"/>
      <c r="UQX26" s="2692"/>
      <c r="UQY26" s="2692"/>
      <c r="UQZ26" s="2692"/>
      <c r="URA26" s="2692"/>
      <c r="URB26" s="2692"/>
      <c r="URC26" s="2692"/>
      <c r="URD26" s="2692"/>
      <c r="URE26" s="2692"/>
      <c r="URF26" s="2692"/>
      <c r="URG26" s="2692"/>
      <c r="URH26" s="2692"/>
      <c r="URI26" s="2692"/>
      <c r="URJ26" s="2692"/>
      <c r="URK26" s="2692"/>
      <c r="URL26" s="2692"/>
      <c r="URM26" s="2692"/>
      <c r="URN26" s="2692"/>
      <c r="URO26" s="2692"/>
      <c r="URP26" s="2692"/>
      <c r="URQ26" s="2692"/>
      <c r="URR26" s="2692"/>
      <c r="URS26" s="2692"/>
      <c r="URT26" s="2692"/>
      <c r="URU26" s="2692"/>
      <c r="URV26" s="2692"/>
      <c r="URW26" s="2692"/>
      <c r="URX26" s="2692"/>
      <c r="URY26" s="2692"/>
      <c r="URZ26" s="2692"/>
      <c r="USA26" s="2692"/>
      <c r="USB26" s="2692"/>
      <c r="USC26" s="2692"/>
      <c r="USD26" s="2692"/>
      <c r="USE26" s="2692"/>
      <c r="USF26" s="2692"/>
      <c r="USG26" s="2692"/>
      <c r="USH26" s="2692"/>
      <c r="USI26" s="2692"/>
      <c r="USJ26" s="2692"/>
      <c r="USK26" s="2692"/>
      <c r="USL26" s="2692"/>
      <c r="USM26" s="2692"/>
      <c r="USN26" s="2692"/>
      <c r="USO26" s="2692"/>
      <c r="USP26" s="2692"/>
      <c r="USQ26" s="2692"/>
      <c r="USR26" s="2692"/>
      <c r="USS26" s="2692"/>
      <c r="UST26" s="2692"/>
      <c r="USU26" s="2692"/>
      <c r="USV26" s="2692"/>
      <c r="USW26" s="2692"/>
      <c r="USX26" s="2692"/>
      <c r="USY26" s="2692"/>
      <c r="USZ26" s="2692"/>
      <c r="UTA26" s="2692"/>
      <c r="UTB26" s="2692"/>
      <c r="UTC26" s="2692"/>
      <c r="UTD26" s="2692"/>
      <c r="UTE26" s="2692"/>
      <c r="UTF26" s="2692"/>
      <c r="UTG26" s="2692"/>
      <c r="UTH26" s="2692"/>
      <c r="UTI26" s="2692"/>
      <c r="UTJ26" s="2692"/>
      <c r="UTK26" s="2692"/>
      <c r="UTL26" s="2692"/>
      <c r="UTM26" s="2692"/>
      <c r="UTN26" s="2692"/>
      <c r="UTO26" s="2692"/>
      <c r="UTP26" s="2692"/>
      <c r="UTQ26" s="2692"/>
      <c r="UTR26" s="2692"/>
      <c r="UTS26" s="2692"/>
      <c r="UTT26" s="2692"/>
      <c r="UTU26" s="2692"/>
      <c r="UTV26" s="2692"/>
      <c r="UTW26" s="2692"/>
      <c r="UTX26" s="2692"/>
      <c r="UTY26" s="2692"/>
      <c r="UTZ26" s="2692"/>
      <c r="UUA26" s="2692"/>
      <c r="UUB26" s="2692"/>
      <c r="UUC26" s="2692"/>
      <c r="UUD26" s="2692"/>
      <c r="UUE26" s="2692"/>
      <c r="UUF26" s="2692"/>
      <c r="UUG26" s="2692"/>
      <c r="UUH26" s="2692"/>
      <c r="UUI26" s="2692"/>
      <c r="UUJ26" s="2692"/>
      <c r="UUK26" s="2692"/>
      <c r="UUL26" s="2692"/>
      <c r="UUM26" s="2692"/>
      <c r="UUN26" s="2692"/>
      <c r="UUO26" s="2692"/>
      <c r="UUP26" s="2692"/>
      <c r="UUQ26" s="2692"/>
      <c r="UUR26" s="2692"/>
      <c r="UUS26" s="2692"/>
      <c r="UUT26" s="2692"/>
      <c r="UUU26" s="2692"/>
      <c r="UUV26" s="2692"/>
      <c r="UUW26" s="2692"/>
      <c r="UUX26" s="2692"/>
      <c r="UUY26" s="2692"/>
      <c r="UUZ26" s="2692"/>
      <c r="UVA26" s="2692"/>
      <c r="UVB26" s="2692"/>
      <c r="UVC26" s="2692"/>
      <c r="UVD26" s="2692"/>
      <c r="UVE26" s="2692"/>
      <c r="UVF26" s="2692"/>
      <c r="UVG26" s="2692"/>
      <c r="UVH26" s="2692"/>
      <c r="UVI26" s="2692"/>
      <c r="UVJ26" s="2692"/>
      <c r="UVK26" s="2692"/>
      <c r="UVL26" s="2692"/>
      <c r="UVM26" s="2692"/>
      <c r="UVN26" s="2692"/>
      <c r="UVO26" s="2692"/>
      <c r="UVP26" s="2692"/>
      <c r="UVQ26" s="2692"/>
      <c r="UVR26" s="2692"/>
      <c r="UVS26" s="2692"/>
      <c r="UVT26" s="2692"/>
      <c r="UVU26" s="2692"/>
      <c r="UVV26" s="2692"/>
      <c r="UVW26" s="2692"/>
      <c r="UVX26" s="2692"/>
      <c r="UVY26" s="2692"/>
      <c r="UVZ26" s="2692"/>
      <c r="UWA26" s="2692"/>
      <c r="UWB26" s="2692"/>
      <c r="UWC26" s="2692"/>
      <c r="UWD26" s="2692"/>
      <c r="UWE26" s="2692"/>
      <c r="UWF26" s="2692"/>
      <c r="UWG26" s="2692"/>
      <c r="UWH26" s="2692"/>
      <c r="UWI26" s="2692"/>
      <c r="UWJ26" s="2692"/>
      <c r="UWK26" s="2692"/>
      <c r="UWL26" s="2692"/>
      <c r="UWM26" s="2692"/>
      <c r="UWN26" s="2692"/>
      <c r="UWO26" s="2692"/>
      <c r="UWP26" s="2692"/>
      <c r="UWQ26" s="2692"/>
      <c r="UWR26" s="2692"/>
      <c r="UWS26" s="2692"/>
      <c r="UWT26" s="2692"/>
      <c r="UWU26" s="2692"/>
      <c r="UWV26" s="2692"/>
      <c r="UWW26" s="2692"/>
      <c r="UWX26" s="2692"/>
      <c r="UWY26" s="2692"/>
      <c r="UWZ26" s="2692"/>
      <c r="UXA26" s="2692"/>
      <c r="UXB26" s="2692"/>
      <c r="UXC26" s="2692"/>
      <c r="UXD26" s="2692"/>
      <c r="UXE26" s="2692"/>
      <c r="UXF26" s="2692"/>
      <c r="UXG26" s="2692"/>
      <c r="UXH26" s="2692"/>
      <c r="UXI26" s="2692"/>
      <c r="UXJ26" s="2692"/>
      <c r="UXK26" s="2692"/>
      <c r="UXL26" s="2692"/>
      <c r="UXM26" s="2692"/>
      <c r="UXN26" s="2692"/>
      <c r="UXO26" s="2692"/>
      <c r="UXP26" s="2692"/>
      <c r="UXQ26" s="2692"/>
      <c r="UXR26" s="2692"/>
      <c r="UXS26" s="2692"/>
      <c r="UXT26" s="2692"/>
      <c r="UXU26" s="2692"/>
      <c r="UXV26" s="2692"/>
      <c r="UXW26" s="2692"/>
      <c r="UXX26" s="2692"/>
      <c r="UXY26" s="2692"/>
      <c r="UXZ26" s="2692"/>
      <c r="UYA26" s="2692"/>
      <c r="UYB26" s="2692"/>
      <c r="UYC26" s="2692"/>
      <c r="UYD26" s="2692"/>
      <c r="UYE26" s="2692"/>
      <c r="UYF26" s="2692"/>
      <c r="UYG26" s="2692"/>
      <c r="UYH26" s="2692"/>
      <c r="UYI26" s="2692"/>
      <c r="UYJ26" s="2692"/>
      <c r="UYK26" s="2692"/>
      <c r="UYL26" s="2692"/>
      <c r="UYM26" s="2692"/>
      <c r="UYN26" s="2692"/>
      <c r="UYO26" s="2692"/>
      <c r="UYP26" s="2692"/>
      <c r="UYQ26" s="2692"/>
      <c r="UYR26" s="2692"/>
      <c r="UYS26" s="2692"/>
      <c r="UYT26" s="2692"/>
      <c r="UYU26" s="2692"/>
      <c r="UYV26" s="2692"/>
      <c r="UYW26" s="2692"/>
      <c r="UYX26" s="2692"/>
      <c r="UYY26" s="2692"/>
      <c r="UYZ26" s="2692"/>
      <c r="UZA26" s="2692"/>
      <c r="UZB26" s="2692"/>
      <c r="UZC26" s="2692"/>
      <c r="UZD26" s="2692"/>
      <c r="UZE26" s="2692"/>
      <c r="UZF26" s="2692"/>
      <c r="UZG26" s="2692"/>
      <c r="UZH26" s="2692"/>
      <c r="UZI26" s="2692"/>
      <c r="UZJ26" s="2692"/>
      <c r="UZK26" s="2692"/>
      <c r="UZL26" s="2692"/>
      <c r="UZM26" s="2692"/>
      <c r="UZN26" s="2692"/>
      <c r="UZO26" s="2692"/>
      <c r="UZP26" s="2692"/>
      <c r="UZQ26" s="2692"/>
      <c r="UZR26" s="2692"/>
      <c r="UZS26" s="2692"/>
      <c r="UZT26" s="2692"/>
      <c r="UZU26" s="2692"/>
      <c r="UZV26" s="2692"/>
      <c r="UZW26" s="2692"/>
      <c r="UZX26" s="2692"/>
      <c r="UZY26" s="2692"/>
      <c r="UZZ26" s="2692"/>
      <c r="VAA26" s="2692"/>
      <c r="VAB26" s="2692"/>
      <c r="VAC26" s="2692"/>
      <c r="VAD26" s="2692"/>
      <c r="VAE26" s="2692"/>
      <c r="VAF26" s="2692"/>
      <c r="VAG26" s="2692"/>
      <c r="VAH26" s="2692"/>
      <c r="VAI26" s="2692"/>
      <c r="VAJ26" s="2692"/>
      <c r="VAK26" s="2692"/>
      <c r="VAL26" s="2692"/>
      <c r="VAM26" s="2692"/>
      <c r="VAN26" s="2692"/>
      <c r="VAO26" s="2692"/>
      <c r="VAP26" s="2692"/>
      <c r="VAQ26" s="2692"/>
      <c r="VAR26" s="2692"/>
      <c r="VAS26" s="2692"/>
      <c r="VAT26" s="2692"/>
      <c r="VAU26" s="2692"/>
      <c r="VAV26" s="2692"/>
      <c r="VAW26" s="2692"/>
      <c r="VAX26" s="2692"/>
      <c r="VAY26" s="2692"/>
      <c r="VAZ26" s="2692"/>
      <c r="VBA26" s="2692"/>
      <c r="VBB26" s="2692"/>
      <c r="VBC26" s="2692"/>
      <c r="VBD26" s="2692"/>
      <c r="VBE26" s="2692"/>
      <c r="VBF26" s="2692"/>
      <c r="VBG26" s="2692"/>
      <c r="VBH26" s="2692"/>
      <c r="VBI26" s="2692"/>
      <c r="VBJ26" s="2692"/>
      <c r="VBK26" s="2692"/>
      <c r="VBL26" s="2692"/>
      <c r="VBM26" s="2692"/>
      <c r="VBN26" s="2692"/>
      <c r="VBO26" s="2692"/>
      <c r="VBP26" s="2692"/>
      <c r="VBQ26" s="2692"/>
      <c r="VBR26" s="2692"/>
      <c r="VBS26" s="2692"/>
      <c r="VBT26" s="2692"/>
      <c r="VBU26" s="2692"/>
      <c r="VBV26" s="2692"/>
      <c r="VBW26" s="2692"/>
      <c r="VBX26" s="2692"/>
      <c r="VBY26" s="2692"/>
      <c r="VBZ26" s="2692"/>
      <c r="VCA26" s="2692"/>
      <c r="VCB26" s="2692"/>
      <c r="VCC26" s="2692"/>
      <c r="VCD26" s="2692"/>
      <c r="VCE26" s="2692"/>
      <c r="VCF26" s="2692"/>
      <c r="VCG26" s="2692"/>
      <c r="VCH26" s="2692"/>
      <c r="VCI26" s="2692"/>
      <c r="VCJ26" s="2692"/>
      <c r="VCK26" s="2692"/>
      <c r="VCL26" s="2692"/>
      <c r="VCM26" s="2692"/>
      <c r="VCN26" s="2692"/>
      <c r="VCO26" s="2692"/>
      <c r="VCP26" s="2692"/>
      <c r="VCQ26" s="2692"/>
      <c r="VCR26" s="2692"/>
      <c r="VCS26" s="2692"/>
      <c r="VCT26" s="2692"/>
      <c r="VCU26" s="2692"/>
      <c r="VCV26" s="2692"/>
      <c r="VCW26" s="2692"/>
      <c r="VCX26" s="2692"/>
      <c r="VCY26" s="2692"/>
      <c r="VCZ26" s="2692"/>
      <c r="VDA26" s="2692"/>
      <c r="VDB26" s="2692"/>
      <c r="VDC26" s="2692"/>
      <c r="VDD26" s="2692"/>
      <c r="VDE26" s="2692"/>
      <c r="VDF26" s="2692"/>
      <c r="VDG26" s="2692"/>
      <c r="VDH26" s="2692"/>
      <c r="VDI26" s="2692"/>
      <c r="VDJ26" s="2692"/>
      <c r="VDK26" s="2692"/>
      <c r="VDL26" s="2692"/>
      <c r="VDM26" s="2692"/>
      <c r="VDN26" s="2692"/>
      <c r="VDO26" s="2692"/>
      <c r="VDP26" s="2692"/>
      <c r="VDQ26" s="2692"/>
      <c r="VDR26" s="2692"/>
      <c r="VDS26" s="2692"/>
      <c r="VDT26" s="2692"/>
      <c r="VDU26" s="2692"/>
      <c r="VDV26" s="2692"/>
      <c r="VDW26" s="2692"/>
      <c r="VDX26" s="2692"/>
      <c r="VDY26" s="2692"/>
      <c r="VDZ26" s="2692"/>
      <c r="VEA26" s="2692"/>
      <c r="VEB26" s="2692"/>
      <c r="VEC26" s="2692"/>
      <c r="VED26" s="2692"/>
      <c r="VEE26" s="2692"/>
      <c r="VEF26" s="2692"/>
      <c r="VEG26" s="2692"/>
      <c r="VEH26" s="2692"/>
      <c r="VEI26" s="2692"/>
      <c r="VEJ26" s="2692"/>
      <c r="VEK26" s="2692"/>
      <c r="VEL26" s="2692"/>
      <c r="VEM26" s="2692"/>
      <c r="VEN26" s="2692"/>
      <c r="VEO26" s="2692"/>
      <c r="VEP26" s="2692"/>
      <c r="VEQ26" s="2692"/>
      <c r="VER26" s="2692"/>
      <c r="VES26" s="2692"/>
      <c r="VET26" s="2692"/>
      <c r="VEU26" s="2692"/>
      <c r="VEV26" s="2692"/>
      <c r="VEW26" s="2692"/>
      <c r="VEX26" s="2692"/>
      <c r="VEY26" s="2692"/>
      <c r="VEZ26" s="2692"/>
      <c r="VFA26" s="2692"/>
      <c r="VFB26" s="2692"/>
      <c r="VFC26" s="2692"/>
      <c r="VFD26" s="2692"/>
      <c r="VFE26" s="2692"/>
      <c r="VFF26" s="2692"/>
      <c r="VFG26" s="2692"/>
      <c r="VFH26" s="2692"/>
      <c r="VFI26" s="2692"/>
      <c r="VFJ26" s="2692"/>
      <c r="VFK26" s="2692"/>
      <c r="VFL26" s="2692"/>
      <c r="VFM26" s="2692"/>
      <c r="VFN26" s="2692"/>
      <c r="VFO26" s="2692"/>
      <c r="VFP26" s="2692"/>
      <c r="VFQ26" s="2692"/>
      <c r="VFR26" s="2692"/>
      <c r="VFS26" s="2692"/>
      <c r="VFT26" s="2692"/>
      <c r="VFU26" s="2692"/>
      <c r="VFV26" s="2692"/>
      <c r="VFW26" s="2692"/>
      <c r="VFX26" s="2692"/>
      <c r="VFY26" s="2692"/>
      <c r="VFZ26" s="2692"/>
      <c r="VGA26" s="2692"/>
      <c r="VGB26" s="2692"/>
      <c r="VGC26" s="2692"/>
      <c r="VGD26" s="2692"/>
      <c r="VGE26" s="2692"/>
      <c r="VGF26" s="2692"/>
      <c r="VGG26" s="2692"/>
      <c r="VGH26" s="2692"/>
      <c r="VGI26" s="2692"/>
      <c r="VGJ26" s="2692"/>
      <c r="VGK26" s="2692"/>
      <c r="VGL26" s="2692"/>
      <c r="VGM26" s="2692"/>
      <c r="VGN26" s="2692"/>
      <c r="VGO26" s="2692"/>
      <c r="VGP26" s="2692"/>
      <c r="VGQ26" s="2692"/>
      <c r="VGR26" s="2692"/>
      <c r="VGS26" s="2692"/>
      <c r="VGT26" s="2692"/>
      <c r="VGU26" s="2692"/>
      <c r="VGV26" s="2692"/>
      <c r="VGW26" s="2692"/>
      <c r="VGX26" s="2692"/>
      <c r="VGY26" s="2692"/>
      <c r="VGZ26" s="2692"/>
      <c r="VHA26" s="2692"/>
      <c r="VHB26" s="2692"/>
      <c r="VHC26" s="2692"/>
      <c r="VHD26" s="2692"/>
      <c r="VHE26" s="2692"/>
      <c r="VHF26" s="2692"/>
      <c r="VHG26" s="2692"/>
      <c r="VHH26" s="2692"/>
      <c r="VHI26" s="2692"/>
      <c r="VHJ26" s="2692"/>
      <c r="VHK26" s="2692"/>
      <c r="VHL26" s="2692"/>
      <c r="VHM26" s="2692"/>
      <c r="VHN26" s="2692"/>
      <c r="VHO26" s="2692"/>
      <c r="VHP26" s="2692"/>
      <c r="VHQ26" s="2692"/>
      <c r="VHR26" s="2692"/>
      <c r="VHS26" s="2692"/>
      <c r="VHT26" s="2692"/>
      <c r="VHU26" s="2692"/>
      <c r="VHV26" s="2692"/>
      <c r="VHW26" s="2692"/>
      <c r="VHX26" s="2692"/>
      <c r="VHY26" s="2692"/>
      <c r="VHZ26" s="2692"/>
      <c r="VIA26" s="2692"/>
      <c r="VIB26" s="2692"/>
      <c r="VIC26" s="2692"/>
      <c r="VID26" s="2692"/>
      <c r="VIE26" s="2692"/>
      <c r="VIF26" s="2692"/>
      <c r="VIG26" s="2692"/>
      <c r="VIH26" s="2692"/>
      <c r="VII26" s="2692"/>
      <c r="VIJ26" s="2692"/>
      <c r="VIK26" s="2692"/>
      <c r="VIL26" s="2692"/>
      <c r="VIM26" s="2692"/>
      <c r="VIN26" s="2692"/>
      <c r="VIO26" s="2692"/>
      <c r="VIP26" s="2692"/>
      <c r="VIQ26" s="2692"/>
      <c r="VIR26" s="2692"/>
      <c r="VIS26" s="2692"/>
      <c r="VIT26" s="2692"/>
      <c r="VIU26" s="2692"/>
      <c r="VIV26" s="2692"/>
      <c r="VIW26" s="2692"/>
      <c r="VIX26" s="2692"/>
      <c r="VIY26" s="2692"/>
      <c r="VIZ26" s="2692"/>
      <c r="VJA26" s="2692"/>
      <c r="VJB26" s="2692"/>
      <c r="VJC26" s="2692"/>
      <c r="VJD26" s="2692"/>
      <c r="VJE26" s="2692"/>
      <c r="VJF26" s="2692"/>
      <c r="VJG26" s="2692"/>
      <c r="VJH26" s="2692"/>
      <c r="VJI26" s="2692"/>
      <c r="VJJ26" s="2692"/>
      <c r="VJK26" s="2692"/>
      <c r="VJL26" s="2692"/>
      <c r="VJM26" s="2692"/>
      <c r="VJN26" s="2692"/>
      <c r="VJO26" s="2692"/>
      <c r="VJP26" s="2692"/>
      <c r="VJQ26" s="2692"/>
      <c r="VJR26" s="2692"/>
      <c r="VJS26" s="2692"/>
      <c r="VJT26" s="2692"/>
      <c r="VJU26" s="2692"/>
      <c r="VJV26" s="2692"/>
      <c r="VJW26" s="2692"/>
      <c r="VJX26" s="2692"/>
      <c r="VJY26" s="2692"/>
      <c r="VJZ26" s="2692"/>
      <c r="VKA26" s="2692"/>
      <c r="VKB26" s="2692"/>
      <c r="VKC26" s="2692"/>
      <c r="VKD26" s="2692"/>
      <c r="VKE26" s="2692"/>
      <c r="VKF26" s="2692"/>
      <c r="VKG26" s="2692"/>
      <c r="VKH26" s="2692"/>
      <c r="VKI26" s="2692"/>
      <c r="VKJ26" s="2692"/>
      <c r="VKK26" s="2692"/>
      <c r="VKL26" s="2692"/>
      <c r="VKM26" s="2692"/>
      <c r="VKN26" s="2692"/>
      <c r="VKO26" s="2692"/>
      <c r="VKP26" s="2692"/>
      <c r="VKQ26" s="2692"/>
      <c r="VKR26" s="2692"/>
      <c r="VKS26" s="2692"/>
      <c r="VKT26" s="2692"/>
      <c r="VKU26" s="2692"/>
      <c r="VKV26" s="2692"/>
      <c r="VKW26" s="2692"/>
      <c r="VKX26" s="2692"/>
      <c r="VKY26" s="2692"/>
      <c r="VKZ26" s="2692"/>
      <c r="VLA26" s="2692"/>
      <c r="VLB26" s="2692"/>
      <c r="VLC26" s="2692"/>
      <c r="VLD26" s="2692"/>
      <c r="VLE26" s="2692"/>
      <c r="VLF26" s="2692"/>
      <c r="VLG26" s="2692"/>
      <c r="VLH26" s="2692"/>
      <c r="VLI26" s="2692"/>
      <c r="VLJ26" s="2692"/>
      <c r="VLK26" s="2692"/>
      <c r="VLL26" s="2692"/>
      <c r="VLM26" s="2692"/>
      <c r="VLN26" s="2692"/>
      <c r="VLO26" s="2692"/>
      <c r="VLP26" s="2692"/>
      <c r="VLQ26" s="2692"/>
      <c r="VLR26" s="2692"/>
      <c r="VLS26" s="2692"/>
      <c r="VLT26" s="2692"/>
      <c r="VLU26" s="2692"/>
      <c r="VLV26" s="2692"/>
      <c r="VLW26" s="2692"/>
      <c r="VLX26" s="2692"/>
      <c r="VLY26" s="2692"/>
      <c r="VLZ26" s="2692"/>
      <c r="VMA26" s="2692"/>
      <c r="VMB26" s="2692"/>
      <c r="VMC26" s="2692"/>
      <c r="VMD26" s="2692"/>
      <c r="VME26" s="2692"/>
      <c r="VMF26" s="2692"/>
      <c r="VMG26" s="2692"/>
      <c r="VMH26" s="2692"/>
      <c r="VMI26" s="2692"/>
      <c r="VMJ26" s="2692"/>
      <c r="VMK26" s="2692"/>
      <c r="VML26" s="2692"/>
      <c r="VMM26" s="2692"/>
      <c r="VMN26" s="2692"/>
      <c r="VMO26" s="2692"/>
      <c r="VMP26" s="2692"/>
      <c r="VMQ26" s="2692"/>
      <c r="VMR26" s="2692"/>
      <c r="VMS26" s="2692"/>
      <c r="VMT26" s="2692"/>
      <c r="VMU26" s="2692"/>
      <c r="VMV26" s="2692"/>
      <c r="VMW26" s="2692"/>
      <c r="VMX26" s="2692"/>
      <c r="VMY26" s="2692"/>
      <c r="VMZ26" s="2692"/>
      <c r="VNA26" s="2692"/>
      <c r="VNB26" s="2692"/>
      <c r="VNC26" s="2692"/>
      <c r="VND26" s="2692"/>
      <c r="VNE26" s="2692"/>
      <c r="VNF26" s="2692"/>
      <c r="VNG26" s="2692"/>
      <c r="VNH26" s="2692"/>
      <c r="VNI26" s="2692"/>
      <c r="VNJ26" s="2692"/>
      <c r="VNK26" s="2692"/>
      <c r="VNL26" s="2692"/>
      <c r="VNM26" s="2692"/>
      <c r="VNN26" s="2692"/>
      <c r="VNO26" s="2692"/>
      <c r="VNP26" s="2692"/>
      <c r="VNQ26" s="2692"/>
      <c r="VNR26" s="2692"/>
      <c r="VNS26" s="2692"/>
      <c r="VNT26" s="2692"/>
      <c r="VNU26" s="2692"/>
      <c r="VNV26" s="2692"/>
      <c r="VNW26" s="2692"/>
      <c r="VNX26" s="2692"/>
      <c r="VNY26" s="2692"/>
      <c r="VNZ26" s="2692"/>
      <c r="VOA26" s="2692"/>
      <c r="VOB26" s="2692"/>
      <c r="VOC26" s="2692"/>
      <c r="VOD26" s="2692"/>
      <c r="VOE26" s="2692"/>
      <c r="VOF26" s="2692"/>
      <c r="VOG26" s="2692"/>
      <c r="VOH26" s="2692"/>
      <c r="VOI26" s="2692"/>
      <c r="VOJ26" s="2692"/>
      <c r="VOK26" s="2692"/>
      <c r="VOL26" s="2692"/>
      <c r="VOM26" s="2692"/>
      <c r="VON26" s="2692"/>
      <c r="VOO26" s="2692"/>
      <c r="VOP26" s="2692"/>
      <c r="VOQ26" s="2692"/>
      <c r="VOR26" s="2692"/>
      <c r="VOS26" s="2692"/>
      <c r="VOT26" s="2692"/>
      <c r="VOU26" s="2692"/>
      <c r="VOV26" s="2692"/>
      <c r="VOW26" s="2692"/>
      <c r="VOX26" s="2692"/>
      <c r="VOY26" s="2692"/>
      <c r="VOZ26" s="2692"/>
      <c r="VPA26" s="2692"/>
      <c r="VPB26" s="2692"/>
      <c r="VPC26" s="2692"/>
      <c r="VPD26" s="2692"/>
      <c r="VPE26" s="2692"/>
      <c r="VPF26" s="2692"/>
      <c r="VPG26" s="2692"/>
      <c r="VPH26" s="2692"/>
      <c r="VPI26" s="2692"/>
      <c r="VPJ26" s="2692"/>
      <c r="VPK26" s="2692"/>
      <c r="VPL26" s="2692"/>
      <c r="VPM26" s="2692"/>
      <c r="VPN26" s="2692"/>
      <c r="VPO26" s="2692"/>
      <c r="VPP26" s="2692"/>
      <c r="VPQ26" s="2692"/>
      <c r="VPR26" s="2692"/>
      <c r="VPS26" s="2692"/>
      <c r="VPT26" s="2692"/>
      <c r="VPU26" s="2692"/>
      <c r="VPV26" s="2692"/>
      <c r="VPW26" s="2692"/>
      <c r="VPX26" s="2692"/>
      <c r="VPY26" s="2692"/>
      <c r="VPZ26" s="2692"/>
      <c r="VQA26" s="2692"/>
      <c r="VQB26" s="2692"/>
      <c r="VQC26" s="2692"/>
      <c r="VQD26" s="2692"/>
      <c r="VQE26" s="2692"/>
      <c r="VQF26" s="2692"/>
      <c r="VQG26" s="2692"/>
      <c r="VQH26" s="2692"/>
      <c r="VQI26" s="2692"/>
      <c r="VQJ26" s="2692"/>
      <c r="VQK26" s="2692"/>
      <c r="VQL26" s="2692"/>
      <c r="VQM26" s="2692"/>
      <c r="VQN26" s="2692"/>
      <c r="VQO26" s="2692"/>
      <c r="VQP26" s="2692"/>
      <c r="VQQ26" s="2692"/>
      <c r="VQR26" s="2692"/>
      <c r="VQS26" s="2692"/>
      <c r="VQT26" s="2692"/>
      <c r="VQU26" s="2692"/>
      <c r="VQV26" s="2692"/>
      <c r="VQW26" s="2692"/>
      <c r="VQX26" s="2692"/>
      <c r="VQY26" s="2692"/>
      <c r="VQZ26" s="2692"/>
      <c r="VRA26" s="2692"/>
      <c r="VRB26" s="2692"/>
      <c r="VRC26" s="2692"/>
      <c r="VRD26" s="2692"/>
      <c r="VRE26" s="2692"/>
      <c r="VRF26" s="2692"/>
      <c r="VRG26" s="2692"/>
      <c r="VRH26" s="2692"/>
      <c r="VRI26" s="2692"/>
      <c r="VRJ26" s="2692"/>
      <c r="VRK26" s="2692"/>
      <c r="VRL26" s="2692"/>
      <c r="VRM26" s="2692"/>
      <c r="VRN26" s="2692"/>
      <c r="VRO26" s="2692"/>
      <c r="VRP26" s="2692"/>
      <c r="VRQ26" s="2692"/>
      <c r="VRR26" s="2692"/>
      <c r="VRS26" s="2692"/>
      <c r="VRT26" s="2692"/>
      <c r="VRU26" s="2692"/>
      <c r="VRV26" s="2692"/>
      <c r="VRW26" s="2692"/>
      <c r="VRX26" s="2692"/>
      <c r="VRY26" s="2692"/>
      <c r="VRZ26" s="2692"/>
      <c r="VSA26" s="2692"/>
      <c r="VSB26" s="2692"/>
      <c r="VSC26" s="2692"/>
      <c r="VSD26" s="2692"/>
      <c r="VSE26" s="2692"/>
      <c r="VSF26" s="2692"/>
      <c r="VSG26" s="2692"/>
      <c r="VSH26" s="2692"/>
      <c r="VSI26" s="2692"/>
      <c r="VSJ26" s="2692"/>
      <c r="VSK26" s="2692"/>
      <c r="VSL26" s="2692"/>
      <c r="VSM26" s="2692"/>
      <c r="VSN26" s="2692"/>
      <c r="VSO26" s="2692"/>
      <c r="VSP26" s="2692"/>
      <c r="VSQ26" s="2692"/>
      <c r="VSR26" s="2692"/>
      <c r="VSS26" s="2692"/>
      <c r="VST26" s="2692"/>
      <c r="VSU26" s="2692"/>
      <c r="VSV26" s="2692"/>
      <c r="VSW26" s="2692"/>
      <c r="VSX26" s="2692"/>
      <c r="VSY26" s="2692"/>
      <c r="VSZ26" s="2692"/>
      <c r="VTA26" s="2692"/>
      <c r="VTB26" s="2692"/>
      <c r="VTC26" s="2692"/>
      <c r="VTD26" s="2692"/>
      <c r="VTE26" s="2692"/>
      <c r="VTF26" s="2692"/>
      <c r="VTG26" s="2692"/>
      <c r="VTH26" s="2692"/>
      <c r="VTI26" s="2692"/>
      <c r="VTJ26" s="2692"/>
      <c r="VTK26" s="2692"/>
      <c r="VTL26" s="2692"/>
      <c r="VTM26" s="2692"/>
      <c r="VTN26" s="2692"/>
      <c r="VTO26" s="2692"/>
      <c r="VTP26" s="2692"/>
      <c r="VTQ26" s="2692"/>
      <c r="VTR26" s="2692"/>
      <c r="VTS26" s="2692"/>
      <c r="VTT26" s="2692"/>
      <c r="VTU26" s="2692"/>
      <c r="VTV26" s="2692"/>
      <c r="VTW26" s="2692"/>
      <c r="VTX26" s="2692"/>
      <c r="VTY26" s="2692"/>
      <c r="VTZ26" s="2692"/>
      <c r="VUA26" s="2692"/>
      <c r="VUB26" s="2692"/>
      <c r="VUC26" s="2692"/>
      <c r="VUD26" s="2692"/>
      <c r="VUE26" s="2692"/>
      <c r="VUF26" s="2692"/>
      <c r="VUG26" s="2692"/>
      <c r="VUH26" s="2692"/>
      <c r="VUI26" s="2692"/>
      <c r="VUJ26" s="2692"/>
      <c r="VUK26" s="2692"/>
      <c r="VUL26" s="2692"/>
      <c r="VUM26" s="2692"/>
      <c r="VUN26" s="2692"/>
      <c r="VUO26" s="2692"/>
      <c r="VUP26" s="2692"/>
      <c r="VUQ26" s="2692"/>
      <c r="VUR26" s="2692"/>
      <c r="VUS26" s="2692"/>
      <c r="VUT26" s="2692"/>
      <c r="VUU26" s="2692"/>
      <c r="VUV26" s="2692"/>
      <c r="VUW26" s="2692"/>
      <c r="VUX26" s="2692"/>
      <c r="VUY26" s="2692"/>
      <c r="VUZ26" s="2692"/>
      <c r="VVA26" s="2692"/>
      <c r="VVB26" s="2692"/>
      <c r="VVC26" s="2692"/>
      <c r="VVD26" s="2692"/>
      <c r="VVE26" s="2692"/>
      <c r="VVF26" s="2692"/>
      <c r="VVG26" s="2692"/>
      <c r="VVH26" s="2692"/>
      <c r="VVI26" s="2692"/>
      <c r="VVJ26" s="2692"/>
      <c r="VVK26" s="2692"/>
      <c r="VVL26" s="2692"/>
      <c r="VVM26" s="2692"/>
      <c r="VVN26" s="2692"/>
      <c r="VVO26" s="2692"/>
      <c r="VVP26" s="2692"/>
      <c r="VVQ26" s="2692"/>
      <c r="VVR26" s="2692"/>
      <c r="VVS26" s="2692"/>
      <c r="VVT26" s="2692"/>
      <c r="VVU26" s="2692"/>
      <c r="VVV26" s="2692"/>
      <c r="VVW26" s="2692"/>
      <c r="VVX26" s="2692"/>
      <c r="VVY26" s="2692"/>
      <c r="VVZ26" s="2692"/>
      <c r="VWA26" s="2692"/>
      <c r="VWB26" s="2692"/>
      <c r="VWC26" s="2692"/>
      <c r="VWD26" s="2692"/>
      <c r="VWE26" s="2692"/>
      <c r="VWF26" s="2692"/>
      <c r="VWG26" s="2692"/>
      <c r="VWH26" s="2692"/>
      <c r="VWI26" s="2692"/>
      <c r="VWJ26" s="2692"/>
      <c r="VWK26" s="2692"/>
      <c r="VWL26" s="2692"/>
      <c r="VWM26" s="2692"/>
      <c r="VWN26" s="2692"/>
      <c r="VWO26" s="2692"/>
      <c r="VWP26" s="2692"/>
      <c r="VWQ26" s="2692"/>
      <c r="VWR26" s="2692"/>
      <c r="VWS26" s="2692"/>
      <c r="VWT26" s="2692"/>
      <c r="VWU26" s="2692"/>
      <c r="VWV26" s="2692"/>
      <c r="VWW26" s="2692"/>
      <c r="VWX26" s="2692"/>
      <c r="VWY26" s="2692"/>
      <c r="VWZ26" s="2692"/>
      <c r="VXA26" s="2692"/>
      <c r="VXB26" s="2692"/>
      <c r="VXC26" s="2692"/>
      <c r="VXD26" s="2692"/>
      <c r="VXE26" s="2692"/>
      <c r="VXF26" s="2692"/>
      <c r="VXG26" s="2692"/>
      <c r="VXH26" s="2692"/>
      <c r="VXI26" s="2692"/>
      <c r="VXJ26" s="2692"/>
      <c r="VXK26" s="2692"/>
      <c r="VXL26" s="2692"/>
      <c r="VXM26" s="2692"/>
      <c r="VXN26" s="2692"/>
      <c r="VXO26" s="2692"/>
      <c r="VXP26" s="2692"/>
      <c r="VXQ26" s="2692"/>
      <c r="VXR26" s="2692"/>
      <c r="VXS26" s="2692"/>
      <c r="VXT26" s="2692"/>
      <c r="VXU26" s="2692"/>
      <c r="VXV26" s="2692"/>
      <c r="VXW26" s="2692"/>
      <c r="VXX26" s="2692"/>
      <c r="VXY26" s="2692"/>
      <c r="VXZ26" s="2692"/>
      <c r="VYA26" s="2692"/>
      <c r="VYB26" s="2692"/>
      <c r="VYC26" s="2692"/>
      <c r="VYD26" s="2692"/>
      <c r="VYE26" s="2692"/>
      <c r="VYF26" s="2692"/>
      <c r="VYG26" s="2692"/>
      <c r="VYH26" s="2692"/>
      <c r="VYI26" s="2692"/>
      <c r="VYJ26" s="2692"/>
      <c r="VYK26" s="2692"/>
      <c r="VYL26" s="2692"/>
      <c r="VYM26" s="2692"/>
      <c r="VYN26" s="2692"/>
      <c r="VYO26" s="2692"/>
      <c r="VYP26" s="2692"/>
      <c r="VYQ26" s="2692"/>
      <c r="VYR26" s="2692"/>
      <c r="VYS26" s="2692"/>
      <c r="VYT26" s="2692"/>
      <c r="VYU26" s="2692"/>
      <c r="VYV26" s="2692"/>
      <c r="VYW26" s="2692"/>
      <c r="VYX26" s="2692"/>
      <c r="VYY26" s="2692"/>
      <c r="VYZ26" s="2692"/>
      <c r="VZA26" s="2692"/>
      <c r="VZB26" s="2692"/>
      <c r="VZC26" s="2692"/>
      <c r="VZD26" s="2692"/>
      <c r="VZE26" s="2692"/>
      <c r="VZF26" s="2692"/>
      <c r="VZG26" s="2692"/>
      <c r="VZH26" s="2692"/>
      <c r="VZI26" s="2692"/>
      <c r="VZJ26" s="2692"/>
      <c r="VZK26" s="2692"/>
      <c r="VZL26" s="2692"/>
      <c r="VZM26" s="2692"/>
      <c r="VZN26" s="2692"/>
      <c r="VZO26" s="2692"/>
      <c r="VZP26" s="2692"/>
      <c r="VZQ26" s="2692"/>
      <c r="VZR26" s="2692"/>
      <c r="VZS26" s="2692"/>
      <c r="VZT26" s="2692"/>
      <c r="VZU26" s="2692"/>
      <c r="VZV26" s="2692"/>
      <c r="VZW26" s="2692"/>
      <c r="VZX26" s="2692"/>
      <c r="VZY26" s="2692"/>
      <c r="VZZ26" s="2692"/>
      <c r="WAA26" s="2692"/>
      <c r="WAB26" s="2692"/>
      <c r="WAC26" s="2692"/>
      <c r="WAD26" s="2692"/>
      <c r="WAE26" s="2692"/>
      <c r="WAF26" s="2692"/>
      <c r="WAG26" s="2692"/>
      <c r="WAH26" s="2692"/>
      <c r="WAI26" s="2692"/>
      <c r="WAJ26" s="2692"/>
      <c r="WAK26" s="2692"/>
      <c r="WAL26" s="2692"/>
      <c r="WAM26" s="2692"/>
      <c r="WAN26" s="2692"/>
      <c r="WAO26" s="2692"/>
      <c r="WAP26" s="2692"/>
      <c r="WAQ26" s="2692"/>
      <c r="WAR26" s="2692"/>
      <c r="WAS26" s="2692"/>
      <c r="WAT26" s="2692"/>
      <c r="WAU26" s="2692"/>
      <c r="WAV26" s="2692"/>
      <c r="WAW26" s="2692"/>
      <c r="WAX26" s="2692"/>
      <c r="WAY26" s="2692"/>
      <c r="WAZ26" s="2692"/>
      <c r="WBA26" s="2692"/>
      <c r="WBB26" s="2692"/>
      <c r="WBC26" s="2692"/>
      <c r="WBD26" s="2692"/>
      <c r="WBE26" s="2692"/>
      <c r="WBF26" s="2692"/>
      <c r="WBG26" s="2692"/>
      <c r="WBH26" s="2692"/>
      <c r="WBI26" s="2692"/>
      <c r="WBJ26" s="2692"/>
      <c r="WBK26" s="2692"/>
      <c r="WBL26" s="2692"/>
      <c r="WBM26" s="2692"/>
      <c r="WBN26" s="2692"/>
      <c r="WBO26" s="2692"/>
      <c r="WBP26" s="2692"/>
      <c r="WBQ26" s="2692"/>
      <c r="WBR26" s="2692"/>
      <c r="WBS26" s="2692"/>
      <c r="WBT26" s="2692"/>
      <c r="WBU26" s="2692"/>
      <c r="WBV26" s="2692"/>
      <c r="WBW26" s="2692"/>
      <c r="WBX26" s="2692"/>
      <c r="WBY26" s="2692"/>
      <c r="WBZ26" s="2692"/>
      <c r="WCA26" s="2692"/>
      <c r="WCB26" s="2692"/>
      <c r="WCC26" s="2692"/>
      <c r="WCD26" s="2692"/>
      <c r="WCE26" s="2692"/>
      <c r="WCF26" s="2692"/>
      <c r="WCG26" s="2692"/>
      <c r="WCH26" s="2692"/>
      <c r="WCI26" s="2692"/>
      <c r="WCJ26" s="2692"/>
      <c r="WCK26" s="2692"/>
      <c r="WCL26" s="2692"/>
      <c r="WCM26" s="2692"/>
      <c r="WCN26" s="2692"/>
      <c r="WCO26" s="2692"/>
      <c r="WCP26" s="2692"/>
      <c r="WCQ26" s="2692"/>
      <c r="WCR26" s="2692"/>
      <c r="WCS26" s="2692"/>
      <c r="WCT26" s="2692"/>
      <c r="WCU26" s="2692"/>
      <c r="WCV26" s="2692"/>
      <c r="WCW26" s="2692"/>
      <c r="WCX26" s="2692"/>
      <c r="WCY26" s="2692"/>
      <c r="WCZ26" s="2692"/>
      <c r="WDA26" s="2692"/>
      <c r="WDB26" s="2692"/>
      <c r="WDC26" s="2692"/>
      <c r="WDD26" s="2692"/>
      <c r="WDE26" s="2692"/>
      <c r="WDF26" s="2692"/>
      <c r="WDG26" s="2692"/>
      <c r="WDH26" s="2692"/>
      <c r="WDI26" s="2692"/>
      <c r="WDJ26" s="2692"/>
      <c r="WDK26" s="2692"/>
      <c r="WDL26" s="2692"/>
      <c r="WDM26" s="2692"/>
      <c r="WDN26" s="2692"/>
      <c r="WDO26" s="2692"/>
      <c r="WDP26" s="2692"/>
      <c r="WDQ26" s="2692"/>
      <c r="WDR26" s="2692"/>
      <c r="WDS26" s="2692"/>
      <c r="WDT26" s="2692"/>
      <c r="WDU26" s="2692"/>
      <c r="WDV26" s="2692"/>
      <c r="WDW26" s="2692"/>
      <c r="WDX26" s="2692"/>
      <c r="WDY26" s="2692"/>
      <c r="WDZ26" s="2692"/>
      <c r="WEA26" s="2692"/>
      <c r="WEB26" s="2692"/>
      <c r="WEC26" s="2692"/>
      <c r="WED26" s="2692"/>
      <c r="WEE26" s="2692"/>
      <c r="WEF26" s="2692"/>
      <c r="WEG26" s="2692"/>
      <c r="WEH26" s="2692"/>
      <c r="WEI26" s="2692"/>
      <c r="WEJ26" s="2692"/>
      <c r="WEK26" s="2692"/>
      <c r="WEL26" s="2692"/>
      <c r="WEM26" s="2692"/>
      <c r="WEN26" s="2692"/>
      <c r="WEO26" s="2692"/>
      <c r="WEP26" s="2692"/>
      <c r="WEQ26" s="2692"/>
      <c r="WER26" s="2692"/>
      <c r="WES26" s="2692"/>
      <c r="WET26" s="2692"/>
      <c r="WEU26" s="2692"/>
      <c r="WEV26" s="2692"/>
      <c r="WEW26" s="2692"/>
      <c r="WEX26" s="2692"/>
      <c r="WEY26" s="2692"/>
      <c r="WEZ26" s="2692"/>
      <c r="WFA26" s="2692"/>
      <c r="WFB26" s="2692"/>
      <c r="WFC26" s="2692"/>
      <c r="WFD26" s="2692"/>
      <c r="WFE26" s="2692"/>
      <c r="WFF26" s="2692"/>
      <c r="WFG26" s="2692"/>
      <c r="WFH26" s="2692"/>
      <c r="WFI26" s="2692"/>
      <c r="WFJ26" s="2692"/>
      <c r="WFK26" s="2692"/>
      <c r="WFL26" s="2692"/>
      <c r="WFM26" s="2692"/>
      <c r="WFN26" s="2692"/>
      <c r="WFO26" s="2692"/>
      <c r="WFP26" s="2692"/>
      <c r="WFQ26" s="2692"/>
      <c r="WFR26" s="2692"/>
      <c r="WFS26" s="2692"/>
      <c r="WFT26" s="2692"/>
      <c r="WFU26" s="2692"/>
      <c r="WFV26" s="2692"/>
      <c r="WFW26" s="2692"/>
      <c r="WFX26" s="2692"/>
      <c r="WFY26" s="2692"/>
      <c r="WFZ26" s="2692"/>
      <c r="WGA26" s="2692"/>
      <c r="WGB26" s="2692"/>
      <c r="WGC26" s="2692"/>
      <c r="WGD26" s="2692"/>
      <c r="WGE26" s="2692"/>
      <c r="WGF26" s="2692"/>
      <c r="WGG26" s="2692"/>
      <c r="WGH26" s="2692"/>
      <c r="WGI26" s="2692"/>
      <c r="WGJ26" s="2692"/>
      <c r="WGK26" s="2692"/>
      <c r="WGL26" s="2692"/>
      <c r="WGM26" s="2692"/>
      <c r="WGN26" s="2692"/>
      <c r="WGO26" s="2692"/>
      <c r="WGP26" s="2692"/>
      <c r="WGQ26" s="2692"/>
      <c r="WGR26" s="2692"/>
      <c r="WGS26" s="2692"/>
      <c r="WGT26" s="2692"/>
      <c r="WGU26" s="2692"/>
      <c r="WGV26" s="2692"/>
      <c r="WGW26" s="2692"/>
      <c r="WGX26" s="2692"/>
      <c r="WGY26" s="2692"/>
      <c r="WGZ26" s="2692"/>
      <c r="WHA26" s="2692"/>
      <c r="WHB26" s="2692"/>
      <c r="WHC26" s="2692"/>
      <c r="WHD26" s="2692"/>
      <c r="WHE26" s="2692"/>
      <c r="WHF26" s="2692"/>
      <c r="WHG26" s="2692"/>
      <c r="WHH26" s="2692"/>
      <c r="WHI26" s="2692"/>
      <c r="WHJ26" s="2692"/>
      <c r="WHK26" s="2692"/>
      <c r="WHL26" s="2692"/>
      <c r="WHM26" s="2692"/>
      <c r="WHN26" s="2692"/>
      <c r="WHO26" s="2692"/>
      <c r="WHP26" s="2692"/>
      <c r="WHQ26" s="2692"/>
      <c r="WHR26" s="2692"/>
      <c r="WHS26" s="2692"/>
      <c r="WHT26" s="2692"/>
      <c r="WHU26" s="2692"/>
      <c r="WHV26" s="2692"/>
      <c r="WHW26" s="2692"/>
      <c r="WHX26" s="2692"/>
      <c r="WHY26" s="2692"/>
      <c r="WHZ26" s="2692"/>
      <c r="WIA26" s="2692"/>
      <c r="WIB26" s="2692"/>
      <c r="WIC26" s="2692"/>
      <c r="WID26" s="2692"/>
      <c r="WIE26" s="2692"/>
      <c r="WIF26" s="2692"/>
      <c r="WIG26" s="2692"/>
      <c r="WIH26" s="2692"/>
      <c r="WII26" s="2692"/>
      <c r="WIJ26" s="2692"/>
      <c r="WIK26" s="2692"/>
      <c r="WIL26" s="2692"/>
      <c r="WIM26" s="2692"/>
      <c r="WIN26" s="2692"/>
      <c r="WIO26" s="2692"/>
      <c r="WIP26" s="2692"/>
      <c r="WIQ26" s="2692"/>
      <c r="WIR26" s="2692"/>
      <c r="WIS26" s="2692"/>
      <c r="WIT26" s="2692"/>
      <c r="WIU26" s="2692"/>
      <c r="WIV26" s="2692"/>
      <c r="WIW26" s="2692"/>
      <c r="WIX26" s="2692"/>
      <c r="WIY26" s="2692"/>
      <c r="WIZ26" s="2692"/>
      <c r="WJA26" s="2692"/>
      <c r="WJB26" s="2692"/>
      <c r="WJC26" s="2692"/>
      <c r="WJD26" s="2692"/>
      <c r="WJE26" s="2692"/>
      <c r="WJF26" s="2692"/>
      <c r="WJG26" s="2692"/>
      <c r="WJH26" s="2692"/>
      <c r="WJI26" s="2692"/>
      <c r="WJJ26" s="2692"/>
      <c r="WJK26" s="2692"/>
      <c r="WJL26" s="2692"/>
      <c r="WJM26" s="2692"/>
      <c r="WJN26" s="2692"/>
      <c r="WJO26" s="2692"/>
      <c r="WJP26" s="2692"/>
      <c r="WJQ26" s="2692"/>
      <c r="WJR26" s="2692"/>
      <c r="WJS26" s="2692"/>
      <c r="WJT26" s="2692"/>
      <c r="WJU26" s="2692"/>
      <c r="WJV26" s="2692"/>
      <c r="WJW26" s="2692"/>
      <c r="WJX26" s="2692"/>
      <c r="WJY26" s="2692"/>
      <c r="WJZ26" s="2692"/>
      <c r="WKA26" s="2692"/>
      <c r="WKB26" s="2692"/>
      <c r="WKC26" s="2692"/>
      <c r="WKD26" s="2692"/>
      <c r="WKE26" s="2692"/>
      <c r="WKF26" s="2692"/>
      <c r="WKG26" s="2692"/>
      <c r="WKH26" s="2692"/>
      <c r="WKI26" s="2692"/>
      <c r="WKJ26" s="2692"/>
      <c r="WKK26" s="2692"/>
      <c r="WKL26" s="2692"/>
      <c r="WKM26" s="2692"/>
      <c r="WKN26" s="2692"/>
      <c r="WKO26" s="2692"/>
      <c r="WKP26" s="2692"/>
      <c r="WKQ26" s="2692"/>
      <c r="WKR26" s="2692"/>
      <c r="WKS26" s="2692"/>
      <c r="WKT26" s="2692"/>
      <c r="WKU26" s="2692"/>
      <c r="WKV26" s="2692"/>
      <c r="WKW26" s="2692"/>
      <c r="WKX26" s="2692"/>
      <c r="WKY26" s="2692"/>
      <c r="WKZ26" s="2692"/>
      <c r="WLA26" s="2692"/>
      <c r="WLB26" s="2692"/>
      <c r="WLC26" s="2692"/>
      <c r="WLD26" s="2692"/>
      <c r="WLE26" s="2692"/>
      <c r="WLF26" s="2692"/>
      <c r="WLG26" s="2692"/>
      <c r="WLH26" s="2692"/>
      <c r="WLI26" s="2692"/>
      <c r="WLJ26" s="2692"/>
      <c r="WLK26" s="2692"/>
      <c r="WLL26" s="2692"/>
      <c r="WLM26" s="2692"/>
      <c r="WLN26" s="2692"/>
      <c r="WLO26" s="2692"/>
      <c r="WLP26" s="2692"/>
      <c r="WLQ26" s="2692"/>
      <c r="WLR26" s="2692"/>
      <c r="WLS26" s="2692"/>
      <c r="WLT26" s="2692"/>
      <c r="WLU26" s="2692"/>
      <c r="WLV26" s="2692"/>
      <c r="WLW26" s="2692"/>
      <c r="WLX26" s="2692"/>
      <c r="WLY26" s="2692"/>
      <c r="WLZ26" s="2692"/>
      <c r="WMA26" s="2692"/>
      <c r="WMB26" s="2692"/>
      <c r="WMC26" s="2692"/>
      <c r="WMD26" s="2692"/>
      <c r="WME26" s="2692"/>
      <c r="WMF26" s="2692"/>
      <c r="WMG26" s="2692"/>
      <c r="WMH26" s="2692"/>
      <c r="WMI26" s="2692"/>
      <c r="WMJ26" s="2692"/>
      <c r="WMK26" s="2692"/>
      <c r="WML26" s="2692"/>
      <c r="WMM26" s="2692"/>
      <c r="WMN26" s="2692"/>
      <c r="WMO26" s="2692"/>
      <c r="WMP26" s="2692"/>
      <c r="WMQ26" s="2692"/>
      <c r="WMR26" s="2692"/>
      <c r="WMS26" s="2692"/>
      <c r="WMT26" s="2692"/>
      <c r="WMU26" s="2692"/>
      <c r="WMV26" s="2692"/>
      <c r="WMW26" s="2692"/>
      <c r="WMX26" s="2692"/>
      <c r="WMY26" s="2692"/>
      <c r="WMZ26" s="2692"/>
      <c r="WNA26" s="2692"/>
      <c r="WNB26" s="2692"/>
      <c r="WNC26" s="2692"/>
      <c r="WND26" s="2692"/>
      <c r="WNE26" s="2692"/>
      <c r="WNF26" s="2692"/>
      <c r="WNG26" s="2692"/>
      <c r="WNH26" s="2692"/>
      <c r="WNI26" s="2692"/>
      <c r="WNJ26" s="2692"/>
      <c r="WNK26" s="2692"/>
      <c r="WNL26" s="2692"/>
      <c r="WNM26" s="2692"/>
      <c r="WNN26" s="2692"/>
      <c r="WNO26" s="2692"/>
      <c r="WNP26" s="2692"/>
      <c r="WNQ26" s="2692"/>
      <c r="WNR26" s="2692"/>
      <c r="WNS26" s="2692"/>
      <c r="WNT26" s="2692"/>
      <c r="WNU26" s="2692"/>
      <c r="WNV26" s="2692"/>
      <c r="WNW26" s="2692"/>
      <c r="WNX26" s="2692"/>
      <c r="WNY26" s="2692"/>
      <c r="WNZ26" s="2692"/>
      <c r="WOA26" s="2692"/>
      <c r="WOB26" s="2692"/>
      <c r="WOC26" s="2692"/>
      <c r="WOD26" s="2692"/>
      <c r="WOE26" s="2692"/>
      <c r="WOF26" s="2692"/>
      <c r="WOG26" s="2692"/>
      <c r="WOH26" s="2692"/>
      <c r="WOI26" s="2692"/>
      <c r="WOJ26" s="2692"/>
      <c r="WOK26" s="2692"/>
      <c r="WOL26" s="2692"/>
      <c r="WOM26" s="2692"/>
      <c r="WON26" s="2692"/>
      <c r="WOO26" s="2692"/>
      <c r="WOP26" s="2692"/>
      <c r="WOQ26" s="2692"/>
      <c r="WOR26" s="2692"/>
      <c r="WOS26" s="2692"/>
      <c r="WOT26" s="2692"/>
      <c r="WOU26" s="2692"/>
      <c r="WOV26" s="2692"/>
      <c r="WOW26" s="2692"/>
      <c r="WOX26" s="2692"/>
      <c r="WOY26" s="2692"/>
      <c r="WOZ26" s="2692"/>
      <c r="WPA26" s="2692"/>
      <c r="WPB26" s="2692"/>
      <c r="WPC26" s="2692"/>
      <c r="WPD26" s="2692"/>
      <c r="WPE26" s="2692"/>
      <c r="WPF26" s="2692"/>
      <c r="WPG26" s="2692"/>
      <c r="WPH26" s="2692"/>
      <c r="WPI26" s="2692"/>
      <c r="WPJ26" s="2692"/>
      <c r="WPK26" s="2692"/>
      <c r="WPL26" s="2692"/>
      <c r="WPM26" s="2692"/>
      <c r="WPN26" s="2692"/>
      <c r="WPO26" s="2692"/>
      <c r="WPP26" s="2692"/>
      <c r="WPQ26" s="2692"/>
      <c r="WPR26" s="2692"/>
      <c r="WPS26" s="2692"/>
      <c r="WPT26" s="2692"/>
      <c r="WPU26" s="2692"/>
      <c r="WPV26" s="2692"/>
      <c r="WPW26" s="2692"/>
      <c r="WPX26" s="2692"/>
      <c r="WPY26" s="2692"/>
      <c r="WPZ26" s="2692"/>
      <c r="WQA26" s="2692"/>
      <c r="WQB26" s="2692"/>
      <c r="WQC26" s="2692"/>
      <c r="WQD26" s="2692"/>
      <c r="WQE26" s="2692"/>
      <c r="WQF26" s="2692"/>
      <c r="WQG26" s="2692"/>
      <c r="WQH26" s="2692"/>
      <c r="WQI26" s="2692"/>
      <c r="WQJ26" s="2692"/>
      <c r="WQK26" s="2692"/>
      <c r="WQL26" s="2692"/>
      <c r="WQM26" s="2692"/>
      <c r="WQN26" s="2692"/>
      <c r="WQO26" s="2692"/>
      <c r="WQP26" s="2692"/>
      <c r="WQQ26" s="2692"/>
      <c r="WQR26" s="2692"/>
      <c r="WQS26" s="2692"/>
      <c r="WQT26" s="2692"/>
      <c r="WQU26" s="2692"/>
      <c r="WQV26" s="2692"/>
      <c r="WQW26" s="2692"/>
      <c r="WQX26" s="2692"/>
      <c r="WQY26" s="2692"/>
      <c r="WQZ26" s="2692"/>
      <c r="WRA26" s="2692"/>
      <c r="WRB26" s="2692"/>
      <c r="WRC26" s="2692"/>
      <c r="WRD26" s="2692"/>
      <c r="WRE26" s="2692"/>
      <c r="WRF26" s="2692"/>
      <c r="WRG26" s="2692"/>
      <c r="WRH26" s="2692"/>
      <c r="WRI26" s="2692"/>
      <c r="WRJ26" s="2692"/>
      <c r="WRK26" s="2692"/>
      <c r="WRL26" s="2692"/>
      <c r="WRM26" s="2692"/>
      <c r="WRN26" s="2692"/>
      <c r="WRO26" s="2692"/>
      <c r="WRP26" s="2692"/>
      <c r="WRQ26" s="2692"/>
      <c r="WRR26" s="2692"/>
      <c r="WRS26" s="2692"/>
      <c r="WRT26" s="2692"/>
      <c r="WRU26" s="2692"/>
      <c r="WRV26" s="2692"/>
      <c r="WRW26" s="2692"/>
      <c r="WRX26" s="2692"/>
      <c r="WRY26" s="2692"/>
      <c r="WRZ26" s="2692"/>
      <c r="WSA26" s="2692"/>
      <c r="WSB26" s="2692"/>
      <c r="WSC26" s="2692"/>
      <c r="WSD26" s="2692"/>
      <c r="WSE26" s="2692"/>
      <c r="WSF26" s="2692"/>
      <c r="WSG26" s="2692"/>
      <c r="WSH26" s="2692"/>
      <c r="WSI26" s="2692"/>
      <c r="WSJ26" s="2692"/>
      <c r="WSK26" s="2692"/>
      <c r="WSL26" s="2692"/>
      <c r="WSM26" s="2692"/>
      <c r="WSN26" s="2692"/>
      <c r="WSO26" s="2692"/>
      <c r="WSP26" s="2692"/>
      <c r="WSQ26" s="2692"/>
      <c r="WSR26" s="2692"/>
      <c r="WSS26" s="2692"/>
      <c r="WST26" s="2692"/>
      <c r="WSU26" s="2692"/>
      <c r="WSV26" s="2692"/>
      <c r="WSW26" s="2692"/>
      <c r="WSX26" s="2692"/>
      <c r="WSY26" s="2692"/>
      <c r="WSZ26" s="2692"/>
      <c r="WTA26" s="2692"/>
      <c r="WTB26" s="2692"/>
      <c r="WTC26" s="2692"/>
      <c r="WTD26" s="2692"/>
      <c r="WTE26" s="2692"/>
      <c r="WTF26" s="2692"/>
      <c r="WTG26" s="2692"/>
      <c r="WTH26" s="2692"/>
      <c r="WTI26" s="2692"/>
      <c r="WTJ26" s="2692"/>
      <c r="WTK26" s="2692"/>
      <c r="WTL26" s="2692"/>
      <c r="WTM26" s="2692"/>
      <c r="WTN26" s="2692"/>
      <c r="WTO26" s="2692"/>
      <c r="WTP26" s="2692"/>
      <c r="WTQ26" s="2692"/>
      <c r="WTR26" s="2692"/>
      <c r="WTS26" s="2692"/>
      <c r="WTT26" s="2692"/>
      <c r="WTU26" s="2692"/>
      <c r="WTV26" s="2692"/>
      <c r="WTW26" s="2692"/>
      <c r="WTX26" s="2692"/>
      <c r="WTY26" s="2692"/>
      <c r="WTZ26" s="2692"/>
      <c r="WUA26" s="2692"/>
      <c r="WUB26" s="2692"/>
      <c r="WUC26" s="2692"/>
      <c r="WUD26" s="2692"/>
      <c r="WUE26" s="2692"/>
      <c r="WUF26" s="2692"/>
      <c r="WUG26" s="2692"/>
      <c r="WUH26" s="2692"/>
      <c r="WUI26" s="2692"/>
      <c r="WUJ26" s="2692"/>
      <c r="WUK26" s="2692"/>
      <c r="WUL26" s="2692"/>
      <c r="WUM26" s="2692"/>
      <c r="WUN26" s="2692"/>
      <c r="WUO26" s="2692"/>
      <c r="WUP26" s="2692"/>
      <c r="WUQ26" s="2692"/>
      <c r="WUR26" s="2692"/>
      <c r="WUS26" s="2692"/>
      <c r="WUT26" s="2692"/>
      <c r="WUU26" s="2692"/>
      <c r="WUV26" s="2692"/>
      <c r="WUW26" s="2692"/>
      <c r="WUX26" s="2692"/>
      <c r="WUY26" s="2692"/>
      <c r="WUZ26" s="2692"/>
      <c r="WVA26" s="2692"/>
      <c r="WVB26" s="2692"/>
      <c r="WVC26" s="2692"/>
      <c r="WVD26" s="2692"/>
      <c r="WVE26" s="2692"/>
      <c r="WVF26" s="2692"/>
      <c r="WVG26" s="2692"/>
      <c r="WVH26" s="2692"/>
      <c r="WVI26" s="2692"/>
      <c r="WVJ26" s="2692"/>
      <c r="WVK26" s="2692"/>
      <c r="WVL26" s="2692"/>
      <c r="WVM26" s="2692"/>
      <c r="WVN26" s="2692"/>
      <c r="WVO26" s="2692"/>
      <c r="WVP26" s="2692"/>
      <c r="WVQ26" s="2692"/>
      <c r="WVR26" s="2692"/>
      <c r="WVS26" s="2692"/>
      <c r="WVT26" s="2692"/>
      <c r="WVU26" s="2692"/>
      <c r="WVV26" s="2692"/>
      <c r="WVW26" s="2692"/>
      <c r="WVX26" s="2692"/>
      <c r="WVY26" s="2692"/>
      <c r="WVZ26" s="2692"/>
      <c r="WWA26" s="2692"/>
      <c r="WWB26" s="2692"/>
      <c r="WWC26" s="2692"/>
      <c r="WWD26" s="2692"/>
      <c r="WWE26" s="2692"/>
      <c r="WWF26" s="2692"/>
      <c r="WWG26" s="2692"/>
      <c r="WWH26" s="2692"/>
      <c r="WWI26" s="2692"/>
      <c r="WWJ26" s="2692"/>
      <c r="WWK26" s="2692"/>
      <c r="WWL26" s="2692"/>
      <c r="WWM26" s="2692"/>
      <c r="WWN26" s="2692"/>
      <c r="WWO26" s="2692"/>
      <c r="WWP26" s="2692"/>
      <c r="WWQ26" s="2692"/>
      <c r="WWR26" s="2692"/>
      <c r="WWS26" s="2692"/>
      <c r="WWT26" s="2692"/>
      <c r="WWU26" s="2692"/>
      <c r="WWV26" s="2692"/>
      <c r="WWW26" s="2692"/>
      <c r="WWX26" s="2692"/>
      <c r="WWY26" s="2692"/>
      <c r="WWZ26" s="2692"/>
      <c r="WXA26" s="2692"/>
      <c r="WXB26" s="2692"/>
      <c r="WXC26" s="2692"/>
      <c r="WXD26" s="2692"/>
      <c r="WXE26" s="2692"/>
      <c r="WXF26" s="2692"/>
      <c r="WXG26" s="2692"/>
      <c r="WXH26" s="2692"/>
      <c r="WXI26" s="2692"/>
      <c r="WXJ26" s="2692"/>
      <c r="WXK26" s="2692"/>
      <c r="WXL26" s="2692"/>
      <c r="WXM26" s="2692"/>
      <c r="WXN26" s="2692"/>
      <c r="WXO26" s="2692"/>
      <c r="WXP26" s="2692"/>
      <c r="WXQ26" s="2692"/>
      <c r="WXR26" s="2692"/>
      <c r="WXS26" s="2692"/>
      <c r="WXT26" s="2692"/>
      <c r="WXU26" s="2692"/>
      <c r="WXV26" s="2692"/>
      <c r="WXW26" s="2692"/>
      <c r="WXX26" s="2692"/>
      <c r="WXY26" s="2692"/>
      <c r="WXZ26" s="2692"/>
      <c r="WYA26" s="2692"/>
      <c r="WYB26" s="2692"/>
      <c r="WYC26" s="2692"/>
      <c r="WYD26" s="2692"/>
      <c r="WYE26" s="2692"/>
      <c r="WYF26" s="2692"/>
      <c r="WYG26" s="2692"/>
      <c r="WYH26" s="2692"/>
      <c r="WYI26" s="2692"/>
      <c r="WYJ26" s="2692"/>
      <c r="WYK26" s="2692"/>
      <c r="WYL26" s="2692"/>
      <c r="WYM26" s="2692"/>
      <c r="WYN26" s="2692"/>
      <c r="WYO26" s="2692"/>
      <c r="WYP26" s="2692"/>
      <c r="WYQ26" s="2692"/>
      <c r="WYR26" s="2692"/>
      <c r="WYS26" s="2692"/>
      <c r="WYT26" s="2692"/>
      <c r="WYU26" s="2692"/>
      <c r="WYV26" s="2692"/>
      <c r="WYW26" s="2692"/>
      <c r="WYX26" s="2692"/>
      <c r="WYY26" s="2692"/>
      <c r="WYZ26" s="2692"/>
      <c r="WZA26" s="2692"/>
      <c r="WZB26" s="2692"/>
      <c r="WZC26" s="2692"/>
      <c r="WZD26" s="2692"/>
      <c r="WZE26" s="2692"/>
      <c r="WZF26" s="2692"/>
      <c r="WZG26" s="2692"/>
      <c r="WZH26" s="2692"/>
      <c r="WZI26" s="2692"/>
      <c r="WZJ26" s="2692"/>
      <c r="WZK26" s="2692"/>
      <c r="WZL26" s="2692"/>
      <c r="WZM26" s="2692"/>
      <c r="WZN26" s="2692"/>
      <c r="WZO26" s="2692"/>
      <c r="WZP26" s="2692"/>
      <c r="WZQ26" s="2692"/>
      <c r="WZR26" s="2692"/>
      <c r="WZS26" s="2692"/>
      <c r="WZT26" s="2692"/>
      <c r="WZU26" s="2692"/>
      <c r="WZV26" s="2692"/>
      <c r="WZW26" s="2692"/>
      <c r="WZX26" s="2692"/>
      <c r="WZY26" s="2692"/>
      <c r="WZZ26" s="2692"/>
      <c r="XAA26" s="2692"/>
      <c r="XAB26" s="2692"/>
      <c r="XAC26" s="2692"/>
      <c r="XAD26" s="2692"/>
      <c r="XAE26" s="2692"/>
      <c r="XAF26" s="2692"/>
      <c r="XAG26" s="2692"/>
      <c r="XAH26" s="2692"/>
      <c r="XAI26" s="2692"/>
      <c r="XAJ26" s="2692"/>
      <c r="XAK26" s="2692"/>
      <c r="XAL26" s="2692"/>
      <c r="XAM26" s="2692"/>
      <c r="XAN26" s="2692"/>
      <c r="XAO26" s="2692"/>
      <c r="XAP26" s="2692"/>
      <c r="XAQ26" s="2692"/>
      <c r="XAR26" s="2692"/>
      <c r="XAS26" s="2692"/>
      <c r="XAT26" s="2692"/>
      <c r="XAU26" s="2692"/>
      <c r="XAV26" s="2692"/>
      <c r="XAW26" s="2692"/>
      <c r="XAX26" s="2692"/>
      <c r="XAY26" s="2692"/>
      <c r="XAZ26" s="2692"/>
      <c r="XBA26" s="2692"/>
      <c r="XBB26" s="2692"/>
      <c r="XBC26" s="2692"/>
      <c r="XBD26" s="2692"/>
      <c r="XBE26" s="2692"/>
      <c r="XBF26" s="2692"/>
      <c r="XBG26" s="2692"/>
      <c r="XBH26" s="2692"/>
      <c r="XBI26" s="2692"/>
      <c r="XBJ26" s="2692"/>
      <c r="XBK26" s="2692"/>
      <c r="XBL26" s="2692"/>
      <c r="XBM26" s="2692"/>
      <c r="XBN26" s="2692"/>
      <c r="XBO26" s="2692"/>
      <c r="XBP26" s="2692"/>
      <c r="XBQ26" s="2692"/>
      <c r="XBR26" s="2692"/>
      <c r="XBS26" s="2692"/>
      <c r="XBT26" s="2692"/>
      <c r="XBU26" s="2692"/>
      <c r="XBV26" s="2692"/>
      <c r="XBW26" s="2692"/>
      <c r="XBX26" s="2692"/>
      <c r="XBY26" s="2692"/>
      <c r="XBZ26" s="2692"/>
      <c r="XCA26" s="2692"/>
      <c r="XCB26" s="2692"/>
      <c r="XCC26" s="2692"/>
      <c r="XCD26" s="2692"/>
      <c r="XCE26" s="2692"/>
      <c r="XCF26" s="2692"/>
      <c r="XCG26" s="2692"/>
      <c r="XCH26" s="2692"/>
      <c r="XCI26" s="2692"/>
      <c r="XCJ26" s="2692"/>
      <c r="XCK26" s="2692"/>
      <c r="XCL26" s="2692"/>
      <c r="XCM26" s="2692"/>
      <c r="XCN26" s="2692"/>
      <c r="XCO26" s="2692"/>
      <c r="XCP26" s="2692"/>
      <c r="XCQ26" s="2692"/>
      <c r="XCR26" s="2692"/>
      <c r="XCS26" s="2692"/>
      <c r="XCT26" s="2692"/>
      <c r="XCU26" s="2692"/>
      <c r="XCV26" s="2692"/>
      <c r="XCW26" s="2692"/>
      <c r="XCX26" s="2692"/>
      <c r="XCY26" s="2692"/>
      <c r="XCZ26" s="2692"/>
      <c r="XDA26" s="2692"/>
      <c r="XDB26" s="2692"/>
      <c r="XDC26" s="2692"/>
      <c r="XDD26" s="2692"/>
      <c r="XDE26" s="2692"/>
      <c r="XDF26" s="2692"/>
      <c r="XDG26" s="2692"/>
      <c r="XDH26" s="2692"/>
      <c r="XDI26" s="2692"/>
      <c r="XDJ26" s="2692"/>
      <c r="XDK26" s="2692"/>
      <c r="XDL26" s="2692"/>
      <c r="XDM26" s="2692"/>
      <c r="XDN26" s="2692"/>
      <c r="XDO26" s="2692"/>
      <c r="XDP26" s="2692"/>
      <c r="XDQ26" s="2692"/>
      <c r="XDR26" s="2692"/>
      <c r="XDS26" s="2692"/>
      <c r="XDT26" s="2692"/>
      <c r="XDU26" s="2692"/>
      <c r="XDV26" s="2692"/>
      <c r="XDW26" s="2692"/>
      <c r="XDX26" s="2692"/>
      <c r="XDY26" s="2692"/>
      <c r="XDZ26" s="2692"/>
      <c r="XEA26" s="2692"/>
      <c r="XEB26" s="2692"/>
      <c r="XEC26" s="2692"/>
      <c r="XED26" s="2692"/>
      <c r="XEE26" s="2692"/>
      <c r="XEF26" s="2692"/>
      <c r="XEG26" s="2692"/>
      <c r="XEH26" s="2692"/>
      <c r="XEI26" s="2692"/>
      <c r="XEJ26" s="2692"/>
      <c r="XEK26" s="2692"/>
      <c r="XEL26" s="2692"/>
      <c r="XEM26" s="2692"/>
      <c r="XEN26" s="2692"/>
      <c r="XEO26" s="2692"/>
      <c r="XEP26" s="2692"/>
      <c r="XEQ26" s="2692"/>
      <c r="XER26" s="2692"/>
      <c r="XES26" s="2692"/>
      <c r="XET26" s="2692"/>
      <c r="XEU26" s="2692"/>
      <c r="XEV26" s="2692"/>
      <c r="XEW26" s="2692"/>
      <c r="XEX26" s="2692"/>
      <c r="XEY26" s="2692"/>
      <c r="XEZ26" s="2692"/>
      <c r="XFA26" s="2692"/>
      <c r="XFB26" s="2692"/>
      <c r="XFC26" s="2692"/>
      <c r="XFD26" s="2692"/>
    </row>
    <row r="27" spans="1:16384" ht="34.5" customHeight="1" thickBot="1" x14ac:dyDescent="0.4">
      <c r="A27" s="2398" t="s">
        <v>18</v>
      </c>
      <c r="C27" s="2841"/>
      <c r="D27" s="2862">
        <f>SUM(D14:D23)</f>
        <v>603933</v>
      </c>
      <c r="E27" s="2274"/>
    </row>
    <row r="28" spans="1:16384" s="58" customFormat="1" ht="23.25" hidden="1" customHeight="1" x14ac:dyDescent="0.35">
      <c r="A28" s="2448" t="s">
        <v>1100</v>
      </c>
      <c r="B28" s="2449"/>
      <c r="C28" s="2449"/>
      <c r="D28" s="2449"/>
      <c r="E28" s="2274"/>
    </row>
    <row r="29" spans="1:16384" s="58" customFormat="1" ht="23.25" hidden="1" customHeight="1" thickBot="1" x14ac:dyDescent="0.4">
      <c r="A29" s="2450"/>
      <c r="B29" s="2451"/>
      <c r="C29" s="2451"/>
      <c r="D29" s="2451"/>
      <c r="E29" s="2274"/>
    </row>
    <row r="30" spans="1:16384" s="58" customFormat="1" ht="39" hidden="1" customHeight="1" x14ac:dyDescent="0.35">
      <c r="A30" s="2400" t="s">
        <v>638</v>
      </c>
      <c r="B30" s="2144" t="s">
        <v>403</v>
      </c>
      <c r="C30" s="2145" t="s">
        <v>1101</v>
      </c>
      <c r="D30" s="2371" t="s">
        <v>39</v>
      </c>
      <c r="E30" s="2274"/>
    </row>
    <row r="31" spans="1:16384" s="58" customFormat="1" ht="23.25" hidden="1" customHeight="1" x14ac:dyDescent="0.35">
      <c r="A31" s="2401"/>
      <c r="B31" s="2146" t="s">
        <v>419</v>
      </c>
      <c r="C31" s="2153"/>
      <c r="D31" s="2372"/>
      <c r="E31" s="2274"/>
    </row>
    <row r="32" spans="1:16384" s="58" customFormat="1" ht="23.25" hidden="1" customHeight="1" x14ac:dyDescent="0.35">
      <c r="A32" s="2402"/>
      <c r="B32" s="2146" t="s">
        <v>419</v>
      </c>
      <c r="C32" s="2147"/>
      <c r="D32" s="2373"/>
      <c r="E32" s="2274"/>
    </row>
    <row r="33" spans="1:5" s="58" customFormat="1" ht="23.25" hidden="1" customHeight="1" x14ac:dyDescent="0.35">
      <c r="A33" s="2402"/>
      <c r="B33" s="2146" t="s">
        <v>419</v>
      </c>
      <c r="C33" s="2147"/>
      <c r="D33" s="2373"/>
      <c r="E33" s="2274"/>
    </row>
    <row r="34" spans="1:5" s="58" customFormat="1" ht="23.25" hidden="1" customHeight="1" x14ac:dyDescent="0.35">
      <c r="A34" s="2402"/>
      <c r="B34" s="2146" t="s">
        <v>419</v>
      </c>
      <c r="C34" s="2147"/>
      <c r="D34" s="2373"/>
      <c r="E34" s="2274"/>
    </row>
    <row r="35" spans="1:5" s="58" customFormat="1" ht="23.25" hidden="1" customHeight="1" x14ac:dyDescent="0.35">
      <c r="A35" s="2402"/>
      <c r="B35" s="2146" t="s">
        <v>419</v>
      </c>
      <c r="C35" s="2146"/>
      <c r="D35" s="2373"/>
      <c r="E35" s="2274"/>
    </row>
    <row r="36" spans="1:5" s="192" customFormat="1" ht="23.25" hidden="1" customHeight="1" x14ac:dyDescent="0.3">
      <c r="A36" s="2402"/>
      <c r="B36" s="2146" t="s">
        <v>404</v>
      </c>
      <c r="C36" s="2146"/>
      <c r="D36" s="2099"/>
      <c r="E36" s="2276"/>
    </row>
    <row r="37" spans="1:5" s="58" customFormat="1" ht="23.25" hidden="1" customHeight="1" x14ac:dyDescent="0.35">
      <c r="A37" s="2402"/>
      <c r="B37" s="2146"/>
      <c r="C37" s="2146"/>
      <c r="D37" s="2099"/>
      <c r="E37" s="2274"/>
    </row>
    <row r="38" spans="1:5" s="58" customFormat="1" ht="23.25" hidden="1" customHeight="1" x14ac:dyDescent="0.35">
      <c r="A38" s="2402"/>
      <c r="B38" s="2099"/>
      <c r="C38" s="2099"/>
      <c r="D38" s="2099"/>
      <c r="E38" s="2274"/>
    </row>
    <row r="39" spans="1:5" s="58" customFormat="1" ht="19.5" hidden="1" customHeight="1" x14ac:dyDescent="0.35">
      <c r="A39" s="2402" t="s">
        <v>18</v>
      </c>
      <c r="B39" s="2100"/>
      <c r="C39" s="2100"/>
      <c r="D39" s="2820"/>
      <c r="E39" s="2274"/>
    </row>
    <row r="40" spans="1:5" s="58" customFormat="1" ht="25.5" hidden="1" customHeight="1" x14ac:dyDescent="0.35">
      <c r="A40" s="2560" t="s">
        <v>271</v>
      </c>
      <c r="B40" s="2112"/>
      <c r="C40" s="2112"/>
      <c r="D40" s="2374">
        <f>+B10-D27-D42</f>
        <v>1423050</v>
      </c>
      <c r="E40" s="2274"/>
    </row>
    <row r="41" spans="1:5" s="58" customFormat="1" ht="28.5" customHeight="1" thickBot="1" x14ac:dyDescent="0.4">
      <c r="A41" s="2452" t="s">
        <v>1561</v>
      </c>
      <c r="B41" s="2453"/>
      <c r="C41" s="2453"/>
      <c r="D41" s="2454"/>
      <c r="E41" s="2274"/>
    </row>
    <row r="42" spans="1:5" s="36" customFormat="1" ht="27" customHeight="1" thickBot="1" x14ac:dyDescent="0.35">
      <c r="A42" s="2398" t="s">
        <v>185</v>
      </c>
      <c r="B42" s="2090"/>
      <c r="C42" s="2091"/>
      <c r="D42" s="2830">
        <v>1382</v>
      </c>
      <c r="E42" s="2275"/>
    </row>
    <row r="43" spans="1:5" s="36" customFormat="1" ht="35.25" customHeight="1" thickBot="1" x14ac:dyDescent="0.35">
      <c r="A43" s="36" t="s">
        <v>1154</v>
      </c>
      <c r="B43" s="2089"/>
      <c r="C43" s="2080"/>
      <c r="D43" s="2831">
        <v>170000</v>
      </c>
      <c r="E43" s="2275"/>
    </row>
    <row r="44" spans="1:5" s="3" customFormat="1" ht="30" customHeight="1" thickBot="1" x14ac:dyDescent="0.4">
      <c r="A44" s="36"/>
      <c r="B44" s="2516"/>
      <c r="C44" s="2080"/>
      <c r="D44" s="2828"/>
      <c r="E44" s="2275"/>
    </row>
    <row r="45" spans="1:5" s="3" customFormat="1" ht="30" customHeight="1" thickBot="1" x14ac:dyDescent="0.35">
      <c r="A45" s="2494"/>
      <c r="B45" s="2089"/>
      <c r="C45" s="2079"/>
      <c r="D45" s="2375"/>
      <c r="E45" s="2275"/>
    </row>
    <row r="46" spans="1:5" s="2190" customFormat="1" ht="33.75" customHeight="1" x14ac:dyDescent="0.3">
      <c r="A46" s="2455" t="s">
        <v>18</v>
      </c>
      <c r="B46" s="2246"/>
      <c r="C46" s="2247"/>
      <c r="D46" s="2376">
        <f>SUM(D42:D45)</f>
        <v>171382</v>
      </c>
      <c r="E46" s="2275"/>
    </row>
    <row r="47" spans="1:5" s="3" customFormat="1" ht="39" customHeight="1" thickBot="1" x14ac:dyDescent="0.4">
      <c r="A47" s="2456"/>
      <c r="B47" s="2248"/>
      <c r="C47" s="2249"/>
      <c r="D47" s="2377"/>
      <c r="E47" s="2277"/>
    </row>
    <row r="48" spans="1:5" s="3" customFormat="1" ht="32.25" customHeight="1" thickBot="1" x14ac:dyDescent="0.55000000000000004">
      <c r="A48" s="2457" t="s">
        <v>1116</v>
      </c>
      <c r="B48" s="2458"/>
      <c r="C48" s="2562">
        <f>B10-D27+D31+D32+D33+D34-D46</f>
        <v>1253050</v>
      </c>
      <c r="D48" s="2460"/>
      <c r="E48" s="2511"/>
    </row>
    <row r="49" spans="1:11" s="3" customFormat="1" ht="51" hidden="1" customHeight="1" thickBot="1" x14ac:dyDescent="0.4">
      <c r="A49" s="2403" t="s">
        <v>1787</v>
      </c>
      <c r="B49" s="2239"/>
      <c r="C49" s="2240"/>
      <c r="D49" s="2378"/>
      <c r="E49" s="2189"/>
    </row>
    <row r="50" spans="1:11" s="3" customFormat="1" ht="51" hidden="1" customHeight="1" thickBot="1" x14ac:dyDescent="0.4">
      <c r="A50" s="2457" t="s">
        <v>1602</v>
      </c>
      <c r="B50" s="2458"/>
      <c r="C50" s="2188"/>
      <c r="D50" s="2459"/>
      <c r="E50" s="154"/>
    </row>
    <row r="51" spans="1:11" s="3" customFormat="1" ht="51" hidden="1" customHeight="1" thickBot="1" x14ac:dyDescent="0.4">
      <c r="A51" s="2404"/>
      <c r="B51" s="2148"/>
      <c r="C51" s="2444"/>
      <c r="D51" s="2445"/>
      <c r="E51" s="18"/>
    </row>
    <row r="52" spans="1:11" s="3" customFormat="1" ht="36" customHeight="1" thickBot="1" x14ac:dyDescent="0.4">
      <c r="A52" s="2431" t="s">
        <v>1149</v>
      </c>
      <c r="B52" s="2699"/>
      <c r="C52" s="2432"/>
      <c r="D52" s="2433"/>
      <c r="E52" s="18"/>
    </row>
    <row r="53" spans="1:11" s="3" customFormat="1" ht="20.25" customHeight="1" thickBot="1" x14ac:dyDescent="0.4">
      <c r="A53" s="2434" t="s">
        <v>1102</v>
      </c>
      <c r="B53" s="2435"/>
      <c r="C53" s="2435"/>
      <c r="D53" s="2436"/>
      <c r="E53" s="18"/>
    </row>
    <row r="54" spans="1:11" s="3" customFormat="1" ht="18.75" customHeight="1" thickBot="1" x14ac:dyDescent="0.3">
      <c r="A54" s="2398"/>
      <c r="B54" s="2077" t="s">
        <v>15</v>
      </c>
      <c r="C54" s="2077" t="s">
        <v>16</v>
      </c>
      <c r="D54" s="2077" t="s">
        <v>17</v>
      </c>
      <c r="E54" s="2149" t="s">
        <v>235</v>
      </c>
    </row>
    <row r="55" spans="1:11" s="3" customFormat="1" ht="18.75" customHeight="1" thickBot="1" x14ac:dyDescent="0.3">
      <c r="A55" s="2405" t="s">
        <v>1103</v>
      </c>
      <c r="B55" s="2093">
        <f>ventes!B42</f>
        <v>4144</v>
      </c>
      <c r="C55" s="2093">
        <f>ventes!C42</f>
        <v>36708</v>
      </c>
      <c r="D55" s="2093">
        <f>ventes!D42</f>
        <v>0</v>
      </c>
      <c r="E55" s="2094">
        <f>SUM(B55:D55)</f>
        <v>40852</v>
      </c>
    </row>
    <row r="56" spans="1:11" s="3" customFormat="1" ht="33" customHeight="1" thickBot="1" x14ac:dyDescent="0.3">
      <c r="A56" s="2405" t="s">
        <v>1104</v>
      </c>
      <c r="B56" s="2094">
        <v>25000</v>
      </c>
      <c r="C56" s="2094">
        <v>245000</v>
      </c>
      <c r="D56" s="2094">
        <v>0</v>
      </c>
      <c r="E56" s="2094">
        <f>SUM(B56:D56)</f>
        <v>270000</v>
      </c>
    </row>
    <row r="57" spans="1:11" s="3" customFormat="1" ht="46.5" customHeight="1" thickBot="1" x14ac:dyDescent="0.3">
      <c r="A57" s="2405" t="s">
        <v>71</v>
      </c>
      <c r="B57" s="2092">
        <f>B55-B56</f>
        <v>-20856</v>
      </c>
      <c r="C57" s="2092">
        <f>C55-C56</f>
        <v>-208292</v>
      </c>
      <c r="D57" s="2092">
        <f>D55-D56</f>
        <v>0</v>
      </c>
      <c r="E57" s="2094">
        <f>SUM(B57:D57)</f>
        <v>-229148</v>
      </c>
    </row>
    <row r="58" spans="1:11" s="3" customFormat="1" ht="39.75" customHeight="1" thickBot="1" x14ac:dyDescent="0.3">
      <c r="A58" s="2406" t="s">
        <v>1105</v>
      </c>
      <c r="B58" s="2150"/>
      <c r="C58" s="2150"/>
      <c r="D58" s="2379"/>
      <c r="F58" s="155"/>
    </row>
    <row r="59" spans="1:11" s="17" customFormat="1" ht="102" customHeight="1" x14ac:dyDescent="0.25">
      <c r="A59" s="2935" t="s">
        <v>2266</v>
      </c>
      <c r="B59" s="2936"/>
      <c r="C59" s="2936"/>
      <c r="D59" s="2936"/>
      <c r="E59" s="2847"/>
      <c r="K59" s="17" t="s">
        <v>420</v>
      </c>
    </row>
    <row r="60" spans="1:11" s="17" customFormat="1" ht="24.75" customHeight="1" thickBot="1" x14ac:dyDescent="0.3">
      <c r="A60" s="2344"/>
      <c r="B60" s="2345"/>
      <c r="C60" s="2345"/>
      <c r="D60" s="2380"/>
      <c r="E60" s="2346"/>
      <c r="I60" s="17" t="s">
        <v>420</v>
      </c>
    </row>
    <row r="61" spans="1:11" s="2081" customFormat="1" ht="19.5" customHeight="1" thickBot="1" x14ac:dyDescent="0.3">
      <c r="A61" s="2437"/>
      <c r="B61" s="2438"/>
      <c r="C61" s="2438"/>
      <c r="D61" s="2439"/>
      <c r="E61" s="2440" t="s">
        <v>14</v>
      </c>
    </row>
    <row r="62" spans="1:11" s="2081" customFormat="1" ht="15" customHeight="1" thickBot="1" x14ac:dyDescent="0.3">
      <c r="A62" s="2442" t="s">
        <v>1106</v>
      </c>
      <c r="B62" s="2076" t="s">
        <v>15</v>
      </c>
      <c r="C62" s="2076" t="s">
        <v>16</v>
      </c>
      <c r="D62" s="2080" t="s">
        <v>17</v>
      </c>
      <c r="E62" s="2441"/>
    </row>
    <row r="63" spans="1:11" s="2082" customFormat="1" ht="15.75" customHeight="1" thickBot="1" x14ac:dyDescent="0.3">
      <c r="A63" s="2443"/>
      <c r="B63" s="2094">
        <f>'analyse stock '!B24</f>
        <v>3361</v>
      </c>
      <c r="C63" s="2094">
        <f>'analyse stock '!C24</f>
        <v>41743</v>
      </c>
      <c r="D63" s="2094">
        <f>'analyse stock '!D24</f>
        <v>432</v>
      </c>
      <c r="E63" s="2095">
        <f>(B63*630)+(C63*575)+(D63*350)</f>
        <v>26270855</v>
      </c>
    </row>
    <row r="64" spans="1:11" s="2082" customFormat="1" ht="15" customHeight="1" thickBot="1" x14ac:dyDescent="0.3">
      <c r="A64" s="2407" t="s">
        <v>1107</v>
      </c>
      <c r="B64" s="2096">
        <f>'analyse stock '!G45</f>
        <v>-61</v>
      </c>
      <c r="C64" s="2096">
        <f>'analyse stock '!H45</f>
        <v>-33</v>
      </c>
      <c r="D64" s="2096">
        <f>'analyse stock '!I45</f>
        <v>0</v>
      </c>
      <c r="E64" s="2095">
        <f>(B64*630)+(C64*575)+(D64*350)</f>
        <v>-57405</v>
      </c>
    </row>
    <row r="65" spans="1:9" s="2082" customFormat="1" ht="24.75" customHeight="1" thickBot="1" x14ac:dyDescent="0.3">
      <c r="A65" s="2408" t="s">
        <v>1108</v>
      </c>
      <c r="B65" s="2092">
        <f>'analyse stock '!B32</f>
        <v>-12.432</v>
      </c>
      <c r="C65" s="2092">
        <f>'analyse stock '!C32</f>
        <v>-110.124</v>
      </c>
      <c r="D65" s="2092">
        <f>'analyse stock '!D32</f>
        <v>0</v>
      </c>
      <c r="E65" s="2095">
        <f>(B65*630)+(C65*575)+(D65*350)</f>
        <v>-71153.459999999992</v>
      </c>
    </row>
    <row r="66" spans="1:9" s="2082" customFormat="1" ht="32.25" customHeight="1" thickBot="1" x14ac:dyDescent="0.3">
      <c r="A66" s="2409" t="s">
        <v>1109</v>
      </c>
      <c r="B66" s="2097">
        <f>'analyse stock '!B34</f>
        <v>-48.567999999999998</v>
      </c>
      <c r="C66" s="2097">
        <f>-'analyse stock '!C34</f>
        <v>-77.123999999999995</v>
      </c>
      <c r="D66" s="2097">
        <f>-'analyse stock '!D34</f>
        <v>0</v>
      </c>
      <c r="E66" s="2095">
        <f>(B66*630)+(C66*575)+(D66*350)</f>
        <v>-74944.14</v>
      </c>
    </row>
    <row r="67" spans="1:9" s="2081" customFormat="1" ht="41.25" customHeight="1" thickBot="1" x14ac:dyDescent="0.3">
      <c r="A67" s="2410" t="s">
        <v>227</v>
      </c>
      <c r="B67" s="2098">
        <f>+B63-25000</f>
        <v>-21639</v>
      </c>
      <c r="C67" s="2098">
        <f>+C63-100000</f>
        <v>-58257</v>
      </c>
      <c r="D67" s="2098">
        <f>+D63-25000</f>
        <v>-24568</v>
      </c>
      <c r="E67" s="2095">
        <f>(B67*630)+(C67*575)+(D67*350)</f>
        <v>-55729145</v>
      </c>
    </row>
    <row r="68" spans="1:9" s="17" customFormat="1" ht="15.75" customHeight="1" x14ac:dyDescent="0.25">
      <c r="A68" s="2411" t="s">
        <v>1114</v>
      </c>
      <c r="B68" s="2255"/>
      <c r="C68" s="2255"/>
      <c r="D68" s="2381"/>
      <c r="E68" s="2082"/>
    </row>
    <row r="69" spans="1:9" ht="36.75" customHeight="1" x14ac:dyDescent="0.25">
      <c r="A69" s="2845" t="s">
        <v>1844</v>
      </c>
      <c r="B69" s="2846"/>
      <c r="C69" s="2846"/>
      <c r="D69" s="2846"/>
      <c r="E69" s="2846"/>
    </row>
    <row r="70" spans="1:9" ht="20.25" customHeight="1" thickBot="1" x14ac:dyDescent="0.3">
      <c r="A70" s="2845"/>
      <c r="B70" s="2846"/>
      <c r="C70" s="2846"/>
      <c r="D70" s="2846"/>
      <c r="E70" s="2846"/>
    </row>
    <row r="71" spans="1:9" s="2083" customFormat="1" ht="21.75" customHeight="1" thickBot="1" x14ac:dyDescent="0.3">
      <c r="A71" s="2412" t="s">
        <v>111</v>
      </c>
      <c r="B71" s="2438"/>
      <c r="C71" s="2438"/>
      <c r="D71" s="2438"/>
      <c r="E71" s="2349"/>
    </row>
    <row r="72" spans="1:9" s="2083" customFormat="1" ht="23.25" customHeight="1" thickBot="1" x14ac:dyDescent="0.3">
      <c r="A72" s="2413" t="s">
        <v>1110</v>
      </c>
      <c r="B72" s="2423">
        <v>1350</v>
      </c>
      <c r="C72" s="2424"/>
      <c r="D72" s="2094"/>
      <c r="E72" s="2439"/>
    </row>
    <row r="73" spans="1:9" s="2083" customFormat="1" ht="25.5" customHeight="1" thickBot="1" x14ac:dyDescent="0.3">
      <c r="A73" s="2413" t="s">
        <v>1111</v>
      </c>
      <c r="B73" s="2425">
        <f>Lub!J40</f>
        <v>79.5</v>
      </c>
      <c r="C73" s="2426"/>
      <c r="D73" s="2094"/>
      <c r="E73" s="2094"/>
      <c r="I73" s="2083" t="s">
        <v>62</v>
      </c>
    </row>
    <row r="74" spans="1:9" s="2083" customFormat="1" ht="30.75" customHeight="1" thickBot="1" x14ac:dyDescent="0.3">
      <c r="A74" s="2413" t="s">
        <v>1165</v>
      </c>
      <c r="B74" s="2423">
        <f>+B73-B72</f>
        <v>-1270.5</v>
      </c>
      <c r="C74" s="2424"/>
      <c r="D74" s="2094"/>
      <c r="E74" s="2094"/>
    </row>
    <row r="75" spans="1:9" s="2113" customFormat="1" ht="22.5" customHeight="1" thickBot="1" x14ac:dyDescent="0.3">
      <c r="A75" s="2414" t="s">
        <v>1115</v>
      </c>
      <c r="B75" s="2427">
        <f>B74/1</f>
        <v>-1270.5</v>
      </c>
      <c r="C75" s="2428"/>
      <c r="D75" s="2092"/>
      <c r="E75" s="2092"/>
    </row>
    <row r="76" spans="1:9" s="2113" customFormat="1" ht="27.75" customHeight="1" thickBot="1" x14ac:dyDescent="0.3">
      <c r="A76" s="2522" t="s">
        <v>2270</v>
      </c>
      <c r="B76" s="2151"/>
      <c r="C76" s="2823"/>
      <c r="D76" s="2428"/>
      <c r="E76" s="2093"/>
    </row>
    <row r="77" spans="1:9" s="2113" customFormat="1" ht="27.75" customHeight="1" thickBot="1" x14ac:dyDescent="0.3">
      <c r="A77" s="2821" t="s">
        <v>2267</v>
      </c>
      <c r="B77" s="2234"/>
      <c r="C77" s="2822"/>
      <c r="D77" s="2822"/>
      <c r="E77" s="2498"/>
    </row>
    <row r="78" spans="1:9" s="2113" customFormat="1" ht="27.75" customHeight="1" thickBot="1" x14ac:dyDescent="0.3">
      <c r="A78" s="2821" t="s">
        <v>2268</v>
      </c>
      <c r="B78" s="2234"/>
      <c r="C78" s="2822"/>
      <c r="D78" s="2822"/>
      <c r="E78" s="2498"/>
    </row>
    <row r="79" spans="1:9" s="2113" customFormat="1" ht="27.75" customHeight="1" thickBot="1" x14ac:dyDescent="0.3">
      <c r="A79" s="2864" t="s">
        <v>2269</v>
      </c>
      <c r="B79" s="2234"/>
      <c r="C79" s="2822"/>
      <c r="D79" s="2822"/>
      <c r="E79" s="2498"/>
    </row>
    <row r="80" spans="1:9" s="2113" customFormat="1" ht="27.75" hidden="1" customHeight="1" thickBot="1" x14ac:dyDescent="0.3">
      <c r="A80" s="2864"/>
      <c r="B80" s="2234"/>
      <c r="C80" s="2822"/>
      <c r="D80" s="2822"/>
      <c r="E80" s="2498"/>
    </row>
    <row r="81" spans="1:5" s="2113" customFormat="1" ht="27.75" hidden="1" customHeight="1" thickBot="1" x14ac:dyDescent="0.3">
      <c r="A81" s="2821"/>
      <c r="B81" s="2234"/>
      <c r="C81" s="2822"/>
      <c r="D81" s="2822"/>
      <c r="E81" s="2498"/>
    </row>
    <row r="82" spans="1:5" s="2113" customFormat="1" ht="31.5" hidden="1" customHeight="1" thickBot="1" x14ac:dyDescent="0.3">
      <c r="A82" s="2824"/>
      <c r="B82" s="2825"/>
      <c r="C82" s="2822"/>
      <c r="D82" s="2497"/>
      <c r="E82" s="2498"/>
    </row>
    <row r="83" spans="1:5" s="2857" customFormat="1" ht="31.5" hidden="1" customHeight="1" thickBot="1" x14ac:dyDescent="0.3">
      <c r="A83" s="2852"/>
      <c r="B83" s="2853"/>
      <c r="C83" s="2854"/>
      <c r="D83" s="2855"/>
      <c r="E83" s="2856"/>
    </row>
    <row r="84" spans="1:5" s="2857" customFormat="1" ht="31.5" hidden="1" customHeight="1" thickBot="1" x14ac:dyDescent="0.3">
      <c r="A84" s="2852"/>
      <c r="B84" s="2853"/>
      <c r="C84" s="2854"/>
      <c r="D84" s="2855"/>
      <c r="E84" s="2856"/>
    </row>
    <row r="85" spans="1:5" s="2113" customFormat="1" ht="22.5" hidden="1" customHeight="1" thickBot="1" x14ac:dyDescent="0.3">
      <c r="A85" s="2760"/>
      <c r="B85" s="2560"/>
      <c r="C85" s="2695"/>
      <c r="D85" s="2497"/>
      <c r="E85" s="2498"/>
    </row>
    <row r="86" spans="1:5" s="2113" customFormat="1" ht="22.5" hidden="1" customHeight="1" thickBot="1" x14ac:dyDescent="0.3">
      <c r="A86" s="2760"/>
      <c r="B86" s="2560"/>
      <c r="C86" s="2695"/>
      <c r="D86" s="2497"/>
      <c r="E86" s="2498"/>
    </row>
    <row r="87" spans="1:5" s="2113" customFormat="1" ht="22.5" hidden="1" customHeight="1" thickBot="1" x14ac:dyDescent="0.3">
      <c r="A87" s="2760"/>
      <c r="B87" s="2560"/>
      <c r="C87" s="2695"/>
      <c r="D87" s="2497"/>
      <c r="E87" s="2498"/>
    </row>
    <row r="88" spans="1:5" s="2113" customFormat="1" ht="22.5" hidden="1" customHeight="1" thickBot="1" x14ac:dyDescent="0.3">
      <c r="A88" s="2760"/>
      <c r="B88" s="2560"/>
      <c r="C88" s="2695"/>
      <c r="D88" s="2497"/>
      <c r="E88" s="2498"/>
    </row>
    <row r="89" spans="1:5" s="2113" customFormat="1" ht="22.5" hidden="1" customHeight="1" thickBot="1" x14ac:dyDescent="0.3">
      <c r="A89" s="2824"/>
      <c r="B89" s="2560"/>
      <c r="C89" s="2695"/>
      <c r="D89" s="2497"/>
      <c r="E89" s="2498"/>
    </row>
    <row r="90" spans="1:5" s="2113" customFormat="1" ht="22.5" hidden="1" customHeight="1" thickBot="1" x14ac:dyDescent="0.3">
      <c r="A90" s="2758"/>
      <c r="B90" s="2698"/>
      <c r="C90" s="2234"/>
      <c r="D90" s="2497"/>
      <c r="E90" s="2498"/>
    </row>
    <row r="91" spans="1:5" s="2113" customFormat="1" ht="22.5" hidden="1" customHeight="1" thickBot="1" x14ac:dyDescent="0.3">
      <c r="A91" s="2758"/>
      <c r="B91" s="2698"/>
      <c r="C91" s="2234"/>
      <c r="D91" s="2497"/>
      <c r="E91" s="2498"/>
    </row>
    <row r="92" spans="1:5" s="2113" customFormat="1" ht="41.25" hidden="1" customHeight="1" thickBot="1" x14ac:dyDescent="0.3">
      <c r="A92" s="2696"/>
      <c r="B92" s="2560"/>
      <c r="C92" s="2234"/>
      <c r="D92" s="2497"/>
      <c r="E92" s="2498"/>
    </row>
    <row r="93" spans="1:5" s="2113" customFormat="1" ht="21" hidden="1" customHeight="1" thickBot="1" x14ac:dyDescent="0.3">
      <c r="A93" s="2627"/>
      <c r="B93" s="2560"/>
      <c r="C93" s="2234"/>
      <c r="D93" s="2497"/>
      <c r="E93" s="2498"/>
    </row>
    <row r="94" spans="1:5" s="2113" customFormat="1" ht="24" hidden="1" customHeight="1" thickBot="1" x14ac:dyDescent="0.3">
      <c r="A94" s="2578"/>
      <c r="B94" s="2560"/>
      <c r="C94" s="2234"/>
      <c r="D94" s="2497"/>
      <c r="E94" s="2498"/>
    </row>
    <row r="95" spans="1:5" s="2113" customFormat="1" ht="24" hidden="1" customHeight="1" thickBot="1" x14ac:dyDescent="0.45">
      <c r="A95" s="2640"/>
      <c r="B95" s="2234"/>
      <c r="C95" s="2234"/>
      <c r="D95" s="2497"/>
      <c r="E95" s="2498"/>
    </row>
    <row r="96" spans="1:5" s="2113" customFormat="1" ht="34.5" hidden="1" customHeight="1" thickBot="1" x14ac:dyDescent="0.55000000000000004">
      <c r="A96" s="2632"/>
      <c r="B96" s="2234"/>
      <c r="C96" s="2234"/>
      <c r="D96" s="2497"/>
      <c r="E96" s="2498"/>
    </row>
    <row r="97" spans="1:8" s="2113" customFormat="1" ht="21" hidden="1" customHeight="1" thickBot="1" x14ac:dyDescent="0.3">
      <c r="A97" s="2627"/>
      <c r="B97" s="2234"/>
      <c r="C97" s="2234"/>
      <c r="D97" s="2497"/>
      <c r="E97" s="2498"/>
    </row>
    <row r="98" spans="1:8" s="2113" customFormat="1" ht="34.5" hidden="1" customHeight="1" thickBot="1" x14ac:dyDescent="0.3">
      <c r="A98" s="2523"/>
      <c r="B98" s="2528"/>
      <c r="C98" s="2234"/>
      <c r="D98" s="2497"/>
      <c r="E98" s="2498"/>
    </row>
    <row r="99" spans="1:8" s="2113" customFormat="1" ht="21" hidden="1" customHeight="1" x14ac:dyDescent="0.25">
      <c r="A99" s="2622"/>
      <c r="B99" s="2561"/>
      <c r="C99" s="2234"/>
      <c r="D99" s="2497"/>
      <c r="E99" s="2498"/>
    </row>
    <row r="100" spans="1:8" s="2113" customFormat="1" ht="21.75" hidden="1" customHeight="1" thickBot="1" x14ac:dyDescent="0.4">
      <c r="A100" s="2650"/>
      <c r="B100" s="2479"/>
      <c r="C100" s="2430"/>
      <c r="D100" s="2382"/>
      <c r="E100" s="2350"/>
    </row>
    <row r="101" spans="1:8" s="2084" customFormat="1" ht="38.25" customHeight="1" x14ac:dyDescent="0.25">
      <c r="A101" s="2416" t="s">
        <v>1112</v>
      </c>
      <c r="B101" s="2173"/>
      <c r="C101" s="2173"/>
      <c r="D101" s="2383" t="s">
        <v>982</v>
      </c>
      <c r="E101" s="2350"/>
      <c r="H101" s="2084" t="s">
        <v>62</v>
      </c>
    </row>
    <row r="102" spans="1:8" s="2084" customFormat="1" ht="33" customHeight="1" x14ac:dyDescent="0.25">
      <c r="A102" s="2417"/>
      <c r="B102" s="2187"/>
      <c r="C102" s="2165"/>
      <c r="D102" s="2384"/>
      <c r="E102" s="2491"/>
    </row>
    <row r="103" spans="1:8" s="2084" customFormat="1" ht="19.5" customHeight="1" x14ac:dyDescent="0.25">
      <c r="A103" s="2417"/>
      <c r="B103" s="2187"/>
      <c r="C103" s="2165"/>
      <c r="D103" s="2384"/>
      <c r="E103" s="2078"/>
    </row>
    <row r="104" spans="1:8" s="2084" customFormat="1" ht="15" customHeight="1" x14ac:dyDescent="0.25">
      <c r="A104" s="2417"/>
      <c r="B104" s="2187"/>
      <c r="C104" s="2165"/>
      <c r="D104" s="2384"/>
      <c r="E104" s="2078"/>
    </row>
    <row r="105" spans="1:8" s="2084" customFormat="1" ht="15" customHeight="1" x14ac:dyDescent="0.25">
      <c r="A105" s="2415"/>
      <c r="B105" s="2657"/>
      <c r="C105" s="2657"/>
      <c r="D105" s="2384"/>
      <c r="E105" s="2078"/>
    </row>
    <row r="106" spans="1:8" s="2084" customFormat="1" ht="15" customHeight="1" x14ac:dyDescent="0.25">
      <c r="A106" s="2429"/>
      <c r="B106" s="2429"/>
      <c r="C106" s="2657"/>
      <c r="D106" s="2385"/>
      <c r="E106" s="2078"/>
    </row>
    <row r="107" spans="1:8" s="2084" customFormat="1" ht="15" customHeight="1" x14ac:dyDescent="0.25">
      <c r="A107" s="2418"/>
      <c r="B107" s="2429"/>
      <c r="C107" s="2429"/>
      <c r="D107" s="2385"/>
      <c r="E107" s="2078"/>
    </row>
    <row r="108" spans="1:8" s="2084" customFormat="1" ht="15" customHeight="1" x14ac:dyDescent="0.25">
      <c r="A108" s="2419"/>
      <c r="B108" s="2657"/>
      <c r="C108" s="2657"/>
      <c r="D108" s="2385"/>
      <c r="E108" s="2234"/>
    </row>
    <row r="109" spans="1:8" s="2084" customFormat="1" ht="15" customHeight="1" thickBot="1" x14ac:dyDescent="0.3">
      <c r="A109" s="2205"/>
      <c r="B109" s="2206"/>
      <c r="C109" s="2206"/>
      <c r="D109" s="2386"/>
      <c r="E109" s="2234"/>
    </row>
    <row r="110" spans="1:8" ht="36.75" customHeight="1" thickBot="1" x14ac:dyDescent="0.3">
      <c r="A110" s="2398" t="s">
        <v>267</v>
      </c>
      <c r="B110" s="2076" t="s">
        <v>1098</v>
      </c>
      <c r="C110" s="2351" t="s">
        <v>39</v>
      </c>
      <c r="D110" s="2387"/>
      <c r="E110" s="2207"/>
    </row>
    <row r="111" spans="1:8" ht="33.75" customHeight="1" thickBot="1" x14ac:dyDescent="0.3">
      <c r="A111" s="2398">
        <f>+C111/B111</f>
        <v>0</v>
      </c>
      <c r="B111" s="2076">
        <v>575</v>
      </c>
      <c r="C111" s="2347">
        <f>'vers&amp;dépenses '!I88</f>
        <v>0</v>
      </c>
      <c r="D111" s="2388"/>
      <c r="E111" s="2352"/>
    </row>
    <row r="112" spans="1:8" ht="20.100000000000001" customHeight="1" thickBot="1" x14ac:dyDescent="0.3">
      <c r="A112" s="2420" t="s">
        <v>1105</v>
      </c>
      <c r="B112" s="2353"/>
      <c r="C112" s="2353"/>
      <c r="D112" s="2389"/>
      <c r="E112" s="2348"/>
    </row>
    <row r="113" spans="1:13" s="2085" customFormat="1" ht="48" customHeight="1" x14ac:dyDescent="0.25">
      <c r="A113" s="2553" t="s">
        <v>1896</v>
      </c>
      <c r="B113" s="2551"/>
      <c r="C113" s="2551"/>
      <c r="D113" s="2551"/>
      <c r="E113" s="2552"/>
    </row>
    <row r="114" spans="1:13" s="2085" customFormat="1" ht="32.25" customHeight="1" thickBot="1" x14ac:dyDescent="0.3">
      <c r="A114" s="2355"/>
      <c r="B114" s="2356"/>
      <c r="C114" s="2356"/>
      <c r="D114" s="2390"/>
      <c r="E114" s="2354"/>
      <c r="F114" s="7"/>
      <c r="G114" s="7"/>
      <c r="H114" s="7"/>
      <c r="I114" s="7"/>
      <c r="J114" s="7"/>
      <c r="K114" s="7"/>
      <c r="L114" s="7"/>
      <c r="M114" s="7"/>
    </row>
    <row r="115" spans="1:13" ht="24.75" customHeight="1" thickBot="1" x14ac:dyDescent="0.3">
      <c r="A115" s="2421" t="s">
        <v>1113</v>
      </c>
      <c r="B115" s="2358"/>
      <c r="C115" s="2358"/>
      <c r="D115" s="2358"/>
      <c r="E115" s="2357"/>
      <c r="H115" s="7" t="s">
        <v>62</v>
      </c>
    </row>
    <row r="116" spans="1:13" ht="14.25" customHeight="1" thickBot="1" x14ac:dyDescent="0.3">
      <c r="A116" s="2422" t="s">
        <v>1105</v>
      </c>
      <c r="B116" s="2360"/>
      <c r="C116" s="2360"/>
      <c r="D116" s="2391"/>
      <c r="E116" s="2359"/>
    </row>
    <row r="117" spans="1:13" ht="37.5" x14ac:dyDescent="0.25">
      <c r="A117" s="2362" t="s">
        <v>1157</v>
      </c>
      <c r="B117" s="2363"/>
      <c r="C117" s="2363"/>
      <c r="D117" s="2392"/>
      <c r="E117" s="2361"/>
    </row>
    <row r="118" spans="1:13" ht="19.5" thickBot="1" x14ac:dyDescent="0.3">
      <c r="A118" s="2365"/>
      <c r="B118" s="2366"/>
      <c r="C118" s="2366"/>
      <c r="D118" s="2393"/>
      <c r="E118" s="2364"/>
    </row>
    <row r="119" spans="1:13" ht="24" thickBot="1" x14ac:dyDescent="0.4">
      <c r="A119" s="2509" t="s">
        <v>1841</v>
      </c>
      <c r="B119" s="2222"/>
      <c r="C119" s="2086"/>
      <c r="D119" s="2394"/>
      <c r="E119" s="2367"/>
    </row>
  </sheetData>
  <mergeCells count="1">
    <mergeCell ref="A59:D59"/>
  </mergeCells>
  <pageMargins left="0.70866141732283472" right="0.70866141732283472" top="0.74803149606299213" bottom="0.74803149606299213" header="0.31496062992125984" footer="0.31496062992125984"/>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K93"/>
  <sheetViews>
    <sheetView topLeftCell="A2" zoomScale="110" zoomScaleNormal="110" workbookViewId="0">
      <selection activeCell="K20" sqref="K20"/>
    </sheetView>
  </sheetViews>
  <sheetFormatPr baseColWidth="10" defaultRowHeight="15" x14ac:dyDescent="0.2"/>
  <cols>
    <col min="1" max="1" width="36.5703125" style="37" customWidth="1"/>
    <col min="2" max="2" width="16.28515625" style="37" customWidth="1"/>
    <col min="3" max="3" width="17.7109375" style="37" customWidth="1"/>
    <col min="4" max="4" width="18.85546875" style="37" customWidth="1"/>
    <col min="5" max="5" width="11.85546875" style="37" customWidth="1"/>
    <col min="6" max="6" width="10" style="37" customWidth="1"/>
    <col min="7" max="7" width="16.42578125" style="37" customWidth="1"/>
    <col min="8" max="8" width="18.140625" style="37" customWidth="1"/>
    <col min="9" max="10" width="16.7109375" style="37" customWidth="1"/>
    <col min="11" max="11" width="13.140625" style="37" bestFit="1" customWidth="1"/>
    <col min="12" max="16384" width="11.42578125" style="37"/>
  </cols>
  <sheetData>
    <row r="1" spans="1:10" ht="20.25" x14ac:dyDescent="0.3">
      <c r="A1" s="299" t="s">
        <v>170</v>
      </c>
      <c r="B1" s="19"/>
      <c r="C1" s="41" t="s">
        <v>20</v>
      </c>
      <c r="D1" s="41"/>
      <c r="E1" s="41"/>
      <c r="F1" s="1936"/>
    </row>
    <row r="2" spans="1:10" ht="20.25" x14ac:dyDescent="0.3">
      <c r="A2" s="299" t="s">
        <v>212</v>
      </c>
      <c r="B2" s="19"/>
      <c r="C2" s="1"/>
    </row>
    <row r="3" spans="1:10" ht="16.5" x14ac:dyDescent="0.3">
      <c r="C3" s="1" t="s">
        <v>21</v>
      </c>
      <c r="D3" s="1" t="s">
        <v>310</v>
      </c>
      <c r="G3" s="1"/>
      <c r="J3" s="726" t="s">
        <v>325</v>
      </c>
    </row>
    <row r="4" spans="1:10" ht="16.5" x14ac:dyDescent="0.3">
      <c r="C4" s="1" t="s">
        <v>22</v>
      </c>
      <c r="D4" s="1" t="s">
        <v>186</v>
      </c>
      <c r="G4" s="1"/>
    </row>
    <row r="5" spans="1:10" ht="16.5" x14ac:dyDescent="0.3">
      <c r="C5" s="1" t="s">
        <v>23</v>
      </c>
      <c r="D5" s="1" t="s">
        <v>324</v>
      </c>
      <c r="F5" s="721" t="s">
        <v>166</v>
      </c>
      <c r="G5" s="1937">
        <v>699254433</v>
      </c>
    </row>
    <row r="6" spans="1:10" ht="16.5" x14ac:dyDescent="0.3">
      <c r="C6" s="1" t="s">
        <v>24</v>
      </c>
      <c r="D6" s="1" t="s">
        <v>25</v>
      </c>
      <c r="G6" s="1"/>
    </row>
    <row r="7" spans="1:10" ht="16.5" x14ac:dyDescent="0.3">
      <c r="C7" s="1" t="s">
        <v>19</v>
      </c>
      <c r="D7" s="722">
        <v>43132</v>
      </c>
      <c r="E7" s="3"/>
      <c r="F7" s="2"/>
      <c r="G7" s="2"/>
      <c r="H7" s="37" t="s">
        <v>62</v>
      </c>
    </row>
    <row r="8" spans="1:10" ht="3.75" customHeight="1" x14ac:dyDescent="0.3">
      <c r="A8" s="58"/>
      <c r="E8" s="58"/>
      <c r="G8" s="1"/>
    </row>
    <row r="9" spans="1:10" ht="16.5" x14ac:dyDescent="0.3">
      <c r="A9" s="98"/>
      <c r="B9" s="2937" t="s">
        <v>26</v>
      </c>
      <c r="C9" s="2938"/>
      <c r="D9" s="2939"/>
      <c r="E9" s="155"/>
      <c r="F9" s="2937" t="s">
        <v>1032</v>
      </c>
      <c r="G9" s="2938"/>
      <c r="H9" s="2938"/>
      <c r="I9" s="2938"/>
      <c r="J9" s="2939"/>
    </row>
    <row r="10" spans="1:10" ht="16.5" x14ac:dyDescent="0.3">
      <c r="A10" s="59"/>
      <c r="B10" s="98" t="s">
        <v>15</v>
      </c>
      <c r="C10" s="98" t="s">
        <v>16</v>
      </c>
      <c r="D10" s="340" t="s">
        <v>17</v>
      </c>
      <c r="E10" s="156"/>
      <c r="F10" s="59"/>
      <c r="G10" s="2937" t="s">
        <v>36</v>
      </c>
      <c r="H10" s="2938"/>
      <c r="I10" s="2939"/>
      <c r="J10" s="57"/>
    </row>
    <row r="11" spans="1:10" s="540" customFormat="1" ht="12" customHeight="1" x14ac:dyDescent="0.2">
      <c r="A11" s="121" t="s">
        <v>38</v>
      </c>
      <c r="B11" s="536">
        <v>630</v>
      </c>
      <c r="C11" s="537">
        <v>575</v>
      </c>
      <c r="D11" s="104">
        <v>350</v>
      </c>
      <c r="E11" s="538"/>
      <c r="F11" s="539"/>
      <c r="G11" s="537">
        <v>630</v>
      </c>
      <c r="H11" s="537">
        <v>575</v>
      </c>
      <c r="I11" s="104">
        <v>350</v>
      </c>
      <c r="J11" s="539"/>
    </row>
    <row r="12" spans="1:10" s="540" customFormat="1" ht="12" customHeight="1" x14ac:dyDescent="0.2">
      <c r="A12" s="121"/>
      <c r="B12" s="132"/>
      <c r="C12" s="132"/>
      <c r="D12" s="101"/>
      <c r="E12" s="538"/>
      <c r="F12" s="132" t="s">
        <v>3</v>
      </c>
      <c r="G12" s="132" t="s">
        <v>15</v>
      </c>
      <c r="H12" s="132" t="s">
        <v>16</v>
      </c>
      <c r="I12" s="132" t="s">
        <v>17</v>
      </c>
      <c r="J12" s="132" t="s">
        <v>39</v>
      </c>
    </row>
    <row r="13" spans="1:10" s="540" customFormat="1" ht="12" customHeight="1" x14ac:dyDescent="0.2">
      <c r="A13" s="121" t="s">
        <v>27</v>
      </c>
      <c r="B13" s="1998">
        <v>7566</v>
      </c>
      <c r="C13" s="1998">
        <v>33484</v>
      </c>
      <c r="D13" s="1999">
        <v>432</v>
      </c>
      <c r="E13" s="542"/>
      <c r="F13" s="739">
        <v>44105</v>
      </c>
      <c r="G13" s="557">
        <v>-37</v>
      </c>
      <c r="H13" s="557">
        <v>-7</v>
      </c>
      <c r="I13" s="557">
        <v>0</v>
      </c>
      <c r="J13" s="557">
        <f>G13*G$11+H13*H$11+I13*I$11</f>
        <v>-27335</v>
      </c>
    </row>
    <row r="14" spans="1:10" s="540" customFormat="1" ht="12" customHeight="1" x14ac:dyDescent="0.2">
      <c r="A14" s="121" t="s">
        <v>32</v>
      </c>
      <c r="B14" s="543"/>
      <c r="C14" s="543"/>
      <c r="D14" s="544">
        <f>B13*B11+C13*C11+D13*D11</f>
        <v>24171080</v>
      </c>
      <c r="E14" s="542"/>
      <c r="F14" s="739">
        <f>+F13+1</f>
        <v>44106</v>
      </c>
      <c r="G14" s="2341">
        <v>-27</v>
      </c>
      <c r="H14" s="2341">
        <v>-8</v>
      </c>
      <c r="I14" s="2341">
        <v>0</v>
      </c>
      <c r="J14" s="557">
        <f t="shared" ref="J14:J39" si="0">G14*G$11+H14*H$11+I14*I$11</f>
        <v>-21610</v>
      </c>
    </row>
    <row r="15" spans="1:10" s="540" customFormat="1" ht="12" customHeight="1" x14ac:dyDescent="0.2">
      <c r="A15" s="121"/>
      <c r="B15" s="545"/>
      <c r="C15" s="545"/>
      <c r="D15" s="546"/>
      <c r="E15" s="542"/>
      <c r="F15" s="739">
        <f t="shared" ref="F15:F44" si="1">+F14+1</f>
        <v>44107</v>
      </c>
      <c r="G15" s="557">
        <v>-3</v>
      </c>
      <c r="H15" s="557">
        <v>-41</v>
      </c>
      <c r="I15" s="2341"/>
      <c r="J15" s="557">
        <f t="shared" si="0"/>
        <v>-25465</v>
      </c>
    </row>
    <row r="16" spans="1:10" s="540" customFormat="1" ht="12" customHeight="1" x14ac:dyDescent="0.2">
      <c r="A16" s="121" t="s">
        <v>28</v>
      </c>
      <c r="B16" s="547">
        <f>+LC!C51</f>
        <v>0</v>
      </c>
      <c r="C16" s="547">
        <f>LC!B58</f>
        <v>45000</v>
      </c>
      <c r="D16" s="548">
        <f>LC!M51</f>
        <v>0</v>
      </c>
      <c r="E16" s="542"/>
      <c r="F16" s="739">
        <f t="shared" si="1"/>
        <v>44108</v>
      </c>
      <c r="G16" s="557">
        <v>39</v>
      </c>
      <c r="H16" s="557">
        <v>26</v>
      </c>
      <c r="I16" s="2341">
        <v>0</v>
      </c>
      <c r="J16" s="557">
        <f t="shared" si="0"/>
        <v>39520</v>
      </c>
    </row>
    <row r="17" spans="1:11" s="540" customFormat="1" ht="12" customHeight="1" x14ac:dyDescent="0.2">
      <c r="A17" s="121"/>
      <c r="B17" s="545"/>
      <c r="C17" s="545"/>
      <c r="D17" s="546"/>
      <c r="E17" s="542"/>
      <c r="F17" s="739">
        <f t="shared" si="1"/>
        <v>44109</v>
      </c>
      <c r="G17" s="557">
        <v>-40</v>
      </c>
      <c r="H17" s="557">
        <v>-44</v>
      </c>
      <c r="I17" s="2341">
        <v>0</v>
      </c>
      <c r="J17" s="557">
        <f t="shared" si="0"/>
        <v>-50500</v>
      </c>
    </row>
    <row r="18" spans="1:11" s="540" customFormat="1" ht="12" customHeight="1" x14ac:dyDescent="0.2">
      <c r="A18" s="121" t="s">
        <v>29</v>
      </c>
      <c r="B18" s="541">
        <f>ventes!B42</f>
        <v>4144</v>
      </c>
      <c r="C18" s="541">
        <f>ventes!C42</f>
        <v>36708</v>
      </c>
      <c r="D18" s="541">
        <f>ventes!D42</f>
        <v>0</v>
      </c>
      <c r="E18" s="542"/>
      <c r="F18" s="739">
        <f t="shared" si="1"/>
        <v>44110</v>
      </c>
      <c r="G18" s="557">
        <v>29</v>
      </c>
      <c r="H18" s="557">
        <v>88</v>
      </c>
      <c r="I18" s="2341">
        <v>0</v>
      </c>
      <c r="J18" s="557">
        <f t="shared" si="0"/>
        <v>68870</v>
      </c>
    </row>
    <row r="19" spans="1:11" s="540" customFormat="1" ht="12" customHeight="1" x14ac:dyDescent="0.2">
      <c r="A19" s="121"/>
      <c r="B19" s="541"/>
      <c r="C19" s="541"/>
      <c r="D19" s="541"/>
      <c r="E19" s="542"/>
      <c r="F19" s="739">
        <f>+F18+1</f>
        <v>44111</v>
      </c>
      <c r="G19" s="557">
        <v>-3</v>
      </c>
      <c r="H19" s="557">
        <v>-38</v>
      </c>
      <c r="I19" s="2341">
        <v>0</v>
      </c>
      <c r="J19" s="557">
        <f t="shared" si="0"/>
        <v>-23740</v>
      </c>
    </row>
    <row r="20" spans="1:11" s="540" customFormat="1" ht="12" customHeight="1" x14ac:dyDescent="0.2">
      <c r="A20" s="121" t="s">
        <v>1706</v>
      </c>
      <c r="B20" s="541">
        <f>+ventes!B44</f>
        <v>460.44444444444446</v>
      </c>
      <c r="C20" s="541">
        <f>+ventes!C44</f>
        <v>4078.6666666666665</v>
      </c>
      <c r="D20" s="541">
        <f>+ventes!D44</f>
        <v>0</v>
      </c>
      <c r="E20" s="542"/>
      <c r="F20" s="739">
        <f t="shared" si="1"/>
        <v>44112</v>
      </c>
      <c r="G20" s="557">
        <v>-22</v>
      </c>
      <c r="H20" s="557">
        <v>-25</v>
      </c>
      <c r="I20" s="2341">
        <v>0</v>
      </c>
      <c r="J20" s="557">
        <f t="shared" si="0"/>
        <v>-28235</v>
      </c>
    </row>
    <row r="21" spans="1:11" s="540" customFormat="1" ht="12" customHeight="1" x14ac:dyDescent="0.2">
      <c r="B21" s="539"/>
      <c r="C21" s="539"/>
      <c r="D21" s="539"/>
      <c r="E21" s="542"/>
      <c r="F21" s="739">
        <f t="shared" si="1"/>
        <v>44113</v>
      </c>
      <c r="G21" s="557">
        <v>3</v>
      </c>
      <c r="H21" s="557">
        <v>16</v>
      </c>
      <c r="I21" s="557">
        <v>0</v>
      </c>
      <c r="J21" s="557">
        <f t="shared" si="0"/>
        <v>11090</v>
      </c>
      <c r="K21" s="1747"/>
    </row>
    <row r="22" spans="1:11" s="540" customFormat="1" ht="12" customHeight="1" x14ac:dyDescent="0.2">
      <c r="A22" s="121" t="s">
        <v>30</v>
      </c>
      <c r="B22" s="547">
        <f>+B13+B16-B18</f>
        <v>3422</v>
      </c>
      <c r="C22" s="547">
        <f>+C13+C16-C18</f>
        <v>41776</v>
      </c>
      <c r="D22" s="547">
        <f>+D13+D16-D18</f>
        <v>432</v>
      </c>
      <c r="E22" s="2250"/>
      <c r="F22" s="739">
        <f t="shared" si="1"/>
        <v>44114</v>
      </c>
      <c r="G22" s="557"/>
      <c r="H22" s="557"/>
      <c r="I22" s="557"/>
      <c r="J22" s="557">
        <f t="shared" si="0"/>
        <v>0</v>
      </c>
      <c r="K22" s="1748"/>
    </row>
    <row r="23" spans="1:11" s="540" customFormat="1" ht="12" customHeight="1" x14ac:dyDescent="0.2">
      <c r="A23" s="539"/>
      <c r="B23" s="539"/>
      <c r="C23" s="539"/>
      <c r="D23" s="539"/>
      <c r="E23" s="2066"/>
      <c r="F23" s="739">
        <f t="shared" si="1"/>
        <v>44115</v>
      </c>
      <c r="G23" s="557"/>
      <c r="H23" s="557"/>
      <c r="I23" s="557"/>
      <c r="J23" s="557">
        <f t="shared" si="0"/>
        <v>0</v>
      </c>
      <c r="K23" s="1748"/>
    </row>
    <row r="24" spans="1:11" s="540" customFormat="1" ht="12.75" customHeight="1" x14ac:dyDescent="0.2">
      <c r="A24" s="1997" t="s">
        <v>226</v>
      </c>
      <c r="B24" s="1998">
        <v>3361</v>
      </c>
      <c r="C24" s="1998">
        <v>41743</v>
      </c>
      <c r="D24" s="1999">
        <v>432</v>
      </c>
      <c r="E24" s="2661"/>
      <c r="F24" s="739">
        <f t="shared" si="1"/>
        <v>44116</v>
      </c>
      <c r="G24" s="557"/>
      <c r="H24" s="557"/>
      <c r="I24" s="557"/>
      <c r="J24" s="557">
        <f t="shared" si="0"/>
        <v>0</v>
      </c>
      <c r="K24" s="1748"/>
    </row>
    <row r="25" spans="1:11" s="540" customFormat="1" ht="15.75" customHeight="1" x14ac:dyDescent="0.2">
      <c r="A25" s="121" t="s">
        <v>32</v>
      </c>
      <c r="B25" s="549">
        <f>B24*B11</f>
        <v>2117430</v>
      </c>
      <c r="C25" s="549">
        <f>C24*C11</f>
        <v>24002225</v>
      </c>
      <c r="D25" s="549">
        <f>D24*D11</f>
        <v>151200</v>
      </c>
      <c r="E25" s="2066"/>
      <c r="F25" s="739">
        <f t="shared" si="1"/>
        <v>44117</v>
      </c>
      <c r="G25" s="557"/>
      <c r="H25" s="557"/>
      <c r="I25" s="557"/>
      <c r="J25" s="557">
        <f t="shared" si="0"/>
        <v>0</v>
      </c>
    </row>
    <row r="26" spans="1:11" s="540" customFormat="1" ht="12.75" customHeight="1" x14ac:dyDescent="0.2">
      <c r="A26" s="121" t="s">
        <v>33</v>
      </c>
      <c r="B26" s="539"/>
      <c r="C26" s="539"/>
      <c r="D26" s="550"/>
      <c r="E26" s="2066"/>
      <c r="F26" s="739">
        <f t="shared" si="1"/>
        <v>44118</v>
      </c>
      <c r="G26" s="557"/>
      <c r="H26" s="557"/>
      <c r="I26" s="2341"/>
      <c r="J26" s="557">
        <f t="shared" si="0"/>
        <v>0</v>
      </c>
      <c r="K26" s="1748"/>
    </row>
    <row r="27" spans="1:11" s="540" customFormat="1" ht="12" customHeight="1" x14ac:dyDescent="0.2">
      <c r="A27" s="121"/>
      <c r="B27" s="539"/>
      <c r="C27" s="539"/>
      <c r="D27" s="539"/>
      <c r="E27" s="2066"/>
      <c r="F27" s="739">
        <f t="shared" si="1"/>
        <v>44119</v>
      </c>
      <c r="G27" s="557"/>
      <c r="H27" s="557"/>
      <c r="I27" s="557"/>
      <c r="J27" s="557">
        <f t="shared" si="0"/>
        <v>0</v>
      </c>
      <c r="K27" s="1844"/>
    </row>
    <row r="28" spans="1:11" s="540" customFormat="1" ht="12" customHeight="1" x14ac:dyDescent="0.2">
      <c r="A28" s="878" t="s">
        <v>31</v>
      </c>
      <c r="B28" s="551">
        <f>+B24-B22</f>
        <v>-61</v>
      </c>
      <c r="C28" s="551">
        <f>+C24-C22</f>
        <v>-33</v>
      </c>
      <c r="D28" s="551">
        <f>+D24-D22</f>
        <v>0</v>
      </c>
      <c r="E28" s="542"/>
      <c r="F28" s="739">
        <f t="shared" si="1"/>
        <v>44120</v>
      </c>
      <c r="G28" s="557"/>
      <c r="H28" s="557"/>
      <c r="I28" s="2341"/>
      <c r="J28" s="557">
        <f t="shared" si="0"/>
        <v>0</v>
      </c>
      <c r="K28" s="1748"/>
    </row>
    <row r="29" spans="1:11" s="540" customFormat="1" ht="12" customHeight="1" x14ac:dyDescent="0.2">
      <c r="A29" s="121" t="s">
        <v>32</v>
      </c>
      <c r="B29" s="543">
        <f>B28*B11</f>
        <v>-38430</v>
      </c>
      <c r="C29" s="543">
        <f>C28*C11</f>
        <v>-18975</v>
      </c>
      <c r="D29" s="543">
        <f>D28*D11</f>
        <v>0</v>
      </c>
      <c r="E29" s="542"/>
      <c r="F29" s="739">
        <f t="shared" si="1"/>
        <v>44121</v>
      </c>
      <c r="G29" s="557"/>
      <c r="H29" s="557"/>
      <c r="I29" s="557"/>
      <c r="J29" s="557">
        <f t="shared" si="0"/>
        <v>0</v>
      </c>
    </row>
    <row r="30" spans="1:11" s="540" customFormat="1" ht="12" customHeight="1" x14ac:dyDescent="0.2">
      <c r="A30" s="121" t="s">
        <v>33</v>
      </c>
      <c r="B30" s="543"/>
      <c r="C30" s="543"/>
      <c r="D30" s="543">
        <f>SUM(B29:D29)</f>
        <v>-57405</v>
      </c>
      <c r="E30" s="542"/>
      <c r="F30" s="739">
        <f t="shared" si="1"/>
        <v>44122</v>
      </c>
      <c r="G30" s="2341"/>
      <c r="H30" s="2341"/>
      <c r="I30" s="2341"/>
      <c r="J30" s="557">
        <f t="shared" si="0"/>
        <v>0</v>
      </c>
    </row>
    <row r="31" spans="1:11" s="540" customFormat="1" ht="12" customHeight="1" x14ac:dyDescent="0.2">
      <c r="A31" s="539"/>
      <c r="B31" s="539"/>
      <c r="C31" s="539"/>
      <c r="D31" s="539"/>
      <c r="E31" s="542"/>
      <c r="F31" s="739">
        <f t="shared" si="1"/>
        <v>44123</v>
      </c>
      <c r="G31" s="557"/>
      <c r="H31" s="557"/>
      <c r="I31" s="557"/>
      <c r="J31" s="557">
        <f t="shared" si="0"/>
        <v>0</v>
      </c>
    </row>
    <row r="32" spans="1:11" s="540" customFormat="1" ht="12" customHeight="1" x14ac:dyDescent="0.2">
      <c r="A32" s="552" t="s">
        <v>34</v>
      </c>
      <c r="B32" s="553">
        <f>-B18*0.3%</f>
        <v>-12.432</v>
      </c>
      <c r="C32" s="553">
        <f>-C18*0.3%</f>
        <v>-110.124</v>
      </c>
      <c r="D32" s="553">
        <f>-D18*0.3%</f>
        <v>0</v>
      </c>
      <c r="E32" s="542"/>
      <c r="F32" s="739">
        <f t="shared" si="1"/>
        <v>44124</v>
      </c>
      <c r="G32" s="557"/>
      <c r="H32" s="557"/>
      <c r="I32" s="557"/>
      <c r="J32" s="557">
        <v>0</v>
      </c>
    </row>
    <row r="33" spans="1:11" s="540" customFormat="1" ht="12" customHeight="1" x14ac:dyDescent="0.2">
      <c r="A33" s="539"/>
      <c r="B33" s="539"/>
      <c r="C33" s="539"/>
      <c r="D33" s="539"/>
      <c r="E33" s="542"/>
      <c r="F33" s="739">
        <f t="shared" si="1"/>
        <v>44125</v>
      </c>
      <c r="G33" s="557"/>
      <c r="H33" s="557"/>
      <c r="I33" s="557"/>
      <c r="J33" s="557">
        <f t="shared" si="0"/>
        <v>0</v>
      </c>
    </row>
    <row r="34" spans="1:11" s="540" customFormat="1" ht="12" customHeight="1" x14ac:dyDescent="0.2">
      <c r="A34" s="552" t="s">
        <v>35</v>
      </c>
      <c r="B34" s="553">
        <f>+B28-B32</f>
        <v>-48.567999999999998</v>
      </c>
      <c r="C34" s="553">
        <f>+C28-C32</f>
        <v>77.123999999999995</v>
      </c>
      <c r="D34" s="553">
        <f>+D28-D32</f>
        <v>0</v>
      </c>
      <c r="E34" s="542"/>
      <c r="F34" s="739">
        <f t="shared" si="1"/>
        <v>44126</v>
      </c>
      <c r="G34" s="2341"/>
      <c r="H34" s="2341"/>
      <c r="I34" s="557"/>
      <c r="J34" s="557">
        <f t="shared" si="0"/>
        <v>0</v>
      </c>
    </row>
    <row r="35" spans="1:11" s="540" customFormat="1" ht="12" customHeight="1" x14ac:dyDescent="0.2">
      <c r="A35" s="552" t="s">
        <v>32</v>
      </c>
      <c r="B35" s="549">
        <f>B34*B11</f>
        <v>-30597.84</v>
      </c>
      <c r="C35" s="549">
        <f>C34*C11</f>
        <v>44346.299999999996</v>
      </c>
      <c r="D35" s="549">
        <f>D34*D11</f>
        <v>0</v>
      </c>
      <c r="E35" s="542"/>
      <c r="F35" s="739">
        <f t="shared" si="1"/>
        <v>44127</v>
      </c>
      <c r="G35" s="557"/>
      <c r="H35" s="557"/>
      <c r="I35" s="557"/>
      <c r="J35" s="557">
        <f t="shared" si="0"/>
        <v>0</v>
      </c>
    </row>
    <row r="36" spans="1:11" s="540" customFormat="1" ht="12" customHeight="1" x14ac:dyDescent="0.2">
      <c r="A36" s="121" t="s">
        <v>33</v>
      </c>
      <c r="B36" s="543"/>
      <c r="C36" s="543"/>
      <c r="D36" s="543">
        <f>SUM(B35:D35)</f>
        <v>13748.459999999995</v>
      </c>
      <c r="E36" s="542"/>
      <c r="F36" s="739">
        <f t="shared" si="1"/>
        <v>44128</v>
      </c>
      <c r="G36" s="557"/>
      <c r="H36" s="557"/>
      <c r="I36" s="557"/>
      <c r="J36" s="557">
        <f t="shared" si="0"/>
        <v>0</v>
      </c>
    </row>
    <row r="37" spans="1:11" s="540" customFormat="1" ht="12" customHeight="1" x14ac:dyDescent="0.25">
      <c r="A37" s="539"/>
      <c r="B37" s="543"/>
      <c r="C37" s="543"/>
      <c r="D37" s="543">
        <f>SUM(B36:D36)</f>
        <v>13748.459999999995</v>
      </c>
      <c r="E37" s="542"/>
      <c r="F37" s="739">
        <f t="shared" si="1"/>
        <v>44129</v>
      </c>
      <c r="G37" s="2169"/>
      <c r="H37" s="557"/>
      <c r="I37" s="2341"/>
      <c r="J37" s="557">
        <v>0</v>
      </c>
    </row>
    <row r="38" spans="1:11" s="540" customFormat="1" ht="12" customHeight="1" x14ac:dyDescent="0.2">
      <c r="A38" s="121" t="s">
        <v>127</v>
      </c>
      <c r="B38" s="543"/>
      <c r="C38" s="543"/>
      <c r="D38" s="543">
        <f>SUM(B37:D37)</f>
        <v>13748.459999999995</v>
      </c>
      <c r="E38" s="542"/>
      <c r="F38" s="739">
        <f t="shared" si="1"/>
        <v>44130</v>
      </c>
      <c r="G38" s="2170"/>
      <c r="H38" s="557"/>
      <c r="I38" s="557"/>
      <c r="J38" s="557">
        <f t="shared" si="0"/>
        <v>0</v>
      </c>
    </row>
    <row r="39" spans="1:11" s="540" customFormat="1" ht="12" customHeight="1" x14ac:dyDescent="0.2">
      <c r="A39" s="2282" t="s">
        <v>1698</v>
      </c>
      <c r="B39" s="2278">
        <f>+B24/B20</f>
        <v>7.2994691119691115</v>
      </c>
      <c r="C39" s="2278">
        <f>+C24/C20</f>
        <v>10.234472049689442</v>
      </c>
      <c r="D39" s="2278" t="e">
        <f>+D24/D20</f>
        <v>#DIV/0!</v>
      </c>
      <c r="E39" s="554"/>
      <c r="F39" s="739">
        <f>+F38+1</f>
        <v>44131</v>
      </c>
      <c r="G39" s="2171"/>
      <c r="H39" s="557"/>
      <c r="I39" s="2341"/>
      <c r="J39" s="557">
        <f t="shared" si="0"/>
        <v>0</v>
      </c>
    </row>
    <row r="40" spans="1:11" s="540" customFormat="1" ht="12" customHeight="1" x14ac:dyDescent="0.2">
      <c r="A40" s="2283" t="s">
        <v>1699</v>
      </c>
      <c r="B40" s="2280">
        <v>25000</v>
      </c>
      <c r="C40" s="2280">
        <v>75000</v>
      </c>
      <c r="D40" s="2280">
        <v>25000</v>
      </c>
      <c r="E40" s="554"/>
      <c r="F40" s="739">
        <f t="shared" si="1"/>
        <v>44132</v>
      </c>
      <c r="G40" s="557"/>
      <c r="H40" s="557"/>
      <c r="I40" s="2341"/>
      <c r="J40" s="557">
        <f>G40*G$11+H40*H$11+I40*I$11</f>
        <v>0</v>
      </c>
    </row>
    <row r="41" spans="1:11" s="540" customFormat="1" ht="12" customHeight="1" x14ac:dyDescent="0.2">
      <c r="A41" s="2283" t="s">
        <v>1707</v>
      </c>
      <c r="B41" s="2280">
        <v>2000</v>
      </c>
      <c r="C41" s="2280">
        <v>4000</v>
      </c>
      <c r="D41" s="2280">
        <v>2000</v>
      </c>
      <c r="E41" s="554"/>
      <c r="F41" s="739">
        <f t="shared" si="1"/>
        <v>44133</v>
      </c>
      <c r="G41" s="557"/>
      <c r="H41" s="557"/>
      <c r="I41" s="2341"/>
      <c r="J41" s="557">
        <f>G41*G$11+H41*H$11+I41*I$11</f>
        <v>0</v>
      </c>
    </row>
    <row r="42" spans="1:11" s="540" customFormat="1" ht="12" customHeight="1" x14ac:dyDescent="0.2">
      <c r="A42" s="2284" t="s">
        <v>1700</v>
      </c>
      <c r="B42" s="2281">
        <f>+B40-B24-B41</f>
        <v>19639</v>
      </c>
      <c r="C42" s="2281">
        <f>+C40-C24-C41</f>
        <v>29257</v>
      </c>
      <c r="D42" s="2281">
        <f>+D40-D24-D41</f>
        <v>22568</v>
      </c>
      <c r="E42" s="556"/>
      <c r="F42" s="739">
        <f t="shared" si="1"/>
        <v>44134</v>
      </c>
      <c r="G42" s="557"/>
      <c r="H42" s="557"/>
      <c r="I42" s="2341"/>
      <c r="J42" s="557">
        <f>G42*G$11+H42*H$11+I42*I$11</f>
        <v>0</v>
      </c>
    </row>
    <row r="43" spans="1:11" s="540" customFormat="1" ht="13.5" customHeight="1" x14ac:dyDescent="0.25">
      <c r="A43" s="2284" t="s">
        <v>1701</v>
      </c>
      <c r="B43" s="2281">
        <f>+B20*3</f>
        <v>1381.3333333333335</v>
      </c>
      <c r="C43" s="2281">
        <f>+C20*3</f>
        <v>12236</v>
      </c>
      <c r="D43" s="2281">
        <f>+D20*3</f>
        <v>0</v>
      </c>
      <c r="E43" s="554"/>
      <c r="F43" s="739">
        <f t="shared" si="1"/>
        <v>44135</v>
      </c>
      <c r="G43" s="157"/>
      <c r="H43" s="157"/>
      <c r="I43" s="2341"/>
      <c r="J43" s="157">
        <f>G43*G$11+H43*H$11+I43*I$11</f>
        <v>0</v>
      </c>
    </row>
    <row r="44" spans="1:11" s="540" customFormat="1" ht="12" customHeight="1" x14ac:dyDescent="0.25">
      <c r="A44" s="2284" t="s">
        <v>1702</v>
      </c>
      <c r="B44" s="2281">
        <v>7</v>
      </c>
      <c r="C44" s="2281">
        <v>7</v>
      </c>
      <c r="D44" s="2281">
        <v>7</v>
      </c>
      <c r="F44" s="739">
        <f t="shared" si="1"/>
        <v>44136</v>
      </c>
      <c r="G44" s="157"/>
      <c r="H44" s="157"/>
      <c r="I44" s="2341"/>
      <c r="J44" s="157">
        <f>G44*G$11+H44*H$11+I44*I$11</f>
        <v>0</v>
      </c>
    </row>
    <row r="45" spans="1:11" s="540" customFormat="1" ht="17.25" customHeight="1" x14ac:dyDescent="0.3">
      <c r="A45" s="2283" t="s">
        <v>1703</v>
      </c>
      <c r="B45" s="2279">
        <v>0</v>
      </c>
      <c r="C45" s="2279">
        <v>0</v>
      </c>
      <c r="D45" s="2279">
        <v>0</v>
      </c>
      <c r="F45" s="739" t="s">
        <v>18</v>
      </c>
      <c r="G45" s="158">
        <f>SUM(G13:G43)</f>
        <v>-61</v>
      </c>
      <c r="H45" s="158">
        <f>SUM(H13:H44)</f>
        <v>-33</v>
      </c>
      <c r="I45" s="158">
        <f>SUM(I13:I43)</f>
        <v>0</v>
      </c>
      <c r="J45" s="158">
        <f>SUM(J13:J43)</f>
        <v>-57405</v>
      </c>
    </row>
    <row r="46" spans="1:11" ht="13.5" customHeight="1" x14ac:dyDescent="0.25">
      <c r="A46" s="2285" t="s">
        <v>1704</v>
      </c>
      <c r="B46" s="2286" t="str">
        <f>IF(B43&gt;=B42,("cder"),("ne pas cder"))</f>
        <v>ne pas cder</v>
      </c>
      <c r="C46" s="2286" t="str">
        <f>IF(C43&gt;=C42,("cder"),("ne pas cder"))</f>
        <v>ne pas cder</v>
      </c>
      <c r="D46" s="2286" t="str">
        <f>IF(D43&gt;=D42,("cder"),("ne pas cder"))</f>
        <v>ne pas cder</v>
      </c>
      <c r="F46" s="558"/>
      <c r="G46" s="559">
        <f>G45-B28</f>
        <v>0</v>
      </c>
      <c r="H46" s="2232">
        <f>H45-C28</f>
        <v>0</v>
      </c>
      <c r="I46" s="559">
        <f>I45-D28</f>
        <v>0</v>
      </c>
      <c r="J46" s="58"/>
    </row>
    <row r="47" spans="1:11" ht="13.5" customHeight="1" x14ac:dyDescent="0.2">
      <c r="A47" s="2282" t="s">
        <v>1705</v>
      </c>
      <c r="B47" s="2288">
        <f>B20*(B44-B39)</f>
        <v>-137.88888888888869</v>
      </c>
      <c r="C47" s="2288">
        <f>C20*(C44-C39)</f>
        <v>-13192.333333333338</v>
      </c>
      <c r="D47" s="2288" t="e">
        <f>D20*(D44-D39)</f>
        <v>#DIV/0!</v>
      </c>
      <c r="G47" s="716"/>
      <c r="H47" s="716"/>
      <c r="I47" s="306"/>
    </row>
    <row r="48" spans="1:11" ht="21" customHeight="1" x14ac:dyDescent="0.25">
      <c r="A48" s="155"/>
      <c r="B48" s="58"/>
      <c r="C48" s="58"/>
      <c r="D48" s="58"/>
      <c r="E48" s="1453"/>
      <c r="F48" s="386"/>
      <c r="G48" s="849"/>
      <c r="H48" s="849"/>
      <c r="I48" s="849" t="s">
        <v>1840</v>
      </c>
      <c r="K48" s="2487">
        <f>SUM(G48:J48)</f>
        <v>0</v>
      </c>
    </row>
    <row r="49" spans="1:10" x14ac:dyDescent="0.2">
      <c r="A49" s="1453"/>
      <c r="B49" s="2287"/>
      <c r="C49" s="2287"/>
      <c r="D49" s="2287"/>
      <c r="G49" s="849"/>
      <c r="H49" s="849"/>
      <c r="J49" s="849"/>
    </row>
    <row r="50" spans="1:10" x14ac:dyDescent="0.2">
      <c r="B50" s="37" t="s">
        <v>1803</v>
      </c>
      <c r="C50" s="386"/>
    </row>
    <row r="51" spans="1:10" x14ac:dyDescent="0.2">
      <c r="B51" s="386"/>
    </row>
    <row r="52" spans="1:10" x14ac:dyDescent="0.2">
      <c r="D52" s="306"/>
    </row>
    <row r="53" spans="1:10" x14ac:dyDescent="0.2">
      <c r="C53" s="716"/>
    </row>
    <row r="54" spans="1:10" x14ac:dyDescent="0.2">
      <c r="D54" s="306"/>
    </row>
    <row r="91" spans="2:2" x14ac:dyDescent="0.2">
      <c r="B91" s="37">
        <v>90</v>
      </c>
    </row>
    <row r="92" spans="2:2" x14ac:dyDescent="0.2">
      <c r="B92" s="37">
        <v>90</v>
      </c>
    </row>
    <row r="93" spans="2:2" x14ac:dyDescent="0.2">
      <c r="B93" s="37">
        <v>90</v>
      </c>
    </row>
  </sheetData>
  <mergeCells count="3">
    <mergeCell ref="F9:J9"/>
    <mergeCell ref="G10:I10"/>
    <mergeCell ref="B9:D9"/>
  </mergeCells>
  <printOptions horizontalCentered="1"/>
  <pageMargins left="0.39370078740157483" right="0.39370078740157483" top="0.39370078740157483"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V61"/>
  <sheetViews>
    <sheetView topLeftCell="A4" zoomScale="85" zoomScaleNormal="85" workbookViewId="0">
      <selection activeCell="J8" sqref="J8"/>
    </sheetView>
  </sheetViews>
  <sheetFormatPr baseColWidth="10" defaultRowHeight="14.25" x14ac:dyDescent="0.2"/>
  <cols>
    <col min="1" max="1" width="31.42578125" style="51" customWidth="1"/>
    <col min="2" max="2" width="14.28515625" style="51" customWidth="1"/>
    <col min="3" max="3" width="13.5703125" style="51" bestFit="1" customWidth="1"/>
    <col min="4" max="4" width="11.5703125" style="193" customWidth="1"/>
    <col min="5" max="5" width="14.28515625" style="51" customWidth="1"/>
    <col min="6" max="6" width="15" style="51" bestFit="1" customWidth="1"/>
    <col min="7" max="7" width="14.5703125" style="51" customWidth="1"/>
    <col min="8" max="8" width="3.85546875" style="186" customWidth="1"/>
    <col min="9" max="9" width="12.85546875" style="39" customWidth="1"/>
    <col min="10" max="10" width="13.85546875" style="39" customWidth="1"/>
    <col min="11" max="11" width="19.140625" style="39" customWidth="1"/>
    <col min="12" max="12" width="3.5703125" style="186" customWidth="1"/>
    <col min="13" max="13" width="13.85546875" style="186" customWidth="1"/>
    <col min="14" max="14" width="11.5703125" style="186" customWidth="1"/>
    <col min="15" max="15" width="11.42578125" style="51" customWidth="1"/>
    <col min="16" max="16" width="12" style="51" customWidth="1"/>
    <col min="17" max="17" width="11.7109375" style="51" customWidth="1"/>
    <col min="18" max="18" width="15.140625" style="51" customWidth="1"/>
    <col min="19" max="20" width="11.42578125" style="51"/>
    <col min="21" max="21" width="17.7109375" style="51" customWidth="1"/>
    <col min="22" max="16384" width="11.42578125" style="51"/>
  </cols>
  <sheetData>
    <row r="1" spans="1:21" ht="18" customHeight="1" thickBot="1" x14ac:dyDescent="0.3">
      <c r="A1" s="335" t="s">
        <v>170</v>
      </c>
      <c r="B1" s="622"/>
      <c r="C1" s="194"/>
      <c r="D1" s="195"/>
      <c r="E1" s="196"/>
      <c r="F1" s="196"/>
      <c r="G1" s="196"/>
      <c r="H1" s="598"/>
      <c r="L1" s="598"/>
      <c r="M1" s="598" t="s">
        <v>62</v>
      </c>
      <c r="N1" s="598"/>
      <c r="O1" s="196"/>
      <c r="P1" s="196"/>
      <c r="Q1" s="196"/>
      <c r="R1" s="196"/>
    </row>
    <row r="2" spans="1:21" ht="20.25" customHeight="1" thickBot="1" x14ac:dyDescent="0.3">
      <c r="A2" s="332" t="s">
        <v>212</v>
      </c>
      <c r="B2" s="622"/>
      <c r="C2" s="875"/>
      <c r="D2" s="195"/>
      <c r="E2" s="1076" t="s">
        <v>356</v>
      </c>
      <c r="F2" s="1077"/>
      <c r="G2" s="1077"/>
      <c r="H2" s="1077"/>
      <c r="I2" s="1077"/>
      <c r="J2" s="1077"/>
      <c r="K2" s="1078"/>
      <c r="L2" s="598"/>
      <c r="M2" s="598"/>
      <c r="N2" s="598"/>
      <c r="O2" s="196"/>
      <c r="P2" s="196"/>
      <c r="Q2" s="196"/>
      <c r="R2" s="196"/>
    </row>
    <row r="3" spans="1:21" ht="14.25" customHeight="1" x14ac:dyDescent="0.25">
      <c r="A3" s="196"/>
      <c r="B3" s="196"/>
      <c r="C3" s="819"/>
      <c r="D3" s="1023"/>
      <c r="E3" s="196"/>
      <c r="F3" s="196"/>
      <c r="G3" s="196"/>
      <c r="H3" s="598"/>
      <c r="I3" s="250"/>
      <c r="J3" s="250"/>
      <c r="K3" s="250"/>
      <c r="M3" s="598"/>
      <c r="N3" s="598"/>
      <c r="O3" s="196"/>
      <c r="P3" s="196"/>
      <c r="Q3" s="196"/>
      <c r="R3" s="196"/>
      <c r="U3" s="390" t="s">
        <v>241</v>
      </c>
    </row>
    <row r="4" spans="1:21" ht="16.5" x14ac:dyDescent="0.25">
      <c r="C4" s="759"/>
      <c r="D4" s="756"/>
      <c r="E4" s="757"/>
      <c r="G4" s="196"/>
      <c r="H4" s="598"/>
      <c r="M4" s="598"/>
      <c r="N4" s="598"/>
      <c r="O4" s="196"/>
      <c r="P4" s="196"/>
      <c r="Q4" s="196"/>
    </row>
    <row r="5" spans="1:21" ht="17.25" x14ac:dyDescent="0.3">
      <c r="A5" s="198" t="s">
        <v>143</v>
      </c>
      <c r="B5" s="199">
        <f>+ventes!B5</f>
        <v>43221</v>
      </c>
      <c r="C5" s="873"/>
      <c r="D5" s="675"/>
      <c r="E5" s="51" t="s">
        <v>1034</v>
      </c>
      <c r="I5" s="2943" t="s">
        <v>40</v>
      </c>
      <c r="J5" s="2943"/>
      <c r="K5" s="2943"/>
      <c r="M5" s="1843"/>
      <c r="O5" s="200"/>
      <c r="P5" s="196"/>
      <c r="Q5" s="196"/>
      <c r="R5" s="196"/>
    </row>
    <row r="6" spans="1:21" ht="7.5" customHeight="1" thickBot="1" x14ac:dyDescent="0.35">
      <c r="A6" s="196"/>
      <c r="B6" s="196"/>
      <c r="C6" s="196"/>
      <c r="D6" s="197"/>
      <c r="E6" s="196"/>
      <c r="F6" s="196"/>
      <c r="G6" s="196"/>
      <c r="H6" s="598"/>
      <c r="L6" s="598"/>
      <c r="M6" s="598"/>
      <c r="N6" s="598"/>
      <c r="O6" s="200"/>
      <c r="P6" s="201"/>
      <c r="Q6" s="201"/>
      <c r="R6" s="201"/>
    </row>
    <row r="7" spans="1:21" ht="18" thickBot="1" x14ac:dyDescent="0.35">
      <c r="A7" s="202" t="s">
        <v>111</v>
      </c>
      <c r="B7" s="202"/>
      <c r="C7" s="202"/>
      <c r="D7" s="202"/>
      <c r="E7" s="202"/>
      <c r="F7" s="202"/>
      <c r="G7" s="202"/>
      <c r="H7" s="596"/>
      <c r="I7" s="376" t="s">
        <v>3</v>
      </c>
      <c r="J7" s="1075" t="s">
        <v>255</v>
      </c>
      <c r="K7" s="377" t="s">
        <v>39</v>
      </c>
      <c r="L7" s="596"/>
      <c r="M7" s="596"/>
      <c r="N7" s="596"/>
      <c r="O7" s="196"/>
      <c r="S7" s="2940" t="s">
        <v>240</v>
      </c>
      <c r="T7" s="2941"/>
      <c r="U7" s="2942"/>
    </row>
    <row r="8" spans="1:21" ht="21" customHeight="1" thickBot="1" x14ac:dyDescent="0.35">
      <c r="A8" s="203" t="s">
        <v>46</v>
      </c>
      <c r="B8" s="203" t="s">
        <v>112</v>
      </c>
      <c r="C8" s="203" t="s">
        <v>44</v>
      </c>
      <c r="D8" s="204" t="s">
        <v>113</v>
      </c>
      <c r="E8" s="204" t="s">
        <v>45</v>
      </c>
      <c r="F8" s="204" t="s">
        <v>43</v>
      </c>
      <c r="G8" s="204" t="s">
        <v>39</v>
      </c>
      <c r="H8" s="596"/>
      <c r="I8" s="378">
        <v>44105</v>
      </c>
      <c r="J8" s="2241"/>
      <c r="K8" s="2243"/>
      <c r="L8" s="596"/>
      <c r="M8" s="596"/>
      <c r="N8" s="964" t="s">
        <v>489</v>
      </c>
      <c r="O8" s="965" t="s">
        <v>255</v>
      </c>
      <c r="P8" s="965" t="s">
        <v>319</v>
      </c>
      <c r="Q8" s="596"/>
      <c r="R8" s="200"/>
      <c r="S8" s="619" t="s">
        <v>114</v>
      </c>
      <c r="T8" s="620" t="s">
        <v>115</v>
      </c>
      <c r="U8" s="621" t="s">
        <v>116</v>
      </c>
    </row>
    <row r="9" spans="1:21" ht="17.25" x14ac:dyDescent="0.3">
      <c r="A9" s="304" t="s">
        <v>176</v>
      </c>
      <c r="B9" s="206">
        <v>7</v>
      </c>
      <c r="C9" s="393"/>
      <c r="D9" s="206">
        <v>7</v>
      </c>
      <c r="E9" s="207">
        <f t="shared" ref="E9:E30" si="0">IF(D9="",,IF(B9+C9-D9&lt;0,"ATTENTION",B9+C9-D9))</f>
        <v>0</v>
      </c>
      <c r="F9" s="207">
        <v>30750</v>
      </c>
      <c r="G9" s="205">
        <f>F9*E9</f>
        <v>0</v>
      </c>
      <c r="H9" s="597"/>
      <c r="I9" s="378">
        <v>44106</v>
      </c>
      <c r="J9" s="2241">
        <v>6</v>
      </c>
      <c r="K9" s="2243">
        <v>14375</v>
      </c>
      <c r="L9" s="597"/>
      <c r="M9" s="597"/>
      <c r="N9" s="66">
        <v>5</v>
      </c>
      <c r="O9" s="66">
        <f t="shared" ref="O9:O28" si="1">+E9*N9</f>
        <v>0</v>
      </c>
      <c r="P9" s="425"/>
      <c r="Q9" s="597"/>
      <c r="R9" s="200"/>
      <c r="S9" s="208">
        <f>B9*F9</f>
        <v>215250</v>
      </c>
      <c r="T9" s="208">
        <f>C9*F9</f>
        <v>0</v>
      </c>
      <c r="U9" s="208">
        <f>D9*F9</f>
        <v>215250</v>
      </c>
    </row>
    <row r="10" spans="1:21" ht="17.25" x14ac:dyDescent="0.3">
      <c r="A10" s="304" t="s">
        <v>177</v>
      </c>
      <c r="B10" s="969">
        <v>9</v>
      </c>
      <c r="C10" s="393"/>
      <c r="D10" s="206">
        <v>9</v>
      </c>
      <c r="E10" s="207">
        <f t="shared" si="0"/>
        <v>0</v>
      </c>
      <c r="F10" s="207">
        <v>22100</v>
      </c>
      <c r="G10" s="205">
        <f t="shared" ref="G10:G32" si="2">F10*E10</f>
        <v>0</v>
      </c>
      <c r="H10" s="597"/>
      <c r="I10" s="378">
        <v>44107</v>
      </c>
      <c r="J10" s="2242"/>
      <c r="K10" s="2244"/>
      <c r="L10" s="597"/>
      <c r="M10" s="597"/>
      <c r="N10" s="66">
        <v>5</v>
      </c>
      <c r="O10" s="66">
        <f t="shared" si="1"/>
        <v>0</v>
      </c>
      <c r="P10" s="425"/>
      <c r="Q10" s="597"/>
      <c r="R10" s="200"/>
      <c r="S10" s="208">
        <f>B10*F10</f>
        <v>198900</v>
      </c>
      <c r="T10" s="208">
        <f>C10*F10</f>
        <v>0</v>
      </c>
      <c r="U10" s="208">
        <f>D10*F10</f>
        <v>198900</v>
      </c>
    </row>
    <row r="11" spans="1:21" ht="17.25" x14ac:dyDescent="0.3">
      <c r="A11" s="1083" t="s">
        <v>594</v>
      </c>
      <c r="B11" s="206">
        <v>9</v>
      </c>
      <c r="C11" s="393"/>
      <c r="D11" s="206">
        <v>9</v>
      </c>
      <c r="E11" s="207">
        <f t="shared" si="0"/>
        <v>0</v>
      </c>
      <c r="F11" s="207">
        <v>13750</v>
      </c>
      <c r="G11" s="205">
        <f t="shared" si="2"/>
        <v>0</v>
      </c>
      <c r="H11" s="597"/>
      <c r="I11" s="378">
        <v>44108</v>
      </c>
      <c r="J11" s="2242">
        <v>5</v>
      </c>
      <c r="K11" s="2244">
        <v>9250</v>
      </c>
      <c r="L11" s="597"/>
      <c r="M11" s="597"/>
      <c r="N11" s="66">
        <v>5</v>
      </c>
      <c r="O11" s="66">
        <f t="shared" si="1"/>
        <v>0</v>
      </c>
      <c r="P11" s="425"/>
      <c r="Q11" s="597"/>
      <c r="R11" s="200"/>
      <c r="S11" s="208">
        <f>B11*F11</f>
        <v>123750</v>
      </c>
      <c r="T11" s="208">
        <f>C11*F11</f>
        <v>0</v>
      </c>
      <c r="U11" s="208">
        <f>D11*F11</f>
        <v>123750</v>
      </c>
    </row>
    <row r="12" spans="1:21" ht="17.25" x14ac:dyDescent="0.3">
      <c r="A12" s="869" t="s">
        <v>436</v>
      </c>
      <c r="B12" s="206">
        <v>57</v>
      </c>
      <c r="C12" s="393"/>
      <c r="D12" s="206">
        <v>57</v>
      </c>
      <c r="E12" s="207">
        <f t="shared" si="0"/>
        <v>0</v>
      </c>
      <c r="F12" s="207">
        <v>1675</v>
      </c>
      <c r="G12" s="205">
        <f t="shared" si="2"/>
        <v>0</v>
      </c>
      <c r="H12" s="597"/>
      <c r="I12" s="378">
        <v>44109</v>
      </c>
      <c r="J12" s="2242">
        <v>20</v>
      </c>
      <c r="K12" s="2244">
        <v>50000</v>
      </c>
      <c r="L12" s="597"/>
      <c r="M12" s="597"/>
      <c r="N12" s="975">
        <v>0.5</v>
      </c>
      <c r="O12" s="66">
        <f t="shared" si="1"/>
        <v>0</v>
      </c>
      <c r="P12" s="425"/>
      <c r="Q12" s="597"/>
      <c r="R12" s="200"/>
      <c r="S12" s="208">
        <f t="shared" ref="S12:S29" si="3">B16*F16</f>
        <v>194400</v>
      </c>
      <c r="T12" s="208">
        <f t="shared" ref="T12:T28" si="4">C16*F16</f>
        <v>0</v>
      </c>
      <c r="U12" s="208">
        <f t="shared" ref="U12:U29" si="5">D16*F16</f>
        <v>194400</v>
      </c>
    </row>
    <row r="13" spans="1:21" ht="17.25" x14ac:dyDescent="0.3">
      <c r="A13" s="869" t="s">
        <v>439</v>
      </c>
      <c r="B13" s="206">
        <v>50</v>
      </c>
      <c r="C13" s="393"/>
      <c r="D13" s="206">
        <v>50</v>
      </c>
      <c r="E13" s="207">
        <f t="shared" si="0"/>
        <v>0</v>
      </c>
      <c r="F13" s="207">
        <v>1575</v>
      </c>
      <c r="G13" s="205">
        <f t="shared" si="2"/>
        <v>0</v>
      </c>
      <c r="H13" s="597"/>
      <c r="I13" s="378">
        <v>44110</v>
      </c>
      <c r="J13" s="2242">
        <v>7</v>
      </c>
      <c r="K13" s="2244">
        <v>15350</v>
      </c>
      <c r="L13" s="597"/>
      <c r="M13" s="597"/>
      <c r="N13" s="975">
        <v>0.5</v>
      </c>
      <c r="O13" s="66">
        <f t="shared" si="1"/>
        <v>0</v>
      </c>
      <c r="P13" s="425"/>
      <c r="Q13" s="597"/>
      <c r="R13" s="200"/>
      <c r="S13" s="208">
        <f t="shared" si="3"/>
        <v>0</v>
      </c>
      <c r="T13" s="208">
        <f t="shared" si="4"/>
        <v>0</v>
      </c>
      <c r="U13" s="208">
        <f t="shared" si="5"/>
        <v>0</v>
      </c>
    </row>
    <row r="14" spans="1:21" ht="17.25" x14ac:dyDescent="0.3">
      <c r="A14" s="869" t="s">
        <v>438</v>
      </c>
      <c r="B14" s="206">
        <v>43</v>
      </c>
      <c r="C14" s="393"/>
      <c r="D14" s="206">
        <v>43</v>
      </c>
      <c r="E14" s="207">
        <f t="shared" si="0"/>
        <v>0</v>
      </c>
      <c r="F14" s="207"/>
      <c r="G14" s="205">
        <f t="shared" si="2"/>
        <v>0</v>
      </c>
      <c r="H14" s="597"/>
      <c r="I14" s="378">
        <v>44111</v>
      </c>
      <c r="J14" s="2242">
        <v>11.5</v>
      </c>
      <c r="K14" s="2244">
        <v>28175</v>
      </c>
      <c r="L14" s="597"/>
      <c r="M14" s="597"/>
      <c r="N14" s="975">
        <v>0.5</v>
      </c>
      <c r="O14" s="66">
        <f t="shared" si="1"/>
        <v>0</v>
      </c>
      <c r="P14" s="425"/>
      <c r="Q14" s="597"/>
      <c r="R14" s="200"/>
      <c r="S14" s="208">
        <f t="shared" si="3"/>
        <v>301000</v>
      </c>
      <c r="T14" s="208">
        <f t="shared" si="4"/>
        <v>0</v>
      </c>
      <c r="U14" s="208">
        <f t="shared" si="5"/>
        <v>301000</v>
      </c>
    </row>
    <row r="15" spans="1:21" ht="17.25" x14ac:dyDescent="0.3">
      <c r="A15" s="869" t="s">
        <v>437</v>
      </c>
      <c r="B15" s="206">
        <v>26</v>
      </c>
      <c r="C15" s="393"/>
      <c r="D15" s="206">
        <v>26</v>
      </c>
      <c r="E15" s="207">
        <f t="shared" si="0"/>
        <v>0</v>
      </c>
      <c r="F15" s="207">
        <v>1800</v>
      </c>
      <c r="G15" s="205">
        <f t="shared" si="2"/>
        <v>0</v>
      </c>
      <c r="H15" s="597"/>
      <c r="I15" s="378">
        <v>44112</v>
      </c>
      <c r="J15" s="2242"/>
      <c r="K15" s="2244"/>
      <c r="L15" s="597"/>
      <c r="M15" s="597"/>
      <c r="N15" s="975">
        <v>0.5</v>
      </c>
      <c r="O15" s="66">
        <f t="shared" si="1"/>
        <v>0</v>
      </c>
      <c r="P15" s="425"/>
      <c r="Q15" s="597"/>
      <c r="R15" s="200"/>
      <c r="S15" s="208">
        <f t="shared" si="3"/>
        <v>480250</v>
      </c>
      <c r="T15" s="208">
        <f t="shared" si="4"/>
        <v>0</v>
      </c>
      <c r="U15" s="208">
        <f t="shared" si="5"/>
        <v>480250</v>
      </c>
    </row>
    <row r="16" spans="1:21" ht="17.25" x14ac:dyDescent="0.3">
      <c r="A16" s="304" t="s">
        <v>219</v>
      </c>
      <c r="B16" s="206">
        <v>9</v>
      </c>
      <c r="C16" s="393"/>
      <c r="D16" s="206">
        <v>9</v>
      </c>
      <c r="E16" s="207">
        <f t="shared" si="0"/>
        <v>0</v>
      </c>
      <c r="F16" s="207">
        <v>21600</v>
      </c>
      <c r="G16" s="205">
        <f t="shared" si="2"/>
        <v>0</v>
      </c>
      <c r="H16" s="597"/>
      <c r="I16" s="378">
        <v>44113</v>
      </c>
      <c r="J16" s="2242">
        <v>30</v>
      </c>
      <c r="K16" s="2244">
        <v>71500</v>
      </c>
      <c r="L16" s="597"/>
      <c r="M16" s="597"/>
      <c r="N16" s="66">
        <v>5</v>
      </c>
      <c r="O16" s="66">
        <f t="shared" si="1"/>
        <v>0</v>
      </c>
      <c r="P16" s="425"/>
      <c r="Q16" s="597"/>
      <c r="R16" s="200"/>
      <c r="S16" s="208">
        <f t="shared" si="3"/>
        <v>121000</v>
      </c>
      <c r="T16" s="208">
        <f t="shared" si="4"/>
        <v>0</v>
      </c>
      <c r="U16" s="208">
        <f t="shared" si="5"/>
        <v>121000</v>
      </c>
    </row>
    <row r="17" spans="1:22" ht="17.25" x14ac:dyDescent="0.3">
      <c r="A17" s="304" t="s">
        <v>493</v>
      </c>
      <c r="B17" s="206">
        <v>0</v>
      </c>
      <c r="C17" s="393"/>
      <c r="D17" s="206">
        <v>0</v>
      </c>
      <c r="E17" s="207">
        <f t="shared" si="0"/>
        <v>0</v>
      </c>
      <c r="F17" s="207">
        <v>16600</v>
      </c>
      <c r="G17" s="205">
        <f t="shared" si="2"/>
        <v>0</v>
      </c>
      <c r="H17" s="597"/>
      <c r="I17" s="378">
        <v>44114</v>
      </c>
      <c r="J17" s="2242"/>
      <c r="K17" s="2244"/>
      <c r="L17" s="597"/>
      <c r="M17" s="597"/>
      <c r="N17" s="66">
        <v>5</v>
      </c>
      <c r="O17" s="66">
        <f t="shared" si="1"/>
        <v>0</v>
      </c>
      <c r="P17" s="425"/>
      <c r="Q17" s="597"/>
      <c r="R17" s="200"/>
      <c r="S17" s="208">
        <f t="shared" si="3"/>
        <v>393600</v>
      </c>
      <c r="T17" s="208">
        <f t="shared" si="4"/>
        <v>0</v>
      </c>
      <c r="U17" s="208">
        <f t="shared" si="5"/>
        <v>393600</v>
      </c>
    </row>
    <row r="18" spans="1:22" ht="17.25" x14ac:dyDescent="0.3">
      <c r="A18" s="304" t="s">
        <v>494</v>
      </c>
      <c r="B18" s="206">
        <v>5</v>
      </c>
      <c r="C18" s="393"/>
      <c r="D18" s="206">
        <v>5</v>
      </c>
      <c r="E18" s="207">
        <f t="shared" si="0"/>
        <v>0</v>
      </c>
      <c r="F18" s="207">
        <v>60200</v>
      </c>
      <c r="G18" s="205">
        <f t="shared" si="2"/>
        <v>0</v>
      </c>
      <c r="H18" s="597"/>
      <c r="I18" s="378">
        <v>44115</v>
      </c>
      <c r="J18" s="2242"/>
      <c r="K18" s="2245"/>
      <c r="L18" s="597"/>
      <c r="M18" s="597"/>
      <c r="N18" s="66">
        <v>20</v>
      </c>
      <c r="O18" s="66">
        <f t="shared" si="1"/>
        <v>0</v>
      </c>
      <c r="P18" s="425"/>
      <c r="Q18" s="597"/>
      <c r="R18" s="200"/>
      <c r="S18" s="208">
        <f t="shared" si="3"/>
        <v>0</v>
      </c>
      <c r="T18" s="208">
        <f t="shared" si="4"/>
        <v>0</v>
      </c>
      <c r="U18" s="208">
        <f t="shared" si="5"/>
        <v>0</v>
      </c>
    </row>
    <row r="19" spans="1:22" ht="17.25" x14ac:dyDescent="0.3">
      <c r="A19" s="320" t="s">
        <v>244</v>
      </c>
      <c r="B19" s="321">
        <v>282.5</v>
      </c>
      <c r="C19" s="394"/>
      <c r="D19" s="321">
        <f>335-13-5.5-22-12</f>
        <v>282.5</v>
      </c>
      <c r="E19" s="322">
        <f>IF(D19="",,IF(B19+C19-D19&lt;0,"ATTENTION",B19+C19-D19))</f>
        <v>0</v>
      </c>
      <c r="F19" s="322">
        <v>1700</v>
      </c>
      <c r="G19" s="205">
        <f t="shared" si="2"/>
        <v>0</v>
      </c>
      <c r="H19" s="597"/>
      <c r="I19" s="378">
        <v>44116</v>
      </c>
      <c r="J19" s="2242"/>
      <c r="K19" s="2244"/>
      <c r="L19" s="597"/>
      <c r="M19" s="597"/>
      <c r="N19" s="683">
        <v>1</v>
      </c>
      <c r="O19" s="683">
        <f t="shared" si="1"/>
        <v>0</v>
      </c>
      <c r="P19" s="982"/>
      <c r="Q19" s="597"/>
      <c r="R19" s="196"/>
      <c r="S19" s="208">
        <f t="shared" si="3"/>
        <v>49950</v>
      </c>
      <c r="T19" s="208">
        <f>C23*F23</f>
        <v>0</v>
      </c>
      <c r="U19" s="208">
        <f t="shared" si="5"/>
        <v>49950</v>
      </c>
    </row>
    <row r="20" spans="1:22" ht="17.25" x14ac:dyDescent="0.3">
      <c r="A20" s="304" t="s">
        <v>178</v>
      </c>
      <c r="B20" s="206">
        <v>10</v>
      </c>
      <c r="C20" s="393"/>
      <c r="D20" s="206">
        <v>10</v>
      </c>
      <c r="E20" s="207">
        <f t="shared" ref="E20:E27" si="6">IF(D20="",,IF(B20+C20-D20&lt;0,"ATTENTION",B20+C20-D20))</f>
        <v>0</v>
      </c>
      <c r="F20" s="207">
        <v>12100</v>
      </c>
      <c r="G20" s="205">
        <f t="shared" si="2"/>
        <v>0</v>
      </c>
      <c r="H20" s="597"/>
      <c r="I20" s="378">
        <v>44117</v>
      </c>
      <c r="J20" s="2242"/>
      <c r="K20" s="2244"/>
      <c r="L20" s="597"/>
      <c r="M20" s="1509"/>
      <c r="N20" s="683">
        <v>5</v>
      </c>
      <c r="O20" s="683">
        <f t="shared" si="1"/>
        <v>0</v>
      </c>
      <c r="P20" s="982"/>
      <c r="Q20" s="597"/>
      <c r="R20" s="200"/>
      <c r="S20" s="208">
        <f>B24*F24</f>
        <v>148328.1999999996</v>
      </c>
      <c r="T20" s="208">
        <f>C24*F24</f>
        <v>0</v>
      </c>
      <c r="U20" s="208">
        <f>D24*F24</f>
        <v>148328.1999999996</v>
      </c>
      <c r="V20" s="323"/>
    </row>
    <row r="21" spans="1:22" ht="17.25" x14ac:dyDescent="0.3">
      <c r="A21" s="304" t="s">
        <v>202</v>
      </c>
      <c r="B21" s="308">
        <v>8</v>
      </c>
      <c r="C21" s="393"/>
      <c r="D21" s="206">
        <v>8</v>
      </c>
      <c r="E21" s="415">
        <f t="shared" si="6"/>
        <v>0</v>
      </c>
      <c r="F21" s="207">
        <v>49200</v>
      </c>
      <c r="G21" s="205">
        <f t="shared" si="2"/>
        <v>0</v>
      </c>
      <c r="H21" s="597"/>
      <c r="I21" s="378">
        <v>44118</v>
      </c>
      <c r="J21" s="2242"/>
      <c r="K21" s="2244"/>
      <c r="L21" s="597"/>
      <c r="M21" s="597"/>
      <c r="N21" s="66">
        <v>20</v>
      </c>
      <c r="O21" s="66">
        <f t="shared" si="1"/>
        <v>0</v>
      </c>
      <c r="P21" s="425"/>
      <c r="Q21" s="597"/>
      <c r="R21" s="200"/>
      <c r="S21" s="208">
        <f>B25*F25</f>
        <v>667625</v>
      </c>
      <c r="T21" s="208">
        <f>C25*F25</f>
        <v>0</v>
      </c>
      <c r="U21" s="208">
        <f>D25*F25</f>
        <v>667625</v>
      </c>
    </row>
    <row r="22" spans="1:22" ht="17.25" x14ac:dyDescent="0.3">
      <c r="A22" s="304" t="s">
        <v>220</v>
      </c>
      <c r="B22" s="206">
        <v>0</v>
      </c>
      <c r="C22" s="393"/>
      <c r="D22" s="206">
        <v>0</v>
      </c>
      <c r="E22" s="415">
        <f t="shared" si="6"/>
        <v>0</v>
      </c>
      <c r="F22" s="207">
        <v>46650</v>
      </c>
      <c r="G22" s="205">
        <f t="shared" si="2"/>
        <v>0</v>
      </c>
      <c r="H22" s="597"/>
      <c r="I22" s="378">
        <v>44119</v>
      </c>
      <c r="J22" s="2242"/>
      <c r="K22" s="2244"/>
      <c r="L22" s="597"/>
      <c r="M22" s="597"/>
      <c r="N22" s="66">
        <v>20</v>
      </c>
      <c r="O22" s="66">
        <f t="shared" si="1"/>
        <v>0</v>
      </c>
      <c r="P22" s="425"/>
      <c r="Q22" s="597"/>
      <c r="R22" s="200"/>
      <c r="S22" s="208">
        <f>B26*F26</f>
        <v>252450</v>
      </c>
      <c r="T22" s="208">
        <f>C26*F26</f>
        <v>0</v>
      </c>
      <c r="U22" s="208">
        <f>D26*F26</f>
        <v>252450</v>
      </c>
    </row>
    <row r="23" spans="1:22" ht="17.25" x14ac:dyDescent="0.3">
      <c r="A23" s="304" t="s">
        <v>179</v>
      </c>
      <c r="B23" s="206">
        <v>27</v>
      </c>
      <c r="C23" s="393"/>
      <c r="D23" s="206">
        <v>27</v>
      </c>
      <c r="E23" s="415">
        <f>IF(D23="",,IF(B23+C23-D23&lt;0,"ATTENTION",B23+C23-D23))</f>
        <v>0</v>
      </c>
      <c r="F23" s="207">
        <v>1850</v>
      </c>
      <c r="G23" s="205">
        <f t="shared" si="2"/>
        <v>0</v>
      </c>
      <c r="H23" s="597"/>
      <c r="I23" s="378">
        <v>44120</v>
      </c>
      <c r="J23" s="2242"/>
      <c r="K23" s="2244"/>
      <c r="L23" s="597"/>
      <c r="M23" s="597"/>
      <c r="N23" s="975"/>
      <c r="O23" s="66">
        <f t="shared" si="1"/>
        <v>0</v>
      </c>
      <c r="P23" s="974">
        <f>5*0.5</f>
        <v>2.5</v>
      </c>
      <c r="Q23" s="597"/>
      <c r="R23" s="484"/>
      <c r="S23" s="208">
        <f>B27*F27</f>
        <v>257125</v>
      </c>
      <c r="T23" s="208">
        <f>C27*F27</f>
        <v>0</v>
      </c>
      <c r="U23" s="208">
        <f>D27*F27</f>
        <v>257125</v>
      </c>
    </row>
    <row r="24" spans="1:22" ht="17.25" x14ac:dyDescent="0.3">
      <c r="A24" s="354" t="s">
        <v>217</v>
      </c>
      <c r="B24" s="355">
        <v>40.306576086956412</v>
      </c>
      <c r="C24" s="395"/>
      <c r="D24" s="417">
        <v>40.306576086956412</v>
      </c>
      <c r="E24" s="356">
        <f>IF(D24="",,IF(B24+C24-D24&lt;0,"ATTENTION",B24+C24-D24))</f>
        <v>0</v>
      </c>
      <c r="F24" s="356">
        <f>184000/50</f>
        <v>3680</v>
      </c>
      <c r="G24" s="205">
        <f t="shared" si="2"/>
        <v>0</v>
      </c>
      <c r="H24" s="597"/>
      <c r="I24" s="378">
        <v>44121</v>
      </c>
      <c r="J24" s="2527"/>
      <c r="K24" s="766"/>
      <c r="L24" s="597"/>
      <c r="M24" s="597"/>
      <c r="N24" s="975"/>
      <c r="O24" s="66">
        <f t="shared" si="1"/>
        <v>0</v>
      </c>
      <c r="P24" s="974">
        <f>10000/3680</f>
        <v>2.7173913043478262</v>
      </c>
      <c r="Q24" s="597"/>
      <c r="R24" s="200"/>
      <c r="S24" s="208">
        <f t="shared" si="3"/>
        <v>35000</v>
      </c>
      <c r="T24" s="208">
        <f t="shared" si="4"/>
        <v>0</v>
      </c>
      <c r="U24" s="208">
        <f t="shared" si="5"/>
        <v>35000</v>
      </c>
    </row>
    <row r="25" spans="1:22" ht="17.25" x14ac:dyDescent="0.3">
      <c r="A25" s="320" t="s">
        <v>180</v>
      </c>
      <c r="B25" s="374">
        <v>272.5</v>
      </c>
      <c r="C25" s="396"/>
      <c r="D25" s="374">
        <v>272.5</v>
      </c>
      <c r="E25" s="322">
        <f>IF(D25="",,IF(B25+C25-D25&lt;0,"ATTENTION",B25+C25-D25))</f>
        <v>0</v>
      </c>
      <c r="F25" s="322">
        <v>2450</v>
      </c>
      <c r="G25" s="205">
        <f t="shared" si="2"/>
        <v>0</v>
      </c>
      <c r="H25" s="597"/>
      <c r="I25" s="378">
        <v>44122</v>
      </c>
      <c r="J25" s="1079"/>
      <c r="K25" s="766"/>
      <c r="L25" s="597"/>
      <c r="M25" s="597"/>
      <c r="N25" s="66">
        <v>1</v>
      </c>
      <c r="O25" s="66">
        <f t="shared" si="1"/>
        <v>0</v>
      </c>
      <c r="P25" s="425"/>
      <c r="Q25" s="597"/>
      <c r="R25" s="200"/>
      <c r="S25" s="208">
        <f t="shared" si="3"/>
        <v>0</v>
      </c>
      <c r="T25" s="208">
        <f t="shared" si="4"/>
        <v>0</v>
      </c>
      <c r="U25" s="208">
        <f t="shared" si="5"/>
        <v>0</v>
      </c>
    </row>
    <row r="26" spans="1:22" ht="17.25" x14ac:dyDescent="0.3">
      <c r="A26" s="304" t="s">
        <v>182</v>
      </c>
      <c r="B26" s="309">
        <v>17</v>
      </c>
      <c r="C26" s="393"/>
      <c r="D26" s="309">
        <v>17</v>
      </c>
      <c r="E26" s="415">
        <f t="shared" si="6"/>
        <v>0</v>
      </c>
      <c r="F26" s="207">
        <v>14850</v>
      </c>
      <c r="G26" s="205">
        <f t="shared" si="2"/>
        <v>0</v>
      </c>
      <c r="H26" s="597"/>
      <c r="I26" s="378">
        <v>44123</v>
      </c>
      <c r="J26" s="1079"/>
      <c r="K26" s="766"/>
      <c r="L26" s="597"/>
      <c r="M26" s="597"/>
      <c r="N26" s="66">
        <v>5</v>
      </c>
      <c r="O26" s="66">
        <f t="shared" si="1"/>
        <v>0</v>
      </c>
      <c r="P26" s="425"/>
      <c r="Q26" s="597"/>
      <c r="R26" s="200"/>
      <c r="S26" s="208">
        <f t="shared" si="3"/>
        <v>79300</v>
      </c>
      <c r="T26" s="208">
        <f t="shared" si="4"/>
        <v>0</v>
      </c>
      <c r="U26" s="208">
        <f t="shared" si="5"/>
        <v>79300</v>
      </c>
    </row>
    <row r="27" spans="1:22" ht="17.25" x14ac:dyDescent="0.3">
      <c r="A27" s="304" t="s">
        <v>181</v>
      </c>
      <c r="B27" s="310">
        <v>5</v>
      </c>
      <c r="C27" s="676"/>
      <c r="D27" s="380">
        <v>5</v>
      </c>
      <c r="E27" s="415">
        <f t="shared" si="6"/>
        <v>0</v>
      </c>
      <c r="F27" s="207">
        <v>51425</v>
      </c>
      <c r="G27" s="205">
        <f t="shared" si="2"/>
        <v>0</v>
      </c>
      <c r="H27" s="597"/>
      <c r="I27" s="378">
        <v>44124</v>
      </c>
      <c r="J27" s="1079"/>
      <c r="K27" s="766"/>
      <c r="L27" s="597"/>
      <c r="M27" s="597">
        <f>68000+18000</f>
        <v>86000</v>
      </c>
      <c r="N27" s="66">
        <v>20</v>
      </c>
      <c r="O27" s="66">
        <f t="shared" si="1"/>
        <v>0</v>
      </c>
      <c r="P27" s="425"/>
      <c r="Q27" s="597"/>
      <c r="R27" s="200"/>
      <c r="S27" s="208">
        <f t="shared" si="3"/>
        <v>0</v>
      </c>
      <c r="T27" s="208">
        <f t="shared" si="4"/>
        <v>0</v>
      </c>
      <c r="U27" s="208">
        <f t="shared" si="5"/>
        <v>0</v>
      </c>
    </row>
    <row r="28" spans="1:22" ht="17.25" x14ac:dyDescent="0.3">
      <c r="A28" s="305" t="s">
        <v>183</v>
      </c>
      <c r="B28" s="206">
        <v>20</v>
      </c>
      <c r="C28" s="393"/>
      <c r="D28" s="206">
        <v>20</v>
      </c>
      <c r="E28" s="207">
        <f t="shared" si="0"/>
        <v>0</v>
      </c>
      <c r="F28" s="207">
        <v>1750</v>
      </c>
      <c r="G28" s="205">
        <f t="shared" si="2"/>
        <v>0</v>
      </c>
      <c r="H28" s="597"/>
      <c r="I28" s="378">
        <v>44125</v>
      </c>
      <c r="J28" s="1079"/>
      <c r="K28" s="766"/>
      <c r="L28" s="597"/>
      <c r="M28" s="597">
        <f>+M27+18000</f>
        <v>104000</v>
      </c>
      <c r="N28" s="976">
        <v>0.5</v>
      </c>
      <c r="O28" s="66">
        <f t="shared" si="1"/>
        <v>0</v>
      </c>
      <c r="P28" s="425"/>
      <c r="Q28" s="597"/>
      <c r="R28" s="200"/>
      <c r="S28" s="208">
        <f t="shared" si="3"/>
        <v>0</v>
      </c>
      <c r="T28" s="208">
        <f t="shared" si="4"/>
        <v>0</v>
      </c>
      <c r="U28" s="208">
        <f t="shared" si="5"/>
        <v>0</v>
      </c>
    </row>
    <row r="29" spans="1:22" ht="18" thickBot="1" x14ac:dyDescent="0.35">
      <c r="A29" s="304"/>
      <c r="B29" s="206"/>
      <c r="C29" s="393"/>
      <c r="D29" s="206"/>
      <c r="E29" s="207">
        <f t="shared" si="0"/>
        <v>0</v>
      </c>
      <c r="F29" s="207"/>
      <c r="G29" s="205">
        <f t="shared" si="2"/>
        <v>0</v>
      </c>
      <c r="H29" s="597"/>
      <c r="I29" s="378">
        <v>44126</v>
      </c>
      <c r="J29" s="1079"/>
      <c r="K29" s="766"/>
      <c r="L29" s="597"/>
      <c r="M29" s="597"/>
      <c r="N29" s="973"/>
      <c r="O29" s="979"/>
      <c r="P29" s="205"/>
      <c r="Q29" s="597"/>
      <c r="R29" s="597"/>
      <c r="S29" s="760">
        <f t="shared" si="3"/>
        <v>0</v>
      </c>
      <c r="T29" s="435"/>
      <c r="U29" s="760">
        <f t="shared" si="5"/>
        <v>0</v>
      </c>
    </row>
    <row r="30" spans="1:22" ht="18" thickBot="1" x14ac:dyDescent="0.35">
      <c r="A30" s="304" t="s">
        <v>218</v>
      </c>
      <c r="B30" s="206">
        <v>26</v>
      </c>
      <c r="C30" s="393"/>
      <c r="D30" s="206">
        <v>26</v>
      </c>
      <c r="E30" s="207">
        <f t="shared" si="0"/>
        <v>0</v>
      </c>
      <c r="F30" s="207">
        <v>3050</v>
      </c>
      <c r="G30" s="205">
        <f t="shared" si="2"/>
        <v>0</v>
      </c>
      <c r="H30" s="597"/>
      <c r="I30" s="378">
        <v>44127</v>
      </c>
      <c r="J30" s="1079"/>
      <c r="K30" s="766"/>
      <c r="L30" s="597"/>
      <c r="M30" s="597"/>
      <c r="N30" s="973">
        <v>0.5</v>
      </c>
      <c r="O30" s="981"/>
      <c r="P30" s="684"/>
      <c r="Q30" s="677"/>
      <c r="R30" s="677"/>
      <c r="S30" s="761">
        <f>SUM(S9:S28)</f>
        <v>3517928.1999999997</v>
      </c>
      <c r="T30" s="761">
        <f>SUM(T9:T26)</f>
        <v>0</v>
      </c>
      <c r="U30" s="761">
        <f>SUM(U9:U26)</f>
        <v>3517928.1999999997</v>
      </c>
      <c r="V30" s="323"/>
    </row>
    <row r="31" spans="1:22" ht="17.25" x14ac:dyDescent="0.3">
      <c r="A31" s="304"/>
      <c r="B31" s="206"/>
      <c r="C31" s="393"/>
      <c r="D31" s="206"/>
      <c r="E31" s="207"/>
      <c r="F31" s="207"/>
      <c r="G31" s="205">
        <f t="shared" si="2"/>
        <v>0</v>
      </c>
      <c r="H31" s="599"/>
      <c r="I31" s="378">
        <v>44128</v>
      </c>
      <c r="J31" s="1079"/>
      <c r="K31" s="766"/>
      <c r="L31" s="599"/>
      <c r="M31" s="599"/>
      <c r="N31" s="977"/>
      <c r="O31" s="981"/>
      <c r="P31" s="205"/>
      <c r="Q31" s="678"/>
      <c r="R31" s="678"/>
    </row>
    <row r="32" spans="1:22" ht="17.25" x14ac:dyDescent="0.3">
      <c r="A32" s="304"/>
      <c r="B32" s="206"/>
      <c r="C32" s="393"/>
      <c r="D32" s="206"/>
      <c r="E32" s="207"/>
      <c r="F32" s="207"/>
      <c r="G32" s="205">
        <f t="shared" si="2"/>
        <v>0</v>
      </c>
      <c r="H32" s="602"/>
      <c r="I32" s="378">
        <v>44129</v>
      </c>
      <c r="J32" s="1079"/>
      <c r="K32" s="766"/>
      <c r="L32" s="602"/>
      <c r="M32" s="602"/>
      <c r="N32" s="978"/>
      <c r="O32" s="980"/>
      <c r="P32" s="970"/>
      <c r="Q32" s="679"/>
      <c r="R32" s="680"/>
    </row>
    <row r="33" spans="1:21" ht="17.25" x14ac:dyDescent="0.3">
      <c r="A33" s="304"/>
      <c r="B33" s="206"/>
      <c r="C33" s="393"/>
      <c r="D33" s="206"/>
      <c r="E33" s="207"/>
      <c r="F33" s="207"/>
      <c r="G33" s="205">
        <f>F33*E33</f>
        <v>0</v>
      </c>
      <c r="H33" s="603"/>
      <c r="I33" s="378">
        <v>44130</v>
      </c>
      <c r="J33" s="1079"/>
      <c r="K33" s="766"/>
      <c r="L33" s="603"/>
      <c r="M33" s="603"/>
      <c r="N33" s="978"/>
      <c r="O33" s="980"/>
      <c r="P33" s="971"/>
      <c r="Q33" s="679"/>
      <c r="R33" s="680"/>
    </row>
    <row r="34" spans="1:21" ht="17.25" x14ac:dyDescent="0.3">
      <c r="A34" s="205"/>
      <c r="B34" s="206"/>
      <c r="C34" s="393"/>
      <c r="D34" s="206"/>
      <c r="E34" s="207"/>
      <c r="F34" s="207"/>
      <c r="G34" s="205">
        <f>F34*E34</f>
        <v>0</v>
      </c>
      <c r="H34" s="604"/>
      <c r="I34" s="378">
        <v>44131</v>
      </c>
      <c r="J34" s="1079"/>
      <c r="K34" s="766"/>
      <c r="L34" s="604"/>
      <c r="M34" s="604"/>
      <c r="N34" s="326" t="s">
        <v>18</v>
      </c>
      <c r="O34" s="972">
        <f>SUM(O9:O33)</f>
        <v>0</v>
      </c>
      <c r="P34" s="972">
        <f>SUM(P9:P33)</f>
        <v>5.2173913043478262</v>
      </c>
      <c r="Q34" s="679"/>
      <c r="R34" s="680"/>
    </row>
    <row r="35" spans="1:21" ht="17.25" x14ac:dyDescent="0.3">
      <c r="A35" s="209" t="s">
        <v>117</v>
      </c>
      <c r="B35" s="311"/>
      <c r="C35" s="311"/>
      <c r="D35" s="312"/>
      <c r="E35" s="311"/>
      <c r="F35" s="311"/>
      <c r="G35" s="282">
        <f>SUM(G9:G34)</f>
        <v>0</v>
      </c>
      <c r="H35" s="598"/>
      <c r="I35" s="378">
        <v>44132</v>
      </c>
      <c r="J35" s="1079"/>
      <c r="K35" s="766"/>
      <c r="L35" s="598"/>
      <c r="M35" s="598"/>
      <c r="N35" s="598"/>
      <c r="O35" s="600"/>
      <c r="P35" s="196"/>
      <c r="Q35" s="196"/>
      <c r="R35" s="196"/>
    </row>
    <row r="36" spans="1:21" ht="18" thickBot="1" x14ac:dyDescent="0.35">
      <c r="A36" s="210"/>
      <c r="B36" s="210"/>
      <c r="D36" s="210"/>
      <c r="E36" s="210"/>
      <c r="F36" s="357"/>
      <c r="G36" s="602"/>
      <c r="I36" s="378">
        <v>44133</v>
      </c>
      <c r="J36" s="2496"/>
      <c r="K36" s="766"/>
    </row>
    <row r="37" spans="1:21" ht="15" customHeight="1" x14ac:dyDescent="0.3">
      <c r="A37" s="609" t="s">
        <v>123</v>
      </c>
      <c r="B37" s="610"/>
      <c r="C37" s="611">
        <f>+G35</f>
        <v>0</v>
      </c>
      <c r="D37" s="608"/>
      <c r="E37" s="196"/>
      <c r="F37" s="196"/>
      <c r="G37" s="603"/>
      <c r="I37" s="378">
        <v>44134</v>
      </c>
      <c r="J37" s="1079"/>
      <c r="K37" s="766"/>
    </row>
    <row r="38" spans="1:21" ht="17.25" x14ac:dyDescent="0.3">
      <c r="A38" s="612" t="s">
        <v>124</v>
      </c>
      <c r="B38" s="211"/>
      <c r="C38" s="613">
        <f>+K40</f>
        <v>188650</v>
      </c>
      <c r="D38" s="608"/>
      <c r="E38" s="196"/>
      <c r="F38" s="196"/>
      <c r="G38" s="604"/>
      <c r="I38" s="378">
        <v>44135</v>
      </c>
      <c r="J38" s="1080"/>
      <c r="K38" s="766"/>
      <c r="N38" s="1022"/>
    </row>
    <row r="39" spans="1:21" ht="17.25" x14ac:dyDescent="0.3">
      <c r="A39" s="1769"/>
      <c r="B39" s="1770"/>
      <c r="C39" s="1771"/>
      <c r="D39" s="608"/>
      <c r="E39" s="196"/>
      <c r="F39" s="196"/>
      <c r="G39" s="604"/>
      <c r="I39" s="378">
        <v>44136</v>
      </c>
      <c r="J39" s="1080"/>
      <c r="K39" s="1772"/>
      <c r="N39" s="1022"/>
    </row>
    <row r="40" spans="1:21" ht="18" thickBot="1" x14ac:dyDescent="0.35">
      <c r="A40" s="614" t="s">
        <v>64</v>
      </c>
      <c r="B40" s="615"/>
      <c r="C40" s="616">
        <f>+C38-C37</f>
        <v>188650</v>
      </c>
      <c r="D40" s="608"/>
      <c r="E40" s="196"/>
      <c r="F40" s="666"/>
      <c r="G40" s="666"/>
      <c r="I40" s="481" t="s">
        <v>18</v>
      </c>
      <c r="J40" s="1082">
        <f>SUM(J8:J39)</f>
        <v>79.5</v>
      </c>
      <c r="K40" s="1032">
        <f>SUM(K8:K39)</f>
        <v>188650</v>
      </c>
    </row>
    <row r="41" spans="1:21" ht="18" customHeight="1" x14ac:dyDescent="0.25">
      <c r="B41" s="37"/>
      <c r="E41" s="813"/>
      <c r="F41" s="813"/>
      <c r="H41" s="139"/>
      <c r="K41" s="1079"/>
      <c r="L41" s="139"/>
      <c r="M41" s="139"/>
      <c r="N41" s="139"/>
      <c r="O41" s="38"/>
      <c r="P41" s="38"/>
      <c r="Q41" s="38"/>
      <c r="R41" s="38"/>
      <c r="S41" s="38"/>
      <c r="T41" s="38"/>
      <c r="U41" s="38"/>
    </row>
    <row r="42" spans="1:21" ht="18" customHeight="1" x14ac:dyDescent="0.25">
      <c r="H42" s="139"/>
      <c r="I42" s="38"/>
      <c r="J42" s="1323"/>
      <c r="K42" s="218"/>
      <c r="L42" s="139"/>
      <c r="M42" s="139"/>
      <c r="N42" s="139"/>
      <c r="O42" s="38"/>
      <c r="P42" s="38"/>
      <c r="Q42" s="38"/>
      <c r="R42" s="38"/>
      <c r="S42" s="38"/>
      <c r="T42" s="38"/>
      <c r="U42" s="38"/>
    </row>
    <row r="43" spans="1:21" ht="18.75" hidden="1" customHeight="1" thickBot="1" x14ac:dyDescent="0.3">
      <c r="A43" s="333" t="s">
        <v>323</v>
      </c>
      <c r="D43" s="51"/>
      <c r="H43" s="139"/>
      <c r="I43" s="38"/>
      <c r="J43" s="38"/>
      <c r="K43" s="38"/>
      <c r="L43" s="139"/>
      <c r="M43" s="139"/>
      <c r="N43" s="139"/>
      <c r="O43" s="38"/>
      <c r="P43" s="38"/>
      <c r="Q43" s="38"/>
      <c r="R43" s="38"/>
      <c r="S43" s="38"/>
      <c r="T43" s="38"/>
      <c r="U43" s="38"/>
    </row>
    <row r="44" spans="1:21" ht="40.5" hidden="1" customHeight="1" x14ac:dyDescent="0.25">
      <c r="A44" s="76" t="s">
        <v>322</v>
      </c>
      <c r="B44" s="562" t="s">
        <v>141</v>
      </c>
      <c r="C44" s="70" t="s">
        <v>321</v>
      </c>
      <c r="D44" s="605"/>
      <c r="H44" s="867"/>
      <c r="I44" s="867"/>
      <c r="J44" s="1049"/>
      <c r="K44" s="867"/>
      <c r="L44" s="867"/>
      <c r="M44" s="867"/>
      <c r="N44" s="867"/>
      <c r="O44" s="867"/>
      <c r="P44" s="712"/>
      <c r="Q44" s="712"/>
      <c r="R44" s="712"/>
      <c r="S44" s="712"/>
      <c r="T44" s="712"/>
      <c r="U44" s="712"/>
    </row>
    <row r="45" spans="1:21" ht="18" hidden="1" x14ac:dyDescent="0.25">
      <c r="A45" s="326" t="s">
        <v>320</v>
      </c>
      <c r="B45" s="64">
        <f>+[1]Lub!$Q$28</f>
        <v>705</v>
      </c>
      <c r="C45" s="617">
        <v>1486375.0000000002</v>
      </c>
      <c r="D45" s="606"/>
      <c r="E45" s="38"/>
      <c r="F45" s="38"/>
      <c r="I45" s="867"/>
      <c r="J45" s="1049"/>
      <c r="K45" s="867"/>
    </row>
    <row r="46" spans="1:21" ht="18" hidden="1" x14ac:dyDescent="0.25">
      <c r="A46" s="326" t="s">
        <v>386</v>
      </c>
      <c r="B46" s="64">
        <f>+O34</f>
        <v>0</v>
      </c>
      <c r="C46" s="617">
        <f>+C38</f>
        <v>188650</v>
      </c>
      <c r="D46" s="606"/>
      <c r="E46" s="38"/>
      <c r="F46" s="38"/>
      <c r="G46" s="38"/>
      <c r="K46" s="74"/>
    </row>
    <row r="47" spans="1:21" ht="18.75" hidden="1" thickBot="1" x14ac:dyDescent="0.3">
      <c r="A47" s="601" t="s">
        <v>150</v>
      </c>
      <c r="B47" s="426">
        <f>+B46-B45</f>
        <v>-705</v>
      </c>
      <c r="C47" s="618">
        <f>+C46-C45</f>
        <v>-1297725.0000000002</v>
      </c>
      <c r="D47" s="607"/>
      <c r="E47" s="38"/>
      <c r="F47" s="38"/>
      <c r="G47" s="38"/>
    </row>
    <row r="48" spans="1:21" ht="409.5" hidden="1" customHeight="1" x14ac:dyDescent="0.2">
      <c r="E48" s="2944"/>
      <c r="F48" s="2944"/>
      <c r="G48" s="2944"/>
      <c r="H48" s="2944"/>
      <c r="I48" s="2944"/>
      <c r="J48" s="2944"/>
      <c r="K48" s="2944"/>
      <c r="L48" s="2944"/>
      <c r="M48" s="2944"/>
      <c r="N48" s="2944"/>
      <c r="O48" s="2944"/>
      <c r="P48" s="2944"/>
    </row>
    <row r="49" spans="1:14" ht="15.75" hidden="1" x14ac:dyDescent="0.25">
      <c r="E49" s="60"/>
    </row>
    <row r="50" spans="1:14" x14ac:dyDescent="0.2">
      <c r="K50" s="281"/>
      <c r="M50" s="1843"/>
    </row>
    <row r="51" spans="1:14" x14ac:dyDescent="0.2">
      <c r="K51" s="281"/>
      <c r="M51" s="1843"/>
    </row>
    <row r="53" spans="1:14" x14ac:dyDescent="0.2">
      <c r="I53" s="360"/>
      <c r="J53" s="360"/>
      <c r="K53" s="360"/>
    </row>
    <row r="55" spans="1:14" s="1465" customFormat="1" ht="15" x14ac:dyDescent="0.25">
      <c r="A55" s="1464" t="s">
        <v>46</v>
      </c>
      <c r="B55" s="1464" t="s">
        <v>819</v>
      </c>
      <c r="C55" s="1464" t="s">
        <v>255</v>
      </c>
      <c r="H55" s="1468"/>
      <c r="I55" s="764"/>
      <c r="J55" s="764"/>
      <c r="K55" s="764"/>
      <c r="L55" s="1468"/>
      <c r="M55" s="1843"/>
      <c r="N55" s="1468"/>
    </row>
    <row r="56" spans="1:14" ht="15" x14ac:dyDescent="0.25">
      <c r="A56" s="1083" t="s">
        <v>594</v>
      </c>
      <c r="B56" s="326" t="s">
        <v>246</v>
      </c>
      <c r="C56" s="326">
        <v>5</v>
      </c>
    </row>
    <row r="57" spans="1:14" ht="15" x14ac:dyDescent="0.25">
      <c r="A57" s="1083" t="s">
        <v>178</v>
      </c>
      <c r="B57" s="326" t="s">
        <v>246</v>
      </c>
      <c r="C57" s="326">
        <v>10</v>
      </c>
    </row>
    <row r="61" spans="1:14" x14ac:dyDescent="0.2">
      <c r="E61" s="667"/>
    </row>
  </sheetData>
  <mergeCells count="3">
    <mergeCell ref="S7:U7"/>
    <mergeCell ref="I5:K5"/>
    <mergeCell ref="E48:P48"/>
  </mergeCells>
  <printOptions horizontalCentered="1"/>
  <pageMargins left="0.19685039370078741" right="0.19685039370078741" top="0.39370078740157483" bottom="0.39370078740157483" header="0.31496062992125984" footer="0.31496062992125984"/>
  <pageSetup paperSize="9" scale="6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AE64"/>
  <sheetViews>
    <sheetView zoomScaleNormal="100" workbookViewId="0">
      <selection activeCell="B10" sqref="B10:D18"/>
    </sheetView>
  </sheetViews>
  <sheetFormatPr baseColWidth="10" defaultRowHeight="12.75" x14ac:dyDescent="0.2"/>
  <cols>
    <col min="1" max="1" width="14.140625" style="39" customWidth="1"/>
    <col min="2" max="2" width="15.140625" style="39" customWidth="1"/>
    <col min="3" max="3" width="20.140625" style="39" bestFit="1" customWidth="1"/>
    <col min="4" max="4" width="14.5703125" style="39" customWidth="1"/>
    <col min="5" max="5" width="17" style="39" customWidth="1"/>
    <col min="6" max="6" width="23.42578125" style="39" customWidth="1"/>
    <col min="7" max="7" width="16.28515625" style="39" hidden="1" customWidth="1"/>
    <col min="8" max="8" width="17.42578125" style="39" customWidth="1"/>
    <col min="9" max="10" width="11.42578125" style="39"/>
    <col min="11" max="11" width="15" style="39" bestFit="1" customWidth="1"/>
    <col min="12" max="18" width="11.42578125" style="39"/>
    <col min="19" max="20" width="11.42578125" style="39" customWidth="1"/>
    <col min="21" max="16384" width="11.42578125" style="39"/>
  </cols>
  <sheetData>
    <row r="1" spans="1:18" ht="18.75" x14ac:dyDescent="0.25">
      <c r="A1" s="335" t="s">
        <v>170</v>
      </c>
      <c r="B1" s="32"/>
      <c r="C1" s="32"/>
      <c r="D1" s="19"/>
      <c r="E1" s="38"/>
      <c r="F1" s="38"/>
      <c r="G1" s="38"/>
    </row>
    <row r="2" spans="1:18" ht="18.75" x14ac:dyDescent="0.25">
      <c r="A2" s="332" t="s">
        <v>212</v>
      </c>
      <c r="B2" s="32"/>
      <c r="C2" s="32"/>
      <c r="D2" s="19"/>
      <c r="E2" s="38"/>
      <c r="F2" s="38"/>
      <c r="G2" s="38"/>
    </row>
    <row r="3" spans="1:18" s="250" customFormat="1" ht="18.75" x14ac:dyDescent="0.25">
      <c r="B3" s="19"/>
      <c r="C3" s="19"/>
      <c r="D3" s="19"/>
      <c r="E3" s="139"/>
      <c r="F3" s="139"/>
      <c r="G3" s="139"/>
      <c r="R3" s="389" t="s">
        <v>241</v>
      </c>
    </row>
    <row r="4" spans="1:18" ht="18.75" x14ac:dyDescent="0.25">
      <c r="A4" s="38"/>
      <c r="B4" s="2945" t="s">
        <v>157</v>
      </c>
      <c r="C4" s="2946"/>
      <c r="D4" s="2946"/>
      <c r="E4" s="2946"/>
      <c r="F4" s="2946"/>
      <c r="G4" s="2947"/>
    </row>
    <row r="5" spans="1:18" ht="18.75" x14ac:dyDescent="0.3">
      <c r="A5" s="36" t="s">
        <v>19</v>
      </c>
      <c r="B5" s="142">
        <f>+'ecart pp'!B5</f>
        <v>43221</v>
      </c>
      <c r="C5" s="38"/>
      <c r="D5" s="38"/>
      <c r="E5" s="38"/>
      <c r="F5" s="38"/>
      <c r="G5" s="38"/>
      <c r="J5" s="39">
        <f>580*584</f>
        <v>338720</v>
      </c>
    </row>
    <row r="6" spans="1:18" ht="18.75" x14ac:dyDescent="0.3">
      <c r="A6" s="38"/>
      <c r="B6" s="2948" t="s">
        <v>41</v>
      </c>
      <c r="C6" s="2948"/>
      <c r="D6" s="2948"/>
      <c r="E6" s="2948"/>
      <c r="F6" s="38"/>
      <c r="G6" s="38"/>
      <c r="J6" s="39" t="s">
        <v>981</v>
      </c>
    </row>
    <row r="7" spans="1:18" ht="18.75" x14ac:dyDescent="0.3">
      <c r="A7" s="36"/>
      <c r="B7" s="2948" t="s">
        <v>36</v>
      </c>
      <c r="C7" s="2948"/>
      <c r="D7" s="2948"/>
      <c r="E7" s="2948"/>
      <c r="F7" s="38"/>
      <c r="G7" s="38"/>
      <c r="K7" s="39">
        <f>3000000+40000</f>
        <v>3040000</v>
      </c>
      <c r="O7" s="39">
        <f>+K7+10000+1500+350</f>
        <v>3051850</v>
      </c>
    </row>
    <row r="8" spans="1:18" ht="18.75" x14ac:dyDescent="0.3">
      <c r="A8" s="38"/>
      <c r="B8" s="213">
        <v>630</v>
      </c>
      <c r="C8" s="213">
        <v>575</v>
      </c>
      <c r="D8" s="214">
        <v>350</v>
      </c>
      <c r="E8" s="215"/>
      <c r="F8" s="38"/>
      <c r="G8" s="38"/>
      <c r="H8" s="904"/>
      <c r="K8" s="39">
        <f>+K7/10000</f>
        <v>304</v>
      </c>
    </row>
    <row r="9" spans="1:18" ht="18.75" x14ac:dyDescent="0.3">
      <c r="A9" s="339" t="s">
        <v>3</v>
      </c>
      <c r="B9" s="88" t="s">
        <v>15</v>
      </c>
      <c r="C9" s="88" t="s">
        <v>16</v>
      </c>
      <c r="D9" s="336" t="s">
        <v>17</v>
      </c>
      <c r="E9" s="88" t="s">
        <v>155</v>
      </c>
      <c r="F9" s="88" t="s">
        <v>39</v>
      </c>
      <c r="G9" s="38"/>
    </row>
    <row r="10" spans="1:18" ht="19.5" x14ac:dyDescent="0.35">
      <c r="A10" s="216">
        <v>44105</v>
      </c>
      <c r="B10" s="1946">
        <v>428</v>
      </c>
      <c r="C10" s="1946">
        <v>4874</v>
      </c>
      <c r="D10" s="1946">
        <v>0</v>
      </c>
      <c r="E10" s="1870">
        <f t="shared" ref="E10:E40" si="0">+B10+C10+D10</f>
        <v>5302</v>
      </c>
      <c r="F10" s="1871">
        <f t="shared" ref="F10:F40" si="1">B10*B$8+C10*C$8+D10*D$8</f>
        <v>3072190</v>
      </c>
      <c r="G10" s="318" t="e">
        <f>+'Cont recet ss'!#REF!-ventes!F10</f>
        <v>#REF!</v>
      </c>
      <c r="J10" s="42" t="s">
        <v>156</v>
      </c>
      <c r="K10" s="42"/>
      <c r="L10" s="42"/>
      <c r="N10" s="42"/>
    </row>
    <row r="11" spans="1:18" ht="19.5" x14ac:dyDescent="0.35">
      <c r="A11" s="216">
        <f>+A10+1</f>
        <v>44106</v>
      </c>
      <c r="B11" s="1946">
        <v>381</v>
      </c>
      <c r="C11" s="1946">
        <v>1542</v>
      </c>
      <c r="D11" s="1946">
        <v>0</v>
      </c>
      <c r="E11" s="1870">
        <f t="shared" si="0"/>
        <v>1923</v>
      </c>
      <c r="F11" s="1871">
        <f t="shared" si="1"/>
        <v>1126680</v>
      </c>
      <c r="G11" s="318" t="e">
        <f>+'Cont recet ss'!#REF!-ventes!F11</f>
        <v>#REF!</v>
      </c>
    </row>
    <row r="12" spans="1:18" ht="19.5" x14ac:dyDescent="0.35">
      <c r="A12" s="216">
        <f t="shared" ref="A12:A41" si="2">+A11+1</f>
        <v>44107</v>
      </c>
      <c r="B12" s="1946">
        <v>399</v>
      </c>
      <c r="C12" s="1946">
        <v>4163</v>
      </c>
      <c r="D12" s="1946"/>
      <c r="E12" s="1870">
        <f t="shared" si="0"/>
        <v>4562</v>
      </c>
      <c r="F12" s="1871">
        <f t="shared" si="1"/>
        <v>2645095</v>
      </c>
      <c r="G12" s="318" t="e">
        <f>+'Cont recet ss'!#REF!-ventes!F12</f>
        <v>#REF!</v>
      </c>
    </row>
    <row r="13" spans="1:18" ht="19.5" x14ac:dyDescent="0.35">
      <c r="A13" s="216">
        <f t="shared" si="2"/>
        <v>44108</v>
      </c>
      <c r="B13" s="1946">
        <v>437</v>
      </c>
      <c r="C13" s="1946">
        <v>4523</v>
      </c>
      <c r="D13" s="1946">
        <v>0</v>
      </c>
      <c r="E13" s="1870">
        <f t="shared" si="0"/>
        <v>4960</v>
      </c>
      <c r="F13" s="1871">
        <f t="shared" si="1"/>
        <v>2876035</v>
      </c>
      <c r="G13" s="318" t="e">
        <f>+'Cont recet ss'!#REF!-ventes!F13</f>
        <v>#REF!</v>
      </c>
    </row>
    <row r="14" spans="1:18" ht="19.5" x14ac:dyDescent="0.35">
      <c r="A14" s="216">
        <f t="shared" si="2"/>
        <v>44109</v>
      </c>
      <c r="B14" s="1946">
        <v>640</v>
      </c>
      <c r="C14" s="1946">
        <v>2714</v>
      </c>
      <c r="D14" s="1946">
        <v>0</v>
      </c>
      <c r="E14" s="1870">
        <f t="shared" si="0"/>
        <v>3354</v>
      </c>
      <c r="F14" s="1871">
        <f t="shared" si="1"/>
        <v>1963750</v>
      </c>
      <c r="G14" s="318" t="e">
        <f>+'Cont recet ss'!#REF!-ventes!F14</f>
        <v>#REF!</v>
      </c>
    </row>
    <row r="15" spans="1:18" ht="19.5" x14ac:dyDescent="0.35">
      <c r="A15" s="216">
        <f t="shared" si="2"/>
        <v>44110</v>
      </c>
      <c r="B15" s="1946">
        <v>408</v>
      </c>
      <c r="C15" s="1946">
        <v>5104</v>
      </c>
      <c r="D15" s="1946">
        <v>0</v>
      </c>
      <c r="E15" s="1870">
        <f t="shared" si="0"/>
        <v>5512</v>
      </c>
      <c r="F15" s="1871">
        <f t="shared" si="1"/>
        <v>3191840</v>
      </c>
      <c r="G15" s="318" t="e">
        <f>+'Cont recet ss'!#REF!-ventes!F15</f>
        <v>#REF!</v>
      </c>
    </row>
    <row r="16" spans="1:18" ht="19.5" x14ac:dyDescent="0.35">
      <c r="A16" s="216">
        <f t="shared" si="2"/>
        <v>44111</v>
      </c>
      <c r="B16" s="1946">
        <v>552</v>
      </c>
      <c r="C16" s="1946">
        <v>8455</v>
      </c>
      <c r="D16" s="1946">
        <v>0</v>
      </c>
      <c r="E16" s="1870">
        <f t="shared" si="0"/>
        <v>9007</v>
      </c>
      <c r="F16" s="1871">
        <f t="shared" si="1"/>
        <v>5209385</v>
      </c>
      <c r="G16" s="318" t="e">
        <f>+'Cont recet ss'!#REF!-ventes!F16</f>
        <v>#REF!</v>
      </c>
    </row>
    <row r="17" spans="1:31" ht="19.5" x14ac:dyDescent="0.35">
      <c r="A17" s="216">
        <f t="shared" si="2"/>
        <v>44112</v>
      </c>
      <c r="B17" s="1946">
        <v>426</v>
      </c>
      <c r="C17" s="1946">
        <v>2448</v>
      </c>
      <c r="D17" s="1946">
        <v>0</v>
      </c>
      <c r="E17" s="1870">
        <f t="shared" si="0"/>
        <v>2874</v>
      </c>
      <c r="F17" s="1871">
        <f t="shared" si="1"/>
        <v>1675980</v>
      </c>
      <c r="G17" s="318" t="e">
        <f>+'Cont recet ss'!#REF!-ventes!F17</f>
        <v>#REF!</v>
      </c>
    </row>
    <row r="18" spans="1:31" s="250" customFormat="1" ht="19.5" x14ac:dyDescent="0.35">
      <c r="A18" s="216">
        <f t="shared" si="2"/>
        <v>44113</v>
      </c>
      <c r="B18" s="1946">
        <v>473</v>
      </c>
      <c r="C18" s="1946">
        <v>2885</v>
      </c>
      <c r="D18" s="1946">
        <v>0</v>
      </c>
      <c r="E18" s="1870">
        <f t="shared" si="0"/>
        <v>3358</v>
      </c>
      <c r="F18" s="1871">
        <f t="shared" si="1"/>
        <v>1956865</v>
      </c>
      <c r="G18" s="624" t="e">
        <f>+'Cont recet ss'!#REF!-ventes!F18</f>
        <v>#REF!</v>
      </c>
    </row>
    <row r="19" spans="1:31" ht="19.5" x14ac:dyDescent="0.35">
      <c r="A19" s="216">
        <f t="shared" si="2"/>
        <v>44114</v>
      </c>
      <c r="B19" s="1946"/>
      <c r="C19" s="1946"/>
      <c r="D19" s="1946"/>
      <c r="E19" s="1870">
        <f t="shared" si="0"/>
        <v>0</v>
      </c>
      <c r="F19" s="1871">
        <f t="shared" si="1"/>
        <v>0</v>
      </c>
      <c r="G19" s="318" t="e">
        <f>+'Cont recet ss'!#REF!-ventes!F19</f>
        <v>#REF!</v>
      </c>
    </row>
    <row r="20" spans="1:31" ht="19.5" x14ac:dyDescent="0.35">
      <c r="A20" s="216">
        <f t="shared" si="2"/>
        <v>44115</v>
      </c>
      <c r="B20" s="1946"/>
      <c r="C20" s="1946"/>
      <c r="D20" s="1946"/>
      <c r="E20" s="1870">
        <f t="shared" si="0"/>
        <v>0</v>
      </c>
      <c r="F20" s="1871">
        <f t="shared" si="1"/>
        <v>0</v>
      </c>
      <c r="G20" s="318" t="e">
        <f>+'Cont recet ss'!#REF!-ventes!F20</f>
        <v>#REF!</v>
      </c>
    </row>
    <row r="21" spans="1:31" ht="19.5" x14ac:dyDescent="0.35">
      <c r="A21" s="216">
        <f t="shared" si="2"/>
        <v>44116</v>
      </c>
      <c r="B21" s="1946"/>
      <c r="C21" s="1946"/>
      <c r="D21" s="1946"/>
      <c r="E21" s="1870">
        <f t="shared" si="0"/>
        <v>0</v>
      </c>
      <c r="F21" s="1871">
        <f t="shared" si="1"/>
        <v>0</v>
      </c>
      <c r="G21" s="318" t="e">
        <f>+'Cont recet ss'!#REF!-ventes!F21</f>
        <v>#REF!</v>
      </c>
      <c r="AA21" s="39" t="s">
        <v>966</v>
      </c>
    </row>
    <row r="22" spans="1:31" ht="19.5" x14ac:dyDescent="0.35">
      <c r="A22" s="216">
        <f t="shared" si="2"/>
        <v>44117</v>
      </c>
      <c r="B22" s="1946"/>
      <c r="C22" s="1946"/>
      <c r="D22" s="1946"/>
      <c r="E22" s="1870">
        <f t="shared" si="0"/>
        <v>0</v>
      </c>
      <c r="F22" s="1871">
        <f t="shared" si="1"/>
        <v>0</v>
      </c>
      <c r="G22" s="318" t="e">
        <f>+'Cont recet ss'!#REF!-ventes!F22</f>
        <v>#REF!</v>
      </c>
    </row>
    <row r="23" spans="1:31" ht="19.5" x14ac:dyDescent="0.35">
      <c r="A23" s="216">
        <f t="shared" si="2"/>
        <v>44118</v>
      </c>
      <c r="B23" s="1946"/>
      <c r="C23" s="1946"/>
      <c r="D23" s="1946"/>
      <c r="E23" s="1870">
        <f t="shared" si="0"/>
        <v>0</v>
      </c>
      <c r="F23" s="1871">
        <f t="shared" si="1"/>
        <v>0</v>
      </c>
      <c r="G23" s="318" t="e">
        <f>+'Cont recet ss'!#REF!-ventes!F23</f>
        <v>#REF!</v>
      </c>
    </row>
    <row r="24" spans="1:31" ht="19.5" x14ac:dyDescent="0.35">
      <c r="A24" s="216">
        <f t="shared" si="2"/>
        <v>44119</v>
      </c>
      <c r="B24" s="1946"/>
      <c r="C24" s="1946"/>
      <c r="D24" s="1946"/>
      <c r="E24" s="1870">
        <f t="shared" si="0"/>
        <v>0</v>
      </c>
      <c r="F24" s="1871">
        <f t="shared" si="1"/>
        <v>0</v>
      </c>
      <c r="G24" s="318" t="e">
        <f>+'Cont recet ss'!#REF!-ventes!F24</f>
        <v>#REF!</v>
      </c>
    </row>
    <row r="25" spans="1:31" ht="19.5" x14ac:dyDescent="0.35">
      <c r="A25" s="216">
        <f t="shared" si="2"/>
        <v>44120</v>
      </c>
      <c r="B25" s="1880"/>
      <c r="C25" s="1881"/>
      <c r="D25" s="1881"/>
      <c r="E25" s="1870">
        <f t="shared" si="0"/>
        <v>0</v>
      </c>
      <c r="F25" s="1871">
        <f t="shared" si="1"/>
        <v>0</v>
      </c>
      <c r="G25" s="318" t="e">
        <f>+'Cont recet ss'!#REF!-ventes!F25</f>
        <v>#REF!</v>
      </c>
    </row>
    <row r="26" spans="1:31" ht="19.5" x14ac:dyDescent="0.35">
      <c r="A26" s="216">
        <f t="shared" si="2"/>
        <v>44121</v>
      </c>
      <c r="B26" s="1880"/>
      <c r="C26" s="1881"/>
      <c r="D26" s="1881"/>
      <c r="E26" s="1870">
        <f t="shared" si="0"/>
        <v>0</v>
      </c>
      <c r="F26" s="1871">
        <f t="shared" si="1"/>
        <v>0</v>
      </c>
      <c r="G26" s="318" t="e">
        <f>+'Cont recet ss'!#REF!-ventes!F26</f>
        <v>#REF!</v>
      </c>
      <c r="AE26" s="39" t="s">
        <v>965</v>
      </c>
    </row>
    <row r="27" spans="1:31" ht="19.5" x14ac:dyDescent="0.35">
      <c r="A27" s="216">
        <f t="shared" si="2"/>
        <v>44122</v>
      </c>
      <c r="B27" s="1880"/>
      <c r="C27" s="1881"/>
      <c r="D27" s="1881"/>
      <c r="E27" s="1870">
        <f t="shared" si="0"/>
        <v>0</v>
      </c>
      <c r="F27" s="1871">
        <f t="shared" si="1"/>
        <v>0</v>
      </c>
      <c r="G27" s="318" t="e">
        <f>+'Cont recet ss'!#REF!-ventes!F27</f>
        <v>#REF!</v>
      </c>
    </row>
    <row r="28" spans="1:31" ht="19.5" x14ac:dyDescent="0.35">
      <c r="A28" s="216">
        <f t="shared" si="2"/>
        <v>44123</v>
      </c>
      <c r="B28" s="1880"/>
      <c r="C28" s="1881"/>
      <c r="D28" s="1881"/>
      <c r="E28" s="1870">
        <f t="shared" si="0"/>
        <v>0</v>
      </c>
      <c r="F28" s="1871">
        <f t="shared" si="1"/>
        <v>0</v>
      </c>
      <c r="G28" s="318" t="e">
        <f>+'Cont recet ss'!#REF!-ventes!F28</f>
        <v>#REF!</v>
      </c>
    </row>
    <row r="29" spans="1:31" ht="19.5" x14ac:dyDescent="0.35">
      <c r="A29" s="216">
        <f t="shared" si="2"/>
        <v>44124</v>
      </c>
      <c r="B29" s="1880"/>
      <c r="C29" s="1881"/>
      <c r="D29" s="1881"/>
      <c r="E29" s="1870">
        <f t="shared" si="0"/>
        <v>0</v>
      </c>
      <c r="F29" s="1871">
        <f t="shared" si="1"/>
        <v>0</v>
      </c>
      <c r="G29" s="318" t="e">
        <f>+'Cont recet ss'!#REF!-ventes!F29</f>
        <v>#REF!</v>
      </c>
    </row>
    <row r="30" spans="1:31" ht="19.5" x14ac:dyDescent="0.35">
      <c r="A30" s="216">
        <f t="shared" si="2"/>
        <v>44125</v>
      </c>
      <c r="B30" s="1880"/>
      <c r="C30" s="1881"/>
      <c r="D30" s="1881"/>
      <c r="E30" s="1870">
        <f t="shared" si="0"/>
        <v>0</v>
      </c>
      <c r="F30" s="1871">
        <f t="shared" si="1"/>
        <v>0</v>
      </c>
      <c r="G30" s="318" t="e">
        <f>+'Cont recet ss'!#REF!-ventes!F30</f>
        <v>#REF!</v>
      </c>
    </row>
    <row r="31" spans="1:31" ht="19.5" x14ac:dyDescent="0.35">
      <c r="A31" s="216">
        <f t="shared" si="2"/>
        <v>44126</v>
      </c>
      <c r="B31" s="1880"/>
      <c r="C31" s="1881"/>
      <c r="D31" s="1881"/>
      <c r="E31" s="1870">
        <f t="shared" si="0"/>
        <v>0</v>
      </c>
      <c r="F31" s="1871">
        <f t="shared" si="1"/>
        <v>0</v>
      </c>
      <c r="G31" s="318" t="e">
        <f>+'Cont recet ss'!#REF!-ventes!F31</f>
        <v>#REF!</v>
      </c>
    </row>
    <row r="32" spans="1:31" ht="19.5" x14ac:dyDescent="0.35">
      <c r="A32" s="216">
        <f t="shared" si="2"/>
        <v>44127</v>
      </c>
      <c r="B32" s="1880"/>
      <c r="C32" s="1881"/>
      <c r="D32" s="1881"/>
      <c r="E32" s="1870">
        <f t="shared" si="0"/>
        <v>0</v>
      </c>
      <c r="F32" s="1871">
        <f t="shared" si="1"/>
        <v>0</v>
      </c>
      <c r="G32" s="318" t="e">
        <f>+'Cont recet ss'!#REF!-ventes!F32</f>
        <v>#REF!</v>
      </c>
    </row>
    <row r="33" spans="1:20" ht="19.5" x14ac:dyDescent="0.35">
      <c r="A33" s="216">
        <f t="shared" si="2"/>
        <v>44128</v>
      </c>
      <c r="B33" s="1880"/>
      <c r="C33" s="1881"/>
      <c r="D33" s="1881"/>
      <c r="E33" s="1870">
        <f t="shared" si="0"/>
        <v>0</v>
      </c>
      <c r="F33" s="1871">
        <f t="shared" si="1"/>
        <v>0</v>
      </c>
      <c r="G33" s="375" t="e">
        <f>+'Cont recet ss'!#REF!-ventes!F33</f>
        <v>#REF!</v>
      </c>
    </row>
    <row r="34" spans="1:20" ht="19.5" x14ac:dyDescent="0.35">
      <c r="A34" s="216">
        <f t="shared" si="2"/>
        <v>44129</v>
      </c>
      <c r="B34" s="1880"/>
      <c r="C34" s="1881"/>
      <c r="D34" s="1881"/>
      <c r="E34" s="1870">
        <f t="shared" si="0"/>
        <v>0</v>
      </c>
      <c r="F34" s="1871">
        <f t="shared" si="1"/>
        <v>0</v>
      </c>
      <c r="G34" s="375" t="e">
        <f>+'Cont recet ss'!#REF!-ventes!F34</f>
        <v>#REF!</v>
      </c>
      <c r="I34" s="39">
        <v>0</v>
      </c>
    </row>
    <row r="35" spans="1:20" ht="19.5" x14ac:dyDescent="0.35">
      <c r="A35" s="216">
        <f t="shared" si="2"/>
        <v>44130</v>
      </c>
      <c r="B35" s="1880"/>
      <c r="C35" s="1881"/>
      <c r="D35" s="1881"/>
      <c r="E35" s="1870">
        <f t="shared" si="0"/>
        <v>0</v>
      </c>
      <c r="F35" s="1871">
        <f t="shared" si="1"/>
        <v>0</v>
      </c>
      <c r="G35" s="375" t="e">
        <f>+'Cont recet ss'!#REF!-ventes!F35</f>
        <v>#REF!</v>
      </c>
      <c r="I35" s="95" t="s">
        <v>327</v>
      </c>
    </row>
    <row r="36" spans="1:20" ht="23.25" x14ac:dyDescent="0.35">
      <c r="A36" s="216">
        <f t="shared" si="2"/>
        <v>44131</v>
      </c>
      <c r="B36" s="1880"/>
      <c r="C36" s="1881"/>
      <c r="D36" s="1881"/>
      <c r="E36" s="1870">
        <f t="shared" si="0"/>
        <v>0</v>
      </c>
      <c r="F36" s="1871">
        <f t="shared" si="1"/>
        <v>0</v>
      </c>
      <c r="G36" s="375" t="e">
        <f>+'Cont recet ss'!#REF!-ventes!F36</f>
        <v>#REF!</v>
      </c>
      <c r="I36" s="629" t="s">
        <v>397</v>
      </c>
      <c r="J36" s="328"/>
      <c r="K36" s="37"/>
      <c r="L36" s="37"/>
      <c r="M36" s="37"/>
      <c r="N36" s="37"/>
      <c r="O36" s="37"/>
      <c r="P36" s="37"/>
      <c r="Q36" s="37"/>
      <c r="R36" s="37"/>
      <c r="S36" s="37"/>
      <c r="T36" s="37"/>
    </row>
    <row r="37" spans="1:20" ht="23.25" x14ac:dyDescent="0.35">
      <c r="A37" s="216">
        <f t="shared" si="2"/>
        <v>44132</v>
      </c>
      <c r="B37" s="1880"/>
      <c r="C37" s="1881"/>
      <c r="D37" s="1881"/>
      <c r="E37" s="1870">
        <f t="shared" si="0"/>
        <v>0</v>
      </c>
      <c r="F37" s="1871">
        <f t="shared" si="1"/>
        <v>0</v>
      </c>
      <c r="G37" s="375" t="e">
        <f>+'Cont recet ss'!#REF!-ventes!F37</f>
        <v>#REF!</v>
      </c>
      <c r="H37" s="38"/>
      <c r="I37" s="629" t="s">
        <v>349</v>
      </c>
      <c r="J37" s="232"/>
      <c r="K37" s="37"/>
      <c r="L37" s="37"/>
      <c r="M37" s="37"/>
      <c r="N37" s="37"/>
      <c r="O37" s="37"/>
      <c r="P37" s="37"/>
      <c r="Q37" s="37"/>
      <c r="R37" s="37"/>
      <c r="S37" s="37"/>
      <c r="T37" s="37"/>
    </row>
    <row r="38" spans="1:20" ht="23.25" x14ac:dyDescent="0.35">
      <c r="A38" s="216">
        <f t="shared" si="2"/>
        <v>44133</v>
      </c>
      <c r="B38" s="1880"/>
      <c r="C38" s="1881"/>
      <c r="D38" s="1881"/>
      <c r="E38" s="1870">
        <f t="shared" si="0"/>
        <v>0</v>
      </c>
      <c r="F38" s="1871">
        <f t="shared" si="1"/>
        <v>0</v>
      </c>
      <c r="G38" s="375" t="e">
        <f>+'Cont recet ss'!#REF!-ventes!F38</f>
        <v>#REF!</v>
      </c>
      <c r="H38" s="1163"/>
      <c r="I38" s="630" t="s">
        <v>346</v>
      </c>
      <c r="J38" s="628"/>
      <c r="K38" s="47"/>
      <c r="L38" s="47"/>
      <c r="M38" s="47"/>
      <c r="N38" s="47"/>
      <c r="O38" s="37"/>
      <c r="P38" s="37"/>
      <c r="Q38" s="37"/>
      <c r="R38" s="37"/>
      <c r="S38" s="37"/>
      <c r="T38" s="37"/>
    </row>
    <row r="39" spans="1:20" ht="23.25" x14ac:dyDescent="0.35">
      <c r="A39" s="216">
        <f t="shared" si="2"/>
        <v>44134</v>
      </c>
      <c r="B39" s="1880"/>
      <c r="C39" s="1881"/>
      <c r="D39" s="1881"/>
      <c r="E39" s="1870">
        <f t="shared" si="0"/>
        <v>0</v>
      </c>
      <c r="F39" s="1871">
        <f t="shared" si="1"/>
        <v>0</v>
      </c>
      <c r="G39" s="375" t="e">
        <f>+'Cont recet ss'!#REF!-ventes!F39</f>
        <v>#REF!</v>
      </c>
      <c r="H39" s="1163"/>
      <c r="I39" s="630" t="s">
        <v>347</v>
      </c>
      <c r="J39" s="628"/>
      <c r="K39" s="47"/>
      <c r="L39" s="47"/>
      <c r="M39" s="47"/>
      <c r="N39" s="47"/>
      <c r="O39" s="37"/>
      <c r="P39" s="37"/>
      <c r="Q39" s="37"/>
      <c r="R39" s="37"/>
      <c r="S39" s="37"/>
      <c r="T39" s="37"/>
    </row>
    <row r="40" spans="1:20" ht="21.75" customHeight="1" x14ac:dyDescent="0.35">
      <c r="A40" s="216">
        <f t="shared" si="2"/>
        <v>44135</v>
      </c>
      <c r="B40" s="1880"/>
      <c r="C40" s="1881"/>
      <c r="D40" s="1881">
        <v>0</v>
      </c>
      <c r="E40" s="1870">
        <f t="shared" si="0"/>
        <v>0</v>
      </c>
      <c r="F40" s="1871">
        <f t="shared" si="1"/>
        <v>0</v>
      </c>
      <c r="G40" s="375" t="e">
        <f>+'Cont recet ss'!#REF!-ventes!F40</f>
        <v>#REF!</v>
      </c>
      <c r="H40" s="1163"/>
    </row>
    <row r="41" spans="1:20" ht="21.75" customHeight="1" x14ac:dyDescent="0.35">
      <c r="A41" s="216">
        <f t="shared" si="2"/>
        <v>44136</v>
      </c>
      <c r="B41" s="1947"/>
      <c r="C41" s="1947"/>
      <c r="D41" s="1947"/>
      <c r="E41" s="1870">
        <f>+B41+C41+D41</f>
        <v>0</v>
      </c>
      <c r="F41" s="1871">
        <f>B41*B$8+C41*C$8+D41*D$8</f>
        <v>0</v>
      </c>
      <c r="G41" s="375"/>
      <c r="H41" s="1163"/>
    </row>
    <row r="42" spans="1:20" s="250" customFormat="1" ht="23.25" x14ac:dyDescent="0.35">
      <c r="A42" s="353" t="s">
        <v>18</v>
      </c>
      <c r="B42" s="651">
        <f>SUM(B10:B41)</f>
        <v>4144</v>
      </c>
      <c r="C42" s="651">
        <f>SUM(C10:C41)</f>
        <v>36708</v>
      </c>
      <c r="D42" s="651">
        <f>SUM(D10:D41)</f>
        <v>0</v>
      </c>
      <c r="E42" s="651">
        <f>SUM(E10:E41)</f>
        <v>40852</v>
      </c>
      <c r="F42" s="651">
        <f>SUM(F10:F41)</f>
        <v>23717820</v>
      </c>
      <c r="G42" s="625"/>
      <c r="H42" s="39"/>
      <c r="I42" s="631" t="s">
        <v>348</v>
      </c>
      <c r="J42" s="43"/>
      <c r="K42" s="43"/>
      <c r="L42" s="43"/>
      <c r="M42" s="43"/>
      <c r="N42" s="43"/>
      <c r="O42" s="38"/>
      <c r="P42" s="38"/>
      <c r="Q42" s="39"/>
      <c r="R42" s="39"/>
      <c r="S42" s="39"/>
      <c r="T42" s="39"/>
    </row>
    <row r="43" spans="1:20" ht="23.25" x14ac:dyDescent="0.35">
      <c r="A43" s="654" t="s">
        <v>103</v>
      </c>
      <c r="B43" s="43"/>
      <c r="C43" s="758">
        <f>B42+C42+D42</f>
        <v>40852</v>
      </c>
      <c r="D43" s="43"/>
      <c r="E43" s="89">
        <v>270000</v>
      </c>
      <c r="F43" s="217"/>
      <c r="G43" s="38"/>
      <c r="I43" s="632" t="s">
        <v>350</v>
      </c>
      <c r="J43" s="483"/>
      <c r="K43" s="483"/>
      <c r="L43" s="483"/>
      <c r="M43" s="483"/>
      <c r="N43" s="483"/>
      <c r="O43" s="149"/>
      <c r="P43" s="149"/>
      <c r="Q43" s="325"/>
      <c r="R43" s="325"/>
      <c r="S43" s="250"/>
      <c r="T43" s="250"/>
    </row>
    <row r="44" spans="1:20" ht="18.75" x14ac:dyDescent="0.3">
      <c r="A44" s="655" t="s">
        <v>104</v>
      </c>
      <c r="B44" s="170">
        <f>B42/(31-COUNTBLANK(B10:B40))</f>
        <v>460.44444444444446</v>
      </c>
      <c r="C44" s="669">
        <f>C42/(31-COUNTBLANK(C10:C40))</f>
        <v>4078.6666666666665</v>
      </c>
      <c r="D44" s="170">
        <f>D42/(31-COUNTBLANK(D10:D40))</f>
        <v>0</v>
      </c>
      <c r="E44" s="2289">
        <f>+E42-E43</f>
        <v>-229148</v>
      </c>
      <c r="F44" s="1011"/>
      <c r="G44" s="38"/>
      <c r="H44" s="628"/>
      <c r="I44" s="334"/>
      <c r="J44" s="47"/>
      <c r="K44" s="47"/>
      <c r="L44" s="47"/>
      <c r="M44" s="47"/>
      <c r="N44" s="47"/>
    </row>
    <row r="45" spans="1:20" ht="18.75" x14ac:dyDescent="0.3">
      <c r="A45" s="654" t="s">
        <v>105</v>
      </c>
      <c r="B45" s="38"/>
      <c r="C45" s="652">
        <f>SUM(B44:D44)</f>
        <v>4539.1111111111113</v>
      </c>
      <c r="D45" s="38"/>
      <c r="E45" s="634">
        <f>+E44/15</f>
        <v>-15276.533333333333</v>
      </c>
      <c r="F45" s="1011"/>
      <c r="G45" s="318"/>
      <c r="H45" s="628"/>
      <c r="I45" s="47"/>
      <c r="J45" s="47"/>
      <c r="K45" s="628"/>
      <c r="L45" s="47"/>
      <c r="M45" s="47"/>
      <c r="N45" s="47"/>
    </row>
    <row r="46" spans="1:20" ht="21.75" customHeight="1" x14ac:dyDescent="0.35">
      <c r="A46" s="18"/>
      <c r="B46" s="2139">
        <f>B42-'Cont recet ss'!B15:D15</f>
        <v>0</v>
      </c>
      <c r="C46" s="2139">
        <f>ventes!C42-'Cont recet ss'!F15</f>
        <v>0</v>
      </c>
      <c r="D46" s="2139">
        <f>D42-'Cont recet ss'!E15</f>
        <v>0</v>
      </c>
      <c r="E46" s="2140"/>
      <c r="F46" s="307"/>
      <c r="J46" s="307"/>
    </row>
    <row r="47" spans="1:20" ht="19.5" hidden="1" x14ac:dyDescent="0.35">
      <c r="A47" s="18" t="s">
        <v>105</v>
      </c>
      <c r="B47" s="29">
        <f>+'Cont recet ss'!B15:D15</f>
        <v>4144</v>
      </c>
      <c r="C47" s="29">
        <f>'Cont recet ss'!F15</f>
        <v>36708</v>
      </c>
      <c r="D47" s="29">
        <f>'Cont recet ss'!E15</f>
        <v>0</v>
      </c>
      <c r="E47" s="30"/>
      <c r="F47" s="1399"/>
      <c r="H47" s="307"/>
      <c r="K47" s="307"/>
    </row>
    <row r="48" spans="1:20" ht="19.5" hidden="1" x14ac:dyDescent="0.35">
      <c r="A48" s="18" t="s">
        <v>607</v>
      </c>
      <c r="B48" s="671">
        <f>+B42-B47</f>
        <v>0</v>
      </c>
      <c r="C48" s="671">
        <f>+C47-C42</f>
        <v>0</v>
      </c>
      <c r="D48" s="671">
        <f>+D47-D42</f>
        <v>0</v>
      </c>
      <c r="E48" s="671"/>
      <c r="F48" s="307"/>
      <c r="M48" s="307"/>
    </row>
    <row r="49" spans="1:11" ht="15.75" hidden="1" x14ac:dyDescent="0.25">
      <c r="A49" s="37"/>
      <c r="B49" s="487"/>
      <c r="C49" s="1012">
        <f>+C43-430000</f>
        <v>-389148</v>
      </c>
      <c r="D49" s="487"/>
      <c r="E49" s="317"/>
      <c r="F49" s="317"/>
      <c r="G49" s="317"/>
      <c r="H49" s="317"/>
    </row>
    <row r="50" spans="1:11" s="360" customFormat="1" ht="15.75" hidden="1" x14ac:dyDescent="0.25">
      <c r="A50" s="626"/>
      <c r="B50" s="627"/>
      <c r="C50" s="627"/>
      <c r="D50" s="627"/>
      <c r="E50" s="809"/>
      <c r="F50" s="809"/>
      <c r="G50" s="809"/>
      <c r="H50" s="809"/>
    </row>
    <row r="51" spans="1:11" hidden="1" x14ac:dyDescent="0.2">
      <c r="C51" s="307"/>
      <c r="F51" s="307"/>
    </row>
    <row r="52" spans="1:11" hidden="1" x14ac:dyDescent="0.2">
      <c r="A52" s="39">
        <v>1300</v>
      </c>
      <c r="B52" s="39">
        <v>100</v>
      </c>
      <c r="C52" s="307"/>
    </row>
    <row r="53" spans="1:11" hidden="1" x14ac:dyDescent="0.2">
      <c r="A53" s="39">
        <v>553</v>
      </c>
    </row>
    <row r="54" spans="1:11" ht="15" hidden="1" x14ac:dyDescent="0.25">
      <c r="F54" s="1450"/>
      <c r="G54" s="1450"/>
      <c r="H54" s="1450"/>
      <c r="I54" s="1450" t="s">
        <v>255</v>
      </c>
      <c r="J54" s="1451" t="s">
        <v>245</v>
      </c>
      <c r="K54" s="1451" t="s">
        <v>811</v>
      </c>
    </row>
    <row r="55" spans="1:11" ht="32.25" hidden="1" customHeight="1" x14ac:dyDescent="0.2">
      <c r="C55" s="307"/>
      <c r="F55" s="97"/>
      <c r="G55" s="97"/>
      <c r="H55" s="97"/>
      <c r="I55" s="97">
        <v>200</v>
      </c>
      <c r="J55" s="97">
        <v>609</v>
      </c>
      <c r="K55" s="367">
        <f>+I55*J55</f>
        <v>121800</v>
      </c>
    </row>
    <row r="56" spans="1:11" hidden="1" x14ac:dyDescent="0.2"/>
    <row r="57" spans="1:11" hidden="1" x14ac:dyDescent="0.2"/>
    <row r="58" spans="1:11" hidden="1" x14ac:dyDescent="0.2"/>
    <row r="59" spans="1:11" hidden="1" x14ac:dyDescent="0.2"/>
    <row r="60" spans="1:11" hidden="1" x14ac:dyDescent="0.2">
      <c r="C60" s="319" t="s">
        <v>216</v>
      </c>
      <c r="D60" s="1452">
        <f>-D61+3000000</f>
        <v>2555430</v>
      </c>
    </row>
    <row r="61" spans="1:11" hidden="1" x14ac:dyDescent="0.2">
      <c r="C61" s="319" t="s">
        <v>812</v>
      </c>
      <c r="D61" s="1452">
        <v>444570</v>
      </c>
    </row>
    <row r="62" spans="1:11" ht="15" hidden="1" x14ac:dyDescent="0.25">
      <c r="C62" s="319" t="s">
        <v>18</v>
      </c>
      <c r="D62" s="324">
        <f>SUM(D60:D61)</f>
        <v>3000000</v>
      </c>
      <c r="F62" s="317"/>
    </row>
    <row r="63" spans="1:11" x14ac:dyDescent="0.2">
      <c r="B63" s="317"/>
      <c r="C63" s="317"/>
      <c r="D63" s="317"/>
    </row>
    <row r="64" spans="1:11" x14ac:dyDescent="0.2">
      <c r="B64" s="307"/>
      <c r="C64" s="307"/>
      <c r="D64" s="307"/>
      <c r="F64" s="717"/>
    </row>
  </sheetData>
  <mergeCells count="3">
    <mergeCell ref="B4:G4"/>
    <mergeCell ref="B6:E6"/>
    <mergeCell ref="B7:E7"/>
  </mergeCells>
  <printOptions horizontalCentered="1"/>
  <pageMargins left="0.39370078740157483" right="0.19685039370078741" top="0.35433070866141736" bottom="0.39370078740157483" header="0.23622047244094491" footer="0.31496062992125984"/>
  <pageSetup paperSize="9" scale="10" orientation="landscape"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489"/>
  <sheetViews>
    <sheetView topLeftCell="A1446" workbookViewId="0">
      <selection activeCell="T1462" sqref="T1462"/>
    </sheetView>
  </sheetViews>
  <sheetFormatPr baseColWidth="10" defaultRowHeight="15.75" x14ac:dyDescent="0.25"/>
  <cols>
    <col min="1" max="2" width="11.42578125" style="3"/>
    <col min="3" max="3" width="22.140625" style="3" customWidth="1"/>
    <col min="4" max="4" width="16.85546875" style="3" customWidth="1"/>
    <col min="5" max="5" width="22.140625" style="3" customWidth="1"/>
    <col min="6" max="6" width="14.7109375" style="3" customWidth="1"/>
    <col min="7" max="7" width="23.85546875" style="3" customWidth="1"/>
    <col min="8" max="8" width="16.85546875" hidden="1" customWidth="1"/>
    <col min="9" max="9" width="13.85546875" hidden="1" customWidth="1"/>
    <col min="10" max="10" width="0" hidden="1" customWidth="1"/>
    <col min="11" max="11" width="12" hidden="1" customWidth="1"/>
    <col min="12" max="14" width="0" hidden="1" customWidth="1"/>
  </cols>
  <sheetData>
    <row r="1" spans="1:7" ht="16.5" x14ac:dyDescent="0.3">
      <c r="A1" s="2122" t="s">
        <v>212</v>
      </c>
      <c r="B1" s="2122"/>
      <c r="C1" s="2123"/>
      <c r="D1" s="2123"/>
    </row>
    <row r="2" spans="1:7" ht="16.5" x14ac:dyDescent="0.3">
      <c r="A2" s="2122" t="s">
        <v>170</v>
      </c>
      <c r="B2" s="2122"/>
      <c r="C2" s="2123"/>
      <c r="D2" s="2123"/>
    </row>
    <row r="3" spans="1:7" x14ac:dyDescent="0.25">
      <c r="A3" s="2123"/>
      <c r="B3" s="2123"/>
      <c r="C3" s="2123"/>
      <c r="D3" s="2123"/>
    </row>
    <row r="6" spans="1:7" x14ac:dyDescent="0.25">
      <c r="D6" s="3" t="s">
        <v>1150</v>
      </c>
    </row>
    <row r="11" spans="1:7" s="1478" customFormat="1" ht="33" customHeight="1" x14ac:dyDescent="0.3">
      <c r="A11" s="2124" t="s">
        <v>939</v>
      </c>
      <c r="B11" s="2949" t="s">
        <v>1153</v>
      </c>
      <c r="C11" s="2950"/>
      <c r="D11" s="2124" t="s">
        <v>39</v>
      </c>
      <c r="E11" s="2124" t="s">
        <v>55</v>
      </c>
      <c r="F11" s="2124" t="s">
        <v>1151</v>
      </c>
      <c r="G11" s="2124" t="s">
        <v>1152</v>
      </c>
    </row>
    <row r="12" spans="1:7" s="1478" customFormat="1" ht="16.5" x14ac:dyDescent="0.3">
      <c r="A12" s="2124"/>
      <c r="B12" s="2126"/>
      <c r="C12" s="2126"/>
      <c r="D12" s="2124"/>
      <c r="E12" s="2124"/>
      <c r="F12" s="2124"/>
      <c r="G12" s="2124"/>
    </row>
    <row r="13" spans="1:7" s="51" customFormat="1" x14ac:dyDescent="0.25">
      <c r="A13" s="2125">
        <v>42878</v>
      </c>
      <c r="B13" s="57" t="s">
        <v>1168</v>
      </c>
      <c r="C13" s="57" t="s">
        <v>1169</v>
      </c>
      <c r="D13" s="113">
        <v>100000</v>
      </c>
      <c r="E13" s="113">
        <f>E12+D13</f>
        <v>100000</v>
      </c>
      <c r="F13" s="113"/>
      <c r="G13" s="113">
        <f>G12+D13-F13</f>
        <v>100000</v>
      </c>
    </row>
    <row r="14" spans="1:7" s="51" customFormat="1" x14ac:dyDescent="0.25">
      <c r="A14" s="2125">
        <v>42878</v>
      </c>
      <c r="B14" s="57" t="s">
        <v>1168</v>
      </c>
      <c r="C14" s="57" t="s">
        <v>1170</v>
      </c>
      <c r="D14" s="113">
        <v>100000</v>
      </c>
      <c r="E14" s="113">
        <f>E13+D14</f>
        <v>200000</v>
      </c>
      <c r="F14" s="113"/>
      <c r="G14" s="113">
        <f t="shared" ref="G14:G71" si="0">G13+D14-F14</f>
        <v>200000</v>
      </c>
    </row>
    <row r="15" spans="1:7" s="51" customFormat="1" x14ac:dyDescent="0.25">
      <c r="A15" s="2125">
        <v>42878</v>
      </c>
      <c r="B15" s="57" t="s">
        <v>1168</v>
      </c>
      <c r="C15" s="57" t="s">
        <v>1171</v>
      </c>
      <c r="D15" s="113">
        <v>83000</v>
      </c>
      <c r="E15" s="113">
        <f t="shared" ref="E15:E46" si="1">E14+D15</f>
        <v>283000</v>
      </c>
      <c r="F15" s="113"/>
      <c r="G15" s="113">
        <f t="shared" si="0"/>
        <v>283000</v>
      </c>
    </row>
    <row r="16" spans="1:7" s="51" customFormat="1" x14ac:dyDescent="0.25">
      <c r="A16" s="2125">
        <v>42879</v>
      </c>
      <c r="B16" s="57" t="s">
        <v>1172</v>
      </c>
      <c r="C16" s="57" t="s">
        <v>1173</v>
      </c>
      <c r="D16" s="113">
        <v>35000</v>
      </c>
      <c r="E16" s="113">
        <f t="shared" si="1"/>
        <v>318000</v>
      </c>
      <c r="F16" s="113"/>
      <c r="G16" s="113">
        <f t="shared" si="0"/>
        <v>318000</v>
      </c>
    </row>
    <row r="17" spans="1:7" x14ac:dyDescent="0.25">
      <c r="A17" s="2125">
        <v>42884</v>
      </c>
      <c r="B17" s="57" t="s">
        <v>1174</v>
      </c>
      <c r="C17" s="57"/>
      <c r="D17" s="113">
        <v>191500</v>
      </c>
      <c r="E17" s="113">
        <f t="shared" si="1"/>
        <v>509500</v>
      </c>
      <c r="F17" s="113"/>
      <c r="G17" s="113">
        <f t="shared" si="0"/>
        <v>509500</v>
      </c>
    </row>
    <row r="18" spans="1:7" x14ac:dyDescent="0.25">
      <c r="A18" s="2125">
        <v>42887</v>
      </c>
      <c r="B18" s="57" t="s">
        <v>1175</v>
      </c>
      <c r="C18" s="57"/>
      <c r="D18" s="113">
        <f>516250-150000-65000-100000</f>
        <v>201250</v>
      </c>
      <c r="E18" s="113">
        <f t="shared" si="1"/>
        <v>710750</v>
      </c>
      <c r="F18" s="113"/>
      <c r="G18" s="113">
        <f t="shared" si="0"/>
        <v>710750</v>
      </c>
    </row>
    <row r="19" spans="1:7" x14ac:dyDescent="0.25">
      <c r="A19" s="2125">
        <v>42889</v>
      </c>
      <c r="B19" s="57" t="s">
        <v>1176</v>
      </c>
      <c r="C19" s="57" t="s">
        <v>1177</v>
      </c>
      <c r="D19" s="113">
        <v>100000</v>
      </c>
      <c r="E19" s="113">
        <f t="shared" si="1"/>
        <v>810750</v>
      </c>
      <c r="F19" s="113">
        <v>509500</v>
      </c>
      <c r="G19" s="113">
        <f t="shared" si="0"/>
        <v>301250</v>
      </c>
    </row>
    <row r="20" spans="1:7" x14ac:dyDescent="0.25">
      <c r="A20" s="2125">
        <v>42890</v>
      </c>
      <c r="B20" s="57" t="s">
        <v>1176</v>
      </c>
      <c r="C20" s="57" t="s">
        <v>1178</v>
      </c>
      <c r="D20" s="113">
        <v>150000</v>
      </c>
      <c r="E20" s="113">
        <f t="shared" si="1"/>
        <v>960750</v>
      </c>
      <c r="F20" s="113"/>
      <c r="G20" s="113">
        <f t="shared" si="0"/>
        <v>451250</v>
      </c>
    </row>
    <row r="21" spans="1:7" x14ac:dyDescent="0.25">
      <c r="A21" s="2125">
        <v>42891</v>
      </c>
      <c r="B21" s="57" t="s">
        <v>1179</v>
      </c>
      <c r="C21" s="57" t="s">
        <v>1180</v>
      </c>
      <c r="D21" s="113">
        <v>65000</v>
      </c>
      <c r="E21" s="113">
        <f t="shared" si="1"/>
        <v>1025750</v>
      </c>
      <c r="F21" s="113"/>
      <c r="G21" s="113">
        <f t="shared" si="0"/>
        <v>516250</v>
      </c>
    </row>
    <row r="22" spans="1:7" x14ac:dyDescent="0.25">
      <c r="A22" s="2125">
        <v>42895</v>
      </c>
      <c r="B22" s="57" t="s">
        <v>1179</v>
      </c>
      <c r="C22" s="57" t="s">
        <v>1181</v>
      </c>
      <c r="D22" s="113">
        <v>95000</v>
      </c>
      <c r="E22" s="113">
        <f t="shared" si="1"/>
        <v>1120750</v>
      </c>
      <c r="F22" s="113"/>
      <c r="G22" s="113">
        <f t="shared" si="0"/>
        <v>611250</v>
      </c>
    </row>
    <row r="23" spans="1:7" x14ac:dyDescent="0.25">
      <c r="A23" s="2125">
        <v>42895</v>
      </c>
      <c r="B23" s="57" t="s">
        <v>1179</v>
      </c>
      <c r="C23" s="57" t="s">
        <v>1182</v>
      </c>
      <c r="D23" s="113">
        <v>200000</v>
      </c>
      <c r="E23" s="113">
        <f t="shared" si="1"/>
        <v>1320750</v>
      </c>
      <c r="F23" s="113"/>
      <c r="G23" s="113">
        <f t="shared" si="0"/>
        <v>811250</v>
      </c>
    </row>
    <row r="24" spans="1:7" x14ac:dyDescent="0.25">
      <c r="A24" s="2125">
        <v>42895</v>
      </c>
      <c r="B24" s="57" t="s">
        <v>1179</v>
      </c>
      <c r="C24" s="57" t="s">
        <v>1183</v>
      </c>
      <c r="D24" s="113">
        <v>200000</v>
      </c>
      <c r="E24" s="113">
        <f t="shared" si="1"/>
        <v>1520750</v>
      </c>
      <c r="F24" s="113"/>
      <c r="G24" s="113">
        <f t="shared" si="0"/>
        <v>1011250</v>
      </c>
    </row>
    <row r="25" spans="1:7" x14ac:dyDescent="0.25">
      <c r="A25" s="2125">
        <v>42895</v>
      </c>
      <c r="B25" s="57" t="s">
        <v>1179</v>
      </c>
      <c r="C25" s="57" t="s">
        <v>1184</v>
      </c>
      <c r="D25" s="113">
        <v>338750</v>
      </c>
      <c r="E25" s="113">
        <f t="shared" si="1"/>
        <v>1859500</v>
      </c>
      <c r="F25" s="113"/>
      <c r="G25" s="113">
        <f t="shared" si="0"/>
        <v>1350000</v>
      </c>
    </row>
    <row r="26" spans="1:7" x14ac:dyDescent="0.25">
      <c r="A26" s="2125">
        <v>42896</v>
      </c>
      <c r="B26" s="57" t="s">
        <v>1185</v>
      </c>
      <c r="C26" s="57" t="s">
        <v>1186</v>
      </c>
      <c r="D26" s="113">
        <v>184000</v>
      </c>
      <c r="E26" s="113">
        <f t="shared" si="1"/>
        <v>2043500</v>
      </c>
      <c r="F26" s="113"/>
      <c r="G26" s="113">
        <f t="shared" si="0"/>
        <v>1534000</v>
      </c>
    </row>
    <row r="27" spans="1:7" x14ac:dyDescent="0.25">
      <c r="A27" s="2125">
        <v>42896</v>
      </c>
      <c r="B27" s="57" t="s">
        <v>1185</v>
      </c>
      <c r="C27" s="57" t="s">
        <v>1187</v>
      </c>
      <c r="D27" s="113">
        <v>20000</v>
      </c>
      <c r="E27" s="113">
        <f t="shared" si="1"/>
        <v>2063500</v>
      </c>
      <c r="F27" s="113"/>
      <c r="G27" s="113">
        <f t="shared" si="0"/>
        <v>1554000</v>
      </c>
    </row>
    <row r="28" spans="1:7" x14ac:dyDescent="0.25">
      <c r="A28" s="2125">
        <v>42899</v>
      </c>
      <c r="B28" s="57" t="s">
        <v>1188</v>
      </c>
      <c r="C28" s="57" t="s">
        <v>1189</v>
      </c>
      <c r="D28" s="113">
        <v>230000</v>
      </c>
      <c r="E28" s="113">
        <f t="shared" si="1"/>
        <v>2293500</v>
      </c>
      <c r="F28" s="113"/>
      <c r="G28" s="113">
        <f t="shared" si="0"/>
        <v>1784000</v>
      </c>
    </row>
    <row r="29" spans="1:7" x14ac:dyDescent="0.25">
      <c r="A29" s="2125">
        <v>42901</v>
      </c>
      <c r="B29" s="57" t="s">
        <v>1190</v>
      </c>
      <c r="C29" s="57" t="s">
        <v>1191</v>
      </c>
      <c r="D29" s="113">
        <v>25000</v>
      </c>
      <c r="E29" s="113">
        <f t="shared" si="1"/>
        <v>2318500</v>
      </c>
      <c r="F29" s="113"/>
      <c r="G29" s="113">
        <f t="shared" si="0"/>
        <v>1809000</v>
      </c>
    </row>
    <row r="30" spans="1:7" x14ac:dyDescent="0.25">
      <c r="A30" s="2125">
        <v>42902</v>
      </c>
      <c r="B30" s="57" t="s">
        <v>1192</v>
      </c>
      <c r="C30" s="57" t="s">
        <v>1193</v>
      </c>
      <c r="D30" s="113">
        <v>197000</v>
      </c>
      <c r="E30" s="113">
        <f t="shared" si="1"/>
        <v>2515500</v>
      </c>
      <c r="F30" s="113"/>
      <c r="G30" s="113">
        <f t="shared" si="0"/>
        <v>2006000</v>
      </c>
    </row>
    <row r="31" spans="1:7" x14ac:dyDescent="0.25">
      <c r="A31" s="2125">
        <v>42904</v>
      </c>
      <c r="B31" s="57" t="s">
        <v>1194</v>
      </c>
      <c r="C31" s="57" t="s">
        <v>1195</v>
      </c>
      <c r="D31" s="113">
        <v>200000</v>
      </c>
      <c r="E31" s="113">
        <f t="shared" si="1"/>
        <v>2715500</v>
      </c>
      <c r="F31" s="113"/>
      <c r="G31" s="113">
        <f t="shared" si="0"/>
        <v>2206000</v>
      </c>
    </row>
    <row r="32" spans="1:7" x14ac:dyDescent="0.25">
      <c r="A32" s="2125">
        <v>42905</v>
      </c>
      <c r="B32" s="57" t="s">
        <v>1196</v>
      </c>
      <c r="C32" s="57" t="s">
        <v>1197</v>
      </c>
      <c r="D32" s="113">
        <v>100000</v>
      </c>
      <c r="E32" s="113">
        <f t="shared" si="1"/>
        <v>2815500</v>
      </c>
      <c r="F32" s="113"/>
      <c r="G32" s="113">
        <f t="shared" si="0"/>
        <v>2306000</v>
      </c>
    </row>
    <row r="33" spans="1:7" x14ac:dyDescent="0.25">
      <c r="A33" s="2125">
        <v>42905</v>
      </c>
      <c r="B33" s="57" t="s">
        <v>1198</v>
      </c>
      <c r="C33" s="57" t="s">
        <v>1199</v>
      </c>
      <c r="D33" s="113">
        <v>230000</v>
      </c>
      <c r="E33" s="113">
        <f t="shared" si="1"/>
        <v>3045500</v>
      </c>
      <c r="F33" s="113">
        <v>2206000</v>
      </c>
      <c r="G33" s="113">
        <f t="shared" si="0"/>
        <v>330000</v>
      </c>
    </row>
    <row r="34" spans="1:7" x14ac:dyDescent="0.25">
      <c r="A34" s="2125">
        <v>42907</v>
      </c>
      <c r="B34" s="57" t="s">
        <v>1200</v>
      </c>
      <c r="C34" s="57" t="s">
        <v>1201</v>
      </c>
      <c r="D34" s="113">
        <v>160000</v>
      </c>
      <c r="E34" s="113">
        <f t="shared" si="1"/>
        <v>3205500</v>
      </c>
      <c r="F34" s="113"/>
      <c r="G34" s="113">
        <f t="shared" si="0"/>
        <v>490000</v>
      </c>
    </row>
    <row r="35" spans="1:7" x14ac:dyDescent="0.25">
      <c r="A35" s="2125">
        <v>42910</v>
      </c>
      <c r="B35" s="57" t="s">
        <v>1202</v>
      </c>
      <c r="C35" s="2159" t="s">
        <v>1203</v>
      </c>
      <c r="D35" s="113">
        <v>187329</v>
      </c>
      <c r="E35" s="113">
        <f t="shared" si="1"/>
        <v>3392829</v>
      </c>
      <c r="F35" s="113"/>
      <c r="G35" s="113">
        <f t="shared" si="0"/>
        <v>677329</v>
      </c>
    </row>
    <row r="36" spans="1:7" x14ac:dyDescent="0.25">
      <c r="A36" s="2125">
        <v>42910</v>
      </c>
      <c r="B36" s="57" t="s">
        <v>1202</v>
      </c>
      <c r="C36" s="57" t="s">
        <v>1204</v>
      </c>
      <c r="D36" s="113">
        <v>150000</v>
      </c>
      <c r="E36" s="113">
        <f t="shared" si="1"/>
        <v>3542829</v>
      </c>
      <c r="F36" s="113"/>
      <c r="G36" s="113">
        <f t="shared" si="0"/>
        <v>827329</v>
      </c>
    </row>
    <row r="37" spans="1:7" x14ac:dyDescent="0.25">
      <c r="A37" s="2125">
        <v>42910</v>
      </c>
      <c r="B37" s="57" t="s">
        <v>1202</v>
      </c>
      <c r="C37" s="57" t="s">
        <v>1205</v>
      </c>
      <c r="D37" s="113">
        <v>70000</v>
      </c>
      <c r="E37" s="113">
        <f t="shared" si="1"/>
        <v>3612829</v>
      </c>
      <c r="F37" s="113"/>
      <c r="G37" s="113">
        <f t="shared" si="0"/>
        <v>897329</v>
      </c>
    </row>
    <row r="38" spans="1:7" x14ac:dyDescent="0.25">
      <c r="A38" s="2125">
        <v>42911</v>
      </c>
      <c r="B38" s="57" t="s">
        <v>1206</v>
      </c>
      <c r="C38" s="57" t="s">
        <v>1207</v>
      </c>
      <c r="D38" s="113">
        <v>100000</v>
      </c>
      <c r="E38" s="113">
        <f t="shared" si="1"/>
        <v>3712829</v>
      </c>
      <c r="F38" s="113"/>
      <c r="G38" s="113">
        <f t="shared" si="0"/>
        <v>997329</v>
      </c>
    </row>
    <row r="39" spans="1:7" x14ac:dyDescent="0.25">
      <c r="A39" s="2125">
        <v>42912</v>
      </c>
      <c r="B39" s="57" t="s">
        <v>1208</v>
      </c>
      <c r="C39" s="57" t="s">
        <v>1209</v>
      </c>
      <c r="D39" s="113">
        <v>50000</v>
      </c>
      <c r="E39" s="113">
        <f t="shared" si="1"/>
        <v>3762829</v>
      </c>
      <c r="F39" s="113"/>
      <c r="G39" s="113">
        <f t="shared" si="0"/>
        <v>1047329</v>
      </c>
    </row>
    <row r="40" spans="1:7" x14ac:dyDescent="0.25">
      <c r="A40" s="2125">
        <v>42914</v>
      </c>
      <c r="B40" s="57" t="s">
        <v>1210</v>
      </c>
      <c r="C40" s="57" t="s">
        <v>1211</v>
      </c>
      <c r="D40" s="113">
        <v>25000</v>
      </c>
      <c r="E40" s="113">
        <f t="shared" si="1"/>
        <v>3787829</v>
      </c>
      <c r="F40" s="113"/>
      <c r="G40" s="113">
        <f t="shared" si="0"/>
        <v>1072329</v>
      </c>
    </row>
    <row r="41" spans="1:7" x14ac:dyDescent="0.25">
      <c r="A41" s="2125">
        <v>42914</v>
      </c>
      <c r="B41" s="57" t="s">
        <v>1210</v>
      </c>
      <c r="C41" s="57" t="s">
        <v>1212</v>
      </c>
      <c r="D41" s="113">
        <v>10000</v>
      </c>
      <c r="E41" s="113">
        <f t="shared" si="1"/>
        <v>3797829</v>
      </c>
      <c r="F41" s="113"/>
      <c r="G41" s="113">
        <f t="shared" si="0"/>
        <v>1082329</v>
      </c>
    </row>
    <row r="42" spans="1:7" x14ac:dyDescent="0.25">
      <c r="A42" s="2125">
        <v>42915</v>
      </c>
      <c r="B42" s="57" t="s">
        <v>1213</v>
      </c>
      <c r="C42" s="57" t="s">
        <v>1214</v>
      </c>
      <c r="D42" s="113">
        <v>69000</v>
      </c>
      <c r="E42" s="113">
        <f t="shared" si="1"/>
        <v>3866829</v>
      </c>
      <c r="F42" s="113">
        <v>997329</v>
      </c>
      <c r="G42" s="113">
        <f t="shared" si="0"/>
        <v>154000</v>
      </c>
    </row>
    <row r="43" spans="1:7" x14ac:dyDescent="0.25">
      <c r="A43" s="2125">
        <v>42916</v>
      </c>
      <c r="B43" s="57" t="s">
        <v>1226</v>
      </c>
      <c r="C43" s="57" t="s">
        <v>1227</v>
      </c>
      <c r="D43" s="113">
        <v>200000</v>
      </c>
      <c r="E43" s="113">
        <f t="shared" si="1"/>
        <v>4066829</v>
      </c>
      <c r="F43" s="113"/>
      <c r="G43" s="113">
        <f t="shared" si="0"/>
        <v>354000</v>
      </c>
    </row>
    <row r="44" spans="1:7" x14ac:dyDescent="0.25">
      <c r="A44" s="2125">
        <v>42916</v>
      </c>
      <c r="B44" s="57" t="s">
        <v>1226</v>
      </c>
      <c r="C44" s="57" t="s">
        <v>1228</v>
      </c>
      <c r="D44" s="113">
        <v>260000</v>
      </c>
      <c r="E44" s="113">
        <f t="shared" si="1"/>
        <v>4326829</v>
      </c>
      <c r="F44" s="113"/>
      <c r="G44" s="113">
        <f t="shared" si="0"/>
        <v>614000</v>
      </c>
    </row>
    <row r="45" spans="1:7" x14ac:dyDescent="0.25">
      <c r="A45" s="2125">
        <v>42916</v>
      </c>
      <c r="B45" s="57" t="s">
        <v>1226</v>
      </c>
      <c r="C45" s="57" t="s">
        <v>1229</v>
      </c>
      <c r="D45" s="113">
        <v>80000</v>
      </c>
      <c r="E45" s="113">
        <f t="shared" si="1"/>
        <v>4406829</v>
      </c>
      <c r="F45" s="113"/>
      <c r="G45" s="113">
        <f t="shared" si="0"/>
        <v>694000</v>
      </c>
    </row>
    <row r="46" spans="1:7" x14ac:dyDescent="0.25">
      <c r="A46" s="2125">
        <v>42916</v>
      </c>
      <c r="B46" s="57" t="s">
        <v>1226</v>
      </c>
      <c r="C46" s="57" t="s">
        <v>1230</v>
      </c>
      <c r="D46" s="113">
        <v>298023</v>
      </c>
      <c r="E46" s="113">
        <f t="shared" si="1"/>
        <v>4704852</v>
      </c>
      <c r="F46" s="113"/>
      <c r="G46" s="113">
        <f t="shared" si="0"/>
        <v>992023</v>
      </c>
    </row>
    <row r="47" spans="1:7" x14ac:dyDescent="0.25">
      <c r="A47" s="2166"/>
      <c r="B47" s="2167"/>
      <c r="C47" s="2167"/>
      <c r="D47" s="2168"/>
      <c r="E47" s="2168"/>
      <c r="F47" s="2168"/>
      <c r="G47" s="2168"/>
    </row>
    <row r="48" spans="1:7" x14ac:dyDescent="0.25">
      <c r="A48" s="2125">
        <v>42917</v>
      </c>
      <c r="B48" s="57" t="s">
        <v>1231</v>
      </c>
      <c r="C48" s="57" t="s">
        <v>1232</v>
      </c>
      <c r="D48" s="113">
        <v>265000</v>
      </c>
      <c r="E48" s="113">
        <f>E46+D48</f>
        <v>4969852</v>
      </c>
      <c r="F48" s="113"/>
      <c r="G48" s="113">
        <f>G46+D48-F48</f>
        <v>1257023</v>
      </c>
    </row>
    <row r="49" spans="1:7" x14ac:dyDescent="0.25">
      <c r="A49" s="2125">
        <v>42918</v>
      </c>
      <c r="B49" s="57" t="s">
        <v>1221</v>
      </c>
      <c r="C49" s="57" t="s">
        <v>1225</v>
      </c>
      <c r="D49" s="113">
        <v>80000</v>
      </c>
      <c r="E49" s="113">
        <f>E48+D49</f>
        <v>5049852</v>
      </c>
      <c r="F49" s="113"/>
      <c r="G49" s="113">
        <f t="shared" si="0"/>
        <v>1337023</v>
      </c>
    </row>
    <row r="50" spans="1:7" x14ac:dyDescent="0.25">
      <c r="A50" s="2125">
        <v>42918</v>
      </c>
      <c r="B50" s="57" t="s">
        <v>1221</v>
      </c>
      <c r="C50" s="57" t="s">
        <v>1224</v>
      </c>
      <c r="D50" s="113">
        <v>137000</v>
      </c>
      <c r="E50" s="113">
        <f t="shared" ref="E50:E113" si="2">E49+D50</f>
        <v>5186852</v>
      </c>
      <c r="F50" s="113"/>
      <c r="G50" s="113">
        <f t="shared" si="0"/>
        <v>1474023</v>
      </c>
    </row>
    <row r="51" spans="1:7" x14ac:dyDescent="0.25">
      <c r="A51" s="2125">
        <v>42918</v>
      </c>
      <c r="B51" s="57" t="s">
        <v>1221</v>
      </c>
      <c r="C51" s="57" t="s">
        <v>1223</v>
      </c>
      <c r="D51" s="113">
        <v>4000</v>
      </c>
      <c r="E51" s="113">
        <f t="shared" si="2"/>
        <v>5190852</v>
      </c>
      <c r="F51" s="113"/>
      <c r="G51" s="113">
        <f t="shared" si="0"/>
        <v>1478023</v>
      </c>
    </row>
    <row r="52" spans="1:7" x14ac:dyDescent="0.25">
      <c r="A52" s="2125">
        <v>42918</v>
      </c>
      <c r="B52" s="57" t="s">
        <v>1221</v>
      </c>
      <c r="C52" s="57" t="s">
        <v>1222</v>
      </c>
      <c r="D52" s="113">
        <v>156303</v>
      </c>
      <c r="E52" s="113">
        <f t="shared" si="2"/>
        <v>5347155</v>
      </c>
      <c r="F52" s="113"/>
      <c r="G52" s="113">
        <f t="shared" si="0"/>
        <v>1634326</v>
      </c>
    </row>
    <row r="53" spans="1:7" x14ac:dyDescent="0.25">
      <c r="A53" s="2125">
        <v>42918</v>
      </c>
      <c r="B53" s="57" t="s">
        <v>1219</v>
      </c>
      <c r="C53" s="57" t="s">
        <v>1220</v>
      </c>
      <c r="D53" s="113">
        <v>31311</v>
      </c>
      <c r="E53" s="113">
        <f t="shared" si="2"/>
        <v>5378466</v>
      </c>
      <c r="F53" s="113">
        <v>1634326</v>
      </c>
      <c r="G53" s="113">
        <f t="shared" si="0"/>
        <v>31311</v>
      </c>
    </row>
    <row r="54" spans="1:7" x14ac:dyDescent="0.25">
      <c r="A54" s="2125">
        <v>42920</v>
      </c>
      <c r="B54" s="57" t="s">
        <v>1215</v>
      </c>
      <c r="C54" s="57" t="s">
        <v>1216</v>
      </c>
      <c r="D54" s="113">
        <v>90000</v>
      </c>
      <c r="E54" s="113">
        <f t="shared" si="2"/>
        <v>5468466</v>
      </c>
      <c r="F54" s="113"/>
      <c r="G54" s="113">
        <f t="shared" si="0"/>
        <v>121311</v>
      </c>
    </row>
    <row r="55" spans="1:7" x14ac:dyDescent="0.25">
      <c r="A55" s="2125">
        <v>42920</v>
      </c>
      <c r="B55" s="57" t="s">
        <v>1217</v>
      </c>
      <c r="C55" s="57" t="s">
        <v>1218</v>
      </c>
      <c r="D55" s="113">
        <v>10000</v>
      </c>
      <c r="E55" s="113">
        <f t="shared" si="2"/>
        <v>5478466</v>
      </c>
      <c r="F55" s="113"/>
      <c r="G55" s="113">
        <f t="shared" si="0"/>
        <v>131311</v>
      </c>
    </row>
    <row r="56" spans="1:7" x14ac:dyDescent="0.25">
      <c r="A56" s="2125">
        <v>42921</v>
      </c>
      <c r="B56" s="57" t="s">
        <v>1215</v>
      </c>
      <c r="C56" s="57" t="s">
        <v>1237</v>
      </c>
      <c r="D56" s="113">
        <v>10000</v>
      </c>
      <c r="E56" s="113">
        <f t="shared" si="2"/>
        <v>5488466</v>
      </c>
      <c r="F56" s="113"/>
      <c r="G56" s="113">
        <f t="shared" si="0"/>
        <v>141311</v>
      </c>
    </row>
    <row r="57" spans="1:7" x14ac:dyDescent="0.25">
      <c r="A57" s="2125">
        <v>42922</v>
      </c>
      <c r="B57" s="57" t="s">
        <v>1233</v>
      </c>
      <c r="C57" s="57" t="s">
        <v>1234</v>
      </c>
      <c r="D57" s="113">
        <v>100000</v>
      </c>
      <c r="E57" s="113">
        <f t="shared" si="2"/>
        <v>5588466</v>
      </c>
      <c r="F57" s="113"/>
      <c r="G57" s="113">
        <f t="shared" si="0"/>
        <v>241311</v>
      </c>
    </row>
    <row r="58" spans="1:7" x14ac:dyDescent="0.25">
      <c r="A58" s="2125">
        <v>42922</v>
      </c>
      <c r="B58" s="57" t="s">
        <v>1233</v>
      </c>
      <c r="C58" s="57" t="s">
        <v>1235</v>
      </c>
      <c r="D58" s="113">
        <v>85000</v>
      </c>
      <c r="E58" s="113">
        <f t="shared" si="2"/>
        <v>5673466</v>
      </c>
      <c r="F58" s="113"/>
      <c r="G58" s="113">
        <f t="shared" si="0"/>
        <v>326311</v>
      </c>
    </row>
    <row r="59" spans="1:7" x14ac:dyDescent="0.25">
      <c r="A59" s="2125">
        <v>42922</v>
      </c>
      <c r="B59" s="57" t="s">
        <v>1233</v>
      </c>
      <c r="C59" s="57" t="s">
        <v>1236</v>
      </c>
      <c r="D59" s="113">
        <v>80000</v>
      </c>
      <c r="E59" s="113">
        <f t="shared" si="2"/>
        <v>5753466</v>
      </c>
      <c r="F59" s="113"/>
      <c r="G59" s="113">
        <f t="shared" si="0"/>
        <v>406311</v>
      </c>
    </row>
    <row r="60" spans="1:7" x14ac:dyDescent="0.25">
      <c r="A60" s="2125">
        <v>42923</v>
      </c>
      <c r="B60" s="57" t="s">
        <v>1238</v>
      </c>
      <c r="C60" s="57" t="s">
        <v>1239</v>
      </c>
      <c r="D60" s="113">
        <v>175680</v>
      </c>
      <c r="E60" s="113">
        <f t="shared" si="2"/>
        <v>5929146</v>
      </c>
      <c r="F60" s="113"/>
      <c r="G60" s="113">
        <f t="shared" si="0"/>
        <v>581991</v>
      </c>
    </row>
    <row r="61" spans="1:7" x14ac:dyDescent="0.25">
      <c r="A61" s="2125">
        <v>42923</v>
      </c>
      <c r="B61" s="57" t="s">
        <v>1238</v>
      </c>
      <c r="C61" s="57" t="s">
        <v>1240</v>
      </c>
      <c r="D61" s="113">
        <v>73800</v>
      </c>
      <c r="E61" s="113">
        <f t="shared" si="2"/>
        <v>6002946</v>
      </c>
      <c r="F61" s="113"/>
      <c r="G61" s="113">
        <f t="shared" si="0"/>
        <v>655791</v>
      </c>
    </row>
    <row r="62" spans="1:7" x14ac:dyDescent="0.25">
      <c r="A62" s="2125">
        <v>42923</v>
      </c>
      <c r="B62" s="57" t="s">
        <v>1238</v>
      </c>
      <c r="C62" s="57" t="s">
        <v>1241</v>
      </c>
      <c r="D62" s="113">
        <v>175500</v>
      </c>
      <c r="E62" s="113">
        <f t="shared" si="2"/>
        <v>6178446</v>
      </c>
      <c r="F62" s="113"/>
      <c r="G62" s="113">
        <f t="shared" si="0"/>
        <v>831291</v>
      </c>
    </row>
    <row r="63" spans="1:7" x14ac:dyDescent="0.25">
      <c r="A63" s="2125">
        <v>42924</v>
      </c>
      <c r="B63" s="57" t="s">
        <v>1242</v>
      </c>
      <c r="C63" s="57" t="s">
        <v>1243</v>
      </c>
      <c r="D63" s="113">
        <v>220000</v>
      </c>
      <c r="E63" s="113">
        <f t="shared" si="2"/>
        <v>6398446</v>
      </c>
      <c r="F63" s="113"/>
      <c r="G63" s="113">
        <f t="shared" si="0"/>
        <v>1051291</v>
      </c>
    </row>
    <row r="64" spans="1:7" x14ac:dyDescent="0.25">
      <c r="A64" s="2125">
        <v>42925</v>
      </c>
      <c r="B64" s="57" t="s">
        <v>1245</v>
      </c>
      <c r="C64" s="57" t="s">
        <v>1246</v>
      </c>
      <c r="D64" s="113">
        <v>213300</v>
      </c>
      <c r="E64" s="113">
        <f t="shared" si="2"/>
        <v>6611746</v>
      </c>
      <c r="F64" s="113"/>
      <c r="G64" s="113">
        <f t="shared" si="0"/>
        <v>1264591</v>
      </c>
    </row>
    <row r="65" spans="1:7" x14ac:dyDescent="0.25">
      <c r="A65" s="2125">
        <v>42925</v>
      </c>
      <c r="B65" s="57" t="s">
        <v>1245</v>
      </c>
      <c r="C65" s="57" t="s">
        <v>1247</v>
      </c>
      <c r="D65" s="113">
        <v>90000</v>
      </c>
      <c r="E65" s="113">
        <f t="shared" si="2"/>
        <v>6701746</v>
      </c>
      <c r="F65" s="113"/>
      <c r="G65" s="113">
        <f t="shared" si="0"/>
        <v>1354591</v>
      </c>
    </row>
    <row r="66" spans="1:7" x14ac:dyDescent="0.25">
      <c r="A66" s="2125">
        <v>42925</v>
      </c>
      <c r="B66" s="57" t="s">
        <v>1245</v>
      </c>
      <c r="C66" s="57" t="s">
        <v>1248</v>
      </c>
      <c r="D66" s="113">
        <v>200000</v>
      </c>
      <c r="E66" s="113">
        <f t="shared" si="2"/>
        <v>6901746</v>
      </c>
      <c r="F66" s="113"/>
      <c r="G66" s="113">
        <f t="shared" si="0"/>
        <v>1554591</v>
      </c>
    </row>
    <row r="67" spans="1:7" x14ac:dyDescent="0.25">
      <c r="A67" s="2125">
        <v>42925</v>
      </c>
      <c r="B67" s="57" t="s">
        <v>1245</v>
      </c>
      <c r="C67" s="57" t="s">
        <v>1249</v>
      </c>
      <c r="D67" s="113">
        <v>100000</v>
      </c>
      <c r="E67" s="113">
        <f t="shared" si="2"/>
        <v>7001746</v>
      </c>
      <c r="F67" s="113"/>
      <c r="G67" s="113">
        <f t="shared" si="0"/>
        <v>1654591</v>
      </c>
    </row>
    <row r="68" spans="1:7" x14ac:dyDescent="0.25">
      <c r="A68" s="2125">
        <v>42926</v>
      </c>
      <c r="B68" s="57" t="s">
        <v>1251</v>
      </c>
      <c r="C68" s="57" t="s">
        <v>1250</v>
      </c>
      <c r="D68" s="113">
        <v>15000</v>
      </c>
      <c r="E68" s="113">
        <f t="shared" si="2"/>
        <v>7016746</v>
      </c>
      <c r="F68" s="113"/>
      <c r="G68" s="113">
        <f t="shared" si="0"/>
        <v>1669591</v>
      </c>
    </row>
    <row r="69" spans="1:7" x14ac:dyDescent="0.25">
      <c r="A69" s="2125">
        <v>42926</v>
      </c>
      <c r="B69" s="57" t="s">
        <v>1251</v>
      </c>
      <c r="C69" s="57" t="s">
        <v>1252</v>
      </c>
      <c r="D69" s="113">
        <v>30000</v>
      </c>
      <c r="E69" s="113">
        <f t="shared" si="2"/>
        <v>7046746</v>
      </c>
      <c r="F69" s="113"/>
      <c r="G69" s="113">
        <f t="shared" si="0"/>
        <v>1699591</v>
      </c>
    </row>
    <row r="70" spans="1:7" x14ac:dyDescent="0.25">
      <c r="A70" s="2125">
        <v>42927</v>
      </c>
      <c r="B70" s="57" t="s">
        <v>1253</v>
      </c>
      <c r="C70" s="57" t="s">
        <v>1254</v>
      </c>
      <c r="D70" s="113">
        <v>12000</v>
      </c>
      <c r="E70" s="113">
        <f t="shared" si="2"/>
        <v>7058746</v>
      </c>
      <c r="F70" s="113">
        <v>1654591</v>
      </c>
      <c r="G70" s="113">
        <f t="shared" si="0"/>
        <v>57000</v>
      </c>
    </row>
    <row r="71" spans="1:7" x14ac:dyDescent="0.25">
      <c r="A71" s="2125">
        <v>42927</v>
      </c>
      <c r="B71" s="57" t="s">
        <v>1253</v>
      </c>
      <c r="C71" s="57" t="s">
        <v>1255</v>
      </c>
      <c r="D71" s="113">
        <v>125000</v>
      </c>
      <c r="E71" s="113">
        <f t="shared" si="2"/>
        <v>7183746</v>
      </c>
      <c r="F71" s="113"/>
      <c r="G71" s="113">
        <f t="shared" si="0"/>
        <v>182000</v>
      </c>
    </row>
    <row r="72" spans="1:7" x14ac:dyDescent="0.25">
      <c r="A72" s="2125">
        <v>42927</v>
      </c>
      <c r="B72" s="57" t="s">
        <v>1256</v>
      </c>
      <c r="C72" s="57" t="s">
        <v>1257</v>
      </c>
      <c r="D72" s="113">
        <v>10000</v>
      </c>
      <c r="E72" s="113">
        <f t="shared" si="2"/>
        <v>7193746</v>
      </c>
      <c r="F72" s="113"/>
      <c r="G72" s="113">
        <f>G71+D72-F72</f>
        <v>192000</v>
      </c>
    </row>
    <row r="73" spans="1:7" x14ac:dyDescent="0.25">
      <c r="A73" s="2125">
        <v>42928</v>
      </c>
      <c r="B73" s="57" t="s">
        <v>1256</v>
      </c>
      <c r="C73" s="57" t="s">
        <v>1259</v>
      </c>
      <c r="D73" s="113">
        <v>10000</v>
      </c>
      <c r="E73" s="113">
        <f t="shared" si="2"/>
        <v>7203746</v>
      </c>
      <c r="F73" s="113"/>
      <c r="G73" s="113">
        <f t="shared" ref="G73:G120" si="3">G72+D73-F73</f>
        <v>202000</v>
      </c>
    </row>
    <row r="74" spans="1:7" x14ac:dyDescent="0.25">
      <c r="A74" s="2125">
        <v>42928</v>
      </c>
      <c r="B74" s="57" t="s">
        <v>1256</v>
      </c>
      <c r="C74" s="57" t="s">
        <v>1258</v>
      </c>
      <c r="D74" s="113">
        <v>289875</v>
      </c>
      <c r="E74" s="113">
        <f t="shared" si="2"/>
        <v>7493621</v>
      </c>
      <c r="F74" s="113"/>
      <c r="G74" s="113">
        <f t="shared" si="3"/>
        <v>491875</v>
      </c>
    </row>
    <row r="75" spans="1:7" x14ac:dyDescent="0.25">
      <c r="A75" s="2125">
        <v>42929</v>
      </c>
      <c r="B75" s="57" t="s">
        <v>1260</v>
      </c>
      <c r="C75" s="57" t="s">
        <v>1261</v>
      </c>
      <c r="D75" s="113">
        <v>5000</v>
      </c>
      <c r="E75" s="113">
        <f t="shared" si="2"/>
        <v>7498621</v>
      </c>
      <c r="F75" s="113"/>
      <c r="G75" s="113">
        <f t="shared" si="3"/>
        <v>496875</v>
      </c>
    </row>
    <row r="76" spans="1:7" x14ac:dyDescent="0.25">
      <c r="A76" s="2125">
        <v>42929</v>
      </c>
      <c r="B76" s="57" t="s">
        <v>1260</v>
      </c>
      <c r="C76" s="57" t="s">
        <v>1262</v>
      </c>
      <c r="D76" s="113">
        <v>10000</v>
      </c>
      <c r="E76" s="113">
        <f t="shared" si="2"/>
        <v>7508621</v>
      </c>
      <c r="F76" s="113"/>
      <c r="G76" s="113">
        <f t="shared" si="3"/>
        <v>506875</v>
      </c>
    </row>
    <row r="77" spans="1:7" x14ac:dyDescent="0.25">
      <c r="A77" s="2125">
        <v>42929</v>
      </c>
      <c r="B77" s="57" t="s">
        <v>1263</v>
      </c>
      <c r="C77" s="57" t="s">
        <v>1264</v>
      </c>
      <c r="D77" s="113">
        <v>20000</v>
      </c>
      <c r="E77" s="113">
        <f t="shared" si="2"/>
        <v>7528621</v>
      </c>
      <c r="F77" s="113"/>
      <c r="G77" s="113">
        <f t="shared" si="3"/>
        <v>526875</v>
      </c>
    </row>
    <row r="78" spans="1:7" x14ac:dyDescent="0.25">
      <c r="A78" s="2125">
        <v>42929</v>
      </c>
      <c r="B78" s="57" t="s">
        <v>1260</v>
      </c>
      <c r="C78" s="57" t="s">
        <v>1265</v>
      </c>
      <c r="D78" s="113">
        <v>230000</v>
      </c>
      <c r="E78" s="113">
        <f t="shared" si="2"/>
        <v>7758621</v>
      </c>
      <c r="F78" s="113"/>
      <c r="G78" s="113">
        <f t="shared" si="3"/>
        <v>756875</v>
      </c>
    </row>
    <row r="79" spans="1:7" x14ac:dyDescent="0.25">
      <c r="A79" s="2125">
        <v>42929</v>
      </c>
      <c r="B79" s="57" t="s">
        <v>1260</v>
      </c>
      <c r="C79" s="57" t="s">
        <v>1266</v>
      </c>
      <c r="D79" s="113">
        <v>125000</v>
      </c>
      <c r="E79" s="113">
        <f t="shared" si="2"/>
        <v>7883621</v>
      </c>
      <c r="F79" s="113"/>
      <c r="G79" s="113">
        <f t="shared" si="3"/>
        <v>881875</v>
      </c>
    </row>
    <row r="80" spans="1:7" x14ac:dyDescent="0.25">
      <c r="A80" s="2125">
        <v>42929</v>
      </c>
      <c r="B80" s="57" t="s">
        <v>1260</v>
      </c>
      <c r="C80" s="57" t="s">
        <v>1267</v>
      </c>
      <c r="D80" s="113">
        <v>302500</v>
      </c>
      <c r="E80" s="113">
        <f t="shared" si="2"/>
        <v>8186121</v>
      </c>
      <c r="F80" s="113"/>
      <c r="G80" s="113">
        <f t="shared" si="3"/>
        <v>1184375</v>
      </c>
    </row>
    <row r="81" spans="1:7" x14ac:dyDescent="0.25">
      <c r="A81" s="2125">
        <v>42929</v>
      </c>
      <c r="B81" s="57" t="s">
        <v>1268</v>
      </c>
      <c r="C81" s="57" t="s">
        <v>1269</v>
      </c>
      <c r="D81" s="113">
        <v>10000</v>
      </c>
      <c r="E81" s="113">
        <f t="shared" si="2"/>
        <v>8196121</v>
      </c>
      <c r="F81" s="113"/>
      <c r="G81" s="113">
        <f t="shared" si="3"/>
        <v>1194375</v>
      </c>
    </row>
    <row r="82" spans="1:7" x14ac:dyDescent="0.25">
      <c r="A82" s="2125">
        <v>42929</v>
      </c>
      <c r="B82" s="57" t="s">
        <v>1268</v>
      </c>
      <c r="C82" s="57" t="s">
        <v>1275</v>
      </c>
      <c r="D82" s="113">
        <v>15000</v>
      </c>
      <c r="E82" s="113">
        <f t="shared" si="2"/>
        <v>8211121</v>
      </c>
      <c r="F82" s="113"/>
      <c r="G82" s="113">
        <f t="shared" si="3"/>
        <v>1209375</v>
      </c>
    </row>
    <row r="83" spans="1:7" x14ac:dyDescent="0.25">
      <c r="A83" s="2125">
        <v>42930</v>
      </c>
      <c r="B83" s="57" t="s">
        <v>1268</v>
      </c>
      <c r="C83" s="57" t="s">
        <v>1271</v>
      </c>
      <c r="D83" s="113">
        <v>30000</v>
      </c>
      <c r="E83" s="113">
        <f t="shared" si="2"/>
        <v>8241121</v>
      </c>
      <c r="F83" s="113"/>
      <c r="G83" s="113">
        <f t="shared" si="3"/>
        <v>1239375</v>
      </c>
    </row>
    <row r="84" spans="1:7" x14ac:dyDescent="0.25">
      <c r="A84" s="2125">
        <v>42930</v>
      </c>
      <c r="B84" s="57" t="s">
        <v>1268</v>
      </c>
      <c r="C84" s="57" t="s">
        <v>1270</v>
      </c>
      <c r="D84" s="113">
        <v>163875</v>
      </c>
      <c r="E84" s="113">
        <f t="shared" si="2"/>
        <v>8404996</v>
      </c>
      <c r="F84" s="113"/>
      <c r="G84" s="113">
        <f t="shared" si="3"/>
        <v>1403250</v>
      </c>
    </row>
    <row r="85" spans="1:7" x14ac:dyDescent="0.25">
      <c r="A85" s="2125">
        <v>42930</v>
      </c>
      <c r="B85" s="57" t="s">
        <v>1268</v>
      </c>
      <c r="C85" s="57" t="s">
        <v>1272</v>
      </c>
      <c r="D85" s="113">
        <v>10000</v>
      </c>
      <c r="E85" s="113">
        <f t="shared" si="2"/>
        <v>8414996</v>
      </c>
      <c r="F85" s="113"/>
      <c r="G85" s="113">
        <f t="shared" si="3"/>
        <v>1413250</v>
      </c>
    </row>
    <row r="86" spans="1:7" x14ac:dyDescent="0.25">
      <c r="A86" s="2125">
        <v>42930</v>
      </c>
      <c r="B86" s="57" t="s">
        <v>1268</v>
      </c>
      <c r="C86" s="57" t="s">
        <v>1273</v>
      </c>
      <c r="D86" s="113">
        <v>165000</v>
      </c>
      <c r="E86" s="113">
        <f t="shared" si="2"/>
        <v>8579996</v>
      </c>
      <c r="F86" s="113"/>
      <c r="G86" s="113">
        <f t="shared" si="3"/>
        <v>1578250</v>
      </c>
    </row>
    <row r="87" spans="1:7" x14ac:dyDescent="0.25">
      <c r="A87" s="2125">
        <v>42930</v>
      </c>
      <c r="B87" s="57" t="s">
        <v>1268</v>
      </c>
      <c r="C87" s="57" t="s">
        <v>1274</v>
      </c>
      <c r="D87" s="113">
        <v>100000</v>
      </c>
      <c r="E87" s="113">
        <f t="shared" si="2"/>
        <v>8679996</v>
      </c>
      <c r="F87" s="113"/>
      <c r="G87" s="113">
        <f t="shared" si="3"/>
        <v>1678250</v>
      </c>
    </row>
    <row r="88" spans="1:7" x14ac:dyDescent="0.25">
      <c r="A88" s="2125">
        <v>42931</v>
      </c>
      <c r="B88" s="57" t="s">
        <v>1276</v>
      </c>
      <c r="C88" s="57" t="s">
        <v>1277</v>
      </c>
      <c r="D88" s="113">
        <v>140000</v>
      </c>
      <c r="E88" s="113">
        <f t="shared" si="2"/>
        <v>8819996</v>
      </c>
      <c r="F88" s="113"/>
      <c r="G88" s="113">
        <f t="shared" si="3"/>
        <v>1818250</v>
      </c>
    </row>
    <row r="89" spans="1:7" x14ac:dyDescent="0.25">
      <c r="A89" s="2125">
        <v>42931</v>
      </c>
      <c r="B89" s="57" t="s">
        <v>1276</v>
      </c>
      <c r="C89" s="57" t="s">
        <v>1278</v>
      </c>
      <c r="D89" s="113">
        <v>300000</v>
      </c>
      <c r="E89" s="113">
        <f t="shared" si="2"/>
        <v>9119996</v>
      </c>
      <c r="F89" s="113"/>
      <c r="G89" s="113">
        <f t="shared" si="3"/>
        <v>2118250</v>
      </c>
    </row>
    <row r="90" spans="1:7" x14ac:dyDescent="0.25">
      <c r="A90" s="2125">
        <v>42931</v>
      </c>
      <c r="B90" s="57" t="s">
        <v>1276</v>
      </c>
      <c r="C90" s="57" t="s">
        <v>1279</v>
      </c>
      <c r="D90" s="113">
        <v>218500</v>
      </c>
      <c r="E90" s="113">
        <f t="shared" si="2"/>
        <v>9338496</v>
      </c>
      <c r="F90" s="113"/>
      <c r="G90" s="113">
        <f t="shared" si="3"/>
        <v>2336750</v>
      </c>
    </row>
    <row r="91" spans="1:7" x14ac:dyDescent="0.25">
      <c r="A91" s="2125">
        <v>42932</v>
      </c>
      <c r="B91" s="57" t="s">
        <v>1280</v>
      </c>
      <c r="C91" s="57" t="s">
        <v>1281</v>
      </c>
      <c r="D91" s="113">
        <v>15000</v>
      </c>
      <c r="E91" s="113">
        <f t="shared" si="2"/>
        <v>9353496</v>
      </c>
      <c r="F91" s="113"/>
      <c r="G91" s="113">
        <f t="shared" si="3"/>
        <v>2351750</v>
      </c>
    </row>
    <row r="92" spans="1:7" x14ac:dyDescent="0.25">
      <c r="A92" s="2125">
        <v>42932</v>
      </c>
      <c r="B92" s="57" t="s">
        <v>1280</v>
      </c>
      <c r="C92" s="57" t="s">
        <v>1282</v>
      </c>
      <c r="D92" s="113">
        <v>20000</v>
      </c>
      <c r="E92" s="113">
        <f t="shared" si="2"/>
        <v>9373496</v>
      </c>
      <c r="F92" s="113"/>
      <c r="G92" s="113">
        <f t="shared" si="3"/>
        <v>2371750</v>
      </c>
    </row>
    <row r="93" spans="1:7" x14ac:dyDescent="0.25">
      <c r="A93" s="2125">
        <v>42933</v>
      </c>
      <c r="B93" s="57" t="s">
        <v>1283</v>
      </c>
      <c r="C93" s="57" t="s">
        <v>1284</v>
      </c>
      <c r="D93" s="113">
        <v>130000</v>
      </c>
      <c r="E93" s="113">
        <f t="shared" si="2"/>
        <v>9503496</v>
      </c>
      <c r="F93" s="113"/>
      <c r="G93" s="113">
        <f t="shared" si="3"/>
        <v>2501750</v>
      </c>
    </row>
    <row r="94" spans="1:7" x14ac:dyDescent="0.25">
      <c r="A94" s="2125">
        <v>42933</v>
      </c>
      <c r="B94" s="57" t="s">
        <v>1283</v>
      </c>
      <c r="C94" s="57" t="s">
        <v>1285</v>
      </c>
      <c r="D94" s="113">
        <v>11500</v>
      </c>
      <c r="E94" s="113">
        <f t="shared" si="2"/>
        <v>9514996</v>
      </c>
      <c r="F94" s="113"/>
      <c r="G94" s="113">
        <f t="shared" si="3"/>
        <v>2513250</v>
      </c>
    </row>
    <row r="95" spans="1:7" x14ac:dyDescent="0.25">
      <c r="A95" s="2125">
        <v>42934</v>
      </c>
      <c r="B95" s="57" t="s">
        <v>1288</v>
      </c>
      <c r="C95" s="57" t="s">
        <v>1289</v>
      </c>
      <c r="D95" s="113">
        <v>50000</v>
      </c>
      <c r="E95" s="113">
        <f t="shared" si="2"/>
        <v>9564996</v>
      </c>
      <c r="F95" s="275">
        <v>2371750</v>
      </c>
      <c r="G95" s="113">
        <f>G94+D95-F95</f>
        <v>191500</v>
      </c>
    </row>
    <row r="96" spans="1:7" x14ac:dyDescent="0.25">
      <c r="A96" s="2125">
        <v>42934</v>
      </c>
      <c r="B96" s="57" t="s">
        <v>1286</v>
      </c>
      <c r="C96" s="57" t="s">
        <v>1287</v>
      </c>
      <c r="D96" s="113">
        <v>20000</v>
      </c>
      <c r="E96" s="113">
        <f t="shared" si="2"/>
        <v>9584996</v>
      </c>
      <c r="F96" s="113"/>
      <c r="G96" s="113">
        <f t="shared" si="3"/>
        <v>211500</v>
      </c>
    </row>
    <row r="97" spans="1:7" x14ac:dyDescent="0.25">
      <c r="A97" s="2125">
        <v>42935</v>
      </c>
      <c r="B97" s="57" t="s">
        <v>1288</v>
      </c>
      <c r="C97" s="57" t="s">
        <v>1290</v>
      </c>
      <c r="D97" s="113">
        <v>40000</v>
      </c>
      <c r="E97" s="113">
        <f t="shared" si="2"/>
        <v>9624996</v>
      </c>
      <c r="F97" s="113"/>
      <c r="G97" s="113">
        <f t="shared" si="3"/>
        <v>251500</v>
      </c>
    </row>
    <row r="98" spans="1:7" x14ac:dyDescent="0.25">
      <c r="A98" s="2125" t="s">
        <v>1291</v>
      </c>
      <c r="B98" s="57" t="s">
        <v>1292</v>
      </c>
      <c r="C98" s="57" t="s">
        <v>1293</v>
      </c>
      <c r="D98" s="113">
        <v>187450</v>
      </c>
      <c r="E98" s="113">
        <f t="shared" si="2"/>
        <v>9812446</v>
      </c>
      <c r="F98" s="113"/>
      <c r="G98" s="113">
        <f t="shared" si="3"/>
        <v>438950</v>
      </c>
    </row>
    <row r="99" spans="1:7" x14ac:dyDescent="0.25">
      <c r="A99" s="2125">
        <v>42936</v>
      </c>
      <c r="B99" s="57" t="s">
        <v>1292</v>
      </c>
      <c r="C99" s="57" t="s">
        <v>1294</v>
      </c>
      <c r="D99" s="113">
        <v>172500</v>
      </c>
      <c r="E99" s="113">
        <f t="shared" si="2"/>
        <v>9984946</v>
      </c>
      <c r="F99" s="113"/>
      <c r="G99" s="113">
        <f t="shared" si="3"/>
        <v>611450</v>
      </c>
    </row>
    <row r="100" spans="1:7" x14ac:dyDescent="0.25">
      <c r="A100" s="2125">
        <v>42936</v>
      </c>
      <c r="B100" s="57" t="s">
        <v>1295</v>
      </c>
      <c r="C100" s="57" t="s">
        <v>1296</v>
      </c>
      <c r="D100" s="113">
        <v>191000</v>
      </c>
      <c r="E100" s="113">
        <f t="shared" si="2"/>
        <v>10175946</v>
      </c>
      <c r="F100" s="113"/>
      <c r="G100" s="113">
        <f t="shared" si="3"/>
        <v>802450</v>
      </c>
    </row>
    <row r="101" spans="1:7" x14ac:dyDescent="0.25">
      <c r="A101" s="2125">
        <v>42937</v>
      </c>
      <c r="B101" s="57" t="s">
        <v>1295</v>
      </c>
      <c r="C101" s="57" t="s">
        <v>1299</v>
      </c>
      <c r="D101" s="113">
        <v>15000</v>
      </c>
      <c r="E101" s="113">
        <f t="shared" si="2"/>
        <v>10190946</v>
      </c>
      <c r="F101" s="113"/>
      <c r="G101" s="113">
        <f t="shared" si="3"/>
        <v>817450</v>
      </c>
    </row>
    <row r="102" spans="1:7" x14ac:dyDescent="0.25">
      <c r="A102" s="2125">
        <v>42937</v>
      </c>
      <c r="B102" s="57" t="s">
        <v>1295</v>
      </c>
      <c r="C102" s="57" t="s">
        <v>1298</v>
      </c>
      <c r="D102" s="113">
        <v>25000</v>
      </c>
      <c r="E102" s="113">
        <f t="shared" si="2"/>
        <v>10215946</v>
      </c>
      <c r="F102" s="113"/>
      <c r="G102" s="113">
        <f t="shared" si="3"/>
        <v>842450</v>
      </c>
    </row>
    <row r="103" spans="1:7" x14ac:dyDescent="0.25">
      <c r="A103" s="2125">
        <v>42937</v>
      </c>
      <c r="B103" s="57" t="s">
        <v>1295</v>
      </c>
      <c r="C103" s="57" t="s">
        <v>1297</v>
      </c>
      <c r="D103" s="113">
        <v>225000</v>
      </c>
      <c r="E103" s="113">
        <f t="shared" si="2"/>
        <v>10440946</v>
      </c>
      <c r="F103" s="113"/>
      <c r="G103" s="113">
        <f t="shared" si="3"/>
        <v>1067450</v>
      </c>
    </row>
    <row r="104" spans="1:7" x14ac:dyDescent="0.25">
      <c r="A104" s="2125">
        <v>42938</v>
      </c>
      <c r="B104" s="57" t="s">
        <v>1300</v>
      </c>
      <c r="C104" s="57" t="s">
        <v>1301</v>
      </c>
      <c r="D104" s="113">
        <v>280000</v>
      </c>
      <c r="E104" s="113">
        <f t="shared" si="2"/>
        <v>10720946</v>
      </c>
      <c r="F104" s="113"/>
      <c r="G104" s="113">
        <f t="shared" si="3"/>
        <v>1347450</v>
      </c>
    </row>
    <row r="105" spans="1:7" x14ac:dyDescent="0.25">
      <c r="A105" s="2125">
        <v>42938</v>
      </c>
      <c r="B105" s="57" t="s">
        <v>1300</v>
      </c>
      <c r="C105" s="57" t="s">
        <v>1302</v>
      </c>
      <c r="D105" s="113">
        <v>20000</v>
      </c>
      <c r="E105" s="113">
        <f t="shared" si="2"/>
        <v>10740946</v>
      </c>
      <c r="F105" s="113"/>
      <c r="G105" s="113">
        <f t="shared" si="3"/>
        <v>1367450</v>
      </c>
    </row>
    <row r="106" spans="1:7" x14ac:dyDescent="0.25">
      <c r="A106" s="2125">
        <v>42938</v>
      </c>
      <c r="B106" s="57" t="s">
        <v>1300</v>
      </c>
      <c r="C106" s="57" t="s">
        <v>1303</v>
      </c>
      <c r="D106" s="113">
        <v>20000</v>
      </c>
      <c r="E106" s="113">
        <f t="shared" si="2"/>
        <v>10760946</v>
      </c>
      <c r="F106" s="113"/>
      <c r="G106" s="113">
        <f t="shared" si="3"/>
        <v>1387450</v>
      </c>
    </row>
    <row r="107" spans="1:7" x14ac:dyDescent="0.25">
      <c r="A107" s="2125">
        <v>42940</v>
      </c>
      <c r="B107" s="57" t="s">
        <v>1304</v>
      </c>
      <c r="C107" s="57" t="s">
        <v>1305</v>
      </c>
      <c r="D107" s="113">
        <v>70000</v>
      </c>
      <c r="E107" s="113">
        <f t="shared" si="2"/>
        <v>10830946</v>
      </c>
      <c r="F107" s="113"/>
      <c r="G107" s="113">
        <f t="shared" si="3"/>
        <v>1457450</v>
      </c>
    </row>
    <row r="108" spans="1:7" x14ac:dyDescent="0.25">
      <c r="A108" s="2125">
        <v>42941</v>
      </c>
      <c r="B108" s="57"/>
      <c r="C108" s="57"/>
      <c r="D108" s="113">
        <v>2000</v>
      </c>
      <c r="E108" s="113">
        <f t="shared" si="2"/>
        <v>10832946</v>
      </c>
      <c r="F108" s="275">
        <v>1387450</v>
      </c>
      <c r="G108" s="113">
        <f t="shared" si="3"/>
        <v>72000</v>
      </c>
    </row>
    <row r="109" spans="1:7" x14ac:dyDescent="0.25">
      <c r="A109" s="2125">
        <v>42942</v>
      </c>
      <c r="B109" s="57" t="s">
        <v>1306</v>
      </c>
      <c r="C109" s="57" t="s">
        <v>1307</v>
      </c>
      <c r="D109" s="113">
        <v>2000</v>
      </c>
      <c r="E109" s="113">
        <f t="shared" si="2"/>
        <v>10834946</v>
      </c>
      <c r="F109" s="113"/>
      <c r="G109" s="113">
        <f t="shared" si="3"/>
        <v>74000</v>
      </c>
    </row>
    <row r="110" spans="1:7" x14ac:dyDescent="0.25">
      <c r="A110" s="2125">
        <v>42943</v>
      </c>
      <c r="B110" s="57" t="s">
        <v>1308</v>
      </c>
      <c r="C110" s="57" t="s">
        <v>1309</v>
      </c>
      <c r="D110" s="113">
        <v>50000</v>
      </c>
      <c r="E110" s="113">
        <f t="shared" si="2"/>
        <v>10884946</v>
      </c>
      <c r="F110" s="113"/>
      <c r="G110" s="113">
        <f t="shared" si="3"/>
        <v>124000</v>
      </c>
    </row>
    <row r="111" spans="1:7" x14ac:dyDescent="0.25">
      <c r="A111" s="2125">
        <v>42943</v>
      </c>
      <c r="B111" s="57" t="s">
        <v>1308</v>
      </c>
      <c r="C111" s="57" t="s">
        <v>1310</v>
      </c>
      <c r="D111" s="113">
        <v>150000</v>
      </c>
      <c r="E111" s="113">
        <f t="shared" si="2"/>
        <v>11034946</v>
      </c>
      <c r="F111" s="113"/>
      <c r="G111" s="113">
        <f t="shared" si="3"/>
        <v>274000</v>
      </c>
    </row>
    <row r="112" spans="1:7" x14ac:dyDescent="0.25">
      <c r="A112" s="2125">
        <v>42944</v>
      </c>
      <c r="B112" s="57" t="s">
        <v>1311</v>
      </c>
      <c r="C112" s="57" t="s">
        <v>1312</v>
      </c>
      <c r="D112" s="113">
        <v>200000</v>
      </c>
      <c r="E112" s="113">
        <f t="shared" si="2"/>
        <v>11234946</v>
      </c>
      <c r="F112" s="113"/>
      <c r="G112" s="113">
        <f t="shared" si="3"/>
        <v>474000</v>
      </c>
    </row>
    <row r="113" spans="1:7" x14ac:dyDescent="0.25">
      <c r="A113" s="2125">
        <v>42945</v>
      </c>
      <c r="B113" s="57" t="s">
        <v>1313</v>
      </c>
      <c r="C113" s="57" t="s">
        <v>1314</v>
      </c>
      <c r="D113" s="113">
        <v>283000</v>
      </c>
      <c r="E113" s="113">
        <f t="shared" si="2"/>
        <v>11517946</v>
      </c>
      <c r="F113" s="113"/>
      <c r="G113" s="113">
        <f t="shared" si="3"/>
        <v>757000</v>
      </c>
    </row>
    <row r="114" spans="1:7" x14ac:dyDescent="0.25">
      <c r="A114" s="2125">
        <v>42946</v>
      </c>
      <c r="B114" s="57" t="s">
        <v>1315</v>
      </c>
      <c r="C114" s="57" t="s">
        <v>1316</v>
      </c>
      <c r="D114" s="113">
        <v>21000</v>
      </c>
      <c r="E114" s="113">
        <f t="shared" ref="E114:E120" si="4">E113+D114</f>
        <v>11538946</v>
      </c>
      <c r="F114" s="113"/>
      <c r="G114" s="113">
        <f t="shared" si="3"/>
        <v>778000</v>
      </c>
    </row>
    <row r="115" spans="1:7" x14ac:dyDescent="0.25">
      <c r="A115" s="2125">
        <v>42947</v>
      </c>
      <c r="B115" s="57" t="s">
        <v>1315</v>
      </c>
      <c r="C115" s="57" t="s">
        <v>1317</v>
      </c>
      <c r="D115" s="113">
        <v>20000</v>
      </c>
      <c r="E115" s="113">
        <f t="shared" si="4"/>
        <v>11558946</v>
      </c>
      <c r="F115" s="113"/>
      <c r="G115" s="113">
        <f t="shared" si="3"/>
        <v>798000</v>
      </c>
    </row>
    <row r="116" spans="1:7" x14ac:dyDescent="0.25">
      <c r="A116" s="2125">
        <v>42947</v>
      </c>
      <c r="B116" s="57" t="s">
        <v>1315</v>
      </c>
      <c r="C116" s="57" t="s">
        <v>1318</v>
      </c>
      <c r="D116" s="113">
        <v>100000</v>
      </c>
      <c r="E116" s="113">
        <f t="shared" si="4"/>
        <v>11658946</v>
      </c>
      <c r="F116" s="113"/>
      <c r="G116" s="113">
        <f t="shared" si="3"/>
        <v>898000</v>
      </c>
    </row>
    <row r="117" spans="1:7" x14ac:dyDescent="0.25">
      <c r="A117" s="2125">
        <v>42947</v>
      </c>
      <c r="B117" s="57" t="s">
        <v>1319</v>
      </c>
      <c r="C117" s="57" t="s">
        <v>1320</v>
      </c>
      <c r="D117" s="113">
        <v>100000</v>
      </c>
      <c r="E117" s="113">
        <f t="shared" si="4"/>
        <v>11758946</v>
      </c>
      <c r="F117" s="113"/>
      <c r="G117" s="113">
        <f t="shared" si="3"/>
        <v>998000</v>
      </c>
    </row>
    <row r="118" spans="1:7" x14ac:dyDescent="0.25">
      <c r="A118" s="2125">
        <v>42947</v>
      </c>
      <c r="B118" s="57" t="s">
        <v>1319</v>
      </c>
      <c r="C118" s="57" t="s">
        <v>1321</v>
      </c>
      <c r="D118" s="113">
        <v>60000</v>
      </c>
      <c r="E118" s="113">
        <f t="shared" si="4"/>
        <v>11818946</v>
      </c>
      <c r="F118" s="113"/>
      <c r="G118" s="113">
        <f t="shared" si="3"/>
        <v>1058000</v>
      </c>
    </row>
    <row r="119" spans="1:7" x14ac:dyDescent="0.25">
      <c r="A119" s="2125">
        <v>42947</v>
      </c>
      <c r="B119" s="57" t="s">
        <v>1315</v>
      </c>
      <c r="C119" s="57" t="s">
        <v>1322</v>
      </c>
      <c r="D119" s="113">
        <v>16000</v>
      </c>
      <c r="E119" s="113">
        <f t="shared" si="4"/>
        <v>11834946</v>
      </c>
      <c r="F119" s="113"/>
      <c r="G119" s="113">
        <f t="shared" si="3"/>
        <v>1074000</v>
      </c>
    </row>
    <row r="120" spans="1:7" x14ac:dyDescent="0.25">
      <c r="A120" s="2125">
        <v>42947</v>
      </c>
      <c r="B120" s="57" t="s">
        <v>1315</v>
      </c>
      <c r="C120" s="57" t="s">
        <v>1323</v>
      </c>
      <c r="D120" s="113">
        <v>90000</v>
      </c>
      <c r="E120" s="113">
        <f t="shared" si="4"/>
        <v>11924946</v>
      </c>
      <c r="F120" s="113"/>
      <c r="G120" s="113">
        <f t="shared" si="3"/>
        <v>1164000</v>
      </c>
    </row>
    <row r="121" spans="1:7" x14ac:dyDescent="0.25">
      <c r="A121" s="2166"/>
      <c r="B121" s="2167"/>
      <c r="C121" s="2167"/>
      <c r="D121" s="2168"/>
      <c r="E121" s="2168"/>
      <c r="F121" s="2168"/>
      <c r="G121" s="2168"/>
    </row>
    <row r="122" spans="1:7" x14ac:dyDescent="0.25">
      <c r="A122" s="2125">
        <v>42948</v>
      </c>
      <c r="B122" s="57" t="s">
        <v>1319</v>
      </c>
      <c r="C122" s="57" t="s">
        <v>1324</v>
      </c>
      <c r="D122" s="113">
        <v>10000</v>
      </c>
      <c r="E122" s="113">
        <f>E120+D122</f>
        <v>11934946</v>
      </c>
      <c r="F122" s="275">
        <v>757000</v>
      </c>
      <c r="G122" s="113">
        <f>G120+D122-F122</f>
        <v>417000</v>
      </c>
    </row>
    <row r="123" spans="1:7" x14ac:dyDescent="0.25">
      <c r="A123" s="2125">
        <v>42949</v>
      </c>
      <c r="B123" s="57" t="s">
        <v>1325</v>
      </c>
      <c r="C123" s="57" t="s">
        <v>1326</v>
      </c>
      <c r="D123" s="113">
        <v>88000</v>
      </c>
      <c r="E123" s="113">
        <f t="shared" ref="E123:E160" si="5">E122+D123</f>
        <v>12022946</v>
      </c>
      <c r="F123" s="113"/>
      <c r="G123" s="113">
        <f>G122+D123-F123</f>
        <v>505000</v>
      </c>
    </row>
    <row r="124" spans="1:7" x14ac:dyDescent="0.25">
      <c r="A124" s="2125">
        <v>42949</v>
      </c>
      <c r="B124" s="57" t="s">
        <v>1327</v>
      </c>
      <c r="C124" s="57" t="s">
        <v>1328</v>
      </c>
      <c r="D124" s="113">
        <v>176700</v>
      </c>
      <c r="E124" s="113">
        <f t="shared" si="5"/>
        <v>12199646</v>
      </c>
      <c r="F124" s="113"/>
      <c r="G124" s="113">
        <f t="shared" ref="G124:G183" si="6">G123+D124-F124</f>
        <v>681700</v>
      </c>
    </row>
    <row r="125" spans="1:7" x14ac:dyDescent="0.25">
      <c r="A125" s="2125">
        <v>42949</v>
      </c>
      <c r="B125" s="57" t="s">
        <v>1327</v>
      </c>
      <c r="C125" s="57" t="s">
        <v>1329</v>
      </c>
      <c r="D125" s="113">
        <v>31000</v>
      </c>
      <c r="E125" s="113">
        <f t="shared" si="5"/>
        <v>12230646</v>
      </c>
      <c r="F125" s="113"/>
      <c r="G125" s="113">
        <f t="shared" si="6"/>
        <v>712700</v>
      </c>
    </row>
    <row r="126" spans="1:7" x14ac:dyDescent="0.25">
      <c r="A126" s="2125">
        <v>42950</v>
      </c>
      <c r="B126" s="57" t="s">
        <v>1327</v>
      </c>
      <c r="C126" s="57" t="s">
        <v>1330</v>
      </c>
      <c r="D126" s="113">
        <v>15000</v>
      </c>
      <c r="E126" s="113">
        <f t="shared" si="5"/>
        <v>12245646</v>
      </c>
      <c r="F126" s="113"/>
      <c r="G126" s="113">
        <f t="shared" si="6"/>
        <v>727700</v>
      </c>
    </row>
    <row r="127" spans="1:7" x14ac:dyDescent="0.25">
      <c r="A127" s="2125">
        <v>42950</v>
      </c>
      <c r="B127" s="57" t="s">
        <v>1327</v>
      </c>
      <c r="C127" s="57" t="s">
        <v>1331</v>
      </c>
      <c r="D127" s="113">
        <v>195500</v>
      </c>
      <c r="E127" s="113">
        <f t="shared" si="5"/>
        <v>12441146</v>
      </c>
      <c r="F127" s="113"/>
      <c r="G127" s="113">
        <f t="shared" si="6"/>
        <v>923200</v>
      </c>
    </row>
    <row r="128" spans="1:7" x14ac:dyDescent="0.25">
      <c r="A128" s="2125">
        <v>42950</v>
      </c>
      <c r="B128" s="57" t="s">
        <v>1327</v>
      </c>
      <c r="C128" s="57" t="s">
        <v>1332</v>
      </c>
      <c r="D128" s="113">
        <v>200000</v>
      </c>
      <c r="E128" s="113">
        <f t="shared" si="5"/>
        <v>12641146</v>
      </c>
      <c r="F128" s="113"/>
      <c r="G128" s="113">
        <f t="shared" si="6"/>
        <v>1123200</v>
      </c>
    </row>
    <row r="129" spans="1:7" x14ac:dyDescent="0.25">
      <c r="A129" s="2125">
        <v>42951</v>
      </c>
      <c r="B129" s="57" t="s">
        <v>1350</v>
      </c>
      <c r="C129" s="57" t="s">
        <v>1351</v>
      </c>
      <c r="D129" s="113">
        <v>20000</v>
      </c>
      <c r="E129" s="113">
        <f t="shared" si="5"/>
        <v>12661146</v>
      </c>
      <c r="F129" s="113"/>
      <c r="G129" s="113">
        <f t="shared" si="6"/>
        <v>1143200</v>
      </c>
    </row>
    <row r="130" spans="1:7" x14ac:dyDescent="0.25">
      <c r="A130" s="2125">
        <v>42952</v>
      </c>
      <c r="B130" s="57" t="s">
        <v>1334</v>
      </c>
      <c r="C130" s="57" t="s">
        <v>1335</v>
      </c>
      <c r="D130" s="113">
        <v>199000</v>
      </c>
      <c r="E130" s="113">
        <f t="shared" si="5"/>
        <v>12860146</v>
      </c>
      <c r="F130" s="113"/>
      <c r="G130" s="113">
        <f t="shared" si="6"/>
        <v>1342200</v>
      </c>
    </row>
    <row r="131" spans="1:7" x14ac:dyDescent="0.25">
      <c r="A131" s="2125">
        <v>42952</v>
      </c>
      <c r="B131" s="57" t="s">
        <v>1334</v>
      </c>
      <c r="C131" s="57" t="s">
        <v>1336</v>
      </c>
      <c r="D131" s="113">
        <v>10000</v>
      </c>
      <c r="E131" s="113">
        <f t="shared" si="5"/>
        <v>12870146</v>
      </c>
      <c r="F131" s="113"/>
      <c r="G131" s="113">
        <f t="shared" si="6"/>
        <v>1352200</v>
      </c>
    </row>
    <row r="132" spans="1:7" x14ac:dyDescent="0.25">
      <c r="A132" s="2125">
        <v>42952</v>
      </c>
      <c r="B132" s="57" t="s">
        <v>1337</v>
      </c>
      <c r="C132" s="57" t="s">
        <v>1338</v>
      </c>
      <c r="D132" s="113">
        <v>150000</v>
      </c>
      <c r="E132" s="113">
        <f t="shared" si="5"/>
        <v>13020146</v>
      </c>
      <c r="F132" s="113"/>
      <c r="G132" s="113">
        <f t="shared" si="6"/>
        <v>1502200</v>
      </c>
    </row>
    <row r="133" spans="1:7" x14ac:dyDescent="0.25">
      <c r="A133" s="2125">
        <v>42953</v>
      </c>
      <c r="B133" s="57" t="s">
        <v>1337</v>
      </c>
      <c r="C133" s="57" t="s">
        <v>1339</v>
      </c>
      <c r="D133" s="113">
        <v>210000</v>
      </c>
      <c r="E133" s="113">
        <f t="shared" si="5"/>
        <v>13230146</v>
      </c>
      <c r="F133" s="113"/>
      <c r="G133" s="113">
        <f t="shared" si="6"/>
        <v>1712200</v>
      </c>
    </row>
    <row r="134" spans="1:7" x14ac:dyDescent="0.25">
      <c r="A134" s="2125">
        <v>42953</v>
      </c>
      <c r="B134" s="57" t="s">
        <v>1337</v>
      </c>
      <c r="C134" s="57" t="s">
        <v>1340</v>
      </c>
      <c r="D134" s="113">
        <v>180000</v>
      </c>
      <c r="E134" s="113">
        <f t="shared" si="5"/>
        <v>13410146</v>
      </c>
      <c r="F134" s="113"/>
      <c r="G134" s="113">
        <f t="shared" si="6"/>
        <v>1892200</v>
      </c>
    </row>
    <row r="135" spans="1:7" x14ac:dyDescent="0.25">
      <c r="A135" s="2125">
        <v>42953</v>
      </c>
      <c r="B135" s="57" t="s">
        <v>1337</v>
      </c>
      <c r="C135" s="57" t="s">
        <v>1341</v>
      </c>
      <c r="D135" s="113">
        <v>10000</v>
      </c>
      <c r="E135" s="113">
        <f t="shared" si="5"/>
        <v>13420146</v>
      </c>
      <c r="F135" s="113"/>
      <c r="G135" s="113">
        <f t="shared" si="6"/>
        <v>1902200</v>
      </c>
    </row>
    <row r="136" spans="1:7" x14ac:dyDescent="0.25">
      <c r="A136" s="2125">
        <v>42954</v>
      </c>
      <c r="B136" s="57" t="s">
        <v>1342</v>
      </c>
      <c r="C136" s="57" t="s">
        <v>1343</v>
      </c>
      <c r="D136" s="113">
        <v>11500</v>
      </c>
      <c r="E136" s="113">
        <f t="shared" si="5"/>
        <v>13431646</v>
      </c>
      <c r="F136" s="275">
        <v>1902200</v>
      </c>
      <c r="G136" s="113">
        <f t="shared" si="6"/>
        <v>11500</v>
      </c>
    </row>
    <row r="137" spans="1:7" x14ac:dyDescent="0.25">
      <c r="A137" s="2125">
        <v>42955</v>
      </c>
      <c r="B137" s="57" t="s">
        <v>1344</v>
      </c>
      <c r="C137" s="57" t="s">
        <v>1345</v>
      </c>
      <c r="D137" s="113">
        <v>70000</v>
      </c>
      <c r="E137" s="113">
        <f t="shared" si="5"/>
        <v>13501646</v>
      </c>
      <c r="F137" s="113"/>
      <c r="G137" s="113">
        <f t="shared" si="6"/>
        <v>81500</v>
      </c>
    </row>
    <row r="138" spans="1:7" x14ac:dyDescent="0.25">
      <c r="A138" s="2125">
        <v>42955</v>
      </c>
      <c r="B138" s="57" t="s">
        <v>1344</v>
      </c>
      <c r="C138" s="57" t="s">
        <v>1346</v>
      </c>
      <c r="D138" s="113">
        <v>57500</v>
      </c>
      <c r="E138" s="113">
        <f t="shared" si="5"/>
        <v>13559146</v>
      </c>
      <c r="F138" s="113"/>
      <c r="G138" s="113">
        <f t="shared" si="6"/>
        <v>139000</v>
      </c>
    </row>
    <row r="139" spans="1:7" x14ac:dyDescent="0.25">
      <c r="A139" s="2125">
        <v>42955</v>
      </c>
      <c r="B139" s="57" t="s">
        <v>1344</v>
      </c>
      <c r="C139" s="57" t="s">
        <v>1347</v>
      </c>
      <c r="D139" s="113">
        <v>138000</v>
      </c>
      <c r="E139" s="113">
        <f>E138+D139</f>
        <v>13697146</v>
      </c>
      <c r="F139" s="113"/>
      <c r="G139" s="113">
        <f t="shared" si="6"/>
        <v>277000</v>
      </c>
    </row>
    <row r="140" spans="1:7" x14ac:dyDescent="0.25">
      <c r="A140" s="2125">
        <v>42956</v>
      </c>
      <c r="B140" s="57" t="s">
        <v>1348</v>
      </c>
      <c r="C140" s="57" t="s">
        <v>1349</v>
      </c>
      <c r="D140" s="113">
        <v>120000</v>
      </c>
      <c r="E140" s="113">
        <f>E139+D140</f>
        <v>13817146</v>
      </c>
      <c r="F140" s="113"/>
      <c r="G140" s="113">
        <f t="shared" si="6"/>
        <v>397000</v>
      </c>
    </row>
    <row r="141" spans="1:7" x14ac:dyDescent="0.25">
      <c r="A141" s="2125">
        <v>42957</v>
      </c>
      <c r="B141" s="57" t="s">
        <v>1358</v>
      </c>
      <c r="C141" s="57" t="s">
        <v>1359</v>
      </c>
      <c r="D141" s="113">
        <v>30000</v>
      </c>
      <c r="E141" s="113">
        <f>E140+D141</f>
        <v>13847146</v>
      </c>
      <c r="F141" s="113"/>
      <c r="G141" s="113">
        <f t="shared" si="6"/>
        <v>427000</v>
      </c>
    </row>
    <row r="142" spans="1:7" x14ac:dyDescent="0.25">
      <c r="A142" s="2125">
        <v>42957</v>
      </c>
      <c r="B142" s="57" t="s">
        <v>1358</v>
      </c>
      <c r="C142" s="57" t="s">
        <v>1360</v>
      </c>
      <c r="D142" s="113">
        <v>15000</v>
      </c>
      <c r="E142" s="113">
        <f>E141+D142</f>
        <v>13862146</v>
      </c>
      <c r="F142" s="113"/>
      <c r="G142" s="113">
        <f t="shared" si="6"/>
        <v>442000</v>
      </c>
    </row>
    <row r="143" spans="1:7" x14ac:dyDescent="0.25">
      <c r="A143" s="2125">
        <v>42958</v>
      </c>
      <c r="B143" s="57" t="s">
        <v>1352</v>
      </c>
      <c r="C143" s="57" t="s">
        <v>1353</v>
      </c>
      <c r="D143" s="113">
        <v>222100</v>
      </c>
      <c r="E143" s="113">
        <f t="shared" si="5"/>
        <v>14084246</v>
      </c>
      <c r="F143" s="113"/>
      <c r="G143" s="113">
        <f t="shared" si="6"/>
        <v>664100</v>
      </c>
    </row>
    <row r="144" spans="1:7" x14ac:dyDescent="0.25">
      <c r="A144" s="2125">
        <v>42958</v>
      </c>
      <c r="B144" s="57" t="s">
        <v>1352</v>
      </c>
      <c r="C144" s="57" t="s">
        <v>1354</v>
      </c>
      <c r="D144" s="113">
        <v>100000</v>
      </c>
      <c r="E144" s="113">
        <f t="shared" si="5"/>
        <v>14184246</v>
      </c>
      <c r="F144" s="113"/>
      <c r="G144" s="113">
        <f t="shared" si="6"/>
        <v>764100</v>
      </c>
    </row>
    <row r="145" spans="1:7" x14ac:dyDescent="0.25">
      <c r="A145" s="2125">
        <v>42959</v>
      </c>
      <c r="B145" s="57" t="s">
        <v>1356</v>
      </c>
      <c r="C145" s="57" t="s">
        <v>1357</v>
      </c>
      <c r="D145" s="113">
        <v>290502</v>
      </c>
      <c r="E145" s="113">
        <f t="shared" si="5"/>
        <v>14474748</v>
      </c>
      <c r="F145" s="113"/>
      <c r="G145" s="113">
        <f t="shared" si="6"/>
        <v>1054602</v>
      </c>
    </row>
    <row r="146" spans="1:7" x14ac:dyDescent="0.25">
      <c r="A146" s="2125">
        <v>42960</v>
      </c>
      <c r="B146" s="57" t="s">
        <v>1361</v>
      </c>
      <c r="C146" s="57" t="s">
        <v>1362</v>
      </c>
      <c r="D146" s="113">
        <v>12000</v>
      </c>
      <c r="E146" s="113">
        <f t="shared" si="5"/>
        <v>14486748</v>
      </c>
      <c r="F146" s="113"/>
      <c r="G146" s="113">
        <f t="shared" si="6"/>
        <v>1066602</v>
      </c>
    </row>
    <row r="147" spans="1:7" x14ac:dyDescent="0.25">
      <c r="A147" s="2125">
        <v>42960</v>
      </c>
      <c r="B147" s="57" t="s">
        <v>1361</v>
      </c>
      <c r="C147" s="57" t="s">
        <v>1363</v>
      </c>
      <c r="D147" s="113">
        <v>245500</v>
      </c>
      <c r="E147" s="113">
        <f>E142+D147</f>
        <v>14107646</v>
      </c>
      <c r="F147" s="113"/>
      <c r="G147" s="113">
        <f t="shared" si="6"/>
        <v>1312102</v>
      </c>
    </row>
    <row r="148" spans="1:7" x14ac:dyDescent="0.25">
      <c r="A148" s="2125">
        <v>42960</v>
      </c>
      <c r="B148" s="57" t="s">
        <v>1361</v>
      </c>
      <c r="C148" s="57" t="s">
        <v>1364</v>
      </c>
      <c r="D148" s="113">
        <v>203900</v>
      </c>
      <c r="E148" s="113">
        <f t="shared" ref="E148:E156" si="7">E143+D148</f>
        <v>14288146</v>
      </c>
      <c r="F148" s="113"/>
      <c r="G148" s="113">
        <f t="shared" si="6"/>
        <v>1516002</v>
      </c>
    </row>
    <row r="149" spans="1:7" x14ac:dyDescent="0.25">
      <c r="A149" s="2125">
        <v>42960</v>
      </c>
      <c r="B149" s="57" t="s">
        <v>1361</v>
      </c>
      <c r="C149" s="57" t="s">
        <v>1365</v>
      </c>
      <c r="D149" s="113">
        <v>200000</v>
      </c>
      <c r="E149" s="113">
        <f t="shared" si="7"/>
        <v>14384246</v>
      </c>
      <c r="F149" s="113"/>
      <c r="G149" s="113">
        <f t="shared" si="6"/>
        <v>1716002</v>
      </c>
    </row>
    <row r="150" spans="1:7" x14ac:dyDescent="0.25">
      <c r="A150" s="2125">
        <v>42961</v>
      </c>
      <c r="B150" s="57" t="s">
        <v>1370</v>
      </c>
      <c r="C150" s="57" t="s">
        <v>1371</v>
      </c>
      <c r="D150" s="113">
        <v>2500</v>
      </c>
      <c r="E150" s="113">
        <f t="shared" si="7"/>
        <v>14477248</v>
      </c>
      <c r="F150" s="113"/>
      <c r="G150" s="113">
        <f t="shared" si="6"/>
        <v>1718502</v>
      </c>
    </row>
    <row r="151" spans="1:7" x14ac:dyDescent="0.25">
      <c r="A151" s="2125">
        <v>42961</v>
      </c>
      <c r="B151" s="57" t="s">
        <v>1370</v>
      </c>
      <c r="C151" s="57" t="s">
        <v>1372</v>
      </c>
      <c r="D151" s="113">
        <v>100000</v>
      </c>
      <c r="E151" s="113">
        <f t="shared" si="7"/>
        <v>14586748</v>
      </c>
      <c r="F151" s="113"/>
      <c r="G151" s="113">
        <f t="shared" si="6"/>
        <v>1818502</v>
      </c>
    </row>
    <row r="152" spans="1:7" x14ac:dyDescent="0.25">
      <c r="A152" s="2125">
        <v>42962</v>
      </c>
      <c r="B152" s="57" t="s">
        <v>1373</v>
      </c>
      <c r="C152" s="57" t="s">
        <v>1374</v>
      </c>
      <c r="D152" s="113">
        <v>202900</v>
      </c>
      <c r="E152" s="113">
        <f t="shared" si="7"/>
        <v>14310546</v>
      </c>
      <c r="F152" s="113"/>
      <c r="G152" s="113">
        <f t="shared" si="6"/>
        <v>2021402</v>
      </c>
    </row>
    <row r="153" spans="1:7" x14ac:dyDescent="0.25">
      <c r="A153" s="2125"/>
      <c r="B153" s="57"/>
      <c r="C153" s="57"/>
      <c r="D153" s="113"/>
      <c r="E153" s="113">
        <f t="shared" si="7"/>
        <v>14288146</v>
      </c>
      <c r="F153" s="275">
        <v>1716002</v>
      </c>
      <c r="G153" s="113">
        <f t="shared" si="6"/>
        <v>305400</v>
      </c>
    </row>
    <row r="154" spans="1:7" x14ac:dyDescent="0.25">
      <c r="A154" s="2125">
        <v>42964</v>
      </c>
      <c r="B154" s="57" t="s">
        <v>1378</v>
      </c>
      <c r="C154" s="57"/>
      <c r="D154" s="113"/>
      <c r="E154" s="113">
        <f t="shared" si="7"/>
        <v>14384246</v>
      </c>
      <c r="F154" s="113"/>
      <c r="G154" s="113">
        <f t="shared" si="6"/>
        <v>305400</v>
      </c>
    </row>
    <row r="155" spans="1:7" x14ac:dyDescent="0.25">
      <c r="A155" s="2125">
        <v>42964</v>
      </c>
      <c r="B155" s="57" t="s">
        <v>1379</v>
      </c>
      <c r="C155" s="57" t="s">
        <v>1382</v>
      </c>
      <c r="D155" s="113">
        <v>5000</v>
      </c>
      <c r="E155" s="113">
        <f t="shared" si="7"/>
        <v>14482248</v>
      </c>
      <c r="F155" s="113"/>
      <c r="G155" s="113">
        <f t="shared" si="6"/>
        <v>310400</v>
      </c>
    </row>
    <row r="156" spans="1:7" x14ac:dyDescent="0.25">
      <c r="A156" s="2125">
        <v>42964</v>
      </c>
      <c r="B156" s="57" t="s">
        <v>1379</v>
      </c>
      <c r="C156" s="57" t="s">
        <v>1381</v>
      </c>
      <c r="D156" s="113">
        <v>7000</v>
      </c>
      <c r="E156" s="113">
        <f t="shared" si="7"/>
        <v>14593748</v>
      </c>
      <c r="F156" s="113"/>
      <c r="G156" s="113">
        <f t="shared" si="6"/>
        <v>317400</v>
      </c>
    </row>
    <row r="157" spans="1:7" x14ac:dyDescent="0.25">
      <c r="A157" s="2125">
        <v>42964</v>
      </c>
      <c r="B157" s="57" t="s">
        <v>1379</v>
      </c>
      <c r="C157" s="57" t="s">
        <v>1380</v>
      </c>
      <c r="D157" s="113">
        <v>20000</v>
      </c>
      <c r="E157" s="113">
        <f>E151+D157</f>
        <v>14606748</v>
      </c>
      <c r="F157" s="113"/>
      <c r="G157" s="113">
        <f t="shared" si="6"/>
        <v>337400</v>
      </c>
    </row>
    <row r="158" spans="1:7" x14ac:dyDescent="0.25">
      <c r="A158" s="2125">
        <v>42965</v>
      </c>
      <c r="B158" s="57" t="s">
        <v>1375</v>
      </c>
      <c r="C158" s="57" t="s">
        <v>1377</v>
      </c>
      <c r="D158" s="113">
        <v>20000</v>
      </c>
      <c r="E158" s="113">
        <f>E152+D158</f>
        <v>14330546</v>
      </c>
      <c r="F158" s="113"/>
      <c r="G158" s="113">
        <f t="shared" si="6"/>
        <v>357400</v>
      </c>
    </row>
    <row r="159" spans="1:7" x14ac:dyDescent="0.25">
      <c r="A159" s="2125">
        <v>42965</v>
      </c>
      <c r="B159" s="57" t="s">
        <v>1375</v>
      </c>
      <c r="C159" s="57" t="s">
        <v>1376</v>
      </c>
      <c r="D159" s="113">
        <v>145000</v>
      </c>
      <c r="E159" s="113">
        <f>E158+D159</f>
        <v>14475546</v>
      </c>
      <c r="F159" s="113"/>
      <c r="G159" s="113">
        <f t="shared" si="6"/>
        <v>502400</v>
      </c>
    </row>
    <row r="160" spans="1:7" x14ac:dyDescent="0.25">
      <c r="A160" s="2125">
        <v>42967</v>
      </c>
      <c r="B160" s="57" t="s">
        <v>1383</v>
      </c>
      <c r="C160" s="57" t="s">
        <v>1384</v>
      </c>
      <c r="D160" s="113">
        <v>20000</v>
      </c>
      <c r="E160" s="113">
        <f t="shared" si="5"/>
        <v>14495546</v>
      </c>
      <c r="F160" s="113"/>
      <c r="G160" s="113">
        <f t="shared" si="6"/>
        <v>522400</v>
      </c>
    </row>
    <row r="161" spans="1:7" x14ac:dyDescent="0.25">
      <c r="A161" s="2125">
        <v>42967</v>
      </c>
      <c r="B161" s="57" t="s">
        <v>1385</v>
      </c>
      <c r="C161" s="57" t="s">
        <v>1386</v>
      </c>
      <c r="D161" s="113">
        <v>273125</v>
      </c>
      <c r="E161" s="113">
        <f t="shared" ref="E161:E183" si="8">E160+D161</f>
        <v>14768671</v>
      </c>
      <c r="F161" s="275">
        <v>775525</v>
      </c>
      <c r="G161" s="113">
        <f t="shared" si="6"/>
        <v>20000</v>
      </c>
    </row>
    <row r="162" spans="1:7" x14ac:dyDescent="0.25">
      <c r="A162" s="2125">
        <v>42968</v>
      </c>
      <c r="B162" s="57" t="s">
        <v>1383</v>
      </c>
      <c r="C162" s="57" t="s">
        <v>1390</v>
      </c>
      <c r="D162" s="113">
        <v>230000</v>
      </c>
      <c r="E162" s="113">
        <f t="shared" si="8"/>
        <v>14998671</v>
      </c>
      <c r="F162" s="113"/>
      <c r="G162" s="113">
        <f t="shared" si="6"/>
        <v>250000</v>
      </c>
    </row>
    <row r="163" spans="1:7" x14ac:dyDescent="0.25">
      <c r="A163" s="2125">
        <v>42969</v>
      </c>
      <c r="B163" s="57" t="s">
        <v>1388</v>
      </c>
      <c r="C163" s="57" t="s">
        <v>1389</v>
      </c>
      <c r="D163" s="113">
        <v>250000</v>
      </c>
      <c r="E163" s="113">
        <f t="shared" si="8"/>
        <v>15248671</v>
      </c>
      <c r="F163" s="113"/>
      <c r="G163" s="113">
        <f t="shared" si="6"/>
        <v>500000</v>
      </c>
    </row>
    <row r="164" spans="1:7" x14ac:dyDescent="0.25">
      <c r="A164" s="2125">
        <v>42970</v>
      </c>
      <c r="B164" s="57" t="s">
        <v>1399</v>
      </c>
      <c r="C164" s="57" t="s">
        <v>1401</v>
      </c>
      <c r="D164" s="113">
        <v>3500</v>
      </c>
      <c r="E164" s="113">
        <f t="shared" si="8"/>
        <v>15252171</v>
      </c>
      <c r="F164" s="113"/>
      <c r="G164" s="113">
        <f t="shared" si="6"/>
        <v>503500</v>
      </c>
    </row>
    <row r="165" spans="1:7" x14ac:dyDescent="0.25">
      <c r="A165" s="2125">
        <v>42970</v>
      </c>
      <c r="B165" s="57" t="s">
        <v>1399</v>
      </c>
      <c r="C165" s="57" t="s">
        <v>1400</v>
      </c>
      <c r="D165" s="113">
        <v>172500</v>
      </c>
      <c r="E165" s="113">
        <f t="shared" si="8"/>
        <v>15424671</v>
      </c>
      <c r="F165" s="113"/>
      <c r="G165" s="113">
        <f t="shared" si="6"/>
        <v>676000</v>
      </c>
    </row>
    <row r="166" spans="1:7" x14ac:dyDescent="0.25">
      <c r="A166" s="2125">
        <v>42971</v>
      </c>
      <c r="B166" s="57" t="s">
        <v>1391</v>
      </c>
      <c r="C166" s="57" t="s">
        <v>1392</v>
      </c>
      <c r="D166" s="113">
        <v>115000</v>
      </c>
      <c r="E166" s="113">
        <f t="shared" si="8"/>
        <v>15539671</v>
      </c>
      <c r="F166" s="113"/>
      <c r="G166" s="113">
        <f t="shared" si="6"/>
        <v>791000</v>
      </c>
    </row>
    <row r="167" spans="1:7" x14ac:dyDescent="0.25">
      <c r="A167" s="2125">
        <v>42971</v>
      </c>
      <c r="B167" s="57" t="s">
        <v>1391</v>
      </c>
      <c r="C167" s="57" t="s">
        <v>1393</v>
      </c>
      <c r="D167" s="113">
        <v>100000</v>
      </c>
      <c r="E167" s="113">
        <f t="shared" si="8"/>
        <v>15639671</v>
      </c>
      <c r="F167" s="113"/>
      <c r="G167" s="113">
        <f t="shared" si="6"/>
        <v>891000</v>
      </c>
    </row>
    <row r="168" spans="1:7" x14ac:dyDescent="0.25">
      <c r="A168" s="2125">
        <v>42971</v>
      </c>
      <c r="B168" s="57" t="s">
        <v>1391</v>
      </c>
      <c r="C168" s="57" t="s">
        <v>1394</v>
      </c>
      <c r="D168" s="113">
        <v>115000</v>
      </c>
      <c r="E168" s="113">
        <f t="shared" si="8"/>
        <v>15754671</v>
      </c>
      <c r="F168" s="113"/>
      <c r="G168" s="113">
        <f t="shared" si="6"/>
        <v>1006000</v>
      </c>
    </row>
    <row r="169" spans="1:7" x14ac:dyDescent="0.25">
      <c r="A169" s="2125">
        <v>42971</v>
      </c>
      <c r="B169" s="57" t="s">
        <v>1391</v>
      </c>
      <c r="C169" s="57" t="s">
        <v>1395</v>
      </c>
      <c r="D169" s="113">
        <v>11250</v>
      </c>
      <c r="E169" s="113">
        <f t="shared" si="8"/>
        <v>15765921</v>
      </c>
      <c r="F169" s="113"/>
      <c r="G169" s="113">
        <f t="shared" si="6"/>
        <v>1017250</v>
      </c>
    </row>
    <row r="170" spans="1:7" x14ac:dyDescent="0.25">
      <c r="A170" s="2125">
        <v>42971</v>
      </c>
      <c r="B170" s="57" t="s">
        <v>1391</v>
      </c>
      <c r="C170" s="57" t="s">
        <v>1396</v>
      </c>
      <c r="D170" s="113">
        <v>200000</v>
      </c>
      <c r="E170" s="113">
        <f t="shared" si="8"/>
        <v>15965921</v>
      </c>
      <c r="F170" s="113"/>
      <c r="G170" s="113">
        <f t="shared" si="6"/>
        <v>1217250</v>
      </c>
    </row>
    <row r="171" spans="1:7" x14ac:dyDescent="0.25">
      <c r="A171" s="2125">
        <v>42971</v>
      </c>
      <c r="B171" s="57" t="s">
        <v>1391</v>
      </c>
      <c r="C171" s="57" t="s">
        <v>1397</v>
      </c>
      <c r="D171" s="113">
        <v>30000</v>
      </c>
      <c r="E171" s="113">
        <f t="shared" si="8"/>
        <v>15995921</v>
      </c>
      <c r="F171" s="113"/>
      <c r="G171" s="113">
        <f t="shared" si="6"/>
        <v>1247250</v>
      </c>
    </row>
    <row r="172" spans="1:7" x14ac:dyDescent="0.25">
      <c r="A172" s="2125">
        <v>42971</v>
      </c>
      <c r="B172" s="57" t="s">
        <v>1391</v>
      </c>
      <c r="C172" s="57" t="s">
        <v>1398</v>
      </c>
      <c r="D172" s="113">
        <v>205000</v>
      </c>
      <c r="E172" s="113">
        <f t="shared" si="8"/>
        <v>16200921</v>
      </c>
      <c r="F172" s="113"/>
      <c r="G172" s="113">
        <f t="shared" si="6"/>
        <v>1452250</v>
      </c>
    </row>
    <row r="173" spans="1:7" x14ac:dyDescent="0.25">
      <c r="A173" s="2125">
        <v>42972</v>
      </c>
      <c r="B173" s="57" t="s">
        <v>1402</v>
      </c>
      <c r="C173" s="57" t="s">
        <v>1404</v>
      </c>
      <c r="D173" s="113">
        <v>100000</v>
      </c>
      <c r="E173" s="113">
        <f t="shared" si="8"/>
        <v>16300921</v>
      </c>
      <c r="F173" s="113"/>
      <c r="G173" s="113">
        <f t="shared" si="6"/>
        <v>1552250</v>
      </c>
    </row>
    <row r="174" spans="1:7" x14ac:dyDescent="0.25">
      <c r="A174" s="2125">
        <v>42972</v>
      </c>
      <c r="B174" s="57" t="s">
        <v>1402</v>
      </c>
      <c r="C174" s="57" t="s">
        <v>1403</v>
      </c>
      <c r="D174" s="113">
        <v>200000</v>
      </c>
      <c r="E174" s="113">
        <f t="shared" si="8"/>
        <v>16500921</v>
      </c>
      <c r="F174" s="113"/>
      <c r="G174" s="113">
        <f t="shared" si="6"/>
        <v>1752250</v>
      </c>
    </row>
    <row r="175" spans="1:7" x14ac:dyDescent="0.25">
      <c r="A175" s="2125">
        <v>42973</v>
      </c>
      <c r="B175" s="57" t="s">
        <v>1405</v>
      </c>
      <c r="C175" s="57" t="s">
        <v>1406</v>
      </c>
      <c r="D175" s="113">
        <v>100000</v>
      </c>
      <c r="E175" s="113">
        <f t="shared" si="8"/>
        <v>16600921</v>
      </c>
      <c r="F175" s="113"/>
      <c r="G175" s="113">
        <f t="shared" si="6"/>
        <v>1852250</v>
      </c>
    </row>
    <row r="176" spans="1:7" x14ac:dyDescent="0.25">
      <c r="A176" s="2125">
        <v>42973</v>
      </c>
      <c r="B176" s="57" t="s">
        <v>1405</v>
      </c>
      <c r="C176" s="57" t="s">
        <v>1407</v>
      </c>
      <c r="D176" s="113">
        <v>172500</v>
      </c>
      <c r="E176" s="113">
        <f t="shared" si="8"/>
        <v>16773421</v>
      </c>
      <c r="F176" s="113"/>
      <c r="G176" s="113">
        <f t="shared" si="6"/>
        <v>2024750</v>
      </c>
    </row>
    <row r="177" spans="1:7" x14ac:dyDescent="0.25">
      <c r="A177" s="2125">
        <v>42974</v>
      </c>
      <c r="B177" s="57" t="s">
        <v>1408</v>
      </c>
      <c r="C177" s="57" t="s">
        <v>1409</v>
      </c>
      <c r="D177" s="113">
        <v>178250</v>
      </c>
      <c r="E177" s="113">
        <f t="shared" si="8"/>
        <v>16951671</v>
      </c>
      <c r="F177" s="113"/>
      <c r="G177" s="113">
        <f t="shared" si="6"/>
        <v>2203000</v>
      </c>
    </row>
    <row r="178" spans="1:7" x14ac:dyDescent="0.25">
      <c r="A178" s="2125">
        <v>42974</v>
      </c>
      <c r="B178" s="57" t="s">
        <v>1408</v>
      </c>
      <c r="C178" s="57" t="s">
        <v>1410</v>
      </c>
      <c r="D178" s="113">
        <v>75000</v>
      </c>
      <c r="E178" s="113">
        <f t="shared" si="8"/>
        <v>17026671</v>
      </c>
      <c r="F178" s="113"/>
      <c r="G178" s="113">
        <f t="shared" si="6"/>
        <v>2278000</v>
      </c>
    </row>
    <row r="179" spans="1:7" x14ac:dyDescent="0.25">
      <c r="A179" s="2125">
        <v>42975</v>
      </c>
      <c r="B179" s="57" t="s">
        <v>1411</v>
      </c>
      <c r="C179" s="57" t="s">
        <v>1412</v>
      </c>
      <c r="D179" s="113">
        <v>5000</v>
      </c>
      <c r="E179" s="113">
        <f t="shared" si="8"/>
        <v>17031671</v>
      </c>
      <c r="F179" s="86"/>
      <c r="G179" s="113">
        <f t="shared" si="6"/>
        <v>2283000</v>
      </c>
    </row>
    <row r="180" spans="1:7" x14ac:dyDescent="0.25">
      <c r="A180" s="2125">
        <v>42975</v>
      </c>
      <c r="B180" s="57" t="s">
        <v>1411</v>
      </c>
      <c r="C180" s="57" t="s">
        <v>1413</v>
      </c>
      <c r="D180" s="113">
        <v>50000</v>
      </c>
      <c r="E180" s="113">
        <f t="shared" si="8"/>
        <v>17081671</v>
      </c>
      <c r="F180" s="86"/>
      <c r="G180" s="113">
        <f t="shared" si="6"/>
        <v>2333000</v>
      </c>
    </row>
    <row r="181" spans="1:7" x14ac:dyDescent="0.25">
      <c r="A181" s="2125">
        <v>42976</v>
      </c>
      <c r="B181" s="57" t="s">
        <v>1422</v>
      </c>
      <c r="C181" s="57" t="s">
        <v>1423</v>
      </c>
      <c r="D181" s="113"/>
      <c r="E181" s="113">
        <f t="shared" si="8"/>
        <v>17081671</v>
      </c>
      <c r="F181" s="86">
        <v>2278000</v>
      </c>
      <c r="G181" s="113">
        <f t="shared" si="6"/>
        <v>55000</v>
      </c>
    </row>
    <row r="182" spans="1:7" x14ac:dyDescent="0.25">
      <c r="A182" s="2125">
        <v>42977</v>
      </c>
      <c r="B182" s="57" t="s">
        <v>1418</v>
      </c>
      <c r="C182" s="57" t="s">
        <v>1421</v>
      </c>
      <c r="D182" s="113">
        <v>15000</v>
      </c>
      <c r="E182" s="113">
        <f t="shared" si="8"/>
        <v>17096671</v>
      </c>
      <c r="F182" s="86"/>
      <c r="G182" s="113">
        <f t="shared" si="6"/>
        <v>70000</v>
      </c>
    </row>
    <row r="183" spans="1:7" x14ac:dyDescent="0.25">
      <c r="A183" s="2125">
        <v>42978</v>
      </c>
      <c r="B183" s="57" t="s">
        <v>1419</v>
      </c>
      <c r="C183" s="57" t="s">
        <v>1420</v>
      </c>
      <c r="D183" s="113">
        <v>30000</v>
      </c>
      <c r="E183" s="113">
        <f t="shared" si="8"/>
        <v>17126671</v>
      </c>
      <c r="F183" s="113"/>
      <c r="G183" s="113">
        <f t="shared" si="6"/>
        <v>100000</v>
      </c>
    </row>
    <row r="184" spans="1:7" x14ac:dyDescent="0.25">
      <c r="A184" s="2166"/>
      <c r="B184" s="2167"/>
      <c r="C184" s="2167"/>
      <c r="D184" s="2168"/>
      <c r="E184" s="2168"/>
      <c r="F184" s="2168"/>
      <c r="G184" s="2168"/>
    </row>
    <row r="185" spans="1:7" x14ac:dyDescent="0.25">
      <c r="A185" s="2125">
        <v>42979</v>
      </c>
      <c r="B185" s="57" t="s">
        <v>1416</v>
      </c>
      <c r="C185" s="57" t="s">
        <v>1417</v>
      </c>
      <c r="D185" s="113">
        <v>80000</v>
      </c>
      <c r="E185" s="113">
        <f>+E183+D185</f>
        <v>17206671</v>
      </c>
      <c r="F185" s="113"/>
      <c r="G185" s="113">
        <f>+G183+D185-F185</f>
        <v>180000</v>
      </c>
    </row>
    <row r="186" spans="1:7" x14ac:dyDescent="0.25">
      <c r="A186" s="2125">
        <v>42981</v>
      </c>
      <c r="B186" s="57" t="s">
        <v>1414</v>
      </c>
      <c r="C186" s="57" t="s">
        <v>1415</v>
      </c>
      <c r="D186" s="113">
        <v>100000</v>
      </c>
      <c r="E186" s="113">
        <f>+E185+D186</f>
        <v>17306671</v>
      </c>
      <c r="F186" s="113"/>
      <c r="G186" s="113">
        <f>+G185+D186-F186</f>
        <v>280000</v>
      </c>
    </row>
    <row r="187" spans="1:7" x14ac:dyDescent="0.25">
      <c r="A187" s="2125">
        <v>42982</v>
      </c>
      <c r="B187" s="57" t="s">
        <v>1424</v>
      </c>
      <c r="C187" s="57" t="s">
        <v>1425</v>
      </c>
      <c r="D187" s="113">
        <v>200000</v>
      </c>
      <c r="E187" s="113">
        <f>+E186+D187</f>
        <v>17506671</v>
      </c>
      <c r="F187" s="113"/>
      <c r="G187" s="113">
        <f t="shared" ref="G187:G260" si="9">+G186+D187-F187</f>
        <v>480000</v>
      </c>
    </row>
    <row r="188" spans="1:7" x14ac:dyDescent="0.25">
      <c r="A188" s="2125">
        <v>42983</v>
      </c>
      <c r="B188" s="57" t="s">
        <v>1427</v>
      </c>
      <c r="C188" s="57" t="s">
        <v>1428</v>
      </c>
      <c r="D188" s="113">
        <v>115000</v>
      </c>
      <c r="E188" s="113">
        <f>+E187+D188</f>
        <v>17621671</v>
      </c>
      <c r="F188" s="113">
        <v>280000</v>
      </c>
      <c r="G188" s="113">
        <f t="shared" si="9"/>
        <v>315000</v>
      </c>
    </row>
    <row r="189" spans="1:7" x14ac:dyDescent="0.25">
      <c r="A189" s="2125">
        <v>42984</v>
      </c>
      <c r="B189" s="57" t="s">
        <v>1429</v>
      </c>
      <c r="C189" s="57" t="s">
        <v>1430</v>
      </c>
      <c r="D189" s="113">
        <v>10000</v>
      </c>
      <c r="E189" s="113">
        <f>+E188+D189</f>
        <v>17631671</v>
      </c>
      <c r="F189" s="113"/>
      <c r="G189" s="113">
        <f t="shared" si="9"/>
        <v>325000</v>
      </c>
    </row>
    <row r="190" spans="1:7" x14ac:dyDescent="0.25">
      <c r="A190" s="2125">
        <v>42984</v>
      </c>
      <c r="B190" s="57" t="s">
        <v>1429</v>
      </c>
      <c r="C190" s="57" t="s">
        <v>1431</v>
      </c>
      <c r="D190" s="113">
        <v>300000</v>
      </c>
      <c r="E190" s="113">
        <f t="shared" ref="E190:E229" si="10">+E189+D190</f>
        <v>17931671</v>
      </c>
      <c r="F190" s="113"/>
      <c r="G190" s="113">
        <f t="shared" si="9"/>
        <v>625000</v>
      </c>
    </row>
    <row r="191" spans="1:7" x14ac:dyDescent="0.25">
      <c r="A191" s="2125">
        <v>42985</v>
      </c>
      <c r="B191" s="57" t="s">
        <v>1432</v>
      </c>
      <c r="C191" s="57" t="s">
        <v>1433</v>
      </c>
      <c r="D191" s="113">
        <v>150000</v>
      </c>
      <c r="E191" s="113">
        <f t="shared" si="10"/>
        <v>18081671</v>
      </c>
      <c r="F191" s="113"/>
      <c r="G191" s="113">
        <f t="shared" si="9"/>
        <v>775000</v>
      </c>
    </row>
    <row r="192" spans="1:7" x14ac:dyDescent="0.25">
      <c r="A192" s="2125">
        <v>42985</v>
      </c>
      <c r="B192" s="57" t="s">
        <v>1432</v>
      </c>
      <c r="C192" s="57" t="s">
        <v>1434</v>
      </c>
      <c r="D192" s="113">
        <v>224250</v>
      </c>
      <c r="E192" s="113">
        <f t="shared" si="10"/>
        <v>18305921</v>
      </c>
      <c r="F192" s="113"/>
      <c r="G192" s="113">
        <f t="shared" si="9"/>
        <v>999250</v>
      </c>
    </row>
    <row r="193" spans="1:8" x14ac:dyDescent="0.25">
      <c r="A193" s="2125">
        <v>42985</v>
      </c>
      <c r="B193" s="57" t="s">
        <v>1432</v>
      </c>
      <c r="C193" s="57" t="s">
        <v>1435</v>
      </c>
      <c r="D193" s="113">
        <v>2000</v>
      </c>
      <c r="E193" s="113">
        <f t="shared" si="10"/>
        <v>18307921</v>
      </c>
      <c r="F193" s="113"/>
      <c r="G193" s="113">
        <f t="shared" si="9"/>
        <v>1001250</v>
      </c>
    </row>
    <row r="194" spans="1:8" x14ac:dyDescent="0.25">
      <c r="A194" s="2125">
        <v>42985</v>
      </c>
      <c r="B194" s="57" t="s">
        <v>1436</v>
      </c>
      <c r="C194" s="57" t="s">
        <v>1437</v>
      </c>
      <c r="D194" s="113">
        <v>15000</v>
      </c>
      <c r="E194" s="113">
        <f t="shared" si="10"/>
        <v>18322921</v>
      </c>
      <c r="F194" s="113"/>
      <c r="G194" s="113">
        <f t="shared" si="9"/>
        <v>1016250</v>
      </c>
    </row>
    <row r="195" spans="1:8" x14ac:dyDescent="0.25">
      <c r="A195" s="2125">
        <v>42986</v>
      </c>
      <c r="B195" s="57" t="s">
        <v>1436</v>
      </c>
      <c r="C195" s="57" t="s">
        <v>1438</v>
      </c>
      <c r="D195" s="113">
        <v>5000</v>
      </c>
      <c r="E195" s="113">
        <f t="shared" si="10"/>
        <v>18327921</v>
      </c>
      <c r="F195" s="113"/>
      <c r="G195" s="113">
        <f t="shared" si="9"/>
        <v>1021250</v>
      </c>
    </row>
    <row r="196" spans="1:8" x14ac:dyDescent="0.25">
      <c r="A196" s="2125">
        <v>42986</v>
      </c>
      <c r="B196" s="57" t="s">
        <v>1436</v>
      </c>
      <c r="C196" s="57" t="s">
        <v>1439</v>
      </c>
      <c r="D196" s="113">
        <v>10000</v>
      </c>
      <c r="E196" s="113">
        <f t="shared" si="10"/>
        <v>18337921</v>
      </c>
      <c r="F196" s="113"/>
      <c r="G196" s="113">
        <f t="shared" si="9"/>
        <v>1031250</v>
      </c>
    </row>
    <row r="197" spans="1:8" x14ac:dyDescent="0.25">
      <c r="A197" s="2125">
        <v>42986</v>
      </c>
      <c r="B197" s="57" t="s">
        <v>1436</v>
      </c>
      <c r="C197" s="57" t="s">
        <v>1440</v>
      </c>
      <c r="D197" s="113">
        <v>11000</v>
      </c>
      <c r="E197" s="113">
        <f t="shared" si="10"/>
        <v>18348921</v>
      </c>
      <c r="F197" s="113"/>
      <c r="G197" s="113">
        <f t="shared" si="9"/>
        <v>1042250</v>
      </c>
    </row>
    <row r="198" spans="1:8" x14ac:dyDescent="0.25">
      <c r="A198" s="2125">
        <v>42986</v>
      </c>
      <c r="B198" s="57" t="s">
        <v>1436</v>
      </c>
      <c r="C198" s="57" t="s">
        <v>1441</v>
      </c>
      <c r="D198" s="113">
        <v>230000</v>
      </c>
      <c r="E198" s="113">
        <f t="shared" si="10"/>
        <v>18578921</v>
      </c>
      <c r="F198" s="113"/>
      <c r="G198" s="113">
        <f t="shared" si="9"/>
        <v>1272250</v>
      </c>
    </row>
    <row r="199" spans="1:8" x14ac:dyDescent="0.25">
      <c r="A199" s="2125">
        <v>42986</v>
      </c>
      <c r="B199" s="57" t="s">
        <v>1436</v>
      </c>
      <c r="C199" s="57" t="s">
        <v>1442</v>
      </c>
      <c r="D199" s="113">
        <v>74750</v>
      </c>
      <c r="E199" s="113">
        <f t="shared" si="10"/>
        <v>18653671</v>
      </c>
      <c r="F199" s="113"/>
      <c r="G199" s="113">
        <f t="shared" si="9"/>
        <v>1347000</v>
      </c>
    </row>
    <row r="200" spans="1:8" x14ac:dyDescent="0.25">
      <c r="A200" s="2125">
        <v>42986</v>
      </c>
      <c r="B200" s="57" t="s">
        <v>1436</v>
      </c>
      <c r="C200" s="57" t="s">
        <v>1443</v>
      </c>
      <c r="D200" s="113">
        <v>250000</v>
      </c>
      <c r="E200" s="113">
        <f t="shared" si="10"/>
        <v>18903671</v>
      </c>
      <c r="F200" s="113"/>
      <c r="G200" s="113">
        <f t="shared" si="9"/>
        <v>1597000</v>
      </c>
    </row>
    <row r="201" spans="1:8" x14ac:dyDescent="0.25">
      <c r="A201" s="2125">
        <v>42987</v>
      </c>
      <c r="B201" s="57" t="s">
        <v>1444</v>
      </c>
      <c r="C201" s="57" t="s">
        <v>1445</v>
      </c>
      <c r="D201" s="113">
        <v>20000</v>
      </c>
      <c r="E201" s="113">
        <f t="shared" si="10"/>
        <v>18923671</v>
      </c>
      <c r="F201" s="113"/>
      <c r="G201" s="113">
        <f t="shared" si="9"/>
        <v>1617000</v>
      </c>
    </row>
    <row r="202" spans="1:8" x14ac:dyDescent="0.25">
      <c r="A202" s="2125">
        <v>42987</v>
      </c>
      <c r="B202" s="57" t="s">
        <v>1444</v>
      </c>
      <c r="C202" s="57" t="s">
        <v>1446</v>
      </c>
      <c r="D202" s="113">
        <v>20000</v>
      </c>
      <c r="E202" s="113">
        <f t="shared" si="10"/>
        <v>18943671</v>
      </c>
      <c r="F202" s="113"/>
      <c r="G202" s="113">
        <f t="shared" si="9"/>
        <v>1637000</v>
      </c>
      <c r="H202">
        <f>1150+630+575</f>
        <v>2355</v>
      </c>
    </row>
    <row r="203" spans="1:8" x14ac:dyDescent="0.25">
      <c r="A203" s="2125">
        <v>42987</v>
      </c>
      <c r="B203" s="57" t="s">
        <v>1447</v>
      </c>
      <c r="C203" s="57" t="s">
        <v>1448</v>
      </c>
      <c r="D203" s="113">
        <v>20000</v>
      </c>
      <c r="E203" s="113">
        <f t="shared" si="10"/>
        <v>18963671</v>
      </c>
      <c r="F203" s="113"/>
      <c r="G203" s="113">
        <f t="shared" si="9"/>
        <v>1657000</v>
      </c>
    </row>
    <row r="204" spans="1:8" x14ac:dyDescent="0.25">
      <c r="A204" s="2125">
        <v>42988</v>
      </c>
      <c r="B204" s="57" t="s">
        <v>1447</v>
      </c>
      <c r="C204" s="57" t="s">
        <v>1449</v>
      </c>
      <c r="D204" s="113">
        <v>150000</v>
      </c>
      <c r="E204" s="113">
        <f t="shared" si="10"/>
        <v>19113671</v>
      </c>
      <c r="F204" s="113"/>
      <c r="G204" s="113">
        <f t="shared" si="9"/>
        <v>1807000</v>
      </c>
    </row>
    <row r="205" spans="1:8" x14ac:dyDescent="0.25">
      <c r="A205" s="2125">
        <v>42988</v>
      </c>
      <c r="B205" s="57" t="s">
        <v>1447</v>
      </c>
      <c r="C205" s="57" t="s">
        <v>1450</v>
      </c>
      <c r="D205" s="113">
        <v>300000</v>
      </c>
      <c r="E205" s="113">
        <f t="shared" si="10"/>
        <v>19413671</v>
      </c>
      <c r="F205" s="113"/>
      <c r="G205" s="113">
        <f t="shared" si="9"/>
        <v>2107000</v>
      </c>
    </row>
    <row r="206" spans="1:8" x14ac:dyDescent="0.25">
      <c r="A206" s="2125">
        <v>42988</v>
      </c>
      <c r="B206" s="57" t="s">
        <v>1451</v>
      </c>
      <c r="C206" s="57" t="s">
        <v>1452</v>
      </c>
      <c r="D206" s="113">
        <v>30000</v>
      </c>
      <c r="E206" s="113">
        <f t="shared" si="10"/>
        <v>19443671</v>
      </c>
      <c r="F206" s="113"/>
      <c r="G206" s="113">
        <f t="shared" si="9"/>
        <v>2137000</v>
      </c>
    </row>
    <row r="207" spans="1:8" x14ac:dyDescent="0.25">
      <c r="A207" s="2125">
        <v>42989</v>
      </c>
      <c r="B207" s="57" t="s">
        <v>1451</v>
      </c>
      <c r="C207" s="57" t="s">
        <v>1461</v>
      </c>
      <c r="D207" s="113">
        <v>11000</v>
      </c>
      <c r="E207" s="113">
        <f t="shared" si="10"/>
        <v>19454671</v>
      </c>
      <c r="F207" s="113">
        <v>2107000</v>
      </c>
      <c r="G207" s="113">
        <f t="shared" si="9"/>
        <v>41000</v>
      </c>
    </row>
    <row r="208" spans="1:8" x14ac:dyDescent="0.25">
      <c r="A208" s="2125">
        <v>42990</v>
      </c>
      <c r="B208" s="57" t="s">
        <v>1456</v>
      </c>
      <c r="C208" s="57" t="s">
        <v>1457</v>
      </c>
      <c r="D208" s="113">
        <v>90000</v>
      </c>
      <c r="E208" s="113">
        <f t="shared" si="10"/>
        <v>19544671</v>
      </c>
      <c r="F208" s="113"/>
      <c r="G208" s="113">
        <f t="shared" si="9"/>
        <v>131000</v>
      </c>
    </row>
    <row r="209" spans="1:7" x14ac:dyDescent="0.25">
      <c r="A209" s="2125">
        <v>42990</v>
      </c>
      <c r="B209" s="57" t="s">
        <v>1456</v>
      </c>
      <c r="C209" s="57" t="s">
        <v>1458</v>
      </c>
      <c r="D209" s="113">
        <v>5000</v>
      </c>
      <c r="E209" s="113">
        <f t="shared" si="10"/>
        <v>19549671</v>
      </c>
      <c r="F209" s="113"/>
      <c r="G209" s="113">
        <f t="shared" si="9"/>
        <v>136000</v>
      </c>
    </row>
    <row r="210" spans="1:7" x14ac:dyDescent="0.25">
      <c r="A210" s="2125">
        <v>42990</v>
      </c>
      <c r="B210" s="57" t="s">
        <v>1456</v>
      </c>
      <c r="C210" s="57" t="s">
        <v>1459</v>
      </c>
      <c r="D210" s="113">
        <v>20000</v>
      </c>
      <c r="E210" s="113">
        <f t="shared" si="10"/>
        <v>19569671</v>
      </c>
      <c r="F210" s="113"/>
      <c r="G210" s="113">
        <f t="shared" si="9"/>
        <v>156000</v>
      </c>
    </row>
    <row r="211" spans="1:7" x14ac:dyDescent="0.25">
      <c r="A211" s="2125">
        <v>42990</v>
      </c>
      <c r="B211" s="57" t="s">
        <v>1456</v>
      </c>
      <c r="C211" s="57" t="s">
        <v>1460</v>
      </c>
      <c r="D211" s="113">
        <v>162500</v>
      </c>
      <c r="E211" s="113">
        <f t="shared" si="10"/>
        <v>19732171</v>
      </c>
      <c r="F211" s="113"/>
      <c r="G211" s="113">
        <f t="shared" si="9"/>
        <v>318500</v>
      </c>
    </row>
    <row r="212" spans="1:7" x14ac:dyDescent="0.25">
      <c r="A212" s="2125">
        <v>42991</v>
      </c>
      <c r="B212" s="57"/>
      <c r="C212" s="57"/>
      <c r="D212" s="113">
        <v>172500</v>
      </c>
      <c r="E212" s="113">
        <f t="shared" si="10"/>
        <v>19904671</v>
      </c>
      <c r="F212" s="113"/>
      <c r="G212" s="113">
        <f t="shared" si="9"/>
        <v>491000</v>
      </c>
    </row>
    <row r="213" spans="1:7" x14ac:dyDescent="0.25">
      <c r="A213" s="2125">
        <v>42992</v>
      </c>
      <c r="B213" s="57" t="s">
        <v>1462</v>
      </c>
      <c r="C213" s="57" t="s">
        <v>1463</v>
      </c>
      <c r="D213" s="113">
        <v>7000</v>
      </c>
      <c r="E213" s="113">
        <f t="shared" si="10"/>
        <v>19911671</v>
      </c>
      <c r="F213" s="113"/>
      <c r="G213" s="113">
        <f t="shared" si="9"/>
        <v>498000</v>
      </c>
    </row>
    <row r="214" spans="1:7" x14ac:dyDescent="0.25">
      <c r="A214" s="2125">
        <v>42992</v>
      </c>
      <c r="B214" s="57" t="s">
        <v>1462</v>
      </c>
      <c r="C214" s="57" t="s">
        <v>1464</v>
      </c>
      <c r="D214" s="113">
        <v>70000</v>
      </c>
      <c r="E214" s="113">
        <f t="shared" si="10"/>
        <v>19981671</v>
      </c>
      <c r="F214" s="113"/>
      <c r="G214" s="113">
        <f t="shared" si="9"/>
        <v>568000</v>
      </c>
    </row>
    <row r="215" spans="1:7" x14ac:dyDescent="0.25">
      <c r="A215" s="2125">
        <v>42992</v>
      </c>
      <c r="B215" s="57" t="s">
        <v>1462</v>
      </c>
      <c r="C215" s="57" t="s">
        <v>1465</v>
      </c>
      <c r="D215" s="113">
        <v>247000</v>
      </c>
      <c r="E215" s="113">
        <f t="shared" si="10"/>
        <v>20228671</v>
      </c>
      <c r="F215" s="113"/>
      <c r="G215" s="113">
        <f t="shared" si="9"/>
        <v>815000</v>
      </c>
    </row>
    <row r="216" spans="1:7" x14ac:dyDescent="0.25">
      <c r="A216" s="2125">
        <v>42992</v>
      </c>
      <c r="B216" s="57" t="s">
        <v>1466</v>
      </c>
      <c r="C216" s="57" t="s">
        <v>1467</v>
      </c>
      <c r="D216" s="113">
        <v>60000</v>
      </c>
      <c r="E216" s="113">
        <f t="shared" si="10"/>
        <v>20288671</v>
      </c>
      <c r="F216" s="113"/>
      <c r="G216" s="113">
        <f t="shared" si="9"/>
        <v>875000</v>
      </c>
    </row>
    <row r="217" spans="1:7" x14ac:dyDescent="0.25">
      <c r="A217" s="2125" t="s">
        <v>1468</v>
      </c>
      <c r="B217" s="57" t="s">
        <v>1466</v>
      </c>
      <c r="C217" s="57" t="s">
        <v>1469</v>
      </c>
      <c r="D217" s="113">
        <v>14000</v>
      </c>
      <c r="E217" s="113">
        <f>+E216+D217</f>
        <v>20302671</v>
      </c>
      <c r="F217" s="113"/>
      <c r="G217" s="113">
        <f t="shared" si="9"/>
        <v>889000</v>
      </c>
    </row>
    <row r="218" spans="1:7" x14ac:dyDescent="0.25">
      <c r="A218" s="2125">
        <v>42994</v>
      </c>
      <c r="B218" s="57" t="s">
        <v>1470</v>
      </c>
      <c r="C218" s="57" t="s">
        <v>1471</v>
      </c>
      <c r="D218" s="113">
        <v>2000</v>
      </c>
      <c r="E218" s="113">
        <f t="shared" si="10"/>
        <v>20304671</v>
      </c>
      <c r="F218" s="113"/>
      <c r="G218" s="113">
        <f t="shared" si="9"/>
        <v>891000</v>
      </c>
    </row>
    <row r="219" spans="1:7" x14ac:dyDescent="0.25">
      <c r="A219" s="2125">
        <v>42994</v>
      </c>
      <c r="B219" s="57" t="s">
        <v>1470</v>
      </c>
      <c r="C219" s="57" t="s">
        <v>1472</v>
      </c>
      <c r="D219" s="113">
        <v>50000</v>
      </c>
      <c r="E219" s="113">
        <f t="shared" si="10"/>
        <v>20354671</v>
      </c>
      <c r="F219" s="113"/>
      <c r="G219" s="113">
        <f t="shared" si="9"/>
        <v>941000</v>
      </c>
    </row>
    <row r="220" spans="1:7" x14ac:dyDescent="0.25">
      <c r="A220" s="2125">
        <v>42994</v>
      </c>
      <c r="B220" s="57" t="s">
        <v>1470</v>
      </c>
      <c r="C220" s="57" t="s">
        <v>1473</v>
      </c>
      <c r="D220" s="113">
        <v>160000</v>
      </c>
      <c r="E220" s="113">
        <f t="shared" si="10"/>
        <v>20514671</v>
      </c>
      <c r="F220" s="113"/>
      <c r="G220" s="113">
        <f t="shared" si="9"/>
        <v>1101000</v>
      </c>
    </row>
    <row r="221" spans="1:7" x14ac:dyDescent="0.25">
      <c r="A221" s="2125">
        <v>42994</v>
      </c>
      <c r="B221" s="57" t="s">
        <v>1474</v>
      </c>
      <c r="C221" s="57" t="s">
        <v>1475</v>
      </c>
      <c r="D221" s="113">
        <v>172500</v>
      </c>
      <c r="E221" s="113">
        <f t="shared" si="10"/>
        <v>20687171</v>
      </c>
      <c r="F221" s="113"/>
      <c r="G221" s="113">
        <f t="shared" si="9"/>
        <v>1273500</v>
      </c>
    </row>
    <row r="222" spans="1:7" x14ac:dyDescent="0.25">
      <c r="A222" s="2125">
        <v>42994</v>
      </c>
      <c r="B222" s="57" t="s">
        <v>1474</v>
      </c>
      <c r="C222" s="57" t="s">
        <v>1476</v>
      </c>
      <c r="D222" s="113"/>
      <c r="E222" s="113">
        <f t="shared" si="10"/>
        <v>20687171</v>
      </c>
      <c r="F222" s="113"/>
      <c r="G222" s="113">
        <f t="shared" si="9"/>
        <v>1273500</v>
      </c>
    </row>
    <row r="223" spans="1:7" x14ac:dyDescent="0.25">
      <c r="A223" s="2125">
        <v>42995</v>
      </c>
      <c r="B223" s="57"/>
      <c r="C223" s="57"/>
      <c r="D223" s="113">
        <v>6500</v>
      </c>
      <c r="E223" s="113">
        <f t="shared" si="10"/>
        <v>20693671</v>
      </c>
      <c r="F223" s="113"/>
      <c r="G223" s="113">
        <f t="shared" si="9"/>
        <v>1280000</v>
      </c>
    </row>
    <row r="224" spans="1:7" x14ac:dyDescent="0.25">
      <c r="A224" s="2125">
        <v>42996</v>
      </c>
      <c r="B224" s="57" t="s">
        <v>1477</v>
      </c>
      <c r="C224" s="57" t="s">
        <v>1478</v>
      </c>
      <c r="D224" s="113">
        <v>12000</v>
      </c>
      <c r="E224" s="113">
        <f t="shared" si="10"/>
        <v>20705671</v>
      </c>
      <c r="F224" s="113">
        <v>1280000</v>
      </c>
      <c r="G224" s="113">
        <f t="shared" si="9"/>
        <v>12000</v>
      </c>
    </row>
    <row r="225" spans="1:7" x14ac:dyDescent="0.25">
      <c r="A225" s="2125">
        <v>42997</v>
      </c>
      <c r="B225" s="57" t="s">
        <v>1479</v>
      </c>
      <c r="C225" s="57" t="s">
        <v>1480</v>
      </c>
      <c r="D225" s="113">
        <v>276600</v>
      </c>
      <c r="E225" s="113">
        <f t="shared" si="10"/>
        <v>20982271</v>
      </c>
      <c r="F225" s="113"/>
      <c r="G225" s="113">
        <f t="shared" si="9"/>
        <v>288600</v>
      </c>
    </row>
    <row r="226" spans="1:7" x14ac:dyDescent="0.25">
      <c r="A226" s="2125">
        <v>42997</v>
      </c>
      <c r="B226" s="57" t="s">
        <v>1477</v>
      </c>
      <c r="C226" s="57" t="s">
        <v>1481</v>
      </c>
      <c r="D226" s="113">
        <v>212980</v>
      </c>
      <c r="E226" s="113">
        <f t="shared" si="10"/>
        <v>21195251</v>
      </c>
      <c r="F226" s="113"/>
      <c r="G226" s="113">
        <f t="shared" si="9"/>
        <v>501580</v>
      </c>
    </row>
    <row r="227" spans="1:7" x14ac:dyDescent="0.25">
      <c r="A227" s="2125">
        <v>42997</v>
      </c>
      <c r="B227" s="57" t="s">
        <v>1477</v>
      </c>
      <c r="C227" s="57" t="s">
        <v>1482</v>
      </c>
      <c r="D227" s="113">
        <v>12000</v>
      </c>
      <c r="E227" s="113">
        <f t="shared" si="10"/>
        <v>21207251</v>
      </c>
      <c r="F227" s="113"/>
      <c r="G227" s="113">
        <f t="shared" si="9"/>
        <v>513580</v>
      </c>
    </row>
    <row r="228" spans="1:7" x14ac:dyDescent="0.25">
      <c r="A228" s="2125">
        <v>42997</v>
      </c>
      <c r="B228" s="57" t="s">
        <v>1477</v>
      </c>
      <c r="C228" s="57" t="s">
        <v>1483</v>
      </c>
      <c r="D228" s="113">
        <v>80000</v>
      </c>
      <c r="E228" s="113">
        <f t="shared" si="10"/>
        <v>21287251</v>
      </c>
      <c r="F228" s="113"/>
      <c r="G228" s="113">
        <f t="shared" si="9"/>
        <v>593580</v>
      </c>
    </row>
    <row r="229" spans="1:7" x14ac:dyDescent="0.25">
      <c r="A229" s="2125">
        <v>42997</v>
      </c>
      <c r="B229" s="57" t="s">
        <v>1477</v>
      </c>
      <c r="C229" s="57" t="s">
        <v>1484</v>
      </c>
      <c r="D229" s="113">
        <v>210000</v>
      </c>
      <c r="E229" s="113">
        <f t="shared" si="10"/>
        <v>21497251</v>
      </c>
      <c r="F229" s="113"/>
      <c r="G229" s="113">
        <f t="shared" si="9"/>
        <v>803580</v>
      </c>
    </row>
    <row r="230" spans="1:7" x14ac:dyDescent="0.25">
      <c r="A230" s="2125">
        <v>42997</v>
      </c>
      <c r="B230" s="57" t="s">
        <v>1485</v>
      </c>
      <c r="C230" s="57" t="s">
        <v>1486</v>
      </c>
      <c r="D230" s="113">
        <v>11000</v>
      </c>
      <c r="E230" s="113">
        <f>+E229+D230</f>
        <v>21508251</v>
      </c>
      <c r="F230" s="113"/>
      <c r="G230" s="113">
        <f t="shared" si="9"/>
        <v>814580</v>
      </c>
    </row>
    <row r="231" spans="1:7" x14ac:dyDescent="0.25">
      <c r="A231" s="2125">
        <v>42999</v>
      </c>
      <c r="B231" s="57" t="s">
        <v>1487</v>
      </c>
      <c r="C231" s="57" t="s">
        <v>1488</v>
      </c>
      <c r="D231" s="113">
        <v>25000</v>
      </c>
      <c r="E231" s="113">
        <f t="shared" ref="E231:E243" si="11">+E230+D231</f>
        <v>21533251</v>
      </c>
      <c r="F231" s="113"/>
      <c r="G231" s="113">
        <f t="shared" si="9"/>
        <v>839580</v>
      </c>
    </row>
    <row r="232" spans="1:7" x14ac:dyDescent="0.25">
      <c r="A232" s="2125">
        <v>42999</v>
      </c>
      <c r="B232" s="57" t="s">
        <v>1487</v>
      </c>
      <c r="C232" s="57" t="s">
        <v>1489</v>
      </c>
      <c r="D232" s="113">
        <v>138000</v>
      </c>
      <c r="E232" s="113">
        <f t="shared" si="11"/>
        <v>21671251</v>
      </c>
      <c r="F232" s="113"/>
      <c r="G232" s="113">
        <f t="shared" si="9"/>
        <v>977580</v>
      </c>
    </row>
    <row r="233" spans="1:7" x14ac:dyDescent="0.25">
      <c r="A233" s="2125">
        <v>43000</v>
      </c>
      <c r="B233" s="57" t="s">
        <v>1490</v>
      </c>
      <c r="C233" s="57" t="s">
        <v>1491</v>
      </c>
      <c r="D233" s="113">
        <v>9500</v>
      </c>
      <c r="E233" s="113">
        <f t="shared" si="11"/>
        <v>21680751</v>
      </c>
      <c r="F233" s="113"/>
      <c r="G233" s="113">
        <f t="shared" si="9"/>
        <v>987080</v>
      </c>
    </row>
    <row r="234" spans="1:7" x14ac:dyDescent="0.25">
      <c r="A234" s="2125">
        <v>43001</v>
      </c>
      <c r="B234" s="57" t="s">
        <v>1494</v>
      </c>
      <c r="C234" s="57" t="s">
        <v>1495</v>
      </c>
      <c r="D234" s="113">
        <v>186000</v>
      </c>
      <c r="E234" s="113">
        <f t="shared" si="11"/>
        <v>21866751</v>
      </c>
      <c r="F234" s="113"/>
      <c r="G234" s="113">
        <f t="shared" si="9"/>
        <v>1173080</v>
      </c>
    </row>
    <row r="235" spans="1:7" x14ac:dyDescent="0.25">
      <c r="A235" s="2125">
        <v>43002</v>
      </c>
      <c r="B235" s="57" t="s">
        <v>1492</v>
      </c>
      <c r="C235" s="57" t="s">
        <v>1493</v>
      </c>
      <c r="D235" s="113">
        <v>290000</v>
      </c>
      <c r="E235" s="113">
        <f t="shared" si="11"/>
        <v>22156751</v>
      </c>
      <c r="F235" s="113"/>
      <c r="G235" s="113">
        <f t="shared" si="9"/>
        <v>1463080</v>
      </c>
    </row>
    <row r="236" spans="1:7" x14ac:dyDescent="0.25">
      <c r="A236" s="2125">
        <v>43003</v>
      </c>
      <c r="B236" s="57" t="s">
        <v>1496</v>
      </c>
      <c r="C236" s="57" t="s">
        <v>1497</v>
      </c>
      <c r="D236" s="113">
        <v>210000</v>
      </c>
      <c r="E236" s="113">
        <f t="shared" si="11"/>
        <v>22366751</v>
      </c>
      <c r="F236" s="113"/>
      <c r="G236" s="113">
        <f t="shared" si="9"/>
        <v>1673080</v>
      </c>
    </row>
    <row r="237" spans="1:7" x14ac:dyDescent="0.25">
      <c r="A237" s="2125">
        <v>43003</v>
      </c>
      <c r="B237" s="57" t="s">
        <v>1498</v>
      </c>
      <c r="C237" s="57" t="s">
        <v>1499</v>
      </c>
      <c r="D237" s="113">
        <v>220000</v>
      </c>
      <c r="E237" s="113">
        <f t="shared" si="11"/>
        <v>22586751</v>
      </c>
      <c r="F237" s="113"/>
      <c r="G237" s="113">
        <f>+G236+D237-F237</f>
        <v>1893080</v>
      </c>
    </row>
    <row r="238" spans="1:7" x14ac:dyDescent="0.25">
      <c r="A238" s="2125">
        <v>43004</v>
      </c>
      <c r="B238" s="57" t="s">
        <v>1498</v>
      </c>
      <c r="C238" s="57" t="s">
        <v>1500</v>
      </c>
      <c r="D238" s="113">
        <v>132500</v>
      </c>
      <c r="E238" s="113">
        <f t="shared" si="11"/>
        <v>22719251</v>
      </c>
      <c r="F238" s="113">
        <v>1463080</v>
      </c>
      <c r="G238" s="113">
        <f t="shared" si="9"/>
        <v>562500</v>
      </c>
    </row>
    <row r="239" spans="1:7" x14ac:dyDescent="0.25">
      <c r="A239" s="2125">
        <v>43004</v>
      </c>
      <c r="B239" s="57" t="s">
        <v>1498</v>
      </c>
      <c r="C239" s="57" t="s">
        <v>1501</v>
      </c>
      <c r="D239" s="113">
        <v>75000</v>
      </c>
      <c r="E239" s="113">
        <f t="shared" si="11"/>
        <v>22794251</v>
      </c>
      <c r="F239" s="113"/>
      <c r="G239" s="113">
        <f t="shared" si="9"/>
        <v>637500</v>
      </c>
    </row>
    <row r="240" spans="1:7" x14ac:dyDescent="0.25">
      <c r="A240" s="2125">
        <v>43004</v>
      </c>
      <c r="B240" s="57" t="s">
        <v>1498</v>
      </c>
      <c r="C240" s="57" t="s">
        <v>1502</v>
      </c>
      <c r="D240" s="113">
        <v>200000</v>
      </c>
      <c r="E240" s="113">
        <f t="shared" si="11"/>
        <v>22994251</v>
      </c>
      <c r="F240" s="113"/>
      <c r="G240" s="113">
        <f t="shared" si="9"/>
        <v>837500</v>
      </c>
    </row>
    <row r="241" spans="1:7" x14ac:dyDescent="0.25">
      <c r="A241" s="2125">
        <v>43005</v>
      </c>
      <c r="B241" s="57" t="s">
        <v>1503</v>
      </c>
      <c r="C241" s="57" t="s">
        <v>1504</v>
      </c>
      <c r="D241" s="113">
        <v>15000</v>
      </c>
      <c r="E241" s="113">
        <f t="shared" si="11"/>
        <v>23009251</v>
      </c>
      <c r="F241" s="113"/>
      <c r="G241" s="113">
        <f t="shared" si="9"/>
        <v>852500</v>
      </c>
    </row>
    <row r="242" spans="1:7" x14ac:dyDescent="0.25">
      <c r="A242" s="2125">
        <v>43005</v>
      </c>
      <c r="B242" s="57" t="s">
        <v>1503</v>
      </c>
      <c r="C242" s="57" t="s">
        <v>1505</v>
      </c>
      <c r="D242" s="113">
        <v>10000</v>
      </c>
      <c r="E242" s="113">
        <f t="shared" si="11"/>
        <v>23019251</v>
      </c>
      <c r="F242" s="113"/>
      <c r="G242" s="113">
        <f t="shared" si="9"/>
        <v>862500</v>
      </c>
    </row>
    <row r="243" spans="1:7" x14ac:dyDescent="0.25">
      <c r="A243" s="2125"/>
      <c r="B243" s="57"/>
      <c r="C243" s="57"/>
      <c r="D243" s="113">
        <v>27250</v>
      </c>
      <c r="E243" s="113">
        <f t="shared" si="11"/>
        <v>23046501</v>
      </c>
      <c r="F243" s="113"/>
      <c r="G243" s="113">
        <f>+G242+D243-F243</f>
        <v>889750</v>
      </c>
    </row>
    <row r="244" spans="1:7" x14ac:dyDescent="0.25">
      <c r="A244" s="2125">
        <v>43008</v>
      </c>
      <c r="B244" s="57"/>
      <c r="C244" s="57"/>
      <c r="D244" s="113">
        <v>11500</v>
      </c>
      <c r="E244" s="113">
        <f>+E243+D244</f>
        <v>23058001</v>
      </c>
      <c r="F244" s="113"/>
      <c r="G244" s="113">
        <f t="shared" si="9"/>
        <v>901250</v>
      </c>
    </row>
    <row r="245" spans="1:7" x14ac:dyDescent="0.25">
      <c r="A245" s="2219"/>
      <c r="B245" s="2220"/>
      <c r="C245" s="2220"/>
      <c r="D245" s="2221"/>
      <c r="E245" s="2221"/>
      <c r="F245" s="2221"/>
      <c r="G245" s="2168">
        <f t="shared" si="9"/>
        <v>901250</v>
      </c>
    </row>
    <row r="246" spans="1:7" x14ac:dyDescent="0.25">
      <c r="A246" s="2125"/>
      <c r="B246" s="57"/>
      <c r="C246" s="57"/>
      <c r="D246" s="113"/>
      <c r="E246" s="113">
        <f>+E244+D246</f>
        <v>23058001</v>
      </c>
      <c r="F246" s="113"/>
      <c r="G246" s="113">
        <f>+G245+D246-F246</f>
        <v>901250</v>
      </c>
    </row>
    <row r="247" spans="1:7" x14ac:dyDescent="0.25">
      <c r="A247" s="2125">
        <v>43009</v>
      </c>
      <c r="B247" s="57" t="s">
        <v>1508</v>
      </c>
      <c r="C247" s="57" t="s">
        <v>1509</v>
      </c>
      <c r="D247" s="113">
        <v>10000</v>
      </c>
      <c r="E247" s="113">
        <f>+E246+D247</f>
        <v>23068001</v>
      </c>
      <c r="F247" s="113"/>
      <c r="G247" s="113">
        <f>+G246+D247-F247</f>
        <v>911250</v>
      </c>
    </row>
    <row r="248" spans="1:7" x14ac:dyDescent="0.25">
      <c r="A248" s="2125">
        <v>43010</v>
      </c>
      <c r="B248" s="57" t="s">
        <v>1510</v>
      </c>
      <c r="C248" s="57" t="s">
        <v>1511</v>
      </c>
      <c r="D248" s="113">
        <v>57500</v>
      </c>
      <c r="E248" s="113">
        <f t="shared" ref="E248:E291" si="12">+E247+D248</f>
        <v>23125501</v>
      </c>
      <c r="F248" s="113">
        <v>911250</v>
      </c>
      <c r="G248" s="113">
        <f t="shared" si="9"/>
        <v>57500</v>
      </c>
    </row>
    <row r="249" spans="1:7" x14ac:dyDescent="0.25">
      <c r="A249" s="2125">
        <v>43011</v>
      </c>
      <c r="B249" s="57" t="s">
        <v>1512</v>
      </c>
      <c r="C249" s="57" t="s">
        <v>1513</v>
      </c>
      <c r="D249" s="113">
        <v>5000</v>
      </c>
      <c r="E249" s="113">
        <f t="shared" si="12"/>
        <v>23130501</v>
      </c>
      <c r="F249" s="113"/>
      <c r="G249" s="113">
        <f t="shared" si="9"/>
        <v>62500</v>
      </c>
    </row>
    <row r="250" spans="1:7" x14ac:dyDescent="0.25">
      <c r="A250" s="2125">
        <v>43011</v>
      </c>
      <c r="B250" s="57" t="s">
        <v>1512</v>
      </c>
      <c r="C250" s="57" t="s">
        <v>1514</v>
      </c>
      <c r="D250" s="113">
        <v>150000</v>
      </c>
      <c r="E250" s="113">
        <f t="shared" si="12"/>
        <v>23280501</v>
      </c>
      <c r="F250" s="113"/>
      <c r="G250" s="113">
        <f t="shared" si="9"/>
        <v>212500</v>
      </c>
    </row>
    <row r="251" spans="1:7" x14ac:dyDescent="0.25">
      <c r="A251" s="2125">
        <v>43012</v>
      </c>
      <c r="B251" s="57" t="s">
        <v>1515</v>
      </c>
      <c r="C251" s="57" t="s">
        <v>1516</v>
      </c>
      <c r="D251" s="113">
        <v>115000</v>
      </c>
      <c r="E251" s="113">
        <f t="shared" si="12"/>
        <v>23395501</v>
      </c>
      <c r="F251" s="113"/>
      <c r="G251" s="113">
        <f t="shared" si="9"/>
        <v>327500</v>
      </c>
    </row>
    <row r="252" spans="1:7" x14ac:dyDescent="0.25">
      <c r="A252" s="2125">
        <v>43013</v>
      </c>
      <c r="B252" s="57" t="s">
        <v>1517</v>
      </c>
      <c r="C252" s="57" t="s">
        <v>1518</v>
      </c>
      <c r="D252" s="113">
        <v>200000</v>
      </c>
      <c r="E252" s="113">
        <f t="shared" si="12"/>
        <v>23595501</v>
      </c>
      <c r="F252" s="113"/>
      <c r="G252" s="113">
        <f t="shared" si="9"/>
        <v>527500</v>
      </c>
    </row>
    <row r="253" spans="1:7" x14ac:dyDescent="0.25">
      <c r="A253" s="2125">
        <v>43013</v>
      </c>
      <c r="B253" s="57" t="s">
        <v>1517</v>
      </c>
      <c r="C253" s="57" t="s">
        <v>1519</v>
      </c>
      <c r="D253" s="113">
        <v>48105</v>
      </c>
      <c r="E253" s="113">
        <f t="shared" si="12"/>
        <v>23643606</v>
      </c>
      <c r="F253" s="113"/>
      <c r="G253" s="113">
        <f t="shared" si="9"/>
        <v>575605</v>
      </c>
    </row>
    <row r="254" spans="1:7" x14ac:dyDescent="0.25">
      <c r="A254" s="2125">
        <v>43014</v>
      </c>
      <c r="B254" s="57"/>
      <c r="C254" s="57"/>
      <c r="D254" s="113">
        <v>160000</v>
      </c>
      <c r="E254" s="113">
        <f t="shared" si="12"/>
        <v>23803606</v>
      </c>
      <c r="F254" s="113"/>
      <c r="G254" s="113">
        <f t="shared" si="9"/>
        <v>735605</v>
      </c>
    </row>
    <row r="255" spans="1:7" x14ac:dyDescent="0.25">
      <c r="A255" s="2125">
        <v>43017</v>
      </c>
      <c r="B255" s="57" t="s">
        <v>1521</v>
      </c>
      <c r="C255" s="57" t="s">
        <v>1522</v>
      </c>
      <c r="D255" s="113">
        <v>50000</v>
      </c>
      <c r="E255" s="113">
        <f t="shared" si="12"/>
        <v>23853606</v>
      </c>
      <c r="F255" s="113"/>
      <c r="G255" s="113">
        <f t="shared" si="9"/>
        <v>785605</v>
      </c>
    </row>
    <row r="256" spans="1:7" x14ac:dyDescent="0.25">
      <c r="A256" s="2125">
        <v>43017</v>
      </c>
      <c r="B256" s="57" t="s">
        <v>1521</v>
      </c>
      <c r="C256" s="57" t="s">
        <v>1523</v>
      </c>
      <c r="D256" s="113">
        <v>5000</v>
      </c>
      <c r="E256" s="113">
        <f t="shared" si="12"/>
        <v>23858606</v>
      </c>
      <c r="F256" s="113">
        <v>735605</v>
      </c>
      <c r="G256" s="113">
        <f t="shared" si="9"/>
        <v>55000</v>
      </c>
    </row>
    <row r="257" spans="1:7" x14ac:dyDescent="0.25">
      <c r="A257" s="2125">
        <v>43017</v>
      </c>
      <c r="B257" s="57" t="s">
        <v>1524</v>
      </c>
      <c r="C257" s="57"/>
      <c r="D257" s="113">
        <v>50000</v>
      </c>
      <c r="E257" s="113">
        <f t="shared" si="12"/>
        <v>23908606</v>
      </c>
      <c r="F257" s="113"/>
      <c r="G257" s="113">
        <f t="shared" si="9"/>
        <v>105000</v>
      </c>
    </row>
    <row r="258" spans="1:7" x14ac:dyDescent="0.25">
      <c r="A258" s="2125">
        <v>43017</v>
      </c>
      <c r="B258" s="57" t="s">
        <v>1525</v>
      </c>
      <c r="C258" s="57"/>
      <c r="D258" s="113">
        <v>200000</v>
      </c>
      <c r="E258" s="113">
        <f t="shared" si="12"/>
        <v>24108606</v>
      </c>
      <c r="F258" s="113"/>
      <c r="G258" s="113">
        <f t="shared" si="9"/>
        <v>305000</v>
      </c>
    </row>
    <row r="259" spans="1:7" x14ac:dyDescent="0.25">
      <c r="A259" s="2125">
        <v>43018</v>
      </c>
      <c r="B259" s="57" t="s">
        <v>1526</v>
      </c>
      <c r="C259" s="57" t="s">
        <v>1527</v>
      </c>
      <c r="D259" s="113">
        <v>95000</v>
      </c>
      <c r="E259" s="113">
        <f t="shared" si="12"/>
        <v>24203606</v>
      </c>
      <c r="F259" s="113"/>
      <c r="G259" s="113">
        <f t="shared" si="9"/>
        <v>400000</v>
      </c>
    </row>
    <row r="260" spans="1:7" x14ac:dyDescent="0.25">
      <c r="A260" s="2125">
        <v>43019</v>
      </c>
      <c r="B260" s="57" t="s">
        <v>1526</v>
      </c>
      <c r="C260" s="57" t="s">
        <v>1557</v>
      </c>
      <c r="D260" s="113">
        <v>10000</v>
      </c>
      <c r="E260" s="113">
        <f t="shared" si="12"/>
        <v>24213606</v>
      </c>
      <c r="F260" s="113"/>
      <c r="G260" s="113">
        <f t="shared" si="9"/>
        <v>410000</v>
      </c>
    </row>
    <row r="261" spans="1:7" x14ac:dyDescent="0.25">
      <c r="A261" s="2125">
        <v>43019</v>
      </c>
      <c r="B261" s="57" t="s">
        <v>1526</v>
      </c>
      <c r="C261" s="57" t="s">
        <v>1556</v>
      </c>
      <c r="D261" s="113">
        <v>200000</v>
      </c>
      <c r="E261" s="113">
        <f t="shared" si="12"/>
        <v>24413606</v>
      </c>
      <c r="F261" s="113"/>
      <c r="G261" s="113">
        <f>+G260+D261-F261</f>
        <v>610000</v>
      </c>
    </row>
    <row r="262" spans="1:7" x14ac:dyDescent="0.25">
      <c r="A262" s="2125">
        <v>43019</v>
      </c>
      <c r="B262" s="57" t="s">
        <v>1526</v>
      </c>
      <c r="C262" s="57" t="s">
        <v>1555</v>
      </c>
      <c r="D262" s="113">
        <v>51000</v>
      </c>
      <c r="E262" s="113">
        <f t="shared" si="12"/>
        <v>24464606</v>
      </c>
      <c r="F262" s="113"/>
      <c r="G262" s="113">
        <f>+G261+D262-F262</f>
        <v>661000</v>
      </c>
    </row>
    <row r="263" spans="1:7" x14ac:dyDescent="0.25">
      <c r="A263" s="2125">
        <v>43020</v>
      </c>
      <c r="B263" s="57" t="s">
        <v>1550</v>
      </c>
      <c r="C263" s="57" t="s">
        <v>1554</v>
      </c>
      <c r="D263" s="113">
        <v>200000</v>
      </c>
      <c r="E263" s="113">
        <f t="shared" si="12"/>
        <v>24664606</v>
      </c>
      <c r="F263" s="113"/>
      <c r="G263" s="113">
        <f>+G262+D263-F263</f>
        <v>861000</v>
      </c>
    </row>
    <row r="264" spans="1:7" x14ac:dyDescent="0.25">
      <c r="A264" s="2125">
        <v>43020</v>
      </c>
      <c r="B264" s="57" t="s">
        <v>1550</v>
      </c>
      <c r="C264" s="57" t="s">
        <v>1553</v>
      </c>
      <c r="D264" s="113">
        <v>234500</v>
      </c>
      <c r="E264" s="113">
        <f t="shared" si="12"/>
        <v>24899106</v>
      </c>
      <c r="F264" s="113"/>
      <c r="G264" s="113">
        <f>+G263+D264-F264</f>
        <v>1095500</v>
      </c>
    </row>
    <row r="265" spans="1:7" x14ac:dyDescent="0.25">
      <c r="A265" s="2125">
        <v>43020</v>
      </c>
      <c r="B265" s="57" t="s">
        <v>1552</v>
      </c>
      <c r="C265" s="57"/>
      <c r="D265" s="113">
        <v>10000</v>
      </c>
      <c r="E265" s="113">
        <f t="shared" si="12"/>
        <v>24909106</v>
      </c>
      <c r="F265" s="113"/>
      <c r="G265" s="113">
        <f>+G264+D265-F265</f>
        <v>1105500</v>
      </c>
    </row>
    <row r="266" spans="1:7" x14ac:dyDescent="0.25">
      <c r="A266" s="2125">
        <v>43020</v>
      </c>
      <c r="B266" s="57" t="s">
        <v>1550</v>
      </c>
      <c r="C266" s="57" t="s">
        <v>1551</v>
      </c>
      <c r="D266" s="113">
        <v>5000</v>
      </c>
      <c r="E266" s="113">
        <f t="shared" si="12"/>
        <v>24914106</v>
      </c>
      <c r="F266" s="113"/>
      <c r="G266" s="113">
        <f t="shared" ref="G266:G291" si="13">+G265+D266-F266</f>
        <v>1110500</v>
      </c>
    </row>
    <row r="267" spans="1:7" x14ac:dyDescent="0.25">
      <c r="A267" s="2125">
        <v>43021</v>
      </c>
      <c r="B267" s="57" t="s">
        <v>1545</v>
      </c>
      <c r="C267" s="57" t="s">
        <v>1549</v>
      </c>
      <c r="D267" s="113">
        <v>200000</v>
      </c>
      <c r="E267" s="113">
        <f t="shared" si="12"/>
        <v>25114106</v>
      </c>
      <c r="F267" s="113"/>
      <c r="G267" s="113">
        <f t="shared" si="13"/>
        <v>1310500</v>
      </c>
    </row>
    <row r="268" spans="1:7" x14ac:dyDescent="0.25">
      <c r="A268" s="2125">
        <v>43021</v>
      </c>
      <c r="B268" s="57" t="s">
        <v>1545</v>
      </c>
      <c r="C268" s="57" t="s">
        <v>1548</v>
      </c>
      <c r="D268" s="113">
        <v>86250</v>
      </c>
      <c r="E268" s="113">
        <f t="shared" si="12"/>
        <v>25200356</v>
      </c>
      <c r="F268" s="113"/>
      <c r="G268" s="113">
        <f t="shared" si="13"/>
        <v>1396750</v>
      </c>
    </row>
    <row r="269" spans="1:7" x14ac:dyDescent="0.25">
      <c r="A269" s="2125">
        <v>43021</v>
      </c>
      <c r="B269" s="57" t="s">
        <v>1545</v>
      </c>
      <c r="C269" s="57" t="s">
        <v>1547</v>
      </c>
      <c r="D269" s="113">
        <v>30000</v>
      </c>
      <c r="E269" s="113">
        <f t="shared" si="12"/>
        <v>25230356</v>
      </c>
      <c r="F269" s="113"/>
      <c r="G269" s="113">
        <f t="shared" si="13"/>
        <v>1426750</v>
      </c>
    </row>
    <row r="270" spans="1:7" x14ac:dyDescent="0.25">
      <c r="A270" s="2125">
        <v>43021</v>
      </c>
      <c r="B270" s="57" t="s">
        <v>1545</v>
      </c>
      <c r="C270" s="57" t="s">
        <v>1546</v>
      </c>
      <c r="D270" s="113">
        <v>50000</v>
      </c>
      <c r="E270" s="113">
        <f t="shared" si="12"/>
        <v>25280356</v>
      </c>
      <c r="F270" s="113"/>
      <c r="G270" s="113">
        <f t="shared" si="13"/>
        <v>1476750</v>
      </c>
    </row>
    <row r="271" spans="1:7" x14ac:dyDescent="0.25">
      <c r="A271" s="2125">
        <v>43022</v>
      </c>
      <c r="B271" s="57" t="s">
        <v>1543</v>
      </c>
      <c r="C271" s="57" t="s">
        <v>1544</v>
      </c>
      <c r="D271" s="113">
        <v>20000</v>
      </c>
      <c r="E271" s="113">
        <f t="shared" si="12"/>
        <v>25300356</v>
      </c>
      <c r="F271" s="113"/>
      <c r="G271" s="113">
        <f>+G270+D271-F271</f>
        <v>1496750</v>
      </c>
    </row>
    <row r="272" spans="1:7" x14ac:dyDescent="0.25">
      <c r="A272" s="2125">
        <v>43023</v>
      </c>
      <c r="B272" s="57" t="s">
        <v>1541</v>
      </c>
      <c r="C272" s="57" t="s">
        <v>1542</v>
      </c>
      <c r="D272" s="113">
        <v>20000</v>
      </c>
      <c r="E272" s="113">
        <f t="shared" si="12"/>
        <v>25320356</v>
      </c>
      <c r="F272" s="113">
        <v>1516750</v>
      </c>
      <c r="G272" s="113">
        <f t="shared" si="13"/>
        <v>0</v>
      </c>
    </row>
    <row r="273" spans="1:7" x14ac:dyDescent="0.25">
      <c r="A273" s="2125">
        <v>43024</v>
      </c>
      <c r="B273" s="57" t="s">
        <v>1528</v>
      </c>
      <c r="C273" s="57" t="s">
        <v>1529</v>
      </c>
      <c r="D273" s="113">
        <v>160000</v>
      </c>
      <c r="E273" s="113">
        <f t="shared" si="12"/>
        <v>25480356</v>
      </c>
      <c r="F273" s="113"/>
      <c r="G273" s="113">
        <f>+G272+D273-F273</f>
        <v>160000</v>
      </c>
    </row>
    <row r="274" spans="1:7" x14ac:dyDescent="0.25">
      <c r="A274" s="2125">
        <v>43024</v>
      </c>
      <c r="B274" s="57" t="s">
        <v>1528</v>
      </c>
      <c r="C274" s="57" t="s">
        <v>1530</v>
      </c>
      <c r="D274" s="113">
        <v>100000</v>
      </c>
      <c r="E274" s="113">
        <f t="shared" si="12"/>
        <v>25580356</v>
      </c>
      <c r="F274" s="113"/>
      <c r="G274" s="113">
        <f t="shared" si="13"/>
        <v>260000</v>
      </c>
    </row>
    <row r="275" spans="1:7" x14ac:dyDescent="0.25">
      <c r="A275" s="2125">
        <v>43025</v>
      </c>
      <c r="B275" s="57" t="s">
        <v>1539</v>
      </c>
      <c r="C275" s="57" t="s">
        <v>1540</v>
      </c>
      <c r="D275" s="113">
        <v>10000</v>
      </c>
      <c r="E275" s="113">
        <f t="shared" si="12"/>
        <v>25590356</v>
      </c>
      <c r="F275" s="113"/>
      <c r="G275" s="113">
        <f t="shared" si="13"/>
        <v>270000</v>
      </c>
    </row>
    <row r="276" spans="1:7" x14ac:dyDescent="0.25">
      <c r="A276" s="2125">
        <v>43026</v>
      </c>
      <c r="B276" s="57" t="s">
        <v>1537</v>
      </c>
      <c r="C276" s="57" t="s">
        <v>1538</v>
      </c>
      <c r="D276" s="113">
        <v>287500</v>
      </c>
      <c r="E276" s="113">
        <f t="shared" si="12"/>
        <v>25877856</v>
      </c>
      <c r="F276" s="113"/>
      <c r="G276" s="113">
        <f t="shared" si="13"/>
        <v>557500</v>
      </c>
    </row>
    <row r="277" spans="1:7" x14ac:dyDescent="0.25">
      <c r="A277" s="2125">
        <v>43026</v>
      </c>
      <c r="B277" s="57" t="s">
        <v>1537</v>
      </c>
      <c r="C277" s="57"/>
      <c r="D277" s="113">
        <v>115000</v>
      </c>
      <c r="E277" s="113">
        <f t="shared" si="12"/>
        <v>25992856</v>
      </c>
      <c r="F277" s="113"/>
      <c r="G277" s="113">
        <f t="shared" si="13"/>
        <v>672500</v>
      </c>
    </row>
    <row r="278" spans="1:7" x14ac:dyDescent="0.25">
      <c r="A278" s="2125">
        <v>43026</v>
      </c>
      <c r="B278" s="57" t="s">
        <v>1537</v>
      </c>
      <c r="C278" s="57"/>
      <c r="D278" s="113">
        <v>50000</v>
      </c>
      <c r="E278" s="113">
        <f t="shared" si="12"/>
        <v>26042856</v>
      </c>
      <c r="F278" s="113"/>
      <c r="G278" s="113">
        <f t="shared" si="13"/>
        <v>722500</v>
      </c>
    </row>
    <row r="279" spans="1:7" x14ac:dyDescent="0.25">
      <c r="A279" s="2125">
        <v>43027</v>
      </c>
      <c r="B279" s="57" t="s">
        <v>1536</v>
      </c>
      <c r="C279" s="57"/>
      <c r="D279" s="113">
        <v>140000</v>
      </c>
      <c r="E279" s="113">
        <f t="shared" si="12"/>
        <v>26182856</v>
      </c>
      <c r="F279" s="113"/>
      <c r="G279" s="113">
        <f t="shared" si="13"/>
        <v>862500</v>
      </c>
    </row>
    <row r="280" spans="1:7" x14ac:dyDescent="0.25">
      <c r="A280" s="2125">
        <v>43027</v>
      </c>
      <c r="B280" s="57" t="s">
        <v>1535</v>
      </c>
      <c r="C280" s="57"/>
      <c r="D280" s="113">
        <v>81700</v>
      </c>
      <c r="E280" s="113">
        <f t="shared" si="12"/>
        <v>26264556</v>
      </c>
      <c r="F280" s="113"/>
      <c r="G280" s="113">
        <f t="shared" si="13"/>
        <v>944200</v>
      </c>
    </row>
    <row r="281" spans="1:7" x14ac:dyDescent="0.25">
      <c r="A281" s="2125">
        <v>43028</v>
      </c>
      <c r="B281" s="57" t="s">
        <v>1534</v>
      </c>
      <c r="C281" s="57"/>
      <c r="D281" s="113">
        <v>57500</v>
      </c>
      <c r="E281" s="113">
        <f t="shared" si="12"/>
        <v>26322056</v>
      </c>
      <c r="F281" s="113"/>
      <c r="G281" s="113">
        <f t="shared" si="13"/>
        <v>1001700</v>
      </c>
    </row>
    <row r="282" spans="1:7" x14ac:dyDescent="0.25">
      <c r="A282" s="2125">
        <v>43029</v>
      </c>
      <c r="B282" s="57" t="s">
        <v>1531</v>
      </c>
      <c r="C282" s="57"/>
      <c r="D282" s="113">
        <v>45000</v>
      </c>
      <c r="E282" s="113">
        <f t="shared" si="12"/>
        <v>26367056</v>
      </c>
      <c r="F282" s="113"/>
      <c r="G282" s="113">
        <f t="shared" si="13"/>
        <v>1046700</v>
      </c>
    </row>
    <row r="283" spans="1:7" x14ac:dyDescent="0.25">
      <c r="A283" s="2125">
        <v>43029</v>
      </c>
      <c r="B283" s="57" t="s">
        <v>1532</v>
      </c>
      <c r="C283" s="57"/>
      <c r="D283" s="113">
        <v>12100</v>
      </c>
      <c r="E283" s="113">
        <f t="shared" si="12"/>
        <v>26379156</v>
      </c>
      <c r="F283" s="113"/>
      <c r="G283" s="113">
        <f t="shared" si="13"/>
        <v>1058800</v>
      </c>
    </row>
    <row r="284" spans="1:7" x14ac:dyDescent="0.25">
      <c r="A284" s="2125">
        <v>43029</v>
      </c>
      <c r="B284" s="57" t="s">
        <v>1533</v>
      </c>
      <c r="C284" s="57"/>
      <c r="D284" s="113">
        <v>23800</v>
      </c>
      <c r="E284" s="113">
        <f t="shared" si="12"/>
        <v>26402956</v>
      </c>
      <c r="F284" s="113"/>
      <c r="G284" s="113">
        <f t="shared" si="13"/>
        <v>1082600</v>
      </c>
    </row>
    <row r="285" spans="1:7" x14ac:dyDescent="0.25">
      <c r="A285" s="2125">
        <v>43030</v>
      </c>
      <c r="B285" s="57" t="s">
        <v>1558</v>
      </c>
      <c r="C285" s="57"/>
      <c r="D285" s="113">
        <v>200000</v>
      </c>
      <c r="E285" s="113">
        <f t="shared" si="12"/>
        <v>26602956</v>
      </c>
      <c r="F285" s="113">
        <v>1282600</v>
      </c>
      <c r="G285" s="113">
        <f t="shared" si="13"/>
        <v>0</v>
      </c>
    </row>
    <row r="286" spans="1:7" x14ac:dyDescent="0.25">
      <c r="A286" s="2125">
        <v>43033</v>
      </c>
      <c r="B286" s="57" t="s">
        <v>1562</v>
      </c>
      <c r="C286" s="57" t="s">
        <v>1563</v>
      </c>
      <c r="D286" s="113">
        <v>3500</v>
      </c>
      <c r="E286" s="113">
        <f t="shared" si="12"/>
        <v>26606456</v>
      </c>
      <c r="F286" s="113"/>
      <c r="G286" s="113">
        <f t="shared" si="13"/>
        <v>3500</v>
      </c>
    </row>
    <row r="287" spans="1:7" x14ac:dyDescent="0.25">
      <c r="A287" s="2125">
        <v>43034</v>
      </c>
      <c r="B287" s="57" t="s">
        <v>1564</v>
      </c>
      <c r="C287" s="57"/>
      <c r="D287" s="113">
        <v>203504</v>
      </c>
      <c r="E287" s="113">
        <f t="shared" si="12"/>
        <v>26809960</v>
      </c>
      <c r="F287" s="113"/>
      <c r="G287" s="113">
        <f t="shared" si="13"/>
        <v>207004</v>
      </c>
    </row>
    <row r="288" spans="1:7" x14ac:dyDescent="0.25">
      <c r="A288" s="2125">
        <v>43035</v>
      </c>
      <c r="B288" s="57" t="s">
        <v>1565</v>
      </c>
      <c r="C288" s="57" t="s">
        <v>1566</v>
      </c>
      <c r="D288" s="113">
        <v>22000</v>
      </c>
      <c r="E288" s="113">
        <f t="shared" si="12"/>
        <v>26831960</v>
      </c>
      <c r="F288" s="113"/>
      <c r="G288" s="113">
        <f t="shared" si="13"/>
        <v>229004</v>
      </c>
    </row>
    <row r="289" spans="1:7" x14ac:dyDescent="0.25">
      <c r="A289" s="2125">
        <v>43035</v>
      </c>
      <c r="B289" s="57" t="s">
        <v>1567</v>
      </c>
      <c r="C289" s="57" t="s">
        <v>1568</v>
      </c>
      <c r="D289" s="113">
        <v>10000</v>
      </c>
      <c r="E289" s="113">
        <f t="shared" si="12"/>
        <v>26841960</v>
      </c>
      <c r="F289" s="113"/>
      <c r="G289" s="113">
        <f t="shared" si="13"/>
        <v>239004</v>
      </c>
    </row>
    <row r="290" spans="1:7" x14ac:dyDescent="0.25">
      <c r="A290" s="2125">
        <v>43037</v>
      </c>
      <c r="B290" s="57" t="s">
        <v>1570</v>
      </c>
      <c r="C290" s="57"/>
      <c r="D290" s="113">
        <v>25950</v>
      </c>
      <c r="E290" s="113">
        <f t="shared" si="12"/>
        <v>26867910</v>
      </c>
      <c r="F290" s="113"/>
      <c r="G290" s="113">
        <f t="shared" si="13"/>
        <v>264954</v>
      </c>
    </row>
    <row r="291" spans="1:7" x14ac:dyDescent="0.25">
      <c r="A291" s="2125"/>
      <c r="B291" s="57"/>
      <c r="C291" s="57"/>
      <c r="D291" s="113"/>
      <c r="E291" s="113">
        <f t="shared" si="12"/>
        <v>26867910</v>
      </c>
      <c r="F291" s="113"/>
      <c r="G291" s="113">
        <f t="shared" si="13"/>
        <v>264954</v>
      </c>
    </row>
    <row r="292" spans="1:7" x14ac:dyDescent="0.25">
      <c r="A292" s="2125">
        <v>43039</v>
      </c>
      <c r="B292" s="57"/>
      <c r="C292" s="57"/>
      <c r="D292" s="113">
        <v>34500</v>
      </c>
      <c r="E292" s="113">
        <f>+E291+D292</f>
        <v>26902410</v>
      </c>
      <c r="F292" s="113"/>
      <c r="G292" s="113">
        <f>+G291+D292-F292</f>
        <v>299454</v>
      </c>
    </row>
    <row r="293" spans="1:7" x14ac:dyDescent="0.25">
      <c r="A293" s="2166"/>
      <c r="B293" s="2167"/>
      <c r="C293" s="2167"/>
      <c r="D293" s="2168"/>
      <c r="E293" s="2168">
        <f>+E292+D293</f>
        <v>26902410</v>
      </c>
      <c r="F293" s="2168"/>
      <c r="G293" s="2168">
        <f>+G292+D293-F293</f>
        <v>299454</v>
      </c>
    </row>
    <row r="294" spans="1:7" x14ac:dyDescent="0.25">
      <c r="A294" s="2125">
        <v>43040</v>
      </c>
      <c r="B294" s="57" t="s">
        <v>1571</v>
      </c>
      <c r="C294" s="57" t="s">
        <v>1572</v>
      </c>
      <c r="D294" s="113">
        <v>15000</v>
      </c>
      <c r="E294" s="113">
        <f>+E293+D294</f>
        <v>26917410</v>
      </c>
      <c r="F294" s="113"/>
      <c r="G294" s="113">
        <f>+G293+D294-F294</f>
        <v>314454</v>
      </c>
    </row>
    <row r="295" spans="1:7" x14ac:dyDescent="0.25">
      <c r="A295" s="2125">
        <v>43041</v>
      </c>
      <c r="B295" s="57" t="s">
        <v>1573</v>
      </c>
      <c r="C295" s="57" t="s">
        <v>1574</v>
      </c>
      <c r="D295" s="113">
        <v>5000</v>
      </c>
      <c r="E295" s="113">
        <f t="shared" ref="E295:E325" si="14">+E294+D295</f>
        <v>26922410</v>
      </c>
      <c r="F295" s="113"/>
      <c r="G295" s="113">
        <f t="shared" ref="G295:G323" si="15">+G294+D295-F295</f>
        <v>319454</v>
      </c>
    </row>
    <row r="296" spans="1:7" x14ac:dyDescent="0.25">
      <c r="A296" s="2125">
        <v>43042</v>
      </c>
      <c r="B296" s="57" t="s">
        <v>1575</v>
      </c>
      <c r="C296" s="57" t="s">
        <v>1576</v>
      </c>
      <c r="D296" s="113">
        <v>10000</v>
      </c>
      <c r="E296" s="113">
        <f t="shared" si="14"/>
        <v>26932410</v>
      </c>
      <c r="F296" s="113"/>
      <c r="G296" s="113">
        <f t="shared" si="15"/>
        <v>329454</v>
      </c>
    </row>
    <row r="297" spans="1:7" x14ac:dyDescent="0.25">
      <c r="A297" s="2125">
        <v>43042</v>
      </c>
      <c r="B297" s="57" t="s">
        <v>1575</v>
      </c>
      <c r="C297" s="57" t="s">
        <v>1577</v>
      </c>
      <c r="D297" s="113">
        <v>9000</v>
      </c>
      <c r="E297" s="113">
        <f t="shared" si="14"/>
        <v>26941410</v>
      </c>
      <c r="F297" s="113"/>
      <c r="G297" s="113">
        <f t="shared" si="15"/>
        <v>338454</v>
      </c>
    </row>
    <row r="298" spans="1:7" x14ac:dyDescent="0.25">
      <c r="A298" s="2125">
        <v>43042</v>
      </c>
      <c r="B298" s="57" t="s">
        <v>1575</v>
      </c>
      <c r="C298" s="57" t="s">
        <v>1578</v>
      </c>
      <c r="D298" s="113">
        <v>60000</v>
      </c>
      <c r="E298" s="113">
        <f t="shared" si="14"/>
        <v>27001410</v>
      </c>
      <c r="F298" s="113"/>
      <c r="G298" s="113">
        <f t="shared" si="15"/>
        <v>398454</v>
      </c>
    </row>
    <row r="299" spans="1:7" x14ac:dyDescent="0.25">
      <c r="A299" s="2125">
        <v>43044</v>
      </c>
      <c r="B299" s="57" t="s">
        <v>1579</v>
      </c>
      <c r="C299" s="57" t="s">
        <v>1580</v>
      </c>
      <c r="D299" s="113">
        <v>5000</v>
      </c>
      <c r="E299" s="113">
        <f t="shared" si="14"/>
        <v>27006410</v>
      </c>
      <c r="F299" s="113"/>
      <c r="G299" s="113">
        <f t="shared" si="15"/>
        <v>403454</v>
      </c>
    </row>
    <row r="300" spans="1:7" x14ac:dyDescent="0.25">
      <c r="A300" s="2125"/>
      <c r="B300" s="57"/>
      <c r="C300" s="57"/>
      <c r="D300" s="113">
        <v>1500</v>
      </c>
      <c r="E300" s="113">
        <f t="shared" si="14"/>
        <v>27007910</v>
      </c>
      <c r="F300" s="113"/>
      <c r="G300" s="113">
        <f t="shared" si="15"/>
        <v>404954</v>
      </c>
    </row>
    <row r="301" spans="1:7" x14ac:dyDescent="0.25">
      <c r="A301" s="2125">
        <v>43046</v>
      </c>
      <c r="B301" s="57" t="s">
        <v>1581</v>
      </c>
      <c r="C301" s="57" t="s">
        <v>1582</v>
      </c>
      <c r="D301" s="113">
        <v>100000</v>
      </c>
      <c r="E301" s="113">
        <f t="shared" si="14"/>
        <v>27107910</v>
      </c>
      <c r="F301" s="113">
        <v>264954</v>
      </c>
      <c r="G301" s="113">
        <f t="shared" si="15"/>
        <v>240000</v>
      </c>
    </row>
    <row r="302" spans="1:7" x14ac:dyDescent="0.25">
      <c r="A302" s="2125">
        <v>43047</v>
      </c>
      <c r="B302" s="57" t="s">
        <v>1583</v>
      </c>
      <c r="C302" s="57" t="s">
        <v>1584</v>
      </c>
      <c r="D302" s="113">
        <v>50000</v>
      </c>
      <c r="E302" s="113">
        <f t="shared" si="14"/>
        <v>27157910</v>
      </c>
      <c r="F302" s="113">
        <v>138500</v>
      </c>
      <c r="G302" s="113">
        <f t="shared" si="15"/>
        <v>151500</v>
      </c>
    </row>
    <row r="303" spans="1:7" x14ac:dyDescent="0.25">
      <c r="A303" s="2125">
        <v>43048</v>
      </c>
      <c r="B303" s="57" t="s">
        <v>1585</v>
      </c>
      <c r="C303" s="57"/>
      <c r="D303" s="113">
        <v>15000</v>
      </c>
      <c r="E303" s="113">
        <f t="shared" si="14"/>
        <v>27172910</v>
      </c>
      <c r="F303" s="113"/>
      <c r="G303" s="113">
        <f t="shared" si="15"/>
        <v>166500</v>
      </c>
    </row>
    <row r="304" spans="1:7" x14ac:dyDescent="0.25">
      <c r="A304" s="2125">
        <v>43049</v>
      </c>
      <c r="B304" s="57" t="s">
        <v>1586</v>
      </c>
      <c r="C304" s="57"/>
      <c r="D304" s="113">
        <v>215000</v>
      </c>
      <c r="E304" s="113">
        <f t="shared" si="14"/>
        <v>27387910</v>
      </c>
      <c r="F304" s="113"/>
      <c r="G304" s="113">
        <f t="shared" si="15"/>
        <v>381500</v>
      </c>
    </row>
    <row r="305" spans="1:7" x14ac:dyDescent="0.25">
      <c r="A305" s="2125">
        <v>43049</v>
      </c>
      <c r="B305" s="57" t="s">
        <v>1587</v>
      </c>
      <c r="C305" s="57" t="s">
        <v>1588</v>
      </c>
      <c r="D305" s="113">
        <v>100000</v>
      </c>
      <c r="E305" s="113">
        <f t="shared" si="14"/>
        <v>27487910</v>
      </c>
      <c r="F305" s="1532">
        <v>481500</v>
      </c>
      <c r="G305" s="113">
        <f t="shared" si="15"/>
        <v>0</v>
      </c>
    </row>
    <row r="306" spans="1:7" x14ac:dyDescent="0.25">
      <c r="A306" s="2125">
        <v>43054</v>
      </c>
      <c r="B306" s="57" t="s">
        <v>1589</v>
      </c>
      <c r="C306" s="57" t="s">
        <v>1590</v>
      </c>
      <c r="D306" s="113">
        <v>50000</v>
      </c>
      <c r="E306" s="113">
        <f t="shared" si="14"/>
        <v>27537910</v>
      </c>
      <c r="F306" s="113"/>
      <c r="G306" s="113">
        <f t="shared" si="15"/>
        <v>50000</v>
      </c>
    </row>
    <row r="307" spans="1:7" x14ac:dyDescent="0.25">
      <c r="A307" s="2125" t="s">
        <v>1591</v>
      </c>
      <c r="B307" s="57" t="s">
        <v>1592</v>
      </c>
      <c r="C307" s="57" t="s">
        <v>1593</v>
      </c>
      <c r="D307" s="113">
        <v>270000</v>
      </c>
      <c r="E307" s="113">
        <f t="shared" si="14"/>
        <v>27807910</v>
      </c>
      <c r="F307" s="113"/>
      <c r="G307" s="113">
        <f t="shared" si="15"/>
        <v>320000</v>
      </c>
    </row>
    <row r="308" spans="1:7" x14ac:dyDescent="0.25">
      <c r="A308" s="2125">
        <v>43055</v>
      </c>
      <c r="B308" s="57" t="s">
        <v>1592</v>
      </c>
      <c r="C308" s="57" t="s">
        <v>1594</v>
      </c>
      <c r="D308" s="113">
        <v>57500</v>
      </c>
      <c r="E308" s="113">
        <f t="shared" si="14"/>
        <v>27865410</v>
      </c>
      <c r="F308" s="113"/>
      <c r="G308" s="113">
        <f t="shared" si="15"/>
        <v>377500</v>
      </c>
    </row>
    <row r="309" spans="1:7" x14ac:dyDescent="0.25">
      <c r="A309" s="2125">
        <v>43055</v>
      </c>
      <c r="B309" s="57" t="s">
        <v>1595</v>
      </c>
      <c r="C309" s="57"/>
      <c r="D309" s="113">
        <v>10000</v>
      </c>
      <c r="E309" s="113">
        <f t="shared" si="14"/>
        <v>27875410</v>
      </c>
      <c r="F309" s="113"/>
      <c r="G309" s="113">
        <f t="shared" si="15"/>
        <v>387500</v>
      </c>
    </row>
    <row r="310" spans="1:7" x14ac:dyDescent="0.25">
      <c r="A310" s="2125">
        <v>43055</v>
      </c>
      <c r="B310" s="57" t="s">
        <v>1596</v>
      </c>
      <c r="C310" s="57" t="s">
        <v>1597</v>
      </c>
      <c r="D310" s="113">
        <v>15000</v>
      </c>
      <c r="E310" s="113">
        <f t="shared" si="14"/>
        <v>27890410</v>
      </c>
      <c r="F310" s="113"/>
      <c r="G310" s="113">
        <f t="shared" si="15"/>
        <v>402500</v>
      </c>
    </row>
    <row r="311" spans="1:7" x14ac:dyDescent="0.25">
      <c r="A311" s="2125">
        <v>43055</v>
      </c>
      <c r="B311" s="57" t="s">
        <v>1596</v>
      </c>
      <c r="C311" s="57" t="s">
        <v>1598</v>
      </c>
      <c r="D311" s="113">
        <v>139938</v>
      </c>
      <c r="E311" s="113">
        <f t="shared" si="14"/>
        <v>28030348</v>
      </c>
      <c r="F311" s="113"/>
      <c r="G311" s="113">
        <f t="shared" si="15"/>
        <v>542438</v>
      </c>
    </row>
    <row r="312" spans="1:7" x14ac:dyDescent="0.25">
      <c r="A312" s="2125">
        <v>43055</v>
      </c>
      <c r="B312" s="57" t="s">
        <v>1596</v>
      </c>
      <c r="C312" s="57" t="s">
        <v>1599</v>
      </c>
      <c r="D312" s="113">
        <v>20000</v>
      </c>
      <c r="E312" s="113">
        <f t="shared" si="14"/>
        <v>28050348</v>
      </c>
      <c r="F312" s="113"/>
      <c r="G312" s="113">
        <f t="shared" si="15"/>
        <v>562438</v>
      </c>
    </row>
    <row r="313" spans="1:7" x14ac:dyDescent="0.25">
      <c r="A313" s="2125">
        <v>43056</v>
      </c>
      <c r="B313" s="57" t="s">
        <v>1600</v>
      </c>
      <c r="C313" s="57" t="s">
        <v>1601</v>
      </c>
      <c r="D313" s="113">
        <v>100000</v>
      </c>
      <c r="E313" s="113">
        <f t="shared" si="14"/>
        <v>28150348</v>
      </c>
      <c r="F313" s="113"/>
      <c r="G313" s="113">
        <f t="shared" si="15"/>
        <v>662438</v>
      </c>
    </row>
    <row r="314" spans="1:7" x14ac:dyDescent="0.25">
      <c r="A314" s="2125">
        <v>43057</v>
      </c>
      <c r="B314" s="57" t="s">
        <v>1603</v>
      </c>
      <c r="C314" s="57" t="s">
        <v>1604</v>
      </c>
      <c r="D314" s="113">
        <v>10000</v>
      </c>
      <c r="E314" s="113">
        <f t="shared" si="14"/>
        <v>28160348</v>
      </c>
      <c r="F314" s="113"/>
      <c r="G314" s="113">
        <f t="shared" si="15"/>
        <v>672438</v>
      </c>
    </row>
    <row r="315" spans="1:7" x14ac:dyDescent="0.25">
      <c r="A315" s="2125">
        <v>43057</v>
      </c>
      <c r="B315" s="57" t="s">
        <v>1603</v>
      </c>
      <c r="C315" s="57" t="s">
        <v>1605</v>
      </c>
      <c r="D315" s="113">
        <v>160000</v>
      </c>
      <c r="E315" s="113">
        <f t="shared" si="14"/>
        <v>28320348</v>
      </c>
      <c r="F315" s="113"/>
      <c r="G315" s="113">
        <f t="shared" si="15"/>
        <v>832438</v>
      </c>
    </row>
    <row r="316" spans="1:7" x14ac:dyDescent="0.25">
      <c r="A316" s="2125">
        <v>43058</v>
      </c>
      <c r="B316" s="57" t="s">
        <v>1606</v>
      </c>
      <c r="C316" s="57" t="s">
        <v>1607</v>
      </c>
      <c r="D316" s="113">
        <v>200000</v>
      </c>
      <c r="E316" s="113">
        <f t="shared" si="14"/>
        <v>28520348</v>
      </c>
      <c r="F316" s="113"/>
      <c r="G316" s="113">
        <f t="shared" si="15"/>
        <v>1032438</v>
      </c>
    </row>
    <row r="317" spans="1:7" x14ac:dyDescent="0.25">
      <c r="A317" s="2125">
        <v>43059</v>
      </c>
      <c r="B317" s="57" t="s">
        <v>1608</v>
      </c>
      <c r="C317" s="57" t="s">
        <v>1609</v>
      </c>
      <c r="D317" s="113">
        <v>100000</v>
      </c>
      <c r="E317" s="113">
        <f t="shared" si="14"/>
        <v>28620348</v>
      </c>
      <c r="F317" s="113"/>
      <c r="G317" s="113">
        <f t="shared" si="15"/>
        <v>1132438</v>
      </c>
    </row>
    <row r="318" spans="1:7" x14ac:dyDescent="0.25">
      <c r="A318" s="2125">
        <v>43059</v>
      </c>
      <c r="B318" s="57" t="s">
        <v>1608</v>
      </c>
      <c r="C318" s="57" t="s">
        <v>1610</v>
      </c>
      <c r="D318" s="113">
        <v>21275</v>
      </c>
      <c r="E318" s="113">
        <f t="shared" si="14"/>
        <v>28641623</v>
      </c>
      <c r="F318" s="113"/>
      <c r="G318" s="113">
        <f t="shared" si="15"/>
        <v>1153713</v>
      </c>
    </row>
    <row r="319" spans="1:7" x14ac:dyDescent="0.25">
      <c r="A319" s="2125">
        <v>43059</v>
      </c>
      <c r="B319" s="57" t="s">
        <v>1608</v>
      </c>
      <c r="C319" s="57" t="s">
        <v>1611</v>
      </c>
      <c r="D319" s="113">
        <v>50000</v>
      </c>
      <c r="E319" s="113">
        <f t="shared" si="14"/>
        <v>28691623</v>
      </c>
      <c r="F319" s="113">
        <v>1032438</v>
      </c>
      <c r="G319" s="113">
        <f t="shared" si="15"/>
        <v>171275</v>
      </c>
    </row>
    <row r="320" spans="1:7" x14ac:dyDescent="0.25">
      <c r="A320" s="2125">
        <v>43064</v>
      </c>
      <c r="B320" s="57" t="s">
        <v>1612</v>
      </c>
      <c r="C320" s="57" t="s">
        <v>1613</v>
      </c>
      <c r="D320" s="113">
        <v>50000</v>
      </c>
      <c r="E320" s="113">
        <f t="shared" si="14"/>
        <v>28741623</v>
      </c>
      <c r="F320" s="113"/>
      <c r="G320" s="113">
        <f t="shared" si="15"/>
        <v>221275</v>
      </c>
    </row>
    <row r="321" spans="1:7" x14ac:dyDescent="0.25">
      <c r="A321" s="2125">
        <v>43064</v>
      </c>
      <c r="B321" s="57" t="s">
        <v>1612</v>
      </c>
      <c r="C321" s="57" t="s">
        <v>1614</v>
      </c>
      <c r="D321" s="113">
        <v>20000</v>
      </c>
      <c r="E321" s="113">
        <f t="shared" si="14"/>
        <v>28761623</v>
      </c>
      <c r="F321" s="113"/>
      <c r="G321" s="113">
        <f t="shared" si="15"/>
        <v>241275</v>
      </c>
    </row>
    <row r="322" spans="1:7" x14ac:dyDescent="0.25">
      <c r="A322" s="2125">
        <v>43066</v>
      </c>
      <c r="B322" s="57" t="s">
        <v>1615</v>
      </c>
      <c r="C322" s="57" t="s">
        <v>1616</v>
      </c>
      <c r="D322" s="113">
        <v>169000</v>
      </c>
      <c r="E322" s="113">
        <f t="shared" si="14"/>
        <v>28930623</v>
      </c>
      <c r="F322" s="113"/>
      <c r="G322" s="113">
        <f t="shared" si="15"/>
        <v>410275</v>
      </c>
    </row>
    <row r="323" spans="1:7" x14ac:dyDescent="0.25">
      <c r="A323" s="2125">
        <v>43067</v>
      </c>
      <c r="B323" s="57"/>
      <c r="C323" s="57"/>
      <c r="D323" s="113">
        <v>42000</v>
      </c>
      <c r="E323" s="113">
        <f t="shared" si="14"/>
        <v>28972623</v>
      </c>
      <c r="F323" s="113"/>
      <c r="G323" s="113">
        <f t="shared" si="15"/>
        <v>452275</v>
      </c>
    </row>
    <row r="324" spans="1:7" x14ac:dyDescent="0.25">
      <c r="A324" s="2125">
        <v>43068</v>
      </c>
      <c r="B324" s="57"/>
      <c r="C324" s="57"/>
      <c r="D324" s="113">
        <v>150000</v>
      </c>
      <c r="E324" s="113">
        <f t="shared" si="14"/>
        <v>29122623</v>
      </c>
      <c r="F324" s="113"/>
      <c r="G324" s="113">
        <f>+G323+D324-F324</f>
        <v>602275</v>
      </c>
    </row>
    <row r="325" spans="1:7" x14ac:dyDescent="0.25">
      <c r="A325" s="2125">
        <v>43069</v>
      </c>
      <c r="B325" s="57"/>
      <c r="C325" s="57"/>
      <c r="D325" s="113">
        <v>115000</v>
      </c>
      <c r="E325" s="113">
        <f t="shared" si="14"/>
        <v>29237623</v>
      </c>
      <c r="F325" s="113">
        <v>241275</v>
      </c>
      <c r="G325" s="113">
        <f>+G324+D325-F325</f>
        <v>476000</v>
      </c>
    </row>
    <row r="326" spans="1:7" x14ac:dyDescent="0.25">
      <c r="A326" s="2166"/>
      <c r="B326" s="2167"/>
      <c r="C326" s="2167"/>
      <c r="D326" s="2168"/>
      <c r="E326" s="2168">
        <f t="shared" ref="E326:E389" si="16">+E325+D326</f>
        <v>29237623</v>
      </c>
      <c r="F326" s="2168"/>
      <c r="G326" s="2168">
        <f>+G325+D326-F326</f>
        <v>476000</v>
      </c>
    </row>
    <row r="327" spans="1:7" x14ac:dyDescent="0.25">
      <c r="A327" s="2125">
        <v>43070</v>
      </c>
      <c r="B327" s="57"/>
      <c r="C327" s="57"/>
      <c r="D327" s="113">
        <v>215000</v>
      </c>
      <c r="E327" s="113">
        <f t="shared" si="16"/>
        <v>29452623</v>
      </c>
      <c r="F327" s="113"/>
      <c r="G327" s="113">
        <f>+G326+D327-F327</f>
        <v>691000</v>
      </c>
    </row>
    <row r="328" spans="1:7" x14ac:dyDescent="0.25">
      <c r="A328" s="2125">
        <v>43071</v>
      </c>
      <c r="B328" s="57"/>
      <c r="C328" s="57"/>
      <c r="D328" s="113">
        <v>10000</v>
      </c>
      <c r="E328" s="113">
        <f t="shared" si="16"/>
        <v>29462623</v>
      </c>
      <c r="F328" s="113"/>
      <c r="G328" s="113">
        <f t="shared" ref="G328:G339" si="17">+G327+D328-F328</f>
        <v>701000</v>
      </c>
    </row>
    <row r="329" spans="1:7" x14ac:dyDescent="0.25">
      <c r="A329" s="2125">
        <v>43072</v>
      </c>
      <c r="B329" s="57"/>
      <c r="C329" s="57"/>
      <c r="D329" s="113">
        <v>270020</v>
      </c>
      <c r="E329" s="113">
        <f t="shared" si="16"/>
        <v>29732643</v>
      </c>
      <c r="F329" s="113"/>
      <c r="G329" s="113">
        <f t="shared" si="17"/>
        <v>971020</v>
      </c>
    </row>
    <row r="330" spans="1:7" x14ac:dyDescent="0.25">
      <c r="A330" s="2125">
        <v>43074</v>
      </c>
      <c r="B330" s="57"/>
      <c r="C330" s="57"/>
      <c r="D330" s="113">
        <v>220500</v>
      </c>
      <c r="E330" s="113">
        <f t="shared" si="16"/>
        <v>29953143</v>
      </c>
      <c r="F330" s="113"/>
      <c r="G330" s="113">
        <f t="shared" si="17"/>
        <v>1191520</v>
      </c>
    </row>
    <row r="331" spans="1:7" x14ac:dyDescent="0.25">
      <c r="A331" s="2125"/>
      <c r="B331" s="57"/>
      <c r="C331" s="57"/>
      <c r="D331" s="113"/>
      <c r="E331" s="113">
        <f t="shared" si="16"/>
        <v>29953143</v>
      </c>
      <c r="F331" s="113"/>
      <c r="G331" s="113">
        <f t="shared" si="17"/>
        <v>1191520</v>
      </c>
    </row>
    <row r="332" spans="1:7" x14ac:dyDescent="0.25">
      <c r="A332" s="2125"/>
      <c r="B332" s="57"/>
      <c r="C332" s="57"/>
      <c r="D332" s="113"/>
      <c r="E332" s="113">
        <f t="shared" si="16"/>
        <v>29953143</v>
      </c>
      <c r="F332" s="113"/>
      <c r="G332" s="113">
        <f t="shared" si="17"/>
        <v>1191520</v>
      </c>
    </row>
    <row r="333" spans="1:7" x14ac:dyDescent="0.25">
      <c r="A333" s="2125"/>
      <c r="B333" s="57"/>
      <c r="C333" s="57"/>
      <c r="D333" s="113"/>
      <c r="E333" s="113">
        <f t="shared" si="16"/>
        <v>29953143</v>
      </c>
      <c r="F333" s="113"/>
      <c r="G333" s="113">
        <f t="shared" si="17"/>
        <v>1191520</v>
      </c>
    </row>
    <row r="334" spans="1:7" x14ac:dyDescent="0.25">
      <c r="A334" s="2125"/>
      <c r="B334" s="57"/>
      <c r="C334" s="57"/>
      <c r="D334" s="113"/>
      <c r="E334" s="113">
        <f t="shared" si="16"/>
        <v>29953143</v>
      </c>
      <c r="F334" s="113"/>
      <c r="G334" s="113">
        <f t="shared" si="17"/>
        <v>1191520</v>
      </c>
    </row>
    <row r="335" spans="1:7" x14ac:dyDescent="0.25">
      <c r="A335" s="2125">
        <v>43077</v>
      </c>
      <c r="B335" s="57" t="s">
        <v>1620</v>
      </c>
      <c r="C335" s="57" t="s">
        <v>1619</v>
      </c>
      <c r="D335" s="113">
        <v>10000</v>
      </c>
      <c r="E335" s="113">
        <f t="shared" si="16"/>
        <v>29963143</v>
      </c>
      <c r="F335" s="113"/>
      <c r="G335" s="113">
        <f t="shared" si="17"/>
        <v>1201520</v>
      </c>
    </row>
    <row r="336" spans="1:7" x14ac:dyDescent="0.25">
      <c r="A336" s="2125">
        <v>43077</v>
      </c>
      <c r="B336" s="57" t="s">
        <v>1620</v>
      </c>
      <c r="C336" s="57" t="s">
        <v>1621</v>
      </c>
      <c r="D336" s="113">
        <v>115000</v>
      </c>
      <c r="E336" s="113">
        <f t="shared" si="16"/>
        <v>30078143</v>
      </c>
      <c r="F336" s="113"/>
      <c r="G336" s="113">
        <f t="shared" si="17"/>
        <v>1316520</v>
      </c>
    </row>
    <row r="337" spans="1:7" x14ac:dyDescent="0.25">
      <c r="A337" s="2125">
        <v>43077</v>
      </c>
      <c r="B337" s="57" t="s">
        <v>1620</v>
      </c>
      <c r="C337" s="57" t="s">
        <v>1622</v>
      </c>
      <c r="D337" s="113">
        <v>250000</v>
      </c>
      <c r="E337" s="113">
        <f t="shared" si="16"/>
        <v>30328143</v>
      </c>
      <c r="F337" s="113"/>
      <c r="G337" s="113">
        <f t="shared" si="17"/>
        <v>1566520</v>
      </c>
    </row>
    <row r="338" spans="1:7" x14ac:dyDescent="0.25">
      <c r="A338" s="2125">
        <v>43077</v>
      </c>
      <c r="B338" s="57" t="s">
        <v>1620</v>
      </c>
      <c r="C338" s="57" t="s">
        <v>1623</v>
      </c>
      <c r="D338" s="113">
        <v>180000</v>
      </c>
      <c r="E338" s="113">
        <f t="shared" si="16"/>
        <v>30508143</v>
      </c>
      <c r="F338" s="113"/>
      <c r="G338" s="113">
        <f t="shared" si="17"/>
        <v>1746520</v>
      </c>
    </row>
    <row r="339" spans="1:7" x14ac:dyDescent="0.25">
      <c r="A339" s="2125"/>
      <c r="B339" s="57" t="s">
        <v>1620</v>
      </c>
      <c r="C339" s="57"/>
      <c r="D339" s="113"/>
      <c r="E339" s="113">
        <f t="shared" si="16"/>
        <v>30508143</v>
      </c>
      <c r="F339" s="113"/>
      <c r="G339" s="113">
        <f t="shared" si="17"/>
        <v>1746520</v>
      </c>
    </row>
    <row r="340" spans="1:7" x14ac:dyDescent="0.25">
      <c r="A340" s="2125">
        <v>43078</v>
      </c>
      <c r="B340" s="57" t="s">
        <v>1625</v>
      </c>
      <c r="C340" s="57"/>
      <c r="D340" s="113">
        <v>11500</v>
      </c>
      <c r="E340" s="113">
        <f t="shared" si="16"/>
        <v>30519643</v>
      </c>
      <c r="F340" s="113"/>
      <c r="G340" s="113">
        <f t="shared" ref="G340:G403" si="18">+G339+D340-F340</f>
        <v>1758020</v>
      </c>
    </row>
    <row r="341" spans="1:7" x14ac:dyDescent="0.25">
      <c r="A341" s="2125">
        <v>43079</v>
      </c>
      <c r="B341" s="57" t="s">
        <v>1626</v>
      </c>
      <c r="C341" s="57"/>
      <c r="D341" s="113">
        <v>197500</v>
      </c>
      <c r="E341" s="113">
        <f t="shared" si="16"/>
        <v>30717143</v>
      </c>
      <c r="F341" s="113"/>
      <c r="G341" s="113">
        <f t="shared" si="18"/>
        <v>1955520</v>
      </c>
    </row>
    <row r="342" spans="1:7" x14ac:dyDescent="0.25">
      <c r="A342" s="2125">
        <v>43080</v>
      </c>
      <c r="B342" s="57" t="s">
        <v>1626</v>
      </c>
      <c r="C342" s="57"/>
      <c r="D342" s="113">
        <v>10000</v>
      </c>
      <c r="E342" s="113">
        <f t="shared" si="16"/>
        <v>30727143</v>
      </c>
      <c r="F342" s="113">
        <v>971020</v>
      </c>
      <c r="G342" s="113">
        <f t="shared" si="18"/>
        <v>994500</v>
      </c>
    </row>
    <row r="343" spans="1:7" x14ac:dyDescent="0.25">
      <c r="A343" s="2125">
        <v>43081</v>
      </c>
      <c r="B343" s="57" t="s">
        <v>1626</v>
      </c>
      <c r="C343" s="57"/>
      <c r="D343" s="113">
        <v>245000</v>
      </c>
      <c r="E343" s="113">
        <f t="shared" si="16"/>
        <v>30972143</v>
      </c>
      <c r="F343" s="113"/>
      <c r="G343" s="113">
        <f t="shared" si="18"/>
        <v>1239500</v>
      </c>
    </row>
    <row r="344" spans="1:7" x14ac:dyDescent="0.25">
      <c r="A344" s="2125">
        <v>43082</v>
      </c>
      <c r="B344" s="57" t="s">
        <v>1624</v>
      </c>
      <c r="C344" s="57" t="s">
        <v>1627</v>
      </c>
      <c r="D344" s="113">
        <v>10000</v>
      </c>
      <c r="E344" s="113">
        <f t="shared" si="16"/>
        <v>30982143</v>
      </c>
      <c r="F344" s="113"/>
      <c r="G344" s="113">
        <f t="shared" si="18"/>
        <v>1249500</v>
      </c>
    </row>
    <row r="345" spans="1:7" x14ac:dyDescent="0.25">
      <c r="A345" s="2125">
        <v>43082</v>
      </c>
      <c r="B345" s="57" t="s">
        <v>1624</v>
      </c>
      <c r="C345" s="57" t="s">
        <v>1628</v>
      </c>
      <c r="D345" s="113">
        <v>92000</v>
      </c>
      <c r="E345" s="113">
        <f t="shared" si="16"/>
        <v>31074143</v>
      </c>
      <c r="F345" s="113"/>
      <c r="G345" s="113">
        <f t="shared" si="18"/>
        <v>1341500</v>
      </c>
    </row>
    <row r="346" spans="1:7" x14ac:dyDescent="0.25">
      <c r="A346" s="2125">
        <v>43082</v>
      </c>
      <c r="B346" s="57" t="s">
        <v>1624</v>
      </c>
      <c r="C346" s="57" t="s">
        <v>1629</v>
      </c>
      <c r="D346" s="113">
        <v>50000</v>
      </c>
      <c r="E346" s="113">
        <f t="shared" si="16"/>
        <v>31124143</v>
      </c>
      <c r="F346" s="113"/>
      <c r="G346" s="113">
        <f t="shared" si="18"/>
        <v>1391500</v>
      </c>
    </row>
    <row r="347" spans="1:7" x14ac:dyDescent="0.25">
      <c r="A347" s="2125">
        <v>43083</v>
      </c>
      <c r="B347" s="57" t="s">
        <v>1630</v>
      </c>
      <c r="C347" s="57" t="s">
        <v>1631</v>
      </c>
      <c r="D347" s="113"/>
      <c r="E347" s="113">
        <f t="shared" si="16"/>
        <v>31124143</v>
      </c>
      <c r="F347" s="113"/>
      <c r="G347" s="113">
        <f t="shared" si="18"/>
        <v>1391500</v>
      </c>
    </row>
    <row r="348" spans="1:7" x14ac:dyDescent="0.25">
      <c r="A348" s="2125">
        <v>43083</v>
      </c>
      <c r="B348" s="57" t="s">
        <v>1630</v>
      </c>
      <c r="C348" s="57" t="s">
        <v>1631</v>
      </c>
      <c r="D348" s="113">
        <v>15000</v>
      </c>
      <c r="E348" s="113">
        <f t="shared" si="16"/>
        <v>31139143</v>
      </c>
      <c r="F348" s="113">
        <v>984500</v>
      </c>
      <c r="G348" s="113">
        <f t="shared" si="18"/>
        <v>422000</v>
      </c>
    </row>
    <row r="349" spans="1:7" x14ac:dyDescent="0.25">
      <c r="A349" s="2125">
        <v>43083</v>
      </c>
      <c r="B349" s="57" t="s">
        <v>1630</v>
      </c>
      <c r="C349" s="57" t="s">
        <v>1632</v>
      </c>
      <c r="D349" s="113">
        <v>500000</v>
      </c>
      <c r="E349" s="113">
        <f t="shared" si="16"/>
        <v>31639143</v>
      </c>
      <c r="F349" s="113"/>
      <c r="G349" s="113">
        <f t="shared" si="18"/>
        <v>922000</v>
      </c>
    </row>
    <row r="350" spans="1:7" x14ac:dyDescent="0.25">
      <c r="A350" s="2125">
        <v>43083</v>
      </c>
      <c r="B350" s="57" t="s">
        <v>1630</v>
      </c>
      <c r="C350" s="57" t="s">
        <v>1633</v>
      </c>
      <c r="D350" s="113">
        <v>319000</v>
      </c>
      <c r="E350" s="113">
        <f t="shared" si="16"/>
        <v>31958143</v>
      </c>
      <c r="F350" s="113"/>
      <c r="G350" s="113">
        <f t="shared" si="18"/>
        <v>1241000</v>
      </c>
    </row>
    <row r="351" spans="1:7" x14ac:dyDescent="0.25">
      <c r="A351" s="2125">
        <v>43084</v>
      </c>
      <c r="B351" s="57" t="s">
        <v>1634</v>
      </c>
      <c r="C351" s="57"/>
      <c r="D351" s="113">
        <v>286500</v>
      </c>
      <c r="E351" s="113">
        <f t="shared" si="16"/>
        <v>32244643</v>
      </c>
      <c r="F351" s="113"/>
      <c r="G351" s="113">
        <f t="shared" si="18"/>
        <v>1527500</v>
      </c>
    </row>
    <row r="352" spans="1:7" x14ac:dyDescent="0.25">
      <c r="A352" s="2125">
        <v>43085</v>
      </c>
      <c r="B352" s="57" t="s">
        <v>1640</v>
      </c>
      <c r="C352" s="57" t="s">
        <v>1641</v>
      </c>
      <c r="D352" s="113">
        <v>5000</v>
      </c>
      <c r="E352" s="113">
        <f t="shared" si="16"/>
        <v>32249643</v>
      </c>
      <c r="F352" s="113"/>
      <c r="G352" s="113">
        <f t="shared" si="18"/>
        <v>1532500</v>
      </c>
    </row>
    <row r="353" spans="1:7" x14ac:dyDescent="0.25">
      <c r="A353" s="2125">
        <v>43085</v>
      </c>
      <c r="B353" s="57" t="s">
        <v>1640</v>
      </c>
      <c r="C353" s="57" t="s">
        <v>1642</v>
      </c>
      <c r="D353" s="113">
        <v>100000</v>
      </c>
      <c r="E353" s="113">
        <f t="shared" si="16"/>
        <v>32349643</v>
      </c>
      <c r="F353" s="113"/>
      <c r="G353" s="113">
        <f t="shared" si="18"/>
        <v>1632500</v>
      </c>
    </row>
    <row r="354" spans="1:7" x14ac:dyDescent="0.25">
      <c r="A354" s="2125">
        <v>43085</v>
      </c>
      <c r="B354" s="57" t="s">
        <v>1640</v>
      </c>
      <c r="C354" s="57" t="s">
        <v>1643</v>
      </c>
      <c r="D354" s="113">
        <v>420000</v>
      </c>
      <c r="E354" s="113">
        <f t="shared" si="16"/>
        <v>32769643</v>
      </c>
      <c r="F354" s="113"/>
      <c r="G354" s="113">
        <f t="shared" si="18"/>
        <v>2052500</v>
      </c>
    </row>
    <row r="355" spans="1:7" x14ac:dyDescent="0.25">
      <c r="A355" s="2125"/>
      <c r="B355" s="57"/>
      <c r="C355" s="57"/>
      <c r="D355" s="113"/>
      <c r="E355" s="113">
        <f t="shared" si="16"/>
        <v>32769643</v>
      </c>
      <c r="F355" s="113"/>
      <c r="G355" s="113">
        <f t="shared" si="18"/>
        <v>2052500</v>
      </c>
    </row>
    <row r="356" spans="1:7" x14ac:dyDescent="0.25">
      <c r="A356" s="2125"/>
      <c r="B356" s="57"/>
      <c r="C356" s="57"/>
      <c r="D356" s="113"/>
      <c r="E356" s="113">
        <f t="shared" si="16"/>
        <v>32769643</v>
      </c>
      <c r="F356" s="113"/>
      <c r="G356" s="113">
        <f t="shared" si="18"/>
        <v>2052500</v>
      </c>
    </row>
    <row r="357" spans="1:7" x14ac:dyDescent="0.25">
      <c r="A357" s="2125">
        <v>43086</v>
      </c>
      <c r="B357" s="57" t="s">
        <v>1636</v>
      </c>
      <c r="C357" s="57" t="s">
        <v>1637</v>
      </c>
      <c r="D357" s="2251">
        <v>100000</v>
      </c>
      <c r="E357" s="113">
        <f t="shared" si="16"/>
        <v>32869643</v>
      </c>
      <c r="F357" s="113"/>
      <c r="G357" s="113">
        <f t="shared" si="18"/>
        <v>2152500</v>
      </c>
    </row>
    <row r="358" spans="1:7" x14ac:dyDescent="0.25">
      <c r="A358" s="2125">
        <v>43086</v>
      </c>
      <c r="B358" s="57" t="s">
        <v>1638</v>
      </c>
      <c r="C358" s="57" t="s">
        <v>1639</v>
      </c>
      <c r="D358" s="113">
        <v>30000</v>
      </c>
      <c r="E358" s="113">
        <f t="shared" si="16"/>
        <v>32899643</v>
      </c>
      <c r="F358" s="113"/>
      <c r="G358" s="113">
        <f t="shared" si="18"/>
        <v>2182500</v>
      </c>
    </row>
    <row r="359" spans="1:7" x14ac:dyDescent="0.25">
      <c r="A359" s="2125">
        <v>43089</v>
      </c>
      <c r="B359" s="57" t="s">
        <v>1652</v>
      </c>
      <c r="C359" s="57" t="s">
        <v>1653</v>
      </c>
      <c r="D359" s="113">
        <v>207000</v>
      </c>
      <c r="E359" s="113">
        <f t="shared" si="16"/>
        <v>33106643</v>
      </c>
      <c r="F359" s="113">
        <v>2182500</v>
      </c>
      <c r="G359" s="113">
        <f t="shared" si="18"/>
        <v>207000</v>
      </c>
    </row>
    <row r="360" spans="1:7" x14ac:dyDescent="0.25">
      <c r="A360" s="2125">
        <v>43089</v>
      </c>
      <c r="B360" s="57" t="s">
        <v>1652</v>
      </c>
      <c r="C360" s="57" t="s">
        <v>1654</v>
      </c>
      <c r="D360" s="113">
        <v>90000</v>
      </c>
      <c r="E360" s="113">
        <f t="shared" si="16"/>
        <v>33196643</v>
      </c>
      <c r="F360" s="113"/>
      <c r="G360" s="113">
        <f t="shared" si="18"/>
        <v>297000</v>
      </c>
    </row>
    <row r="361" spans="1:7" x14ac:dyDescent="0.25">
      <c r="A361" s="2125">
        <v>43089</v>
      </c>
      <c r="B361" s="57" t="s">
        <v>1652</v>
      </c>
      <c r="C361" s="57" t="s">
        <v>1655</v>
      </c>
      <c r="D361" s="113">
        <v>10000</v>
      </c>
      <c r="E361" s="113">
        <f t="shared" si="16"/>
        <v>33206643</v>
      </c>
      <c r="F361" s="113"/>
      <c r="G361" s="113">
        <f t="shared" si="18"/>
        <v>307000</v>
      </c>
    </row>
    <row r="362" spans="1:7" x14ac:dyDescent="0.25">
      <c r="A362" s="2125">
        <v>43090</v>
      </c>
      <c r="B362" s="57" t="s">
        <v>1647</v>
      </c>
      <c r="C362" s="57" t="s">
        <v>1651</v>
      </c>
      <c r="D362" s="113">
        <v>115000</v>
      </c>
      <c r="E362" s="113">
        <f t="shared" si="16"/>
        <v>33321643</v>
      </c>
      <c r="F362" s="113"/>
      <c r="G362" s="113">
        <f t="shared" si="18"/>
        <v>422000</v>
      </c>
    </row>
    <row r="363" spans="1:7" x14ac:dyDescent="0.25">
      <c r="A363" s="2125">
        <v>43090</v>
      </c>
      <c r="B363" s="57"/>
      <c r="C363" s="57"/>
      <c r="D363" s="113">
        <v>50000</v>
      </c>
      <c r="E363" s="113">
        <f t="shared" si="16"/>
        <v>33371643</v>
      </c>
      <c r="F363" s="113"/>
      <c r="G363" s="113">
        <f t="shared" si="18"/>
        <v>472000</v>
      </c>
    </row>
    <row r="364" spans="1:7" x14ac:dyDescent="0.25">
      <c r="A364" s="2125">
        <v>43090</v>
      </c>
      <c r="B364" s="57" t="s">
        <v>1649</v>
      </c>
      <c r="C364" s="57" t="s">
        <v>1650</v>
      </c>
      <c r="D364" s="113">
        <v>40000</v>
      </c>
      <c r="E364" s="113">
        <f t="shared" si="16"/>
        <v>33411643</v>
      </c>
      <c r="F364" s="113"/>
      <c r="G364" s="113">
        <f t="shared" si="18"/>
        <v>512000</v>
      </c>
    </row>
    <row r="365" spans="1:7" x14ac:dyDescent="0.25">
      <c r="A365" s="2125">
        <v>43091</v>
      </c>
      <c r="B365" s="57" t="s">
        <v>1647</v>
      </c>
      <c r="C365" s="57" t="s">
        <v>1648</v>
      </c>
      <c r="D365" s="113">
        <v>35000</v>
      </c>
      <c r="E365" s="113">
        <f t="shared" si="16"/>
        <v>33446643</v>
      </c>
      <c r="F365" s="113"/>
      <c r="G365" s="113">
        <f t="shared" si="18"/>
        <v>547000</v>
      </c>
    </row>
    <row r="366" spans="1:7" x14ac:dyDescent="0.25">
      <c r="A366" s="2125">
        <v>43094</v>
      </c>
      <c r="B366" s="57" t="s">
        <v>1644</v>
      </c>
      <c r="C366" s="57" t="s">
        <v>1645</v>
      </c>
      <c r="D366" s="113">
        <v>15000</v>
      </c>
      <c r="E366" s="113">
        <f t="shared" si="16"/>
        <v>33461643</v>
      </c>
      <c r="F366" s="113"/>
      <c r="G366" s="113">
        <f t="shared" si="18"/>
        <v>562000</v>
      </c>
    </row>
    <row r="367" spans="1:7" x14ac:dyDescent="0.25">
      <c r="A367" s="2125">
        <v>43094</v>
      </c>
      <c r="B367" s="57" t="s">
        <v>1644</v>
      </c>
      <c r="C367" s="57" t="s">
        <v>1646</v>
      </c>
      <c r="D367" s="113">
        <v>40000</v>
      </c>
      <c r="E367" s="113">
        <f t="shared" si="16"/>
        <v>33501643</v>
      </c>
      <c r="F367" s="113"/>
      <c r="G367" s="113">
        <f t="shared" si="18"/>
        <v>602000</v>
      </c>
    </row>
    <row r="368" spans="1:7" x14ac:dyDescent="0.25">
      <c r="A368" s="2125">
        <v>43097</v>
      </c>
      <c r="B368" s="57" t="s">
        <v>1658</v>
      </c>
      <c r="C368" s="57" t="s">
        <v>1659</v>
      </c>
      <c r="D368" s="113">
        <v>11500</v>
      </c>
      <c r="E368" s="113">
        <f t="shared" si="16"/>
        <v>33513143</v>
      </c>
      <c r="F368" s="113">
        <v>547000</v>
      </c>
      <c r="G368" s="113">
        <f t="shared" si="18"/>
        <v>66500</v>
      </c>
    </row>
    <row r="369" spans="1:7" x14ac:dyDescent="0.25">
      <c r="A369" s="2125">
        <v>43098</v>
      </c>
      <c r="B369" s="57" t="s">
        <v>1656</v>
      </c>
      <c r="C369" s="57" t="s">
        <v>1657</v>
      </c>
      <c r="D369" s="113">
        <v>100000</v>
      </c>
      <c r="E369" s="113">
        <f t="shared" si="16"/>
        <v>33613143</v>
      </c>
      <c r="F369" s="113"/>
      <c r="G369" s="113">
        <f t="shared" si="18"/>
        <v>166500</v>
      </c>
    </row>
    <row r="370" spans="1:7" x14ac:dyDescent="0.25">
      <c r="A370" s="2125">
        <v>43100</v>
      </c>
      <c r="B370" s="57" t="s">
        <v>1663</v>
      </c>
      <c r="C370" s="57" t="s">
        <v>1664</v>
      </c>
      <c r="D370" s="113">
        <v>57500</v>
      </c>
      <c r="E370" s="113">
        <f t="shared" si="16"/>
        <v>33670643</v>
      </c>
      <c r="F370" s="113"/>
      <c r="G370" s="113">
        <f t="shared" si="18"/>
        <v>224000</v>
      </c>
    </row>
    <row r="371" spans="1:7" x14ac:dyDescent="0.25">
      <c r="A371" s="2252"/>
      <c r="B371" s="2253"/>
      <c r="C371" s="2253"/>
      <c r="D371" s="2254"/>
      <c r="E371" s="113">
        <f t="shared" si="16"/>
        <v>33670643</v>
      </c>
      <c r="F371" s="2254"/>
      <c r="G371" s="113">
        <f t="shared" si="18"/>
        <v>224000</v>
      </c>
    </row>
    <row r="372" spans="1:7" x14ac:dyDescent="0.25">
      <c r="A372" s="2125">
        <v>43102</v>
      </c>
      <c r="B372" s="57"/>
      <c r="C372" s="57"/>
      <c r="D372" s="113">
        <v>38500</v>
      </c>
      <c r="E372" s="113">
        <f t="shared" si="16"/>
        <v>33709143</v>
      </c>
      <c r="F372" s="113"/>
      <c r="G372" s="113">
        <f t="shared" si="18"/>
        <v>262500</v>
      </c>
    </row>
    <row r="373" spans="1:7" x14ac:dyDescent="0.25">
      <c r="A373" s="2125">
        <v>43103</v>
      </c>
      <c r="B373" s="57"/>
      <c r="C373" s="57"/>
      <c r="D373" s="113">
        <v>191500</v>
      </c>
      <c r="E373" s="113">
        <f t="shared" si="16"/>
        <v>33900643</v>
      </c>
      <c r="F373" s="113"/>
      <c r="G373" s="113">
        <f t="shared" si="18"/>
        <v>454000</v>
      </c>
    </row>
    <row r="374" spans="1:7" x14ac:dyDescent="0.25">
      <c r="A374" s="2125">
        <v>43104</v>
      </c>
      <c r="B374" s="57" t="s">
        <v>1661</v>
      </c>
      <c r="C374" s="57"/>
      <c r="D374" s="113">
        <v>195000</v>
      </c>
      <c r="E374" s="113">
        <f t="shared" si="16"/>
        <v>34095643</v>
      </c>
      <c r="F374" s="113"/>
      <c r="G374" s="113">
        <f t="shared" si="18"/>
        <v>649000</v>
      </c>
    </row>
    <row r="375" spans="1:7" x14ac:dyDescent="0.25">
      <c r="A375" s="2125">
        <v>43104</v>
      </c>
      <c r="B375" s="57" t="s">
        <v>1661</v>
      </c>
      <c r="C375" s="57" t="s">
        <v>1662</v>
      </c>
      <c r="D375" s="113">
        <v>219000</v>
      </c>
      <c r="E375" s="113">
        <f t="shared" si="16"/>
        <v>34314643</v>
      </c>
      <c r="F375" s="113"/>
      <c r="G375" s="113">
        <f t="shared" si="18"/>
        <v>868000</v>
      </c>
    </row>
    <row r="376" spans="1:7" x14ac:dyDescent="0.25">
      <c r="A376" s="2125">
        <v>43105</v>
      </c>
      <c r="B376" s="57" t="s">
        <v>1665</v>
      </c>
      <c r="C376" s="57" t="s">
        <v>1667</v>
      </c>
      <c r="D376" s="113">
        <v>10000</v>
      </c>
      <c r="E376" s="113">
        <f t="shared" si="16"/>
        <v>34324643</v>
      </c>
      <c r="F376" s="113"/>
      <c r="G376" s="113">
        <f t="shared" si="18"/>
        <v>878000</v>
      </c>
    </row>
    <row r="377" spans="1:7" x14ac:dyDescent="0.25">
      <c r="A377" s="2125">
        <v>43105</v>
      </c>
      <c r="B377" s="57" t="s">
        <v>1665</v>
      </c>
      <c r="C377" s="57" t="s">
        <v>1666</v>
      </c>
      <c r="D377" s="113">
        <v>199000</v>
      </c>
      <c r="E377" s="113">
        <f t="shared" si="16"/>
        <v>34523643</v>
      </c>
      <c r="F377" s="113"/>
      <c r="G377" s="113">
        <f t="shared" si="18"/>
        <v>1077000</v>
      </c>
    </row>
    <row r="378" spans="1:7" x14ac:dyDescent="0.25">
      <c r="A378" s="2125">
        <v>43108</v>
      </c>
      <c r="B378" s="57" t="s">
        <v>1670</v>
      </c>
      <c r="C378" s="57" t="s">
        <v>1671</v>
      </c>
      <c r="D378" s="113">
        <v>10000</v>
      </c>
      <c r="E378" s="113">
        <f t="shared" si="16"/>
        <v>34533643</v>
      </c>
      <c r="F378" s="113"/>
      <c r="G378" s="113">
        <f t="shared" si="18"/>
        <v>1087000</v>
      </c>
    </row>
    <row r="379" spans="1:7" x14ac:dyDescent="0.25">
      <c r="A379" s="2125">
        <v>43108</v>
      </c>
      <c r="B379" s="57" t="s">
        <v>1670</v>
      </c>
      <c r="C379" s="57" t="s">
        <v>1672</v>
      </c>
      <c r="D379" s="113">
        <v>50000</v>
      </c>
      <c r="E379" s="113">
        <f t="shared" si="16"/>
        <v>34583643</v>
      </c>
      <c r="F379" s="113"/>
      <c r="G379" s="113">
        <f t="shared" si="18"/>
        <v>1137000</v>
      </c>
    </row>
    <row r="380" spans="1:7" x14ac:dyDescent="0.25">
      <c r="A380" s="2125">
        <v>43110</v>
      </c>
      <c r="B380" s="57" t="s">
        <v>1668</v>
      </c>
      <c r="C380" s="57" t="s">
        <v>1669</v>
      </c>
      <c r="D380" s="113">
        <v>54400</v>
      </c>
      <c r="E380" s="113">
        <f t="shared" si="16"/>
        <v>34638043</v>
      </c>
      <c r="F380" s="113"/>
      <c r="G380" s="113">
        <f t="shared" si="18"/>
        <v>1191400</v>
      </c>
    </row>
    <row r="381" spans="1:7" x14ac:dyDescent="0.25">
      <c r="A381" s="2125">
        <v>43111</v>
      </c>
      <c r="B381" s="57"/>
      <c r="C381" s="57"/>
      <c r="D381" s="113">
        <v>150000</v>
      </c>
      <c r="E381" s="113">
        <f t="shared" si="16"/>
        <v>34788043</v>
      </c>
      <c r="F381" s="113"/>
      <c r="G381" s="113">
        <f t="shared" si="18"/>
        <v>1341400</v>
      </c>
    </row>
    <row r="382" spans="1:7" x14ac:dyDescent="0.25">
      <c r="A382" s="2125">
        <v>43112</v>
      </c>
      <c r="B382" s="57"/>
      <c r="C382" s="57"/>
      <c r="D382" s="113">
        <v>110000</v>
      </c>
      <c r="E382" s="113">
        <f t="shared" si="16"/>
        <v>34898043</v>
      </c>
      <c r="F382" s="113">
        <v>853000</v>
      </c>
      <c r="G382" s="113">
        <f t="shared" si="18"/>
        <v>598400</v>
      </c>
    </row>
    <row r="383" spans="1:7" x14ac:dyDescent="0.25">
      <c r="A383" s="2125">
        <v>43113</v>
      </c>
      <c r="B383" s="57" t="s">
        <v>1673</v>
      </c>
      <c r="C383" s="57" t="s">
        <v>1674</v>
      </c>
      <c r="D383" s="113">
        <v>135750</v>
      </c>
      <c r="E383" s="113">
        <f t="shared" si="16"/>
        <v>35033793</v>
      </c>
      <c r="F383" s="113"/>
      <c r="G383" s="113">
        <f t="shared" si="18"/>
        <v>734150</v>
      </c>
    </row>
    <row r="384" spans="1:7" x14ac:dyDescent="0.25">
      <c r="A384" s="2125">
        <v>43113</v>
      </c>
      <c r="B384" s="57" t="s">
        <v>1675</v>
      </c>
      <c r="C384" s="57"/>
      <c r="D384" s="113">
        <v>15000</v>
      </c>
      <c r="E384" s="113">
        <f t="shared" si="16"/>
        <v>35048793</v>
      </c>
      <c r="F384" s="113"/>
      <c r="G384" s="113">
        <f t="shared" si="18"/>
        <v>749150</v>
      </c>
    </row>
    <row r="385" spans="1:7" x14ac:dyDescent="0.25">
      <c r="A385" s="2125">
        <v>43115</v>
      </c>
      <c r="B385" s="57" t="s">
        <v>1676</v>
      </c>
      <c r="C385" s="57" t="s">
        <v>1677</v>
      </c>
      <c r="D385" s="113">
        <v>40000</v>
      </c>
      <c r="E385" s="113">
        <f t="shared" si="16"/>
        <v>35088793</v>
      </c>
      <c r="F385" s="113"/>
      <c r="G385" s="113">
        <f t="shared" si="18"/>
        <v>789150</v>
      </c>
    </row>
    <row r="386" spans="1:7" x14ac:dyDescent="0.25">
      <c r="A386" s="2125">
        <v>43117</v>
      </c>
      <c r="B386" s="57" t="s">
        <v>1678</v>
      </c>
      <c r="C386" s="57" t="s">
        <v>1679</v>
      </c>
      <c r="D386" s="113">
        <v>164500</v>
      </c>
      <c r="E386" s="113">
        <f t="shared" si="16"/>
        <v>35253293</v>
      </c>
      <c r="F386" s="113">
        <v>525150</v>
      </c>
      <c r="G386" s="113">
        <f t="shared" si="18"/>
        <v>428500</v>
      </c>
    </row>
    <row r="387" spans="1:7" x14ac:dyDescent="0.25">
      <c r="A387" s="2125">
        <v>43118</v>
      </c>
      <c r="B387" s="57" t="s">
        <v>1680</v>
      </c>
      <c r="C387" s="57" t="s">
        <v>1682</v>
      </c>
      <c r="D387" s="113">
        <v>10000</v>
      </c>
      <c r="E387" s="113">
        <f t="shared" si="16"/>
        <v>35263293</v>
      </c>
      <c r="F387" s="113"/>
      <c r="G387" s="113">
        <f t="shared" si="18"/>
        <v>438500</v>
      </c>
    </row>
    <row r="388" spans="1:7" x14ac:dyDescent="0.25">
      <c r="A388" s="2125">
        <v>43118</v>
      </c>
      <c r="B388" s="57" t="s">
        <v>1680</v>
      </c>
      <c r="C388" s="57" t="s">
        <v>1681</v>
      </c>
      <c r="D388" s="113">
        <v>117000</v>
      </c>
      <c r="E388" s="113">
        <f t="shared" si="16"/>
        <v>35380293</v>
      </c>
      <c r="F388" s="113"/>
      <c r="G388" s="113">
        <f t="shared" si="18"/>
        <v>555500</v>
      </c>
    </row>
    <row r="389" spans="1:7" x14ac:dyDescent="0.25">
      <c r="A389" s="2125">
        <v>43119</v>
      </c>
      <c r="B389" s="57"/>
      <c r="C389" s="57"/>
      <c r="D389" s="113">
        <v>40000</v>
      </c>
      <c r="E389" s="113">
        <f t="shared" si="16"/>
        <v>35420293</v>
      </c>
      <c r="F389" s="113"/>
      <c r="G389" s="113">
        <f t="shared" si="18"/>
        <v>595500</v>
      </c>
    </row>
    <row r="390" spans="1:7" x14ac:dyDescent="0.25">
      <c r="A390" s="2125">
        <v>43120</v>
      </c>
      <c r="B390" s="57"/>
      <c r="C390" s="57"/>
      <c r="D390" s="113">
        <v>243005</v>
      </c>
      <c r="E390" s="113">
        <f t="shared" ref="E390:E453" si="19">+E389+D390</f>
        <v>35663298</v>
      </c>
      <c r="F390" s="113"/>
      <c r="G390" s="113">
        <f t="shared" si="18"/>
        <v>838505</v>
      </c>
    </row>
    <row r="391" spans="1:7" x14ac:dyDescent="0.25">
      <c r="A391" s="2125">
        <v>43121</v>
      </c>
      <c r="B391" s="57"/>
      <c r="C391" s="57"/>
      <c r="D391" s="113">
        <v>262500</v>
      </c>
      <c r="E391" s="113">
        <f t="shared" si="19"/>
        <v>35925798</v>
      </c>
      <c r="F391" s="113"/>
      <c r="G391" s="113">
        <f t="shared" si="18"/>
        <v>1101005</v>
      </c>
    </row>
    <row r="392" spans="1:7" x14ac:dyDescent="0.25">
      <c r="A392" s="2125">
        <v>43124</v>
      </c>
      <c r="B392" s="57"/>
      <c r="C392" s="57"/>
      <c r="D392" s="113">
        <v>224000</v>
      </c>
      <c r="E392" s="113">
        <f t="shared" si="19"/>
        <v>36149798</v>
      </c>
      <c r="F392" s="113"/>
      <c r="G392" s="113">
        <f t="shared" si="18"/>
        <v>1325005</v>
      </c>
    </row>
    <row r="393" spans="1:7" x14ac:dyDescent="0.25">
      <c r="A393" s="2125">
        <v>43125</v>
      </c>
      <c r="B393" s="57"/>
      <c r="C393" s="57"/>
      <c r="D393" s="113">
        <v>284000</v>
      </c>
      <c r="E393" s="113">
        <f t="shared" si="19"/>
        <v>36433798</v>
      </c>
      <c r="F393" s="113"/>
      <c r="G393" s="113">
        <f t="shared" si="18"/>
        <v>1609005</v>
      </c>
    </row>
    <row r="394" spans="1:7" x14ac:dyDescent="0.25">
      <c r="A394" s="2125">
        <v>43126</v>
      </c>
      <c r="B394" s="57"/>
      <c r="C394" s="57"/>
      <c r="D394" s="113">
        <v>268500</v>
      </c>
      <c r="E394" s="113">
        <f t="shared" si="19"/>
        <v>36702298</v>
      </c>
      <c r="F394" s="113">
        <v>877005</v>
      </c>
      <c r="G394" s="113">
        <f t="shared" si="18"/>
        <v>1000500</v>
      </c>
    </row>
    <row r="395" spans="1:7" x14ac:dyDescent="0.25">
      <c r="A395" s="2125">
        <v>43128</v>
      </c>
      <c r="B395" s="57"/>
      <c r="C395" s="57"/>
      <c r="D395" s="113">
        <v>250000</v>
      </c>
      <c r="E395" s="113">
        <f t="shared" si="19"/>
        <v>36952298</v>
      </c>
      <c r="F395" s="113"/>
      <c r="G395" s="113">
        <f t="shared" si="18"/>
        <v>1250500</v>
      </c>
    </row>
    <row r="396" spans="1:7" x14ac:dyDescent="0.25">
      <c r="A396" s="2125">
        <v>43129</v>
      </c>
      <c r="B396" s="57"/>
      <c r="C396" s="57"/>
      <c r="D396" s="113">
        <v>142000</v>
      </c>
      <c r="E396" s="113">
        <f t="shared" si="19"/>
        <v>37094298</v>
      </c>
      <c r="F396" s="113"/>
      <c r="G396" s="113">
        <f t="shared" si="18"/>
        <v>1392500</v>
      </c>
    </row>
    <row r="397" spans="1:7" x14ac:dyDescent="0.25">
      <c r="A397" s="2125">
        <v>43130</v>
      </c>
      <c r="B397" s="57"/>
      <c r="C397" s="57"/>
      <c r="D397" s="113">
        <v>60000</v>
      </c>
      <c r="E397" s="113">
        <f t="shared" si="19"/>
        <v>37154298</v>
      </c>
      <c r="F397" s="113"/>
      <c r="G397" s="113">
        <f t="shared" si="18"/>
        <v>1452500</v>
      </c>
    </row>
    <row r="398" spans="1:7" x14ac:dyDescent="0.25">
      <c r="A398" s="2125">
        <v>43131</v>
      </c>
      <c r="B398" s="57"/>
      <c r="C398" s="57"/>
      <c r="D398" s="113">
        <v>203500</v>
      </c>
      <c r="E398" s="113">
        <f t="shared" si="19"/>
        <v>37357798</v>
      </c>
      <c r="F398" s="113"/>
      <c r="G398" s="113">
        <f t="shared" si="18"/>
        <v>1656000</v>
      </c>
    </row>
    <row r="399" spans="1:7" x14ac:dyDescent="0.25">
      <c r="A399" s="2259"/>
      <c r="B399" s="2260"/>
      <c r="C399" s="2260"/>
      <c r="D399" s="2261"/>
      <c r="E399" s="113">
        <f t="shared" si="19"/>
        <v>37357798</v>
      </c>
      <c r="F399" s="2261"/>
      <c r="G399" s="113">
        <f t="shared" si="18"/>
        <v>1656000</v>
      </c>
    </row>
    <row r="400" spans="1:7" x14ac:dyDescent="0.25">
      <c r="A400" s="2125">
        <v>43132</v>
      </c>
      <c r="B400" s="57" t="s">
        <v>1683</v>
      </c>
      <c r="C400" s="57" t="s">
        <v>1685</v>
      </c>
      <c r="D400" s="113">
        <v>165000</v>
      </c>
      <c r="E400" s="113">
        <f t="shared" si="19"/>
        <v>37522798</v>
      </c>
      <c r="F400" s="113">
        <v>1026500</v>
      </c>
      <c r="G400" s="113">
        <f t="shared" si="18"/>
        <v>794500</v>
      </c>
    </row>
    <row r="401" spans="1:7" x14ac:dyDescent="0.25">
      <c r="A401" s="2125">
        <v>43132</v>
      </c>
      <c r="B401" s="57" t="s">
        <v>1683</v>
      </c>
      <c r="C401" s="57" t="s">
        <v>1684</v>
      </c>
      <c r="D401" s="113">
        <v>28750</v>
      </c>
      <c r="E401" s="113">
        <f t="shared" si="19"/>
        <v>37551548</v>
      </c>
      <c r="F401" s="113"/>
      <c r="G401" s="113">
        <f t="shared" si="18"/>
        <v>823250</v>
      </c>
    </row>
    <row r="402" spans="1:7" x14ac:dyDescent="0.25">
      <c r="A402" s="2125">
        <v>43132</v>
      </c>
      <c r="B402" s="57" t="s">
        <v>1683</v>
      </c>
      <c r="C402" s="57" t="s">
        <v>1686</v>
      </c>
      <c r="D402" s="113">
        <v>30000</v>
      </c>
      <c r="E402" s="113">
        <f t="shared" si="19"/>
        <v>37581548</v>
      </c>
      <c r="F402" s="113"/>
      <c r="G402" s="113">
        <f t="shared" si="18"/>
        <v>853250</v>
      </c>
    </row>
    <row r="403" spans="1:7" x14ac:dyDescent="0.25">
      <c r="A403" s="2125">
        <v>43132</v>
      </c>
      <c r="B403" s="57" t="s">
        <v>1683</v>
      </c>
      <c r="C403" s="57" t="s">
        <v>1687</v>
      </c>
      <c r="D403" s="113">
        <v>20000</v>
      </c>
      <c r="E403" s="113">
        <f t="shared" si="19"/>
        <v>37601548</v>
      </c>
      <c r="F403" s="113"/>
      <c r="G403" s="113">
        <f t="shared" si="18"/>
        <v>873250</v>
      </c>
    </row>
    <row r="404" spans="1:7" x14ac:dyDescent="0.25">
      <c r="A404" s="2125">
        <v>43132</v>
      </c>
      <c r="B404" s="57" t="s">
        <v>1683</v>
      </c>
      <c r="C404" s="57" t="s">
        <v>1688</v>
      </c>
      <c r="D404" s="113">
        <v>45000</v>
      </c>
      <c r="E404" s="113">
        <f t="shared" si="19"/>
        <v>37646548</v>
      </c>
      <c r="F404" s="113"/>
      <c r="G404" s="113">
        <f t="shared" ref="G404:G467" si="20">+G403+D404-F404</f>
        <v>918250</v>
      </c>
    </row>
    <row r="405" spans="1:7" x14ac:dyDescent="0.25">
      <c r="A405" s="2125">
        <v>43133</v>
      </c>
      <c r="B405" s="57" t="s">
        <v>1689</v>
      </c>
      <c r="C405" s="57" t="s">
        <v>1690</v>
      </c>
      <c r="D405" s="113">
        <v>500000</v>
      </c>
      <c r="E405" s="113">
        <f t="shared" si="19"/>
        <v>38146548</v>
      </c>
      <c r="F405" s="113"/>
      <c r="G405" s="113">
        <f t="shared" si="20"/>
        <v>1418250</v>
      </c>
    </row>
    <row r="406" spans="1:7" x14ac:dyDescent="0.25">
      <c r="A406" s="2125">
        <v>43133</v>
      </c>
      <c r="B406" s="57" t="s">
        <v>1689</v>
      </c>
      <c r="C406" s="57" t="s">
        <v>1691</v>
      </c>
      <c r="D406" s="113">
        <v>500000</v>
      </c>
      <c r="E406" s="113">
        <f t="shared" si="19"/>
        <v>38646548</v>
      </c>
      <c r="F406" s="113"/>
      <c r="G406" s="113">
        <f t="shared" si="20"/>
        <v>1918250</v>
      </c>
    </row>
    <row r="407" spans="1:7" x14ac:dyDescent="0.25">
      <c r="A407" s="2125">
        <v>43133</v>
      </c>
      <c r="B407" s="57" t="s">
        <v>1689</v>
      </c>
      <c r="C407" s="57" t="s">
        <v>1692</v>
      </c>
      <c r="D407" s="113">
        <v>380000</v>
      </c>
      <c r="E407" s="113">
        <f t="shared" si="19"/>
        <v>39026548</v>
      </c>
      <c r="F407" s="113"/>
      <c r="G407" s="113">
        <f t="shared" si="20"/>
        <v>2298250</v>
      </c>
    </row>
    <row r="408" spans="1:7" x14ac:dyDescent="0.25">
      <c r="A408" s="2125">
        <v>43134</v>
      </c>
      <c r="B408" s="57"/>
      <c r="C408" s="57"/>
      <c r="D408" s="113">
        <v>60000</v>
      </c>
      <c r="E408" s="113">
        <f t="shared" si="19"/>
        <v>39086548</v>
      </c>
      <c r="F408" s="113"/>
      <c r="G408" s="113">
        <f t="shared" si="20"/>
        <v>2358250</v>
      </c>
    </row>
    <row r="409" spans="1:7" x14ac:dyDescent="0.25">
      <c r="A409" s="2125">
        <v>43135</v>
      </c>
      <c r="B409" s="57"/>
      <c r="C409" s="57"/>
      <c r="D409" s="113">
        <v>380000</v>
      </c>
      <c r="E409" s="113">
        <f t="shared" si="19"/>
        <v>39466548</v>
      </c>
      <c r="F409" s="113"/>
      <c r="G409" s="113">
        <f t="shared" si="20"/>
        <v>2738250</v>
      </c>
    </row>
    <row r="410" spans="1:7" x14ac:dyDescent="0.25">
      <c r="A410" s="2125">
        <v>43137</v>
      </c>
      <c r="B410" s="57"/>
      <c r="C410" s="57"/>
      <c r="D410" s="113">
        <v>11000</v>
      </c>
      <c r="E410" s="113">
        <f t="shared" si="19"/>
        <v>39477548</v>
      </c>
      <c r="F410" s="113"/>
      <c r="G410" s="113">
        <f t="shared" si="20"/>
        <v>2749250</v>
      </c>
    </row>
    <row r="411" spans="1:7" x14ac:dyDescent="0.25">
      <c r="A411" s="2125">
        <v>43138</v>
      </c>
      <c r="B411" s="57"/>
      <c r="C411" s="57"/>
      <c r="D411" s="113">
        <v>484500</v>
      </c>
      <c r="E411" s="113">
        <f t="shared" si="19"/>
        <v>39962048</v>
      </c>
      <c r="F411" s="113"/>
      <c r="G411" s="113">
        <f t="shared" si="20"/>
        <v>3233750</v>
      </c>
    </row>
    <row r="412" spans="1:7" x14ac:dyDescent="0.25">
      <c r="A412" s="2125">
        <v>43139</v>
      </c>
      <c r="B412" s="57"/>
      <c r="C412" s="57"/>
      <c r="D412" s="113">
        <v>280000</v>
      </c>
      <c r="E412" s="113">
        <f t="shared" si="19"/>
        <v>40242048</v>
      </c>
      <c r="F412" s="113"/>
      <c r="G412" s="113">
        <f t="shared" si="20"/>
        <v>3513750</v>
      </c>
    </row>
    <row r="413" spans="1:7" x14ac:dyDescent="0.25">
      <c r="A413" s="2125">
        <v>43140</v>
      </c>
      <c r="B413" s="57"/>
      <c r="C413" s="57"/>
      <c r="D413" s="113"/>
      <c r="E413" s="113">
        <f t="shared" si="19"/>
        <v>40242048</v>
      </c>
      <c r="F413" s="113">
        <v>2074250</v>
      </c>
      <c r="G413" s="113">
        <f t="shared" si="20"/>
        <v>1439500</v>
      </c>
    </row>
    <row r="414" spans="1:7" x14ac:dyDescent="0.25">
      <c r="A414" s="2125">
        <v>43140</v>
      </c>
      <c r="B414" s="57"/>
      <c r="C414" s="57"/>
      <c r="D414" s="113">
        <v>239500</v>
      </c>
      <c r="E414" s="113">
        <f t="shared" si="19"/>
        <v>40481548</v>
      </c>
      <c r="F414" s="113"/>
      <c r="G414" s="113">
        <f t="shared" si="20"/>
        <v>1679000</v>
      </c>
    </row>
    <row r="415" spans="1:7" x14ac:dyDescent="0.25">
      <c r="A415" s="2125">
        <v>43141</v>
      </c>
      <c r="B415" s="57"/>
      <c r="C415" s="57"/>
      <c r="D415" s="113">
        <v>317000</v>
      </c>
      <c r="E415" s="113">
        <f t="shared" si="19"/>
        <v>40798548</v>
      </c>
      <c r="F415" s="113"/>
      <c r="G415" s="113">
        <f t="shared" si="20"/>
        <v>1996000</v>
      </c>
    </row>
    <row r="416" spans="1:7" x14ac:dyDescent="0.25">
      <c r="A416" s="2125">
        <v>43142</v>
      </c>
      <c r="B416" s="57"/>
      <c r="C416" s="57"/>
      <c r="D416" s="113">
        <v>366000</v>
      </c>
      <c r="E416" s="113">
        <f t="shared" si="19"/>
        <v>41164548</v>
      </c>
      <c r="F416" s="113"/>
      <c r="G416" s="113">
        <f t="shared" si="20"/>
        <v>2362000</v>
      </c>
    </row>
    <row r="417" spans="1:7" x14ac:dyDescent="0.25">
      <c r="A417" s="2125">
        <v>43143</v>
      </c>
      <c r="B417" s="57"/>
      <c r="C417" s="57"/>
      <c r="D417" s="113">
        <v>423000</v>
      </c>
      <c r="E417" s="113">
        <f t="shared" si="19"/>
        <v>41587548</v>
      </c>
      <c r="F417" s="113"/>
      <c r="G417" s="113">
        <f t="shared" si="20"/>
        <v>2785000</v>
      </c>
    </row>
    <row r="418" spans="1:7" x14ac:dyDescent="0.25">
      <c r="A418" s="2125"/>
      <c r="B418" s="57"/>
      <c r="C418" s="57"/>
      <c r="D418" s="113">
        <v>101500</v>
      </c>
      <c r="E418" s="113">
        <f t="shared" si="19"/>
        <v>41689048</v>
      </c>
      <c r="F418" s="113"/>
      <c r="G418" s="113">
        <f t="shared" si="20"/>
        <v>2886500</v>
      </c>
    </row>
    <row r="419" spans="1:7" x14ac:dyDescent="0.25">
      <c r="A419" s="2125">
        <v>43144</v>
      </c>
      <c r="B419" s="57"/>
      <c r="C419" s="57"/>
      <c r="D419" s="113">
        <v>115000</v>
      </c>
      <c r="E419" s="113">
        <f t="shared" si="19"/>
        <v>41804048</v>
      </c>
      <c r="F419" s="113"/>
      <c r="G419" s="113">
        <f t="shared" si="20"/>
        <v>3001500</v>
      </c>
    </row>
    <row r="420" spans="1:7" x14ac:dyDescent="0.25">
      <c r="A420" s="2125">
        <v>43146</v>
      </c>
      <c r="B420" s="57"/>
      <c r="C420" s="57"/>
      <c r="D420" s="113">
        <v>80000</v>
      </c>
      <c r="E420" s="113">
        <f t="shared" si="19"/>
        <v>41884048</v>
      </c>
      <c r="F420" s="113">
        <v>1892000</v>
      </c>
      <c r="G420" s="113">
        <f t="shared" si="20"/>
        <v>1189500</v>
      </c>
    </row>
    <row r="421" spans="1:7" x14ac:dyDescent="0.25">
      <c r="A421" s="2125"/>
      <c r="B421" s="57"/>
      <c r="C421" s="57"/>
      <c r="D421" s="113">
        <v>28750</v>
      </c>
      <c r="E421" s="113">
        <f t="shared" si="19"/>
        <v>41912798</v>
      </c>
      <c r="F421" s="113"/>
      <c r="G421" s="113">
        <f t="shared" si="20"/>
        <v>1218250</v>
      </c>
    </row>
    <row r="422" spans="1:7" x14ac:dyDescent="0.25">
      <c r="A422" s="2125">
        <v>43148</v>
      </c>
      <c r="B422" s="57"/>
      <c r="C422" s="57"/>
      <c r="D422" s="113">
        <v>180000</v>
      </c>
      <c r="E422" s="113">
        <f t="shared" si="19"/>
        <v>42092798</v>
      </c>
      <c r="F422" s="113"/>
      <c r="G422" s="113">
        <f t="shared" si="20"/>
        <v>1398250</v>
      </c>
    </row>
    <row r="423" spans="1:7" x14ac:dyDescent="0.25">
      <c r="A423" s="2125">
        <v>43149</v>
      </c>
      <c r="B423" s="57"/>
      <c r="C423" s="57"/>
      <c r="D423" s="113">
        <v>150000</v>
      </c>
      <c r="E423" s="113">
        <f t="shared" si="19"/>
        <v>42242798</v>
      </c>
      <c r="F423" s="113"/>
      <c r="G423" s="113">
        <f t="shared" si="20"/>
        <v>1548250</v>
      </c>
    </row>
    <row r="424" spans="1:7" x14ac:dyDescent="0.25">
      <c r="A424" s="2125">
        <v>43151</v>
      </c>
      <c r="B424" s="57"/>
      <c r="C424" s="57"/>
      <c r="D424" s="113">
        <v>57500</v>
      </c>
      <c r="E424" s="113">
        <f t="shared" si="19"/>
        <v>42300298</v>
      </c>
      <c r="F424" s="113"/>
      <c r="G424" s="113">
        <f t="shared" si="20"/>
        <v>1605750</v>
      </c>
    </row>
    <row r="425" spans="1:7" x14ac:dyDescent="0.25">
      <c r="A425" s="2125">
        <v>43152</v>
      </c>
      <c r="B425" s="57"/>
      <c r="C425" s="57"/>
      <c r="D425" s="113">
        <v>94000</v>
      </c>
      <c r="E425" s="113">
        <f t="shared" si="19"/>
        <v>42394298</v>
      </c>
      <c r="F425" s="113">
        <v>1323250</v>
      </c>
      <c r="G425" s="113">
        <f t="shared" si="20"/>
        <v>376500</v>
      </c>
    </row>
    <row r="426" spans="1:7" x14ac:dyDescent="0.25">
      <c r="A426" s="2125">
        <v>43153</v>
      </c>
      <c r="B426" s="57" t="s">
        <v>1696</v>
      </c>
      <c r="C426" s="57"/>
      <c r="D426" s="113">
        <v>115000</v>
      </c>
      <c r="E426" s="113">
        <f t="shared" si="19"/>
        <v>42509298</v>
      </c>
      <c r="F426" s="113"/>
      <c r="G426" s="113">
        <f t="shared" si="20"/>
        <v>491500</v>
      </c>
    </row>
    <row r="427" spans="1:7" x14ac:dyDescent="0.25">
      <c r="A427" s="2125">
        <v>43153</v>
      </c>
      <c r="B427" s="57" t="s">
        <v>1695</v>
      </c>
      <c r="C427" s="57"/>
      <c r="D427" s="113">
        <v>28000</v>
      </c>
      <c r="E427" s="113">
        <f t="shared" si="19"/>
        <v>42537298</v>
      </c>
      <c r="F427" s="113"/>
      <c r="G427" s="113">
        <f t="shared" si="20"/>
        <v>519500</v>
      </c>
    </row>
    <row r="428" spans="1:7" x14ac:dyDescent="0.25">
      <c r="A428" s="2125">
        <v>43153</v>
      </c>
      <c r="B428" s="57" t="s">
        <v>1694</v>
      </c>
      <c r="C428" s="57"/>
      <c r="D428" s="113">
        <v>213850</v>
      </c>
      <c r="E428" s="113">
        <f t="shared" si="19"/>
        <v>42751148</v>
      </c>
      <c r="F428" s="113"/>
      <c r="G428" s="113">
        <f t="shared" si="20"/>
        <v>733350</v>
      </c>
    </row>
    <row r="429" spans="1:7" x14ac:dyDescent="0.25">
      <c r="A429" s="2125">
        <v>43153</v>
      </c>
      <c r="B429" s="57" t="s">
        <v>1697</v>
      </c>
      <c r="C429" s="57"/>
      <c r="D429" s="113">
        <v>217500</v>
      </c>
      <c r="E429" s="113">
        <f t="shared" si="19"/>
        <v>42968648</v>
      </c>
      <c r="F429" s="113"/>
      <c r="G429" s="113">
        <f t="shared" si="20"/>
        <v>950850</v>
      </c>
    </row>
    <row r="430" spans="1:7" x14ac:dyDescent="0.25">
      <c r="A430" s="2125"/>
      <c r="B430" s="57"/>
      <c r="C430" s="57"/>
      <c r="D430" s="113"/>
      <c r="E430" s="113">
        <f t="shared" si="19"/>
        <v>42968648</v>
      </c>
      <c r="F430" s="113"/>
      <c r="G430" s="113">
        <f t="shared" si="20"/>
        <v>950850</v>
      </c>
    </row>
    <row r="431" spans="1:7" x14ac:dyDescent="0.25">
      <c r="A431" s="2125">
        <v>43154</v>
      </c>
      <c r="B431" s="57"/>
      <c r="C431" s="57"/>
      <c r="D431" s="113">
        <v>230000</v>
      </c>
      <c r="E431" s="113">
        <f t="shared" si="19"/>
        <v>43198648</v>
      </c>
      <c r="F431" s="113"/>
      <c r="G431" s="113">
        <f t="shared" si="20"/>
        <v>1180850</v>
      </c>
    </row>
    <row r="432" spans="1:7" x14ac:dyDescent="0.25">
      <c r="A432" s="2125">
        <v>43155</v>
      </c>
      <c r="B432" s="57"/>
      <c r="C432" s="57"/>
      <c r="D432" s="113">
        <v>64500</v>
      </c>
      <c r="E432" s="113">
        <f t="shared" si="19"/>
        <v>43263148</v>
      </c>
      <c r="F432" s="113"/>
      <c r="G432" s="113">
        <f t="shared" si="20"/>
        <v>1245350</v>
      </c>
    </row>
    <row r="433" spans="1:7" x14ac:dyDescent="0.25">
      <c r="A433" s="2125">
        <v>43156</v>
      </c>
      <c r="B433" s="57"/>
      <c r="C433" s="57"/>
      <c r="D433" s="113">
        <v>20000</v>
      </c>
      <c r="E433" s="113">
        <f t="shared" si="19"/>
        <v>43283148</v>
      </c>
      <c r="F433" s="113"/>
      <c r="G433" s="113">
        <f t="shared" si="20"/>
        <v>1265350</v>
      </c>
    </row>
    <row r="434" spans="1:7" x14ac:dyDescent="0.25">
      <c r="A434" s="2125">
        <v>43158</v>
      </c>
      <c r="B434" s="57"/>
      <c r="C434" s="57"/>
      <c r="D434" s="113">
        <v>185100</v>
      </c>
      <c r="E434" s="113">
        <f t="shared" si="19"/>
        <v>43468248</v>
      </c>
      <c r="F434" s="113"/>
      <c r="G434" s="113">
        <f t="shared" si="20"/>
        <v>1450450</v>
      </c>
    </row>
    <row r="435" spans="1:7" x14ac:dyDescent="0.25">
      <c r="A435" s="2125">
        <v>43159</v>
      </c>
      <c r="B435" s="57"/>
      <c r="C435" s="57"/>
      <c r="D435" s="113">
        <v>45000</v>
      </c>
      <c r="E435" s="113">
        <f t="shared" si="19"/>
        <v>43513248</v>
      </c>
      <c r="F435" s="113"/>
      <c r="G435" s="113">
        <f t="shared" si="20"/>
        <v>1495450</v>
      </c>
    </row>
    <row r="436" spans="1:7" x14ac:dyDescent="0.25">
      <c r="A436" s="2125"/>
      <c r="B436" s="57"/>
      <c r="C436" s="57"/>
      <c r="D436" s="113"/>
      <c r="E436" s="113">
        <f t="shared" si="19"/>
        <v>43513248</v>
      </c>
      <c r="F436" s="113"/>
      <c r="G436" s="113">
        <f t="shared" si="20"/>
        <v>1495450</v>
      </c>
    </row>
    <row r="437" spans="1:7" x14ac:dyDescent="0.25">
      <c r="A437" s="2125"/>
      <c r="B437" s="57"/>
      <c r="C437" s="57"/>
      <c r="D437" s="113"/>
      <c r="E437" s="113">
        <f t="shared" si="19"/>
        <v>43513248</v>
      </c>
      <c r="F437" s="113"/>
      <c r="G437" s="113">
        <f t="shared" si="20"/>
        <v>1495450</v>
      </c>
    </row>
    <row r="438" spans="1:7" x14ac:dyDescent="0.25">
      <c r="A438" s="2259"/>
      <c r="B438" s="2260"/>
      <c r="C438" s="2260"/>
      <c r="D438" s="2261"/>
      <c r="E438" s="113">
        <f t="shared" si="19"/>
        <v>43513248</v>
      </c>
      <c r="F438" s="2261">
        <v>1040350</v>
      </c>
      <c r="G438" s="113">
        <f t="shared" si="20"/>
        <v>455100</v>
      </c>
    </row>
    <row r="439" spans="1:7" x14ac:dyDescent="0.25">
      <c r="A439" s="2125">
        <v>43161</v>
      </c>
      <c r="B439" s="57" t="s">
        <v>1708</v>
      </c>
      <c r="C439" s="57"/>
      <c r="D439" s="113">
        <v>145000</v>
      </c>
      <c r="E439" s="113">
        <f t="shared" si="19"/>
        <v>43658248</v>
      </c>
      <c r="F439" s="113"/>
      <c r="G439" s="113">
        <f t="shared" si="20"/>
        <v>600100</v>
      </c>
    </row>
    <row r="440" spans="1:7" x14ac:dyDescent="0.25">
      <c r="A440" s="2125">
        <v>43162</v>
      </c>
      <c r="B440" s="57" t="s">
        <v>1709</v>
      </c>
      <c r="C440" s="57" t="s">
        <v>1710</v>
      </c>
      <c r="D440" s="113">
        <v>215000</v>
      </c>
      <c r="E440" s="113">
        <f t="shared" si="19"/>
        <v>43873248</v>
      </c>
      <c r="F440" s="113"/>
      <c r="G440" s="113">
        <f t="shared" si="20"/>
        <v>815100</v>
      </c>
    </row>
    <row r="441" spans="1:7" x14ac:dyDescent="0.25">
      <c r="A441" s="2125">
        <v>43162</v>
      </c>
      <c r="B441" s="57" t="s">
        <v>1709</v>
      </c>
      <c r="C441" s="57" t="s">
        <v>1711</v>
      </c>
      <c r="D441" s="113">
        <v>190000</v>
      </c>
      <c r="E441" s="113">
        <f t="shared" si="19"/>
        <v>44063248</v>
      </c>
      <c r="F441" s="113"/>
      <c r="G441" s="113">
        <f t="shared" si="20"/>
        <v>1005100</v>
      </c>
    </row>
    <row r="442" spans="1:7" x14ac:dyDescent="0.25">
      <c r="A442" s="2125">
        <v>43162</v>
      </c>
      <c r="B442" s="57" t="s">
        <v>1709</v>
      </c>
      <c r="C442" s="2159" t="s">
        <v>1712</v>
      </c>
      <c r="D442" s="113">
        <v>116000</v>
      </c>
      <c r="E442" s="113">
        <f t="shared" si="19"/>
        <v>44179248</v>
      </c>
      <c r="F442" s="113"/>
      <c r="G442" s="113">
        <f t="shared" si="20"/>
        <v>1121100</v>
      </c>
    </row>
    <row r="443" spans="1:7" x14ac:dyDescent="0.25">
      <c r="A443" s="2125">
        <v>43164</v>
      </c>
      <c r="B443" s="57" t="s">
        <v>1713</v>
      </c>
      <c r="C443" s="57" t="s">
        <v>1714</v>
      </c>
      <c r="D443" s="113">
        <v>40000</v>
      </c>
      <c r="E443" s="113">
        <f t="shared" si="19"/>
        <v>44219248</v>
      </c>
      <c r="F443" s="113"/>
      <c r="G443" s="113">
        <f t="shared" si="20"/>
        <v>1161100</v>
      </c>
    </row>
    <row r="444" spans="1:7" x14ac:dyDescent="0.25">
      <c r="A444" s="2125">
        <v>43164</v>
      </c>
      <c r="B444" s="57" t="s">
        <v>1715</v>
      </c>
      <c r="C444" s="57" t="s">
        <v>1716</v>
      </c>
      <c r="D444" s="113">
        <v>80000</v>
      </c>
      <c r="E444" s="113">
        <f t="shared" si="19"/>
        <v>44299248</v>
      </c>
      <c r="F444" s="113"/>
      <c r="G444" s="113">
        <f t="shared" si="20"/>
        <v>1241100</v>
      </c>
    </row>
    <row r="445" spans="1:7" x14ac:dyDescent="0.25">
      <c r="A445" s="2125">
        <v>43165</v>
      </c>
      <c r="B445" s="57" t="s">
        <v>1715</v>
      </c>
      <c r="C445" s="57" t="s">
        <v>1717</v>
      </c>
      <c r="D445" s="113">
        <v>170000</v>
      </c>
      <c r="E445" s="113">
        <f t="shared" si="19"/>
        <v>44469248</v>
      </c>
      <c r="F445" s="113"/>
      <c r="G445" s="113">
        <f t="shared" si="20"/>
        <v>1411100</v>
      </c>
    </row>
    <row r="446" spans="1:7" x14ac:dyDescent="0.25">
      <c r="A446" s="2125">
        <v>43165</v>
      </c>
      <c r="B446" s="57" t="s">
        <v>1718</v>
      </c>
      <c r="C446" s="57" t="s">
        <v>1719</v>
      </c>
      <c r="D446" s="113">
        <v>115000</v>
      </c>
      <c r="E446" s="113">
        <f t="shared" si="19"/>
        <v>44584248</v>
      </c>
      <c r="F446" s="113"/>
      <c r="G446" s="113">
        <f t="shared" si="20"/>
        <v>1526100</v>
      </c>
    </row>
    <row r="447" spans="1:7" x14ac:dyDescent="0.25">
      <c r="A447" s="2125">
        <v>43166</v>
      </c>
      <c r="B447" s="57" t="s">
        <v>1718</v>
      </c>
      <c r="C447" s="57" t="s">
        <v>1720</v>
      </c>
      <c r="D447" s="113">
        <v>228000</v>
      </c>
      <c r="E447" s="113">
        <f t="shared" si="19"/>
        <v>44812248</v>
      </c>
      <c r="F447" s="113"/>
      <c r="G447" s="113">
        <f t="shared" si="20"/>
        <v>1754100</v>
      </c>
    </row>
    <row r="448" spans="1:7" x14ac:dyDescent="0.25">
      <c r="A448" s="2125">
        <v>43166</v>
      </c>
      <c r="B448" s="57" t="s">
        <v>1718</v>
      </c>
      <c r="C448" s="57" t="s">
        <v>1721</v>
      </c>
      <c r="D448" s="113">
        <v>100000</v>
      </c>
      <c r="E448" s="113">
        <f t="shared" si="19"/>
        <v>44912248</v>
      </c>
      <c r="F448" s="113"/>
      <c r="G448" s="113">
        <f t="shared" si="20"/>
        <v>1854100</v>
      </c>
    </row>
    <row r="449" spans="1:7" x14ac:dyDescent="0.25">
      <c r="A449" s="2125">
        <v>43166</v>
      </c>
      <c r="B449" s="57" t="s">
        <v>1718</v>
      </c>
      <c r="C449" s="57" t="s">
        <v>1722</v>
      </c>
      <c r="D449" s="113">
        <v>35000</v>
      </c>
      <c r="E449" s="113">
        <f t="shared" si="19"/>
        <v>44947248</v>
      </c>
      <c r="F449" s="113"/>
      <c r="G449" s="113">
        <f t="shared" si="20"/>
        <v>1889100</v>
      </c>
    </row>
    <row r="450" spans="1:7" x14ac:dyDescent="0.25">
      <c r="A450" s="2125">
        <v>43167</v>
      </c>
      <c r="B450" s="57" t="s">
        <v>1723</v>
      </c>
      <c r="C450" s="57" t="s">
        <v>1724</v>
      </c>
      <c r="D450" s="113">
        <v>160000</v>
      </c>
      <c r="E450" s="113">
        <f t="shared" si="19"/>
        <v>45107248</v>
      </c>
      <c r="F450" s="113"/>
      <c r="G450" s="113">
        <f t="shared" si="20"/>
        <v>2049100</v>
      </c>
    </row>
    <row r="451" spans="1:7" x14ac:dyDescent="0.25">
      <c r="A451" s="2125">
        <v>43167</v>
      </c>
      <c r="B451" s="57" t="s">
        <v>1723</v>
      </c>
      <c r="C451" s="57" t="s">
        <v>1725</v>
      </c>
      <c r="D451" s="113">
        <v>85000</v>
      </c>
      <c r="E451" s="113">
        <f t="shared" si="19"/>
        <v>45192248</v>
      </c>
      <c r="F451" s="113">
        <v>896600</v>
      </c>
      <c r="G451" s="113">
        <f t="shared" si="20"/>
        <v>1237500</v>
      </c>
    </row>
    <row r="452" spans="1:7" x14ac:dyDescent="0.25">
      <c r="A452" s="2125">
        <v>43167</v>
      </c>
      <c r="B452" s="57" t="s">
        <v>1723</v>
      </c>
      <c r="C452" s="57" t="s">
        <v>1726</v>
      </c>
      <c r="D452" s="113">
        <v>10000</v>
      </c>
      <c r="E452" s="113">
        <f t="shared" si="19"/>
        <v>45202248</v>
      </c>
      <c r="F452" s="113"/>
      <c r="G452" s="113">
        <f t="shared" si="20"/>
        <v>1247500</v>
      </c>
    </row>
    <row r="453" spans="1:7" x14ac:dyDescent="0.25">
      <c r="A453" s="2125">
        <v>43168</v>
      </c>
      <c r="B453" s="57" t="s">
        <v>1728</v>
      </c>
      <c r="C453" s="57" t="s">
        <v>1729</v>
      </c>
      <c r="D453" s="113">
        <v>100000</v>
      </c>
      <c r="E453" s="113">
        <f t="shared" si="19"/>
        <v>45302248</v>
      </c>
      <c r="F453" s="113"/>
      <c r="G453" s="113">
        <f t="shared" si="20"/>
        <v>1347500</v>
      </c>
    </row>
    <row r="454" spans="1:7" x14ac:dyDescent="0.25">
      <c r="A454" s="2125" t="s">
        <v>1730</v>
      </c>
      <c r="B454" s="57" t="s">
        <v>1732</v>
      </c>
      <c r="C454" s="57" t="s">
        <v>1731</v>
      </c>
      <c r="D454" s="113">
        <v>57000</v>
      </c>
      <c r="E454" s="113">
        <f t="shared" ref="E454:E551" si="21">+E453+D454</f>
        <v>45359248</v>
      </c>
      <c r="F454" s="113"/>
      <c r="G454" s="113">
        <f t="shared" si="20"/>
        <v>1404500</v>
      </c>
    </row>
    <row r="455" spans="1:7" x14ac:dyDescent="0.25">
      <c r="A455" s="2125">
        <v>43169</v>
      </c>
      <c r="B455" s="57" t="s">
        <v>1732</v>
      </c>
      <c r="C455" s="57" t="s">
        <v>1733</v>
      </c>
      <c r="D455" s="113">
        <v>25000</v>
      </c>
      <c r="E455" s="113">
        <f t="shared" si="21"/>
        <v>45384248</v>
      </c>
      <c r="F455" s="113"/>
      <c r="G455" s="113">
        <f t="shared" si="20"/>
        <v>1429500</v>
      </c>
    </row>
    <row r="456" spans="1:7" x14ac:dyDescent="0.25">
      <c r="A456" s="2125">
        <v>43169</v>
      </c>
      <c r="B456" s="57" t="s">
        <v>1734</v>
      </c>
      <c r="C456" s="57" t="s">
        <v>1735</v>
      </c>
      <c r="D456" s="113">
        <v>63000</v>
      </c>
      <c r="E456" s="113">
        <f t="shared" si="21"/>
        <v>45447248</v>
      </c>
      <c r="F456" s="113"/>
      <c r="G456" s="113">
        <f t="shared" si="20"/>
        <v>1492500</v>
      </c>
    </row>
    <row r="457" spans="1:7" x14ac:dyDescent="0.25">
      <c r="A457" s="2125">
        <v>43170</v>
      </c>
      <c r="B457" s="57" t="s">
        <v>1734</v>
      </c>
      <c r="C457" s="57" t="s">
        <v>1736</v>
      </c>
      <c r="D457" s="113">
        <v>60000</v>
      </c>
      <c r="E457" s="113">
        <f t="shared" si="21"/>
        <v>45507248</v>
      </c>
      <c r="F457" s="113"/>
      <c r="G457" s="113">
        <f t="shared" si="20"/>
        <v>1552500</v>
      </c>
    </row>
    <row r="458" spans="1:7" x14ac:dyDescent="0.25">
      <c r="A458" s="2125">
        <v>43170</v>
      </c>
      <c r="B458" s="57" t="s">
        <v>1737</v>
      </c>
      <c r="C458" s="57" t="s">
        <v>1738</v>
      </c>
      <c r="D458" s="113">
        <v>208850</v>
      </c>
      <c r="E458" s="113">
        <f t="shared" si="21"/>
        <v>45716098</v>
      </c>
      <c r="F458" s="113"/>
      <c r="G458" s="113">
        <f t="shared" si="20"/>
        <v>1761350</v>
      </c>
    </row>
    <row r="459" spans="1:7" x14ac:dyDescent="0.25">
      <c r="A459" s="2125">
        <v>43171</v>
      </c>
      <c r="B459" s="57" t="s">
        <v>1737</v>
      </c>
      <c r="C459" s="57" t="s">
        <v>1739</v>
      </c>
      <c r="D459" s="113">
        <v>3000</v>
      </c>
      <c r="E459" s="113">
        <f t="shared" si="21"/>
        <v>45719098</v>
      </c>
      <c r="F459" s="113"/>
      <c r="G459" s="113">
        <f t="shared" si="20"/>
        <v>1764350</v>
      </c>
    </row>
    <row r="460" spans="1:7" x14ac:dyDescent="0.25">
      <c r="A460" s="2125">
        <v>43171</v>
      </c>
      <c r="B460" s="57" t="s">
        <v>1737</v>
      </c>
      <c r="C460" s="57" t="s">
        <v>1740</v>
      </c>
      <c r="D460" s="113">
        <v>38000</v>
      </c>
      <c r="E460" s="113">
        <f t="shared" si="21"/>
        <v>45757098</v>
      </c>
      <c r="F460" s="113"/>
      <c r="G460" s="113">
        <f t="shared" si="20"/>
        <v>1802350</v>
      </c>
    </row>
    <row r="461" spans="1:7" x14ac:dyDescent="0.25">
      <c r="A461" s="2125">
        <v>43171</v>
      </c>
      <c r="B461" s="57" t="s">
        <v>1737</v>
      </c>
      <c r="C461" s="57" t="s">
        <v>1741</v>
      </c>
      <c r="D461" s="113">
        <v>17250</v>
      </c>
      <c r="E461" s="113">
        <f t="shared" si="21"/>
        <v>45774348</v>
      </c>
      <c r="F461" s="113"/>
      <c r="G461" s="113">
        <f t="shared" si="20"/>
        <v>1819600</v>
      </c>
    </row>
    <row r="462" spans="1:7" x14ac:dyDescent="0.25">
      <c r="A462" s="2125">
        <v>43171</v>
      </c>
      <c r="B462" s="57" t="s">
        <v>1742</v>
      </c>
      <c r="C462" s="57" t="s">
        <v>1743</v>
      </c>
      <c r="D462" s="113">
        <v>300600</v>
      </c>
      <c r="E462" s="113">
        <f t="shared" si="21"/>
        <v>46074948</v>
      </c>
      <c r="F462" s="113"/>
      <c r="G462" s="113">
        <f t="shared" si="20"/>
        <v>2120200</v>
      </c>
    </row>
    <row r="463" spans="1:7" x14ac:dyDescent="0.25">
      <c r="A463" s="2125" t="s">
        <v>1744</v>
      </c>
      <c r="B463" s="57" t="s">
        <v>1742</v>
      </c>
      <c r="C463" s="57" t="s">
        <v>1745</v>
      </c>
      <c r="D463" s="113">
        <v>80000</v>
      </c>
      <c r="E463" s="113">
        <f t="shared" si="21"/>
        <v>46154948</v>
      </c>
      <c r="F463" s="113"/>
      <c r="G463" s="113">
        <f t="shared" si="20"/>
        <v>2200200</v>
      </c>
    </row>
    <row r="464" spans="1:7" x14ac:dyDescent="0.25">
      <c r="A464" s="2125" t="s">
        <v>1746</v>
      </c>
      <c r="B464" s="57" t="s">
        <v>1742</v>
      </c>
      <c r="C464" s="57" t="s">
        <v>1747</v>
      </c>
      <c r="D464" s="113">
        <v>12000</v>
      </c>
      <c r="E464" s="113">
        <f t="shared" si="21"/>
        <v>46166948</v>
      </c>
      <c r="F464" s="113"/>
      <c r="G464" s="113">
        <f>+G463+D464-F464</f>
        <v>2212200</v>
      </c>
    </row>
    <row r="465" spans="1:7" x14ac:dyDescent="0.25">
      <c r="A465" s="2125">
        <v>43174</v>
      </c>
      <c r="B465" s="57"/>
      <c r="C465" s="57"/>
      <c r="D465" s="113">
        <v>112000</v>
      </c>
      <c r="E465" s="113">
        <f t="shared" si="21"/>
        <v>46278948</v>
      </c>
      <c r="F465" s="113">
        <v>1328000</v>
      </c>
      <c r="G465" s="113">
        <f>+G464+D465-F465</f>
        <v>996200</v>
      </c>
    </row>
    <row r="466" spans="1:7" x14ac:dyDescent="0.25">
      <c r="A466" s="2125">
        <v>43175</v>
      </c>
      <c r="B466" s="57"/>
      <c r="C466" s="57"/>
      <c r="D466" s="113">
        <v>88800</v>
      </c>
      <c r="E466" s="113">
        <f t="shared" si="21"/>
        <v>46367748</v>
      </c>
      <c r="F466" s="113"/>
      <c r="G466" s="113">
        <f t="shared" si="20"/>
        <v>1085000</v>
      </c>
    </row>
    <row r="467" spans="1:7" x14ac:dyDescent="0.25">
      <c r="A467" s="2125">
        <v>43176</v>
      </c>
      <c r="B467" s="57"/>
      <c r="C467" s="57"/>
      <c r="D467" s="113">
        <v>267500</v>
      </c>
      <c r="E467" s="113">
        <f t="shared" si="21"/>
        <v>46635248</v>
      </c>
      <c r="F467" s="113"/>
      <c r="G467" s="113">
        <f t="shared" si="20"/>
        <v>1352500</v>
      </c>
    </row>
    <row r="468" spans="1:7" x14ac:dyDescent="0.25">
      <c r="A468" s="2125"/>
      <c r="B468" s="57"/>
      <c r="C468" s="57"/>
      <c r="D468" s="113"/>
      <c r="E468" s="113">
        <f t="shared" si="21"/>
        <v>46635248</v>
      </c>
      <c r="F468" s="113"/>
      <c r="G468" s="113">
        <f t="shared" ref="G468:G552" si="22">+G467+D468-F468</f>
        <v>1352500</v>
      </c>
    </row>
    <row r="469" spans="1:7" x14ac:dyDescent="0.25">
      <c r="A469" s="2125">
        <v>43178</v>
      </c>
      <c r="B469" s="57"/>
      <c r="C469" s="57"/>
      <c r="D469" s="113">
        <v>410500</v>
      </c>
      <c r="E469" s="113">
        <f t="shared" si="21"/>
        <v>47045748</v>
      </c>
      <c r="F469" s="113"/>
      <c r="G469" s="113">
        <f t="shared" si="22"/>
        <v>1763000</v>
      </c>
    </row>
    <row r="470" spans="1:7" x14ac:dyDescent="0.25">
      <c r="A470" s="2125">
        <v>43179</v>
      </c>
      <c r="B470" s="57"/>
      <c r="C470" s="57"/>
      <c r="D470" s="113">
        <v>134500</v>
      </c>
      <c r="E470" s="113">
        <f t="shared" si="21"/>
        <v>47180248</v>
      </c>
      <c r="F470" s="113"/>
      <c r="G470" s="113">
        <f t="shared" si="22"/>
        <v>1897500</v>
      </c>
    </row>
    <row r="471" spans="1:7" x14ac:dyDescent="0.25">
      <c r="A471" s="2125">
        <v>43180</v>
      </c>
      <c r="B471" s="57"/>
      <c r="C471" s="57"/>
      <c r="D471" s="113">
        <v>275000</v>
      </c>
      <c r="E471" s="113">
        <f t="shared" si="21"/>
        <v>47455248</v>
      </c>
      <c r="F471" s="113">
        <v>1128000</v>
      </c>
      <c r="G471" s="113">
        <f t="shared" si="22"/>
        <v>1044500</v>
      </c>
    </row>
    <row r="472" spans="1:7" x14ac:dyDescent="0.25">
      <c r="A472" s="2125">
        <v>43181</v>
      </c>
      <c r="B472" s="57"/>
      <c r="C472" s="57"/>
      <c r="D472" s="113">
        <v>22300</v>
      </c>
      <c r="E472" s="113">
        <f t="shared" si="21"/>
        <v>47477548</v>
      </c>
      <c r="F472" s="113"/>
      <c r="G472" s="113">
        <f t="shared" si="22"/>
        <v>1066800</v>
      </c>
    </row>
    <row r="473" spans="1:7" x14ac:dyDescent="0.25">
      <c r="A473" s="2125">
        <v>43182</v>
      </c>
      <c r="B473" s="57" t="s">
        <v>1751</v>
      </c>
      <c r="C473" s="57" t="s">
        <v>1757</v>
      </c>
      <c r="D473" s="113">
        <v>57500</v>
      </c>
      <c r="E473" s="113">
        <f t="shared" si="21"/>
        <v>47535048</v>
      </c>
      <c r="F473" s="113"/>
      <c r="G473" s="113">
        <f t="shared" si="22"/>
        <v>1124300</v>
      </c>
    </row>
    <row r="474" spans="1:7" x14ac:dyDescent="0.25">
      <c r="A474" s="2125">
        <v>43182</v>
      </c>
      <c r="B474" s="57" t="s">
        <v>1751</v>
      </c>
      <c r="C474" s="57" t="s">
        <v>1756</v>
      </c>
      <c r="D474" s="113">
        <v>15000</v>
      </c>
      <c r="E474" s="113">
        <f t="shared" si="21"/>
        <v>47550048</v>
      </c>
      <c r="F474" s="113"/>
      <c r="G474" s="113">
        <f t="shared" si="22"/>
        <v>1139300</v>
      </c>
    </row>
    <row r="475" spans="1:7" x14ac:dyDescent="0.25">
      <c r="A475" s="2125">
        <v>43182</v>
      </c>
      <c r="B475" s="57" t="s">
        <v>1751</v>
      </c>
      <c r="C475" s="57" t="s">
        <v>1755</v>
      </c>
      <c r="D475" s="113">
        <v>100000</v>
      </c>
      <c r="E475" s="113">
        <f t="shared" si="21"/>
        <v>47650048</v>
      </c>
      <c r="F475" s="113"/>
      <c r="G475" s="113">
        <f t="shared" si="22"/>
        <v>1239300</v>
      </c>
    </row>
    <row r="476" spans="1:7" x14ac:dyDescent="0.25">
      <c r="A476" s="2125">
        <v>43182</v>
      </c>
      <c r="B476" s="57" t="s">
        <v>1751</v>
      </c>
      <c r="C476" s="57" t="s">
        <v>1754</v>
      </c>
      <c r="D476" s="113">
        <v>193000</v>
      </c>
      <c r="E476" s="113">
        <f t="shared" si="21"/>
        <v>47843048</v>
      </c>
      <c r="F476" s="113"/>
      <c r="G476" s="113">
        <f t="shared" si="22"/>
        <v>1432300</v>
      </c>
    </row>
    <row r="477" spans="1:7" x14ac:dyDescent="0.25">
      <c r="A477" s="2125">
        <v>43182</v>
      </c>
      <c r="B477" s="57" t="s">
        <v>1751</v>
      </c>
      <c r="C477" s="57" t="s">
        <v>1752</v>
      </c>
      <c r="D477" s="113">
        <v>150000</v>
      </c>
      <c r="E477" s="113">
        <f t="shared" si="21"/>
        <v>47993048</v>
      </c>
      <c r="F477" s="113"/>
      <c r="G477" s="113">
        <f t="shared" si="22"/>
        <v>1582300</v>
      </c>
    </row>
    <row r="478" spans="1:7" x14ac:dyDescent="0.25">
      <c r="A478" s="2125">
        <v>43182</v>
      </c>
      <c r="B478" s="57" t="s">
        <v>1750</v>
      </c>
      <c r="C478" s="57" t="s">
        <v>1753</v>
      </c>
      <c r="D478" s="113">
        <v>30800</v>
      </c>
      <c r="E478" s="113">
        <f t="shared" si="21"/>
        <v>48023848</v>
      </c>
      <c r="F478" s="113"/>
      <c r="G478" s="113">
        <f t="shared" si="22"/>
        <v>1613100</v>
      </c>
    </row>
    <row r="479" spans="1:7" x14ac:dyDescent="0.25">
      <c r="A479" s="2125">
        <v>43183</v>
      </c>
      <c r="B479" s="57"/>
      <c r="C479" s="57"/>
      <c r="D479" s="113">
        <v>26500</v>
      </c>
      <c r="E479" s="113">
        <f t="shared" si="21"/>
        <v>48050348</v>
      </c>
      <c r="F479" s="113"/>
      <c r="G479" s="113">
        <f t="shared" si="22"/>
        <v>1639600</v>
      </c>
    </row>
    <row r="480" spans="1:7" x14ac:dyDescent="0.25">
      <c r="A480" s="2125">
        <v>43184</v>
      </c>
      <c r="B480" s="57"/>
      <c r="C480" s="57"/>
      <c r="D480" s="113">
        <v>245500</v>
      </c>
      <c r="E480" s="113">
        <f t="shared" si="21"/>
        <v>48295848</v>
      </c>
      <c r="F480" s="113"/>
      <c r="G480" s="113">
        <f t="shared" si="22"/>
        <v>1885100</v>
      </c>
    </row>
    <row r="481" spans="1:7" x14ac:dyDescent="0.25">
      <c r="A481" s="2125">
        <v>43185</v>
      </c>
      <c r="B481" s="57"/>
      <c r="C481" s="57"/>
      <c r="D481" s="113">
        <v>161500</v>
      </c>
      <c r="E481" s="113">
        <f t="shared" si="21"/>
        <v>48457348</v>
      </c>
      <c r="F481" s="113"/>
      <c r="G481" s="113">
        <f t="shared" si="22"/>
        <v>2046600</v>
      </c>
    </row>
    <row r="482" spans="1:7" x14ac:dyDescent="0.25">
      <c r="A482" s="2125">
        <v>43186</v>
      </c>
      <c r="B482" s="57"/>
      <c r="C482" s="57"/>
      <c r="D482" s="113">
        <v>69000</v>
      </c>
      <c r="E482" s="113">
        <f t="shared" si="21"/>
        <v>48526348</v>
      </c>
      <c r="F482" s="113">
        <v>1660600</v>
      </c>
      <c r="G482" s="113">
        <f t="shared" si="22"/>
        <v>455000</v>
      </c>
    </row>
    <row r="483" spans="1:7" x14ac:dyDescent="0.25">
      <c r="A483" s="2125">
        <v>43188</v>
      </c>
      <c r="B483" s="57"/>
      <c r="C483" s="57"/>
      <c r="D483" s="113">
        <v>140000</v>
      </c>
      <c r="E483" s="113">
        <f t="shared" si="21"/>
        <v>48666348</v>
      </c>
      <c r="F483" s="113"/>
      <c r="G483" s="113">
        <f t="shared" si="22"/>
        <v>595000</v>
      </c>
    </row>
    <row r="484" spans="1:7" x14ac:dyDescent="0.25">
      <c r="A484" s="2125">
        <v>43189</v>
      </c>
      <c r="B484" s="57"/>
      <c r="C484" s="57"/>
      <c r="D484" s="113">
        <v>5000</v>
      </c>
      <c r="E484" s="113">
        <f t="shared" si="21"/>
        <v>48671348</v>
      </c>
      <c r="F484" s="113"/>
      <c r="G484" s="113">
        <f t="shared" si="22"/>
        <v>600000</v>
      </c>
    </row>
    <row r="485" spans="1:7" x14ac:dyDescent="0.25">
      <c r="A485" s="2125">
        <v>43190</v>
      </c>
      <c r="B485" s="57"/>
      <c r="C485" s="57"/>
      <c r="D485" s="113">
        <v>51000</v>
      </c>
      <c r="E485" s="113">
        <f t="shared" si="21"/>
        <v>48722348</v>
      </c>
      <c r="F485" s="113"/>
      <c r="G485" s="113">
        <f t="shared" si="22"/>
        <v>651000</v>
      </c>
    </row>
    <row r="486" spans="1:7" x14ac:dyDescent="0.25">
      <c r="A486" s="2166"/>
      <c r="B486" s="2167"/>
      <c r="C486" s="2167"/>
      <c r="D486" s="2168"/>
      <c r="E486" s="2168">
        <f t="shared" si="21"/>
        <v>48722348</v>
      </c>
      <c r="F486" s="2168"/>
      <c r="G486" s="2168">
        <f t="shared" si="22"/>
        <v>651000</v>
      </c>
    </row>
    <row r="487" spans="1:7" x14ac:dyDescent="0.25">
      <c r="A487" s="2125">
        <v>43191</v>
      </c>
      <c r="B487" s="57"/>
      <c r="C487" s="57"/>
      <c r="D487" s="113">
        <v>100000</v>
      </c>
      <c r="E487" s="113">
        <f t="shared" si="21"/>
        <v>48822348</v>
      </c>
      <c r="F487" s="113"/>
      <c r="G487" s="113">
        <f>+G486+D487-F487</f>
        <v>751000</v>
      </c>
    </row>
    <row r="488" spans="1:7" x14ac:dyDescent="0.25">
      <c r="A488" s="2125">
        <v>43192</v>
      </c>
      <c r="B488" s="57" t="s">
        <v>1766</v>
      </c>
      <c r="C488" s="57" t="s">
        <v>1768</v>
      </c>
      <c r="D488" s="113">
        <v>58000</v>
      </c>
      <c r="E488" s="113">
        <f t="shared" si="21"/>
        <v>48880348</v>
      </c>
      <c r="F488" s="113"/>
      <c r="G488" s="113">
        <f t="shared" si="22"/>
        <v>809000</v>
      </c>
    </row>
    <row r="489" spans="1:7" x14ac:dyDescent="0.25">
      <c r="A489" s="2125">
        <v>43192</v>
      </c>
      <c r="B489" s="57" t="s">
        <v>1766</v>
      </c>
      <c r="C489" s="57" t="s">
        <v>1767</v>
      </c>
      <c r="D489" s="113">
        <v>58000</v>
      </c>
      <c r="E489" s="113">
        <f t="shared" si="21"/>
        <v>48938348</v>
      </c>
      <c r="F489" s="113"/>
      <c r="G489" s="113">
        <f t="shared" si="22"/>
        <v>867000</v>
      </c>
    </row>
    <row r="490" spans="1:7" x14ac:dyDescent="0.25">
      <c r="A490" s="2125">
        <v>43193</v>
      </c>
      <c r="B490" s="57" t="s">
        <v>1760</v>
      </c>
      <c r="C490" s="57" t="s">
        <v>1761</v>
      </c>
      <c r="D490" s="113">
        <v>149300</v>
      </c>
      <c r="E490" s="113">
        <f t="shared" si="21"/>
        <v>49087648</v>
      </c>
      <c r="F490" s="113"/>
      <c r="G490" s="113">
        <f t="shared" si="22"/>
        <v>1016300</v>
      </c>
    </row>
    <row r="491" spans="1:7" x14ac:dyDescent="0.25">
      <c r="A491" s="2125">
        <v>43193</v>
      </c>
      <c r="B491" s="57" t="s">
        <v>1762</v>
      </c>
      <c r="C491" s="57" t="s">
        <v>1763</v>
      </c>
      <c r="D491" s="113">
        <v>231750</v>
      </c>
      <c r="E491" s="113">
        <f t="shared" si="21"/>
        <v>49319398</v>
      </c>
      <c r="F491" s="113"/>
      <c r="G491" s="113">
        <f t="shared" si="22"/>
        <v>1248050</v>
      </c>
    </row>
    <row r="492" spans="1:7" x14ac:dyDescent="0.25">
      <c r="A492" s="2125">
        <v>43193</v>
      </c>
      <c r="B492" s="57" t="s">
        <v>1762</v>
      </c>
      <c r="C492" s="57" t="s">
        <v>1764</v>
      </c>
      <c r="D492" s="113">
        <v>172500</v>
      </c>
      <c r="E492" s="113">
        <f t="shared" si="21"/>
        <v>49491898</v>
      </c>
      <c r="F492" s="113"/>
      <c r="G492" s="113">
        <f t="shared" si="22"/>
        <v>1420550</v>
      </c>
    </row>
    <row r="493" spans="1:7" x14ac:dyDescent="0.25">
      <c r="A493" s="2125">
        <v>43193</v>
      </c>
      <c r="B493" s="57" t="s">
        <v>1762</v>
      </c>
      <c r="C493" s="57" t="s">
        <v>1765</v>
      </c>
      <c r="D493" s="113">
        <v>17000</v>
      </c>
      <c r="E493" s="113">
        <f t="shared" si="21"/>
        <v>49508898</v>
      </c>
      <c r="F493" s="113"/>
      <c r="G493" s="113">
        <f t="shared" si="22"/>
        <v>1437550</v>
      </c>
    </row>
    <row r="494" spans="1:7" x14ac:dyDescent="0.25">
      <c r="A494" s="2125">
        <v>43194</v>
      </c>
      <c r="B494" s="57" t="s">
        <v>1760</v>
      </c>
      <c r="C494" s="57" t="s">
        <v>1769</v>
      </c>
      <c r="D494" s="113">
        <v>5000</v>
      </c>
      <c r="E494" s="113">
        <f t="shared" si="21"/>
        <v>49513898</v>
      </c>
      <c r="F494" s="113"/>
      <c r="G494" s="113">
        <f t="shared" si="22"/>
        <v>1442550</v>
      </c>
    </row>
    <row r="495" spans="1:7" x14ac:dyDescent="0.25">
      <c r="A495" s="2125">
        <v>43194</v>
      </c>
      <c r="B495" s="57" t="s">
        <v>1760</v>
      </c>
      <c r="C495" s="57" t="s">
        <v>1770</v>
      </c>
      <c r="D495" s="113">
        <v>5000</v>
      </c>
      <c r="E495" s="113">
        <f t="shared" si="21"/>
        <v>49518898</v>
      </c>
      <c r="F495" s="113"/>
      <c r="G495" s="113">
        <f t="shared" si="22"/>
        <v>1447550</v>
      </c>
    </row>
    <row r="496" spans="1:7" x14ac:dyDescent="0.25">
      <c r="A496" s="2125">
        <v>43194</v>
      </c>
      <c r="B496" s="57" t="s">
        <v>1760</v>
      </c>
      <c r="C496" s="57" t="s">
        <v>1771</v>
      </c>
      <c r="D496" s="113">
        <v>72000</v>
      </c>
      <c r="E496" s="113">
        <f t="shared" si="21"/>
        <v>49590898</v>
      </c>
      <c r="F496" s="113"/>
      <c r="G496" s="113">
        <f t="shared" si="22"/>
        <v>1519550</v>
      </c>
    </row>
    <row r="497" spans="1:7" x14ac:dyDescent="0.25">
      <c r="A497" s="2125">
        <v>43195</v>
      </c>
      <c r="B497" s="57" t="s">
        <v>1772</v>
      </c>
      <c r="C497" s="57" t="s">
        <v>1773</v>
      </c>
      <c r="D497" s="113">
        <v>58000</v>
      </c>
      <c r="E497" s="113">
        <f t="shared" si="21"/>
        <v>49648898</v>
      </c>
      <c r="F497" s="113"/>
      <c r="G497" s="113">
        <f t="shared" si="22"/>
        <v>1577550</v>
      </c>
    </row>
    <row r="498" spans="1:7" x14ac:dyDescent="0.25">
      <c r="A498" s="2125">
        <v>43195</v>
      </c>
      <c r="B498" s="57" t="s">
        <v>1772</v>
      </c>
      <c r="C498" s="57" t="s">
        <v>1774</v>
      </c>
      <c r="D498" s="113">
        <v>252500</v>
      </c>
      <c r="E498" s="113">
        <f t="shared" si="21"/>
        <v>49901398</v>
      </c>
      <c r="F498" s="113"/>
      <c r="G498" s="113">
        <f t="shared" si="22"/>
        <v>1830050</v>
      </c>
    </row>
    <row r="499" spans="1:7" x14ac:dyDescent="0.25">
      <c r="A499" s="2125">
        <v>43195</v>
      </c>
      <c r="B499" s="57" t="s">
        <v>1772</v>
      </c>
      <c r="C499" s="57" t="s">
        <v>1775</v>
      </c>
      <c r="D499" s="113">
        <v>11500</v>
      </c>
      <c r="E499" s="113">
        <f t="shared" si="21"/>
        <v>49912898</v>
      </c>
      <c r="F499" s="113"/>
      <c r="G499" s="113">
        <f t="shared" si="22"/>
        <v>1841550</v>
      </c>
    </row>
    <row r="500" spans="1:7" x14ac:dyDescent="0.25">
      <c r="A500" s="2125">
        <v>43195</v>
      </c>
      <c r="B500" s="57" t="s">
        <v>1772</v>
      </c>
      <c r="C500" s="57" t="s">
        <v>1776</v>
      </c>
      <c r="D500" s="113">
        <v>11500</v>
      </c>
      <c r="E500" s="113">
        <f t="shared" si="21"/>
        <v>49924398</v>
      </c>
      <c r="F500" s="113"/>
      <c r="G500" s="113">
        <f t="shared" si="22"/>
        <v>1853050</v>
      </c>
    </row>
    <row r="501" spans="1:7" x14ac:dyDescent="0.25">
      <c r="A501" s="2125">
        <v>43195</v>
      </c>
      <c r="B501" s="57" t="s">
        <v>1772</v>
      </c>
      <c r="C501" s="57" t="s">
        <v>1777</v>
      </c>
      <c r="D501" s="113">
        <v>70000</v>
      </c>
      <c r="E501" s="113">
        <f t="shared" si="21"/>
        <v>49994398</v>
      </c>
      <c r="F501" s="113"/>
      <c r="G501" s="113">
        <f t="shared" si="22"/>
        <v>1923050</v>
      </c>
    </row>
    <row r="502" spans="1:7" x14ac:dyDescent="0.25">
      <c r="A502" s="2125">
        <v>43195</v>
      </c>
      <c r="B502" s="57" t="s">
        <v>1778</v>
      </c>
      <c r="C502" s="57" t="s">
        <v>1779</v>
      </c>
      <c r="D502" s="113">
        <v>172500</v>
      </c>
      <c r="E502" s="113">
        <f t="shared" si="21"/>
        <v>50166898</v>
      </c>
      <c r="F502" s="113"/>
      <c r="G502" s="113">
        <f t="shared" si="22"/>
        <v>2095550</v>
      </c>
    </row>
    <row r="503" spans="1:7" x14ac:dyDescent="0.25">
      <c r="A503" s="2125">
        <v>43195</v>
      </c>
      <c r="B503" s="57" t="s">
        <v>1780</v>
      </c>
      <c r="C503" s="57" t="s">
        <v>1781</v>
      </c>
      <c r="D503" s="113">
        <v>50000</v>
      </c>
      <c r="E503" s="113">
        <f t="shared" si="21"/>
        <v>50216898</v>
      </c>
      <c r="F503" s="113"/>
      <c r="G503" s="113">
        <f t="shared" si="22"/>
        <v>2145550</v>
      </c>
    </row>
    <row r="504" spans="1:7" x14ac:dyDescent="0.25">
      <c r="A504" s="2125">
        <v>43195</v>
      </c>
      <c r="B504" s="57" t="s">
        <v>1778</v>
      </c>
      <c r="C504" s="57" t="s">
        <v>1782</v>
      </c>
      <c r="D504" s="113">
        <v>70000</v>
      </c>
      <c r="E504" s="113">
        <f t="shared" si="21"/>
        <v>50286898</v>
      </c>
      <c r="F504" s="113"/>
      <c r="G504" s="113">
        <f t="shared" si="22"/>
        <v>2215550</v>
      </c>
    </row>
    <row r="505" spans="1:7" x14ac:dyDescent="0.25">
      <c r="A505" s="2125">
        <v>43196</v>
      </c>
      <c r="B505" s="57" t="s">
        <v>1783</v>
      </c>
      <c r="C505" s="57" t="s">
        <v>1784</v>
      </c>
      <c r="D505" s="113">
        <v>201250</v>
      </c>
      <c r="E505" s="113">
        <f t="shared" si="21"/>
        <v>50488148</v>
      </c>
      <c r="F505" s="113">
        <v>526500</v>
      </c>
      <c r="G505" s="113">
        <f t="shared" si="22"/>
        <v>1890300</v>
      </c>
    </row>
    <row r="506" spans="1:7" x14ac:dyDescent="0.25">
      <c r="A506" s="2125">
        <v>43197</v>
      </c>
      <c r="B506" s="57" t="s">
        <v>1783</v>
      </c>
      <c r="C506" s="57" t="s">
        <v>1785</v>
      </c>
      <c r="D506" s="113">
        <v>25000</v>
      </c>
      <c r="E506" s="113">
        <f t="shared" si="21"/>
        <v>50513148</v>
      </c>
      <c r="F506" s="113"/>
      <c r="G506" s="113">
        <f t="shared" si="22"/>
        <v>1915300</v>
      </c>
    </row>
    <row r="507" spans="1:7" x14ac:dyDescent="0.25">
      <c r="A507" s="2125">
        <v>43197</v>
      </c>
      <c r="B507" s="57" t="s">
        <v>1783</v>
      </c>
      <c r="C507" s="57" t="s">
        <v>1786</v>
      </c>
      <c r="D507" s="113">
        <v>10000</v>
      </c>
      <c r="E507" s="113">
        <f t="shared" si="21"/>
        <v>50523148</v>
      </c>
      <c r="F507" s="113"/>
      <c r="G507" s="113">
        <f t="shared" si="22"/>
        <v>1925300</v>
      </c>
    </row>
    <row r="508" spans="1:7" x14ac:dyDescent="0.25">
      <c r="A508" s="2125">
        <v>43198</v>
      </c>
      <c r="B508" s="57" t="s">
        <v>1788</v>
      </c>
      <c r="C508" s="57" t="s">
        <v>1789</v>
      </c>
      <c r="D508" s="113">
        <v>10000</v>
      </c>
      <c r="E508" s="113">
        <f t="shared" si="21"/>
        <v>50533148</v>
      </c>
      <c r="F508" s="113"/>
      <c r="G508" s="113">
        <f t="shared" si="22"/>
        <v>1935300</v>
      </c>
    </row>
    <row r="509" spans="1:7" x14ac:dyDescent="0.25">
      <c r="A509" s="2125">
        <v>43199</v>
      </c>
      <c r="B509" s="57" t="s">
        <v>1790</v>
      </c>
      <c r="C509" s="57" t="s">
        <v>1791</v>
      </c>
      <c r="D509" s="113">
        <v>25000</v>
      </c>
      <c r="E509" s="113">
        <f t="shared" si="21"/>
        <v>50558148</v>
      </c>
      <c r="F509" s="113"/>
      <c r="G509" s="113">
        <f t="shared" si="22"/>
        <v>1960300</v>
      </c>
    </row>
    <row r="510" spans="1:7" x14ac:dyDescent="0.25">
      <c r="A510" s="2125">
        <v>43199</v>
      </c>
      <c r="B510" s="57" t="s">
        <v>1790</v>
      </c>
      <c r="C510" s="57" t="s">
        <v>1792</v>
      </c>
      <c r="D510" s="113">
        <v>30000</v>
      </c>
      <c r="E510" s="113">
        <f t="shared" si="21"/>
        <v>50588148</v>
      </c>
      <c r="F510" s="113"/>
      <c r="G510" s="113">
        <f t="shared" si="22"/>
        <v>1990300</v>
      </c>
    </row>
    <row r="511" spans="1:7" x14ac:dyDescent="0.25">
      <c r="A511" s="2125">
        <v>43199</v>
      </c>
      <c r="B511" s="57" t="s">
        <v>1790</v>
      </c>
      <c r="C511" s="57" t="s">
        <v>1793</v>
      </c>
      <c r="D511" s="113">
        <v>25000</v>
      </c>
      <c r="E511" s="113">
        <f t="shared" si="21"/>
        <v>50613148</v>
      </c>
      <c r="F511" s="113"/>
      <c r="G511" s="113">
        <f t="shared" si="22"/>
        <v>2015300</v>
      </c>
    </row>
    <row r="512" spans="1:7" x14ac:dyDescent="0.25">
      <c r="A512" s="2125">
        <v>43199</v>
      </c>
      <c r="B512" s="57" t="s">
        <v>1790</v>
      </c>
      <c r="C512" s="57" t="s">
        <v>1794</v>
      </c>
      <c r="D512" s="113">
        <v>8625</v>
      </c>
      <c r="E512" s="113">
        <f t="shared" si="21"/>
        <v>50621773</v>
      </c>
      <c r="F512" s="113"/>
      <c r="G512" s="113">
        <f t="shared" si="22"/>
        <v>2023925</v>
      </c>
    </row>
    <row r="513" spans="1:7" x14ac:dyDescent="0.25">
      <c r="A513" s="2125">
        <v>43199</v>
      </c>
      <c r="B513" s="57" t="s">
        <v>1790</v>
      </c>
      <c r="C513" s="57" t="s">
        <v>1795</v>
      </c>
      <c r="D513" s="113">
        <v>70000</v>
      </c>
      <c r="E513" s="113">
        <f t="shared" si="21"/>
        <v>50691773</v>
      </c>
      <c r="F513" s="113"/>
      <c r="G513" s="113">
        <f t="shared" si="22"/>
        <v>2093925</v>
      </c>
    </row>
    <row r="514" spans="1:7" x14ac:dyDescent="0.25">
      <c r="A514" s="2125">
        <v>43200</v>
      </c>
      <c r="B514" s="57" t="s">
        <v>1796</v>
      </c>
      <c r="C514" s="57" t="s">
        <v>1797</v>
      </c>
      <c r="D514" s="113">
        <v>200000</v>
      </c>
      <c r="E514" s="113">
        <f t="shared" si="21"/>
        <v>50891773</v>
      </c>
      <c r="F514" s="113"/>
      <c r="G514" s="113">
        <f t="shared" si="22"/>
        <v>2293925</v>
      </c>
    </row>
    <row r="515" spans="1:7" x14ac:dyDescent="0.25">
      <c r="A515" s="2125">
        <v>43200</v>
      </c>
      <c r="B515" s="57" t="s">
        <v>1796</v>
      </c>
      <c r="C515" s="57" t="s">
        <v>1798</v>
      </c>
      <c r="D515" s="113">
        <v>10000</v>
      </c>
      <c r="E515" s="113">
        <f t="shared" si="21"/>
        <v>50901773</v>
      </c>
      <c r="F515" s="113"/>
      <c r="G515" s="113">
        <f t="shared" si="22"/>
        <v>2303925</v>
      </c>
    </row>
    <row r="516" spans="1:7" x14ac:dyDescent="0.25">
      <c r="A516" s="2125">
        <v>43200</v>
      </c>
      <c r="B516" s="57" t="s">
        <v>1796</v>
      </c>
      <c r="C516" s="57" t="s">
        <v>1799</v>
      </c>
      <c r="D516" s="113">
        <v>50000</v>
      </c>
      <c r="E516" s="113">
        <f t="shared" si="21"/>
        <v>50951773</v>
      </c>
      <c r="F516" s="113"/>
      <c r="G516" s="113">
        <f t="shared" si="22"/>
        <v>2353925</v>
      </c>
    </row>
    <row r="517" spans="1:7" x14ac:dyDescent="0.25">
      <c r="A517" s="2125">
        <v>43200</v>
      </c>
      <c r="B517" s="57" t="s">
        <v>1796</v>
      </c>
      <c r="C517" s="57" t="s">
        <v>1800</v>
      </c>
      <c r="D517" s="113">
        <v>63000</v>
      </c>
      <c r="E517" s="113">
        <f t="shared" si="21"/>
        <v>51014773</v>
      </c>
      <c r="F517" s="113"/>
      <c r="G517" s="113">
        <f t="shared" si="22"/>
        <v>2416925</v>
      </c>
    </row>
    <row r="518" spans="1:7" x14ac:dyDescent="0.25">
      <c r="A518" s="2125">
        <v>43200</v>
      </c>
      <c r="B518" s="57" t="s">
        <v>1801</v>
      </c>
      <c r="C518" s="57" t="s">
        <v>1802</v>
      </c>
      <c r="D518" s="113">
        <v>95000</v>
      </c>
      <c r="E518" s="113">
        <f t="shared" si="21"/>
        <v>51109773</v>
      </c>
      <c r="F518" s="113"/>
      <c r="G518" s="113">
        <f t="shared" si="22"/>
        <v>2511925</v>
      </c>
    </row>
    <row r="519" spans="1:7" x14ac:dyDescent="0.25">
      <c r="A519" s="2125">
        <v>43201</v>
      </c>
      <c r="B519" s="57"/>
      <c r="C519" s="57"/>
      <c r="D519" s="113">
        <v>97000</v>
      </c>
      <c r="E519" s="113">
        <f t="shared" si="21"/>
        <v>51206773</v>
      </c>
      <c r="F519" s="113">
        <v>1710800</v>
      </c>
      <c r="G519" s="113">
        <f t="shared" si="22"/>
        <v>898125</v>
      </c>
    </row>
    <row r="520" spans="1:7" x14ac:dyDescent="0.25">
      <c r="A520" s="2125">
        <v>43202</v>
      </c>
      <c r="B520" s="57"/>
      <c r="C520" s="57"/>
      <c r="D520" s="113">
        <v>91500</v>
      </c>
      <c r="E520" s="113">
        <f t="shared" si="21"/>
        <v>51298273</v>
      </c>
      <c r="F520" s="113"/>
      <c r="G520" s="113">
        <f t="shared" si="22"/>
        <v>989625</v>
      </c>
    </row>
    <row r="521" spans="1:7" x14ac:dyDescent="0.25">
      <c r="A521" s="2125">
        <v>43203</v>
      </c>
      <c r="B521" s="57"/>
      <c r="C521" s="57"/>
      <c r="D521" s="113">
        <v>33700</v>
      </c>
      <c r="E521" s="113">
        <f t="shared" si="21"/>
        <v>51331973</v>
      </c>
      <c r="F521" s="113"/>
      <c r="G521" s="113">
        <f t="shared" si="22"/>
        <v>1023325</v>
      </c>
    </row>
    <row r="522" spans="1:7" x14ac:dyDescent="0.25">
      <c r="A522" s="2125">
        <v>43204</v>
      </c>
      <c r="B522" s="57" t="s">
        <v>1804</v>
      </c>
      <c r="C522" s="57" t="s">
        <v>1805</v>
      </c>
      <c r="D522" s="113">
        <v>70000</v>
      </c>
      <c r="E522" s="113">
        <f t="shared" si="21"/>
        <v>51401973</v>
      </c>
      <c r="F522" s="113"/>
      <c r="G522" s="113">
        <f t="shared" si="22"/>
        <v>1093325</v>
      </c>
    </row>
    <row r="523" spans="1:7" x14ac:dyDescent="0.25">
      <c r="A523" s="2125">
        <v>43204</v>
      </c>
      <c r="B523" s="57" t="s">
        <v>1804</v>
      </c>
      <c r="C523" s="57" t="s">
        <v>1806</v>
      </c>
      <c r="D523" s="113">
        <v>70000</v>
      </c>
      <c r="E523" s="113">
        <f t="shared" si="21"/>
        <v>51471973</v>
      </c>
      <c r="F523" s="113"/>
      <c r="G523" s="113">
        <f t="shared" si="22"/>
        <v>1163325</v>
      </c>
    </row>
    <row r="524" spans="1:7" x14ac:dyDescent="0.25">
      <c r="A524" s="2125">
        <v>43204</v>
      </c>
      <c r="B524" s="57" t="s">
        <v>1804</v>
      </c>
      <c r="C524" s="57" t="s">
        <v>1807</v>
      </c>
      <c r="D524" s="113">
        <v>184000</v>
      </c>
      <c r="E524" s="113">
        <f t="shared" si="21"/>
        <v>51655973</v>
      </c>
      <c r="F524" s="113"/>
      <c r="G524" s="113">
        <f t="shared" si="22"/>
        <v>1347325</v>
      </c>
    </row>
    <row r="525" spans="1:7" x14ac:dyDescent="0.25">
      <c r="A525" s="2125">
        <v>43204</v>
      </c>
      <c r="B525" s="57" t="s">
        <v>1808</v>
      </c>
      <c r="C525" s="57" t="s">
        <v>1809</v>
      </c>
      <c r="D525" s="113">
        <v>115000</v>
      </c>
      <c r="E525" s="113">
        <f t="shared" si="21"/>
        <v>51770973</v>
      </c>
      <c r="F525" s="113"/>
      <c r="G525" s="113">
        <f t="shared" si="22"/>
        <v>1462325</v>
      </c>
    </row>
    <row r="526" spans="1:7" x14ac:dyDescent="0.25">
      <c r="A526" s="2125">
        <v>43204</v>
      </c>
      <c r="B526" s="57" t="s">
        <v>1808</v>
      </c>
      <c r="C526" s="57" t="s">
        <v>1810</v>
      </c>
      <c r="D526" s="113">
        <v>205000</v>
      </c>
      <c r="E526" s="113">
        <f t="shared" si="21"/>
        <v>51975973</v>
      </c>
      <c r="F526" s="113"/>
      <c r="G526" s="113">
        <f t="shared" si="22"/>
        <v>1667325</v>
      </c>
    </row>
    <row r="527" spans="1:7" x14ac:dyDescent="0.25">
      <c r="A527" s="2125">
        <v>43205</v>
      </c>
      <c r="B527" s="57"/>
      <c r="C527" s="57"/>
      <c r="D527" s="113">
        <v>250000</v>
      </c>
      <c r="E527" s="113">
        <f t="shared" si="21"/>
        <v>52225973</v>
      </c>
      <c r="F527" s="113"/>
      <c r="G527" s="113">
        <f t="shared" si="22"/>
        <v>1917325</v>
      </c>
    </row>
    <row r="528" spans="1:7" x14ac:dyDescent="0.25">
      <c r="A528" s="2125">
        <v>43206</v>
      </c>
      <c r="B528" s="57"/>
      <c r="C528" s="57"/>
      <c r="D528" s="113">
        <v>7000</v>
      </c>
      <c r="E528" s="113">
        <f t="shared" si="21"/>
        <v>52232973</v>
      </c>
      <c r="F528" s="113"/>
      <c r="G528" s="113">
        <f t="shared" si="22"/>
        <v>1924325</v>
      </c>
    </row>
    <row r="529" spans="1:7" x14ac:dyDescent="0.25">
      <c r="A529" s="2125">
        <v>43207</v>
      </c>
      <c r="B529" s="57"/>
      <c r="C529" s="57"/>
      <c r="D529" s="113">
        <v>420700</v>
      </c>
      <c r="E529" s="113">
        <f t="shared" si="21"/>
        <v>52653673</v>
      </c>
      <c r="F529" s="113"/>
      <c r="G529" s="113">
        <f t="shared" si="22"/>
        <v>2345025</v>
      </c>
    </row>
    <row r="530" spans="1:7" x14ac:dyDescent="0.25">
      <c r="A530" s="2125">
        <v>43208</v>
      </c>
      <c r="B530" s="57"/>
      <c r="C530" s="57"/>
      <c r="D530" s="113">
        <v>128000</v>
      </c>
      <c r="E530" s="113">
        <f t="shared" si="21"/>
        <v>52781673</v>
      </c>
      <c r="F530" s="113">
        <v>1692825</v>
      </c>
      <c r="G530" s="113">
        <f t="shared" si="22"/>
        <v>780200</v>
      </c>
    </row>
    <row r="531" spans="1:7" x14ac:dyDescent="0.25">
      <c r="A531" s="2125">
        <v>43209</v>
      </c>
      <c r="B531" s="57"/>
      <c r="C531" s="57"/>
      <c r="D531" s="113">
        <v>407500</v>
      </c>
      <c r="E531" s="113">
        <f t="shared" si="21"/>
        <v>53189173</v>
      </c>
      <c r="F531" s="113"/>
      <c r="G531" s="113">
        <f t="shared" si="22"/>
        <v>1187700</v>
      </c>
    </row>
    <row r="532" spans="1:7" x14ac:dyDescent="0.25">
      <c r="A532" s="2125"/>
      <c r="B532" s="57"/>
      <c r="C532" s="57"/>
      <c r="D532" s="113">
        <v>10000</v>
      </c>
      <c r="E532" s="113">
        <f t="shared" si="21"/>
        <v>53199173</v>
      </c>
      <c r="F532" s="113"/>
      <c r="G532" s="113">
        <f t="shared" si="22"/>
        <v>1197700</v>
      </c>
    </row>
    <row r="533" spans="1:7" x14ac:dyDescent="0.25">
      <c r="A533" s="2125">
        <v>43211</v>
      </c>
      <c r="B533" s="57"/>
      <c r="C533" s="57"/>
      <c r="D533" s="113">
        <v>610000</v>
      </c>
      <c r="E533" s="113">
        <f t="shared" si="21"/>
        <v>53809173</v>
      </c>
      <c r="F533" s="113"/>
      <c r="G533" s="113">
        <f t="shared" si="22"/>
        <v>1807700</v>
      </c>
    </row>
    <row r="534" spans="1:7" x14ac:dyDescent="0.25">
      <c r="A534" s="2125">
        <v>43212</v>
      </c>
      <c r="B534" s="57"/>
      <c r="C534" s="57"/>
      <c r="D534" s="113">
        <v>285775</v>
      </c>
      <c r="E534" s="113">
        <f t="shared" si="21"/>
        <v>54094948</v>
      </c>
      <c r="F534" s="113"/>
      <c r="G534" s="113">
        <f t="shared" si="22"/>
        <v>2093475</v>
      </c>
    </row>
    <row r="535" spans="1:7" x14ac:dyDescent="0.25">
      <c r="A535" s="2125">
        <v>43213</v>
      </c>
      <c r="B535" s="57"/>
      <c r="C535" s="57"/>
      <c r="D535" s="113">
        <v>105000</v>
      </c>
      <c r="E535" s="113">
        <f t="shared" si="21"/>
        <v>54199948</v>
      </c>
      <c r="F535" s="113"/>
      <c r="G535" s="113">
        <f t="shared" si="22"/>
        <v>2198475</v>
      </c>
    </row>
    <row r="536" spans="1:7" x14ac:dyDescent="0.25">
      <c r="A536" s="2125">
        <v>43214</v>
      </c>
      <c r="B536" s="57"/>
      <c r="C536" s="57"/>
      <c r="D536" s="113">
        <v>20000</v>
      </c>
      <c r="E536" s="113">
        <f t="shared" si="21"/>
        <v>54219948</v>
      </c>
      <c r="F536" s="113"/>
      <c r="G536" s="113">
        <f t="shared" si="22"/>
        <v>2218475</v>
      </c>
    </row>
    <row r="537" spans="1:7" x14ac:dyDescent="0.25">
      <c r="A537" s="2125">
        <v>43215</v>
      </c>
      <c r="B537" s="57"/>
      <c r="C537" s="57"/>
      <c r="D537" s="113">
        <v>600000</v>
      </c>
      <c r="E537" s="113">
        <f t="shared" si="21"/>
        <v>54819948</v>
      </c>
      <c r="F537" s="113"/>
      <c r="G537" s="113">
        <f t="shared" si="22"/>
        <v>2818475</v>
      </c>
    </row>
    <row r="538" spans="1:7" x14ac:dyDescent="0.25">
      <c r="A538" s="2125">
        <v>43216</v>
      </c>
      <c r="B538" s="57"/>
      <c r="C538" s="57"/>
      <c r="D538" s="113">
        <v>155500</v>
      </c>
      <c r="E538" s="113">
        <f t="shared" si="21"/>
        <v>54975448</v>
      </c>
      <c r="F538" s="113"/>
      <c r="G538" s="113">
        <f t="shared" si="22"/>
        <v>2973975</v>
      </c>
    </row>
    <row r="539" spans="1:7" x14ac:dyDescent="0.25">
      <c r="A539" s="2125">
        <v>43219</v>
      </c>
      <c r="B539" s="57"/>
      <c r="C539" s="57"/>
      <c r="D539" s="113">
        <v>164500</v>
      </c>
      <c r="E539" s="113">
        <f t="shared" si="21"/>
        <v>55139948</v>
      </c>
      <c r="F539" s="113"/>
      <c r="G539" s="113">
        <f t="shared" si="22"/>
        <v>3138475</v>
      </c>
    </row>
    <row r="540" spans="1:7" x14ac:dyDescent="0.25">
      <c r="A540" s="2125">
        <v>43220</v>
      </c>
      <c r="B540" s="57"/>
      <c r="C540" s="57"/>
      <c r="D540" s="113">
        <v>3500</v>
      </c>
      <c r="E540" s="113">
        <f t="shared" si="21"/>
        <v>55143448</v>
      </c>
      <c r="F540" s="113"/>
      <c r="G540" s="113">
        <f t="shared" si="22"/>
        <v>3141975</v>
      </c>
    </row>
    <row r="541" spans="1:7" x14ac:dyDescent="0.25">
      <c r="A541" s="2125">
        <v>43220</v>
      </c>
      <c r="B541" s="57"/>
      <c r="C541" s="57"/>
      <c r="D541" s="113">
        <v>8000</v>
      </c>
      <c r="E541" s="113">
        <f t="shared" si="21"/>
        <v>55151448</v>
      </c>
      <c r="F541" s="113">
        <v>1868975</v>
      </c>
      <c r="G541" s="113">
        <f t="shared" si="22"/>
        <v>1281000</v>
      </c>
    </row>
    <row r="542" spans="1:7" x14ac:dyDescent="0.25">
      <c r="A542" s="2125"/>
      <c r="B542" s="57"/>
      <c r="C542" s="57"/>
      <c r="D542" s="113"/>
      <c r="E542" s="113">
        <f t="shared" si="21"/>
        <v>55151448</v>
      </c>
      <c r="F542" s="113"/>
      <c r="G542" s="113">
        <f t="shared" si="22"/>
        <v>1281000</v>
      </c>
    </row>
    <row r="543" spans="1:7" x14ac:dyDescent="0.25">
      <c r="A543" s="2125">
        <v>43221</v>
      </c>
      <c r="B543" s="57"/>
      <c r="C543" s="57"/>
      <c r="D543" s="113">
        <v>11500</v>
      </c>
      <c r="E543" s="113">
        <f t="shared" si="21"/>
        <v>55162948</v>
      </c>
      <c r="F543" s="113"/>
      <c r="G543" s="113">
        <f t="shared" si="22"/>
        <v>1292500</v>
      </c>
    </row>
    <row r="544" spans="1:7" x14ac:dyDescent="0.25">
      <c r="A544" s="2125"/>
      <c r="B544" s="57"/>
      <c r="C544" s="57"/>
      <c r="D544" s="113">
        <v>12000</v>
      </c>
      <c r="E544" s="113">
        <f t="shared" si="21"/>
        <v>55174948</v>
      </c>
      <c r="F544" s="113"/>
      <c r="G544" s="113">
        <f t="shared" si="22"/>
        <v>1304500</v>
      </c>
    </row>
    <row r="545" spans="1:7" x14ac:dyDescent="0.25">
      <c r="A545" s="2125"/>
      <c r="B545" s="57"/>
      <c r="C545" s="57"/>
      <c r="D545" s="113">
        <v>300000</v>
      </c>
      <c r="E545" s="113">
        <f t="shared" si="21"/>
        <v>55474948</v>
      </c>
      <c r="F545" s="113"/>
      <c r="G545" s="113">
        <f t="shared" si="22"/>
        <v>1604500</v>
      </c>
    </row>
    <row r="546" spans="1:7" x14ac:dyDescent="0.25">
      <c r="A546" s="2125"/>
      <c r="B546" s="57"/>
      <c r="C546" s="57"/>
      <c r="D546" s="113">
        <v>10000</v>
      </c>
      <c r="E546" s="113">
        <f t="shared" si="21"/>
        <v>55484948</v>
      </c>
      <c r="F546" s="113"/>
      <c r="G546" s="113">
        <f t="shared" si="22"/>
        <v>1614500</v>
      </c>
    </row>
    <row r="547" spans="1:7" x14ac:dyDescent="0.25">
      <c r="A547" s="2125"/>
      <c r="B547" s="57"/>
      <c r="C547" s="57"/>
      <c r="D547" s="113">
        <v>22000</v>
      </c>
      <c r="E547" s="113">
        <f t="shared" si="21"/>
        <v>55506948</v>
      </c>
      <c r="F547" s="113"/>
      <c r="G547" s="113">
        <f t="shared" si="22"/>
        <v>1636500</v>
      </c>
    </row>
    <row r="548" spans="1:7" x14ac:dyDescent="0.25">
      <c r="A548" s="2125">
        <v>43223</v>
      </c>
      <c r="B548" s="57"/>
      <c r="C548" s="57"/>
      <c r="D548" s="113">
        <v>338300</v>
      </c>
      <c r="E548" s="113">
        <f t="shared" si="21"/>
        <v>55845248</v>
      </c>
      <c r="F548" s="113"/>
      <c r="G548" s="113">
        <f t="shared" si="22"/>
        <v>1974800</v>
      </c>
    </row>
    <row r="549" spans="1:7" x14ac:dyDescent="0.25">
      <c r="A549" s="2125">
        <v>43224</v>
      </c>
      <c r="B549" s="57"/>
      <c r="C549" s="57"/>
      <c r="D549" s="113">
        <v>621250</v>
      </c>
      <c r="E549" s="113">
        <f t="shared" si="21"/>
        <v>56466498</v>
      </c>
      <c r="F549" s="113">
        <v>1045000</v>
      </c>
      <c r="G549" s="113">
        <f t="shared" si="22"/>
        <v>1551050</v>
      </c>
    </row>
    <row r="550" spans="1:7" x14ac:dyDescent="0.25">
      <c r="A550" s="2125">
        <v>43225</v>
      </c>
      <c r="B550" s="57"/>
      <c r="C550" s="57"/>
      <c r="D550" s="113">
        <v>220000</v>
      </c>
      <c r="E550" s="113">
        <f t="shared" si="21"/>
        <v>56686498</v>
      </c>
      <c r="F550" s="113"/>
      <c r="G550" s="113">
        <f t="shared" si="22"/>
        <v>1771050</v>
      </c>
    </row>
    <row r="551" spans="1:7" x14ac:dyDescent="0.25">
      <c r="A551" s="2125">
        <v>43226</v>
      </c>
      <c r="B551" s="57"/>
      <c r="C551" s="57"/>
      <c r="D551" s="113">
        <v>205000</v>
      </c>
      <c r="E551" s="113">
        <f t="shared" si="21"/>
        <v>56891498</v>
      </c>
      <c r="F551" s="113"/>
      <c r="G551" s="113">
        <f t="shared" si="22"/>
        <v>1976050</v>
      </c>
    </row>
    <row r="552" spans="1:7" x14ac:dyDescent="0.25">
      <c r="A552" s="2125">
        <v>43227</v>
      </c>
      <c r="B552" s="57"/>
      <c r="C552" s="57"/>
      <c r="D552" s="113">
        <v>40000</v>
      </c>
      <c r="E552" s="113">
        <f t="shared" ref="E552:E571" si="23">+E551+D552</f>
        <v>56931498</v>
      </c>
      <c r="F552" s="113"/>
      <c r="G552" s="113">
        <f t="shared" si="22"/>
        <v>2016050</v>
      </c>
    </row>
    <row r="553" spans="1:7" x14ac:dyDescent="0.25">
      <c r="A553" s="2125">
        <v>43228</v>
      </c>
      <c r="B553" s="57"/>
      <c r="C553" s="57"/>
      <c r="D553" s="113">
        <v>5000</v>
      </c>
      <c r="E553" s="113">
        <f t="shared" si="23"/>
        <v>56936498</v>
      </c>
      <c r="F553" s="113"/>
      <c r="G553" s="113">
        <f t="shared" ref="G553:G571" si="24">+G552+D553-F553</f>
        <v>2021050</v>
      </c>
    </row>
    <row r="554" spans="1:7" x14ac:dyDescent="0.25">
      <c r="A554" s="2125">
        <v>43228</v>
      </c>
      <c r="B554" s="57"/>
      <c r="C554" s="57"/>
      <c r="D554" s="113">
        <v>191000</v>
      </c>
      <c r="E554" s="113">
        <f t="shared" si="23"/>
        <v>57127498</v>
      </c>
      <c r="F554" s="113"/>
      <c r="G554" s="113">
        <f t="shared" si="24"/>
        <v>2212050</v>
      </c>
    </row>
    <row r="555" spans="1:7" x14ac:dyDescent="0.25">
      <c r="A555" s="2125">
        <v>43228</v>
      </c>
      <c r="B555" s="57"/>
      <c r="C555" s="57"/>
      <c r="D555" s="113">
        <v>100000</v>
      </c>
      <c r="E555" s="113">
        <f t="shared" si="23"/>
        <v>57227498</v>
      </c>
      <c r="F555" s="113"/>
      <c r="G555" s="113">
        <f t="shared" si="24"/>
        <v>2312050</v>
      </c>
    </row>
    <row r="556" spans="1:7" x14ac:dyDescent="0.25">
      <c r="A556" s="2125">
        <v>43228</v>
      </c>
      <c r="B556" s="57"/>
      <c r="C556" s="57"/>
      <c r="D556" s="113">
        <v>177500</v>
      </c>
      <c r="E556" s="113">
        <f t="shared" si="23"/>
        <v>57404998</v>
      </c>
      <c r="F556" s="113"/>
      <c r="G556" s="113">
        <f t="shared" si="24"/>
        <v>2489550</v>
      </c>
    </row>
    <row r="557" spans="1:7" x14ac:dyDescent="0.25">
      <c r="A557" s="2125">
        <v>43229</v>
      </c>
      <c r="B557" s="57"/>
      <c r="C557" s="57"/>
      <c r="D557" s="113">
        <v>40000</v>
      </c>
      <c r="E557" s="113">
        <f t="shared" si="23"/>
        <v>57444998</v>
      </c>
      <c r="F557" s="113">
        <v>1751550</v>
      </c>
      <c r="G557" s="113">
        <f t="shared" si="24"/>
        <v>778000</v>
      </c>
    </row>
    <row r="558" spans="1:7" x14ac:dyDescent="0.25">
      <c r="A558" s="2125">
        <v>43230</v>
      </c>
      <c r="B558" s="57" t="s">
        <v>1812</v>
      </c>
      <c r="C558" s="57" t="s">
        <v>1813</v>
      </c>
      <c r="D558" s="113">
        <v>276000</v>
      </c>
      <c r="E558" s="113">
        <f t="shared" si="23"/>
        <v>57720998</v>
      </c>
      <c r="F558" s="113"/>
      <c r="G558" s="113">
        <f t="shared" si="24"/>
        <v>1054000</v>
      </c>
    </row>
    <row r="559" spans="1:7" x14ac:dyDescent="0.25">
      <c r="A559" s="2125">
        <v>43230</v>
      </c>
      <c r="B559" s="57" t="s">
        <v>1814</v>
      </c>
      <c r="C559" s="57" t="s">
        <v>1815</v>
      </c>
      <c r="D559" s="113">
        <v>346250</v>
      </c>
      <c r="E559" s="113">
        <f t="shared" si="23"/>
        <v>58067248</v>
      </c>
      <c r="F559" s="113"/>
      <c r="G559" s="113">
        <f t="shared" si="24"/>
        <v>1400250</v>
      </c>
    </row>
    <row r="560" spans="1:7" x14ac:dyDescent="0.25">
      <c r="A560" s="2125">
        <v>43231</v>
      </c>
      <c r="B560" s="57"/>
      <c r="C560" s="57"/>
      <c r="D560" s="113">
        <v>370500</v>
      </c>
      <c r="E560" s="113">
        <f t="shared" si="23"/>
        <v>58437748</v>
      </c>
      <c r="F560" s="113"/>
      <c r="G560" s="113">
        <f t="shared" si="24"/>
        <v>1770750</v>
      </c>
    </row>
    <row r="561" spans="1:7" x14ac:dyDescent="0.25">
      <c r="A561" s="2125">
        <v>43232</v>
      </c>
      <c r="B561" s="57"/>
      <c r="C561" s="57"/>
      <c r="D561" s="113">
        <v>135000</v>
      </c>
      <c r="E561" s="113">
        <f t="shared" si="23"/>
        <v>58572748</v>
      </c>
      <c r="F561" s="113"/>
      <c r="G561" s="113">
        <f t="shared" si="24"/>
        <v>1905750</v>
      </c>
    </row>
    <row r="562" spans="1:7" x14ac:dyDescent="0.25">
      <c r="A562" s="2125">
        <v>43235</v>
      </c>
      <c r="B562" s="57"/>
      <c r="C562" s="57"/>
      <c r="D562" s="113">
        <v>354500</v>
      </c>
      <c r="E562" s="113">
        <f t="shared" si="23"/>
        <v>58927248</v>
      </c>
      <c r="F562" s="113"/>
      <c r="G562" s="113">
        <f t="shared" si="24"/>
        <v>2260250</v>
      </c>
    </row>
    <row r="563" spans="1:7" x14ac:dyDescent="0.25">
      <c r="A563" s="2125">
        <v>43236</v>
      </c>
      <c r="B563" s="57"/>
      <c r="C563" s="57"/>
      <c r="D563" s="113">
        <v>404000</v>
      </c>
      <c r="E563" s="113">
        <f t="shared" si="23"/>
        <v>59331248</v>
      </c>
      <c r="F563" s="113">
        <v>1681250</v>
      </c>
      <c r="G563" s="113">
        <f t="shared" si="24"/>
        <v>983000</v>
      </c>
    </row>
    <row r="564" spans="1:7" x14ac:dyDescent="0.25">
      <c r="A564" s="2125">
        <v>43237</v>
      </c>
      <c r="B564" s="57"/>
      <c r="C564" s="57"/>
      <c r="D564" s="113">
        <v>385000</v>
      </c>
      <c r="E564" s="113">
        <f t="shared" si="23"/>
        <v>59716248</v>
      </c>
      <c r="F564" s="113"/>
      <c r="G564" s="113">
        <f t="shared" si="24"/>
        <v>1368000</v>
      </c>
    </row>
    <row r="565" spans="1:7" x14ac:dyDescent="0.25">
      <c r="A565" s="2125">
        <v>43238</v>
      </c>
      <c r="B565" s="57"/>
      <c r="C565" s="57"/>
      <c r="D565" s="113">
        <v>202500</v>
      </c>
      <c r="E565" s="113">
        <f t="shared" si="23"/>
        <v>59918748</v>
      </c>
      <c r="F565" s="113"/>
      <c r="G565" s="113">
        <f t="shared" si="24"/>
        <v>1570500</v>
      </c>
    </row>
    <row r="566" spans="1:7" x14ac:dyDescent="0.25">
      <c r="A566" s="2125">
        <v>43239</v>
      </c>
      <c r="B566" s="57"/>
      <c r="C566" s="57"/>
      <c r="D566" s="113">
        <v>631000</v>
      </c>
      <c r="E566" s="113">
        <f t="shared" si="23"/>
        <v>60549748</v>
      </c>
      <c r="F566" s="113"/>
      <c r="G566" s="113">
        <f t="shared" si="24"/>
        <v>2201500</v>
      </c>
    </row>
    <row r="567" spans="1:7" x14ac:dyDescent="0.25">
      <c r="A567" s="2125">
        <v>43240</v>
      </c>
      <c r="B567" s="57"/>
      <c r="C567" s="57"/>
      <c r="D567" s="113">
        <v>10000</v>
      </c>
      <c r="E567" s="113">
        <f t="shared" si="23"/>
        <v>60559748</v>
      </c>
      <c r="F567" s="113"/>
      <c r="G567" s="113">
        <f t="shared" si="24"/>
        <v>2211500</v>
      </c>
    </row>
    <row r="568" spans="1:7" x14ac:dyDescent="0.25">
      <c r="A568" s="2125">
        <v>43242</v>
      </c>
      <c r="B568" s="57"/>
      <c r="C568" s="57"/>
      <c r="D568" s="113">
        <v>187000</v>
      </c>
      <c r="E568" s="113">
        <f t="shared" si="23"/>
        <v>60746748</v>
      </c>
      <c r="F568" s="113">
        <v>224000</v>
      </c>
      <c r="G568" s="113">
        <f t="shared" si="24"/>
        <v>2174500</v>
      </c>
    </row>
    <row r="569" spans="1:7" x14ac:dyDescent="0.25">
      <c r="A569" s="2125">
        <v>43243</v>
      </c>
      <c r="B569" s="57"/>
      <c r="C569" s="57"/>
      <c r="D569" s="113">
        <v>467750</v>
      </c>
      <c r="E569" s="113">
        <f t="shared" si="23"/>
        <v>61214498</v>
      </c>
      <c r="F569" s="113">
        <v>1987000</v>
      </c>
      <c r="G569" s="113">
        <f t="shared" si="24"/>
        <v>655250</v>
      </c>
    </row>
    <row r="570" spans="1:7" x14ac:dyDescent="0.25">
      <c r="A570" s="2125">
        <v>43244</v>
      </c>
      <c r="B570" s="57"/>
      <c r="C570" s="57"/>
      <c r="D570" s="113">
        <v>206000</v>
      </c>
      <c r="E570" s="113">
        <f t="shared" si="23"/>
        <v>61420498</v>
      </c>
      <c r="F570" s="113"/>
      <c r="G570" s="113">
        <f t="shared" si="24"/>
        <v>861250</v>
      </c>
    </row>
    <row r="571" spans="1:7" x14ac:dyDescent="0.25">
      <c r="A571" s="2125">
        <v>43245</v>
      </c>
      <c r="B571" s="57"/>
      <c r="C571" s="57"/>
      <c r="D571" s="113">
        <v>84850</v>
      </c>
      <c r="E571" s="113">
        <f t="shared" si="23"/>
        <v>61505348</v>
      </c>
      <c r="F571" s="113"/>
      <c r="G571" s="113">
        <f t="shared" si="24"/>
        <v>946100</v>
      </c>
    </row>
    <row r="572" spans="1:7" x14ac:dyDescent="0.25">
      <c r="A572" s="2125">
        <v>43247</v>
      </c>
      <c r="B572" s="57"/>
      <c r="C572" s="57"/>
      <c r="D572" s="113">
        <v>201000</v>
      </c>
      <c r="E572" s="113">
        <f>+E571+D572</f>
        <v>61706348</v>
      </c>
      <c r="F572" s="113"/>
      <c r="G572" s="113">
        <f>+G571+D572-F572</f>
        <v>1147100</v>
      </c>
    </row>
    <row r="573" spans="1:7" x14ac:dyDescent="0.25">
      <c r="A573" s="2125">
        <v>43248</v>
      </c>
      <c r="B573" s="57"/>
      <c r="C573" s="57"/>
      <c r="D573" s="113">
        <v>292500</v>
      </c>
      <c r="E573" s="113">
        <f t="shared" ref="E573:E637" si="25">+E572+D573</f>
        <v>61998848</v>
      </c>
      <c r="F573" s="113"/>
      <c r="G573" s="113">
        <f t="shared" ref="G573:G636" si="26">+G572+D573-F573</f>
        <v>1439600</v>
      </c>
    </row>
    <row r="574" spans="1:7" x14ac:dyDescent="0.25">
      <c r="A574" s="2125">
        <v>43249</v>
      </c>
      <c r="B574" s="57"/>
      <c r="C574" s="57"/>
      <c r="D574" s="113">
        <v>25000</v>
      </c>
      <c r="E574" s="113">
        <f t="shared" si="25"/>
        <v>62023848</v>
      </c>
      <c r="F574" s="113"/>
      <c r="G574" s="113">
        <f t="shared" si="26"/>
        <v>1464600</v>
      </c>
    </row>
    <row r="575" spans="1:7" x14ac:dyDescent="0.25">
      <c r="A575" s="2125">
        <v>43250</v>
      </c>
      <c r="B575" s="57"/>
      <c r="C575" s="57"/>
      <c r="D575" s="113">
        <v>449750</v>
      </c>
      <c r="E575" s="113">
        <f t="shared" si="25"/>
        <v>62473598</v>
      </c>
      <c r="F575" s="113"/>
      <c r="G575" s="113">
        <f t="shared" si="26"/>
        <v>1914350</v>
      </c>
    </row>
    <row r="576" spans="1:7" x14ac:dyDescent="0.25">
      <c r="A576" s="2125">
        <v>43251</v>
      </c>
      <c r="B576" s="57"/>
      <c r="C576" s="57"/>
      <c r="D576" s="113">
        <v>100000</v>
      </c>
      <c r="E576" s="113">
        <f t="shared" si="25"/>
        <v>62573598</v>
      </c>
      <c r="F576" s="113">
        <v>945600</v>
      </c>
      <c r="G576" s="113">
        <f t="shared" si="26"/>
        <v>1068750</v>
      </c>
    </row>
    <row r="577" spans="1:7" x14ac:dyDescent="0.25">
      <c r="A577" s="2166"/>
      <c r="B577" s="2167"/>
      <c r="C577" s="2167"/>
      <c r="D577" s="2168"/>
      <c r="E577" s="2168">
        <f t="shared" si="25"/>
        <v>62573598</v>
      </c>
      <c r="F577" s="2168"/>
      <c r="G577" s="2168">
        <f t="shared" si="26"/>
        <v>1068750</v>
      </c>
    </row>
    <row r="578" spans="1:7" x14ac:dyDescent="0.25">
      <c r="A578" s="2125">
        <v>43252</v>
      </c>
      <c r="B578" s="57"/>
      <c r="C578" s="57"/>
      <c r="D578" s="113">
        <v>110000</v>
      </c>
      <c r="E578" s="113">
        <f t="shared" si="25"/>
        <v>62683598</v>
      </c>
      <c r="F578" s="113"/>
      <c r="G578" s="113">
        <f t="shared" si="26"/>
        <v>1178750</v>
      </c>
    </row>
    <row r="579" spans="1:7" x14ac:dyDescent="0.25">
      <c r="A579" s="2125">
        <v>43253</v>
      </c>
      <c r="B579" s="57"/>
      <c r="C579" s="57"/>
      <c r="D579" s="113">
        <v>240000</v>
      </c>
      <c r="E579" s="113">
        <f t="shared" si="25"/>
        <v>62923598</v>
      </c>
      <c r="F579" s="113"/>
      <c r="G579" s="113">
        <f t="shared" si="26"/>
        <v>1418750</v>
      </c>
    </row>
    <row r="580" spans="1:7" x14ac:dyDescent="0.25">
      <c r="A580" s="2125">
        <v>43254</v>
      </c>
      <c r="B580" s="57"/>
      <c r="C580" s="57"/>
      <c r="D580" s="113">
        <v>502500</v>
      </c>
      <c r="E580" s="113">
        <f t="shared" si="25"/>
        <v>63426098</v>
      </c>
      <c r="F580" s="113"/>
      <c r="G580" s="113">
        <f t="shared" si="26"/>
        <v>1921250</v>
      </c>
    </row>
    <row r="581" spans="1:7" x14ac:dyDescent="0.25">
      <c r="A581" s="2125">
        <v>43255</v>
      </c>
      <c r="B581" s="57"/>
      <c r="C581" s="57"/>
      <c r="D581" s="113">
        <v>213000</v>
      </c>
      <c r="E581" s="113">
        <f t="shared" si="25"/>
        <v>63639098</v>
      </c>
      <c r="F581" s="113"/>
      <c r="G581" s="113">
        <f t="shared" si="26"/>
        <v>2134250</v>
      </c>
    </row>
    <row r="582" spans="1:7" x14ac:dyDescent="0.25">
      <c r="A582" s="2125">
        <v>43256</v>
      </c>
      <c r="B582" s="57"/>
      <c r="C582" s="57"/>
      <c r="D582" s="113">
        <v>196000</v>
      </c>
      <c r="E582" s="113">
        <f t="shared" si="25"/>
        <v>63835098</v>
      </c>
      <c r="F582" s="113"/>
      <c r="G582" s="113">
        <f t="shared" si="26"/>
        <v>2330250</v>
      </c>
    </row>
    <row r="583" spans="1:7" x14ac:dyDescent="0.25">
      <c r="A583" s="2125">
        <v>43257</v>
      </c>
      <c r="B583" s="57"/>
      <c r="C583" s="57"/>
      <c r="D583" s="113">
        <v>121500</v>
      </c>
      <c r="E583" s="113">
        <f t="shared" si="25"/>
        <v>63956598</v>
      </c>
      <c r="F583" s="113">
        <v>1710750</v>
      </c>
      <c r="G583" s="113">
        <f t="shared" si="26"/>
        <v>741000</v>
      </c>
    </row>
    <row r="584" spans="1:7" x14ac:dyDescent="0.25">
      <c r="A584" s="2125">
        <v>43258</v>
      </c>
      <c r="B584" s="57"/>
      <c r="C584" s="57"/>
      <c r="D584" s="113">
        <v>58800</v>
      </c>
      <c r="E584" s="113">
        <f t="shared" si="25"/>
        <v>64015398</v>
      </c>
      <c r="F584" s="113"/>
      <c r="G584" s="113">
        <f t="shared" si="26"/>
        <v>799800</v>
      </c>
    </row>
    <row r="585" spans="1:7" x14ac:dyDescent="0.25">
      <c r="A585" s="2125">
        <v>43259</v>
      </c>
      <c r="B585" s="57"/>
      <c r="C585" s="57"/>
      <c r="D585" s="113">
        <v>69000</v>
      </c>
      <c r="E585" s="113">
        <f t="shared" si="25"/>
        <v>64084398</v>
      </c>
      <c r="F585" s="113"/>
      <c r="G585" s="113">
        <f t="shared" si="26"/>
        <v>868800</v>
      </c>
    </row>
    <row r="586" spans="1:7" x14ac:dyDescent="0.25">
      <c r="A586" s="2125">
        <v>43260</v>
      </c>
      <c r="B586" s="57"/>
      <c r="C586" s="57"/>
      <c r="D586" s="113">
        <v>194500</v>
      </c>
      <c r="E586" s="113">
        <f t="shared" si="25"/>
        <v>64278898</v>
      </c>
      <c r="F586" s="113"/>
      <c r="G586" s="113">
        <f t="shared" si="26"/>
        <v>1063300</v>
      </c>
    </row>
    <row r="587" spans="1:7" x14ac:dyDescent="0.25">
      <c r="A587" s="2125">
        <v>43261</v>
      </c>
      <c r="B587" s="57"/>
      <c r="C587" s="57"/>
      <c r="D587" s="113">
        <v>73500</v>
      </c>
      <c r="E587" s="113">
        <f t="shared" si="25"/>
        <v>64352398</v>
      </c>
      <c r="F587" s="113"/>
      <c r="G587" s="113">
        <f t="shared" si="26"/>
        <v>1136800</v>
      </c>
    </row>
    <row r="588" spans="1:7" x14ac:dyDescent="0.25">
      <c r="A588" s="2125">
        <v>43262</v>
      </c>
      <c r="B588" s="57"/>
      <c r="C588" s="57"/>
      <c r="D588" s="113">
        <v>14748</v>
      </c>
      <c r="E588" s="113">
        <f t="shared" si="25"/>
        <v>64367146</v>
      </c>
      <c r="F588" s="113"/>
      <c r="G588" s="113">
        <f t="shared" si="26"/>
        <v>1151548</v>
      </c>
    </row>
    <row r="589" spans="1:7" x14ac:dyDescent="0.25">
      <c r="A589" s="2125">
        <v>43263</v>
      </c>
      <c r="B589" s="57"/>
      <c r="C589" s="57"/>
      <c r="D589" s="113">
        <v>10000</v>
      </c>
      <c r="E589" s="113">
        <f t="shared" si="25"/>
        <v>64377146</v>
      </c>
      <c r="F589" s="113"/>
      <c r="G589" s="113">
        <f t="shared" si="26"/>
        <v>1161548</v>
      </c>
    </row>
    <row r="590" spans="1:7" x14ac:dyDescent="0.25">
      <c r="A590" s="2125">
        <v>43264</v>
      </c>
      <c r="B590" s="57"/>
      <c r="C590" s="57"/>
      <c r="D590" s="113">
        <v>435000</v>
      </c>
      <c r="E590" s="113">
        <f t="shared" si="25"/>
        <v>64812146</v>
      </c>
      <c r="F590" s="113"/>
      <c r="G590" s="113">
        <f t="shared" si="26"/>
        <v>1596548</v>
      </c>
    </row>
    <row r="591" spans="1:7" x14ac:dyDescent="0.25">
      <c r="A591" s="2125">
        <v>43265</v>
      </c>
      <c r="B591" s="57"/>
      <c r="C591" s="57"/>
      <c r="D591" s="113">
        <v>116500</v>
      </c>
      <c r="E591" s="113">
        <f t="shared" si="25"/>
        <v>64928646</v>
      </c>
      <c r="F591" s="113">
        <v>1136300</v>
      </c>
      <c r="G591" s="113">
        <f t="shared" si="26"/>
        <v>576748</v>
      </c>
    </row>
    <row r="592" spans="1:7" x14ac:dyDescent="0.25">
      <c r="A592" s="2125">
        <v>43266</v>
      </c>
      <c r="B592" s="57"/>
      <c r="C592" s="57"/>
      <c r="D592" s="113"/>
      <c r="E592" s="113">
        <f t="shared" si="25"/>
        <v>64928646</v>
      </c>
      <c r="F592" s="113"/>
      <c r="G592" s="113">
        <f t="shared" si="26"/>
        <v>576748</v>
      </c>
    </row>
    <row r="593" spans="1:7" x14ac:dyDescent="0.25">
      <c r="A593" s="2125">
        <v>43267</v>
      </c>
      <c r="B593" s="57"/>
      <c r="C593" s="57"/>
      <c r="D593" s="113">
        <v>432300</v>
      </c>
      <c r="E593" s="113">
        <f t="shared" si="25"/>
        <v>65360946</v>
      </c>
      <c r="F593" s="113"/>
      <c r="G593" s="113">
        <f t="shared" si="26"/>
        <v>1009048</v>
      </c>
    </row>
    <row r="594" spans="1:7" x14ac:dyDescent="0.25">
      <c r="A594" s="2125">
        <v>43268</v>
      </c>
      <c r="B594" s="57"/>
      <c r="C594" s="57"/>
      <c r="D594" s="113">
        <v>50000</v>
      </c>
      <c r="E594" s="113">
        <f t="shared" si="25"/>
        <v>65410946</v>
      </c>
      <c r="F594" s="113"/>
      <c r="G594" s="113">
        <f t="shared" si="26"/>
        <v>1059048</v>
      </c>
    </row>
    <row r="595" spans="1:7" x14ac:dyDescent="0.25">
      <c r="A595" s="2125">
        <v>43269</v>
      </c>
      <c r="B595" s="57"/>
      <c r="C595" s="57"/>
      <c r="D595" s="113">
        <v>14000</v>
      </c>
      <c r="E595" s="113">
        <f t="shared" si="25"/>
        <v>65424946</v>
      </c>
      <c r="F595" s="113"/>
      <c r="G595" s="113">
        <f t="shared" si="26"/>
        <v>1073048</v>
      </c>
    </row>
    <row r="596" spans="1:7" x14ac:dyDescent="0.25">
      <c r="A596" s="2125">
        <v>43270</v>
      </c>
      <c r="B596" s="57"/>
      <c r="C596" s="57"/>
      <c r="D596" s="113">
        <v>363500</v>
      </c>
      <c r="E596" s="113">
        <f t="shared" si="25"/>
        <v>65788446</v>
      </c>
      <c r="F596" s="113"/>
      <c r="G596" s="113">
        <f t="shared" si="26"/>
        <v>1436548</v>
      </c>
    </row>
    <row r="597" spans="1:7" x14ac:dyDescent="0.25">
      <c r="A597" s="2125">
        <v>43271</v>
      </c>
      <c r="B597" s="57"/>
      <c r="C597" s="57"/>
      <c r="D597" s="113">
        <v>316400</v>
      </c>
      <c r="E597" s="113">
        <f t="shared" si="25"/>
        <v>66104846</v>
      </c>
      <c r="F597" s="113"/>
      <c r="G597" s="113">
        <f t="shared" si="26"/>
        <v>1752948</v>
      </c>
    </row>
    <row r="598" spans="1:7" x14ac:dyDescent="0.25">
      <c r="A598" s="2125">
        <v>43272</v>
      </c>
      <c r="B598" s="57"/>
      <c r="C598" s="57"/>
      <c r="D598" s="113">
        <v>430500</v>
      </c>
      <c r="E598" s="113">
        <f t="shared" si="25"/>
        <v>66535346</v>
      </c>
      <c r="F598" s="113">
        <v>1058548</v>
      </c>
      <c r="G598" s="113">
        <f t="shared" si="26"/>
        <v>1124900</v>
      </c>
    </row>
    <row r="599" spans="1:7" x14ac:dyDescent="0.25">
      <c r="A599" s="2125">
        <v>43273</v>
      </c>
      <c r="B599" s="57"/>
      <c r="C599" s="57"/>
      <c r="D599" s="113">
        <v>1052500</v>
      </c>
      <c r="E599" s="113">
        <f t="shared" si="25"/>
        <v>67587846</v>
      </c>
      <c r="F599" s="113"/>
      <c r="G599" s="113">
        <f t="shared" si="26"/>
        <v>2177400</v>
      </c>
    </row>
    <row r="600" spans="1:7" x14ac:dyDescent="0.25">
      <c r="A600" s="2125">
        <v>43274</v>
      </c>
      <c r="B600" s="57"/>
      <c r="C600" s="57"/>
      <c r="D600" s="113">
        <v>83500</v>
      </c>
      <c r="E600" s="113">
        <f t="shared" si="25"/>
        <v>67671346</v>
      </c>
      <c r="F600" s="113"/>
      <c r="G600" s="113">
        <f t="shared" si="26"/>
        <v>2260900</v>
      </c>
    </row>
    <row r="601" spans="1:7" x14ac:dyDescent="0.25">
      <c r="A601" s="2125">
        <v>43275</v>
      </c>
      <c r="B601" s="57"/>
      <c r="C601" s="57"/>
      <c r="D601" s="113">
        <v>158100</v>
      </c>
      <c r="E601" s="113">
        <f t="shared" si="25"/>
        <v>67829446</v>
      </c>
      <c r="F601" s="113"/>
      <c r="G601" s="113">
        <f t="shared" si="26"/>
        <v>2419000</v>
      </c>
    </row>
    <row r="602" spans="1:7" x14ac:dyDescent="0.25">
      <c r="A602" s="2125">
        <v>43276</v>
      </c>
      <c r="B602" s="57"/>
      <c r="C602" s="57"/>
      <c r="D602" s="113">
        <v>15000</v>
      </c>
      <c r="E602" s="113">
        <f t="shared" si="25"/>
        <v>67844446</v>
      </c>
      <c r="F602" s="113"/>
      <c r="G602" s="113">
        <f t="shared" si="26"/>
        <v>2434000</v>
      </c>
    </row>
    <row r="603" spans="1:7" x14ac:dyDescent="0.25">
      <c r="A603" s="2125">
        <v>43277</v>
      </c>
      <c r="B603" s="57"/>
      <c r="C603" s="57"/>
      <c r="D603" s="113">
        <v>90000</v>
      </c>
      <c r="E603" s="113">
        <f t="shared" si="25"/>
        <v>67934446</v>
      </c>
      <c r="F603" s="113"/>
      <c r="G603" s="113">
        <f t="shared" si="26"/>
        <v>2524000</v>
      </c>
    </row>
    <row r="604" spans="1:7" x14ac:dyDescent="0.25">
      <c r="A604" s="2125">
        <v>43278</v>
      </c>
      <c r="B604" s="57"/>
      <c r="C604" s="57"/>
      <c r="D604" s="113">
        <v>215000</v>
      </c>
      <c r="E604" s="113">
        <f t="shared" si="25"/>
        <v>68149446</v>
      </c>
      <c r="F604" s="113"/>
      <c r="G604" s="113">
        <f t="shared" si="26"/>
        <v>2739000</v>
      </c>
    </row>
    <row r="605" spans="1:7" x14ac:dyDescent="0.25">
      <c r="A605" s="2125">
        <v>43279</v>
      </c>
      <c r="B605" s="57"/>
      <c r="C605" s="57"/>
      <c r="D605" s="113">
        <v>304100</v>
      </c>
      <c r="E605" s="113">
        <f t="shared" si="25"/>
        <v>68453546</v>
      </c>
      <c r="F605" s="113">
        <v>2418500</v>
      </c>
      <c r="G605" s="113">
        <f t="shared" si="26"/>
        <v>624600</v>
      </c>
    </row>
    <row r="606" spans="1:7" x14ac:dyDescent="0.25">
      <c r="A606" s="2125">
        <v>43280</v>
      </c>
      <c r="B606" s="57"/>
      <c r="C606" s="57"/>
      <c r="D606" s="113"/>
      <c r="E606" s="113">
        <f t="shared" si="25"/>
        <v>68453546</v>
      </c>
      <c r="F606" s="113"/>
      <c r="G606" s="113">
        <f t="shared" si="26"/>
        <v>624600</v>
      </c>
    </row>
    <row r="607" spans="1:7" x14ac:dyDescent="0.25">
      <c r="A607" s="2125">
        <v>43281</v>
      </c>
      <c r="B607" s="57"/>
      <c r="C607" s="57"/>
      <c r="D607" s="113">
        <v>798100</v>
      </c>
      <c r="E607" s="113">
        <f t="shared" si="25"/>
        <v>69251646</v>
      </c>
      <c r="F607" s="113"/>
      <c r="G607" s="113">
        <f t="shared" si="26"/>
        <v>1422700</v>
      </c>
    </row>
    <row r="608" spans="1:7" x14ac:dyDescent="0.25">
      <c r="A608" s="2125">
        <v>43282</v>
      </c>
      <c r="B608" s="57"/>
      <c r="C608" s="57"/>
      <c r="D608" s="113"/>
      <c r="E608" s="113">
        <f t="shared" si="25"/>
        <v>69251646</v>
      </c>
      <c r="F608" s="113"/>
      <c r="G608" s="113">
        <f t="shared" si="26"/>
        <v>1422700</v>
      </c>
    </row>
    <row r="609" spans="1:7" x14ac:dyDescent="0.25">
      <c r="A609" s="2125">
        <v>43283</v>
      </c>
      <c r="B609" s="57"/>
      <c r="C609" s="57"/>
      <c r="D609" s="113">
        <v>540250</v>
      </c>
      <c r="E609" s="113">
        <f t="shared" si="25"/>
        <v>69791896</v>
      </c>
      <c r="F609" s="113"/>
      <c r="G609" s="113">
        <f t="shared" si="26"/>
        <v>1962950</v>
      </c>
    </row>
    <row r="610" spans="1:7" x14ac:dyDescent="0.25">
      <c r="A610" s="2125">
        <v>43284</v>
      </c>
      <c r="B610" s="57"/>
      <c r="C610" s="57"/>
      <c r="D610" s="113">
        <v>791200</v>
      </c>
      <c r="E610" s="113">
        <f t="shared" si="25"/>
        <v>70583096</v>
      </c>
      <c r="F610" s="113"/>
      <c r="G610" s="113">
        <f t="shared" si="26"/>
        <v>2754150</v>
      </c>
    </row>
    <row r="611" spans="1:7" x14ac:dyDescent="0.25">
      <c r="A611" s="2125">
        <v>43285</v>
      </c>
      <c r="B611" s="57"/>
      <c r="C611" s="57"/>
      <c r="D611" s="113">
        <v>41550</v>
      </c>
      <c r="E611" s="113">
        <f t="shared" si="25"/>
        <v>70624646</v>
      </c>
      <c r="F611" s="113"/>
      <c r="G611" s="113">
        <f t="shared" si="26"/>
        <v>2795700</v>
      </c>
    </row>
    <row r="612" spans="1:7" x14ac:dyDescent="0.25">
      <c r="A612" s="2125">
        <v>43286</v>
      </c>
      <c r="B612" s="57"/>
      <c r="C612" s="57"/>
      <c r="D612" s="113">
        <v>924000</v>
      </c>
      <c r="E612" s="113">
        <f t="shared" si="25"/>
        <v>71548646</v>
      </c>
      <c r="F612" s="113">
        <v>1422200</v>
      </c>
      <c r="G612" s="113">
        <f t="shared" si="26"/>
        <v>2297500</v>
      </c>
    </row>
    <row r="613" spans="1:7" x14ac:dyDescent="0.25">
      <c r="A613" s="2125">
        <v>43287</v>
      </c>
      <c r="B613" s="57"/>
      <c r="C613" s="57"/>
      <c r="D613" s="113">
        <v>28000</v>
      </c>
      <c r="E613" s="113">
        <f t="shared" si="25"/>
        <v>71576646</v>
      </c>
      <c r="F613" s="113"/>
      <c r="G613" s="113">
        <f t="shared" si="26"/>
        <v>2325500</v>
      </c>
    </row>
    <row r="614" spans="1:7" x14ac:dyDescent="0.25">
      <c r="A614" s="2125">
        <v>43288</v>
      </c>
      <c r="B614" s="57"/>
      <c r="C614" s="57"/>
      <c r="D614" s="113">
        <v>159200</v>
      </c>
      <c r="E614" s="113">
        <f t="shared" si="25"/>
        <v>71735846</v>
      </c>
      <c r="F614" s="113"/>
      <c r="G614" s="113">
        <f t="shared" si="26"/>
        <v>2484700</v>
      </c>
    </row>
    <row r="615" spans="1:7" x14ac:dyDescent="0.25">
      <c r="A615" s="2125">
        <v>43289</v>
      </c>
      <c r="B615" s="57"/>
      <c r="C615" s="57"/>
      <c r="D615" s="113">
        <v>205000</v>
      </c>
      <c r="E615" s="113">
        <f t="shared" si="25"/>
        <v>71940846</v>
      </c>
      <c r="F615" s="113"/>
      <c r="G615" s="113">
        <f t="shared" si="26"/>
        <v>2689700</v>
      </c>
    </row>
    <row r="616" spans="1:7" x14ac:dyDescent="0.25">
      <c r="A616" s="2125">
        <v>43290</v>
      </c>
      <c r="B616" s="57"/>
      <c r="C616" s="57"/>
      <c r="D616" s="113">
        <v>91500</v>
      </c>
      <c r="E616" s="113">
        <f t="shared" si="25"/>
        <v>72032346</v>
      </c>
      <c r="F616" s="113"/>
      <c r="G616" s="113">
        <f t="shared" si="26"/>
        <v>2781200</v>
      </c>
    </row>
    <row r="617" spans="1:7" x14ac:dyDescent="0.25">
      <c r="A617" s="2125">
        <v>43291</v>
      </c>
      <c r="B617" s="57"/>
      <c r="C617" s="57"/>
      <c r="D617" s="113">
        <v>412500</v>
      </c>
      <c r="E617" s="113">
        <f t="shared" si="25"/>
        <v>72444846</v>
      </c>
      <c r="F617" s="113"/>
      <c r="G617" s="113">
        <f t="shared" si="26"/>
        <v>3193700</v>
      </c>
    </row>
    <row r="618" spans="1:7" x14ac:dyDescent="0.25">
      <c r="A618" s="2125">
        <v>43292</v>
      </c>
      <c r="B618" s="57"/>
      <c r="C618" s="57"/>
      <c r="D618" s="113">
        <v>3000</v>
      </c>
      <c r="E618" s="113">
        <f t="shared" si="25"/>
        <v>72447846</v>
      </c>
      <c r="F618" s="113"/>
      <c r="G618" s="113">
        <f t="shared" si="26"/>
        <v>3196700</v>
      </c>
    </row>
    <row r="619" spans="1:7" x14ac:dyDescent="0.25">
      <c r="A619" s="2125">
        <v>43293</v>
      </c>
      <c r="B619" s="57"/>
      <c r="C619" s="57"/>
      <c r="D619" s="113">
        <v>5000</v>
      </c>
      <c r="E619" s="113">
        <f t="shared" si="25"/>
        <v>72452846</v>
      </c>
      <c r="F619" s="113"/>
      <c r="G619" s="113">
        <f t="shared" si="26"/>
        <v>3201700</v>
      </c>
    </row>
    <row r="620" spans="1:7" x14ac:dyDescent="0.25">
      <c r="A620" s="2125">
        <v>43294</v>
      </c>
      <c r="B620" s="57"/>
      <c r="C620" s="57"/>
      <c r="D620" s="113"/>
      <c r="E620" s="113">
        <f t="shared" si="25"/>
        <v>72452846</v>
      </c>
      <c r="F620" s="113"/>
      <c r="G620" s="113">
        <f t="shared" si="26"/>
        <v>3201700</v>
      </c>
    </row>
    <row r="621" spans="1:7" x14ac:dyDescent="0.25">
      <c r="A621" s="2125">
        <v>43295</v>
      </c>
      <c r="B621" s="57"/>
      <c r="C621" s="57"/>
      <c r="D621" s="113">
        <v>208400</v>
      </c>
      <c r="E621" s="113">
        <f t="shared" si="25"/>
        <v>72661246</v>
      </c>
      <c r="F621" s="113"/>
      <c r="G621" s="113">
        <f t="shared" si="26"/>
        <v>3410100</v>
      </c>
    </row>
    <row r="622" spans="1:7" x14ac:dyDescent="0.25">
      <c r="A622" s="2125">
        <v>43296</v>
      </c>
      <c r="B622" s="57"/>
      <c r="C622" s="57"/>
      <c r="D622" s="113">
        <v>356500</v>
      </c>
      <c r="E622" s="113">
        <f t="shared" si="25"/>
        <v>73017746</v>
      </c>
      <c r="F622" s="113"/>
      <c r="G622" s="113">
        <f t="shared" si="26"/>
        <v>3766600</v>
      </c>
    </row>
    <row r="623" spans="1:7" x14ac:dyDescent="0.25">
      <c r="A623" s="2125">
        <v>43297</v>
      </c>
      <c r="B623" s="57"/>
      <c r="C623" s="57"/>
      <c r="D623" s="113">
        <v>11000</v>
      </c>
      <c r="E623" s="113">
        <f t="shared" si="25"/>
        <v>73028746</v>
      </c>
      <c r="F623" s="113">
        <v>2679200</v>
      </c>
      <c r="G623" s="113">
        <f t="shared" si="26"/>
        <v>1098400</v>
      </c>
    </row>
    <row r="624" spans="1:7" x14ac:dyDescent="0.25">
      <c r="A624" s="2125">
        <v>43298</v>
      </c>
      <c r="B624" s="57"/>
      <c r="C624" s="57"/>
      <c r="D624" s="113">
        <v>676000</v>
      </c>
      <c r="E624" s="113">
        <f t="shared" si="25"/>
        <v>73704746</v>
      </c>
      <c r="F624" s="113"/>
      <c r="G624" s="113">
        <f t="shared" si="26"/>
        <v>1774400</v>
      </c>
    </row>
    <row r="625" spans="1:7" x14ac:dyDescent="0.25">
      <c r="A625" s="2125">
        <v>43299</v>
      </c>
      <c r="B625" s="57"/>
      <c r="C625" s="57"/>
      <c r="D625" s="113">
        <v>200000</v>
      </c>
      <c r="E625" s="113">
        <f t="shared" si="25"/>
        <v>73904746</v>
      </c>
      <c r="F625" s="113">
        <f>1248400-161500</f>
        <v>1086900</v>
      </c>
      <c r="G625" s="113">
        <f t="shared" si="26"/>
        <v>887500</v>
      </c>
    </row>
    <row r="626" spans="1:7" x14ac:dyDescent="0.25">
      <c r="A626" s="2125">
        <v>43300</v>
      </c>
      <c r="B626" s="57"/>
      <c r="C626" s="57"/>
      <c r="D626" s="113">
        <v>534100</v>
      </c>
      <c r="E626" s="113">
        <f t="shared" si="25"/>
        <v>74438846</v>
      </c>
      <c r="F626" s="113"/>
      <c r="G626" s="113">
        <f t="shared" si="26"/>
        <v>1421600</v>
      </c>
    </row>
    <row r="627" spans="1:7" x14ac:dyDescent="0.25">
      <c r="A627" s="2125">
        <v>43301</v>
      </c>
      <c r="B627" s="57"/>
      <c r="C627" s="57"/>
      <c r="D627" s="113">
        <v>115000</v>
      </c>
      <c r="E627" s="113">
        <f t="shared" si="25"/>
        <v>74553846</v>
      </c>
      <c r="F627" s="113"/>
      <c r="G627" s="113">
        <f t="shared" si="26"/>
        <v>1536600</v>
      </c>
    </row>
    <row r="628" spans="1:7" x14ac:dyDescent="0.25">
      <c r="A628" s="2125">
        <v>43302</v>
      </c>
      <c r="B628" s="57"/>
      <c r="C628" s="57"/>
      <c r="D628" s="113">
        <v>10000</v>
      </c>
      <c r="E628" s="113">
        <f t="shared" si="25"/>
        <v>74563846</v>
      </c>
      <c r="F628" s="113"/>
      <c r="G628" s="113">
        <f t="shared" si="26"/>
        <v>1546600</v>
      </c>
    </row>
    <row r="629" spans="1:7" x14ac:dyDescent="0.25">
      <c r="A629" s="2125">
        <v>43303</v>
      </c>
      <c r="B629" s="57"/>
      <c r="C629" s="57"/>
      <c r="D629" s="113">
        <v>23000</v>
      </c>
      <c r="E629" s="113">
        <f t="shared" si="25"/>
        <v>74586846</v>
      </c>
      <c r="F629" s="113"/>
      <c r="G629" s="113">
        <f t="shared" si="26"/>
        <v>1569600</v>
      </c>
    </row>
    <row r="630" spans="1:7" x14ac:dyDescent="0.25">
      <c r="A630" s="2125">
        <v>43304</v>
      </c>
      <c r="B630" s="57"/>
      <c r="C630" s="57"/>
      <c r="D630" s="113">
        <v>439800</v>
      </c>
      <c r="E630" s="113">
        <f t="shared" si="25"/>
        <v>75026646</v>
      </c>
      <c r="F630" s="113"/>
      <c r="G630" s="113">
        <f t="shared" si="26"/>
        <v>2009400</v>
      </c>
    </row>
    <row r="631" spans="1:7" x14ac:dyDescent="0.25">
      <c r="A631" s="2125">
        <v>43305</v>
      </c>
      <c r="B631" s="57"/>
      <c r="C631" s="57"/>
      <c r="D631" s="113">
        <v>325750</v>
      </c>
      <c r="E631" s="113">
        <f t="shared" si="25"/>
        <v>75352396</v>
      </c>
      <c r="F631" s="113"/>
      <c r="G631" s="113">
        <f t="shared" si="26"/>
        <v>2335150</v>
      </c>
    </row>
    <row r="632" spans="1:7" x14ac:dyDescent="0.25">
      <c r="A632" s="2125">
        <v>43306</v>
      </c>
      <c r="B632" s="57"/>
      <c r="C632" s="57"/>
      <c r="D632" s="113">
        <v>185500</v>
      </c>
      <c r="E632" s="113">
        <f t="shared" si="25"/>
        <v>75537896</v>
      </c>
      <c r="F632" s="113">
        <v>1546100</v>
      </c>
      <c r="G632" s="113">
        <f t="shared" si="26"/>
        <v>974550</v>
      </c>
    </row>
    <row r="633" spans="1:7" x14ac:dyDescent="0.25">
      <c r="A633" s="2125">
        <v>43307</v>
      </c>
      <c r="B633" s="57"/>
      <c r="C633" s="57"/>
      <c r="D633" s="113"/>
      <c r="E633" s="113">
        <f t="shared" si="25"/>
        <v>75537896</v>
      </c>
      <c r="F633" s="113"/>
      <c r="G633" s="113">
        <f t="shared" si="26"/>
        <v>974550</v>
      </c>
    </row>
    <row r="634" spans="1:7" x14ac:dyDescent="0.25">
      <c r="A634" s="2125">
        <v>43308</v>
      </c>
      <c r="B634" s="57"/>
      <c r="C634" s="57"/>
      <c r="D634" s="113">
        <v>270000</v>
      </c>
      <c r="E634" s="113">
        <f t="shared" si="25"/>
        <v>75807896</v>
      </c>
      <c r="F634" s="113"/>
      <c r="G634" s="113">
        <f t="shared" si="26"/>
        <v>1244550</v>
      </c>
    </row>
    <row r="635" spans="1:7" x14ac:dyDescent="0.25">
      <c r="A635" s="2125">
        <v>43309</v>
      </c>
      <c r="B635" s="57"/>
      <c r="C635" s="57"/>
      <c r="D635" s="113">
        <v>85000</v>
      </c>
      <c r="E635" s="113">
        <f t="shared" si="25"/>
        <v>75892896</v>
      </c>
      <c r="F635" s="113"/>
      <c r="G635" s="113">
        <f t="shared" si="26"/>
        <v>1329550</v>
      </c>
    </row>
    <row r="636" spans="1:7" x14ac:dyDescent="0.25">
      <c r="A636" s="2125">
        <v>43310</v>
      </c>
      <c r="B636" s="57"/>
      <c r="C636" s="57"/>
      <c r="D636" s="113">
        <v>192000</v>
      </c>
      <c r="E636" s="113">
        <f t="shared" si="25"/>
        <v>76084896</v>
      </c>
      <c r="F636" s="113"/>
      <c r="G636" s="113">
        <f t="shared" si="26"/>
        <v>1521550</v>
      </c>
    </row>
    <row r="637" spans="1:7" x14ac:dyDescent="0.25">
      <c r="A637" s="2125">
        <v>43311</v>
      </c>
      <c r="B637" s="57"/>
      <c r="C637" s="57"/>
      <c r="D637" s="113"/>
      <c r="E637" s="113">
        <f t="shared" si="25"/>
        <v>76084896</v>
      </c>
      <c r="F637" s="113"/>
      <c r="G637" s="113">
        <f>+G636+D637-F637</f>
        <v>1521550</v>
      </c>
    </row>
    <row r="638" spans="1:7" x14ac:dyDescent="0.25">
      <c r="A638" s="2125">
        <v>43312</v>
      </c>
      <c r="B638" s="57"/>
      <c r="C638" s="57"/>
      <c r="D638" s="113">
        <v>298400</v>
      </c>
      <c r="E638" s="113">
        <f>+E637+D638</f>
        <v>76383296</v>
      </c>
      <c r="F638" s="113"/>
      <c r="G638" s="113">
        <f>+G637+D638-F638</f>
        <v>1819950</v>
      </c>
    </row>
    <row r="639" spans="1:7" s="2465" customFormat="1" x14ac:dyDescent="0.25">
      <c r="A639" s="2166"/>
      <c r="B639" s="2167"/>
      <c r="C639" s="2167"/>
      <c r="D639" s="2168"/>
      <c r="E639" s="2168">
        <f t="shared" ref="E639:E699" si="27">+E638+D639</f>
        <v>76383296</v>
      </c>
      <c r="F639" s="2168"/>
      <c r="G639" s="2168">
        <f t="shared" ref="G639:G702" si="28">+G638+D639-F639</f>
        <v>1819950</v>
      </c>
    </row>
    <row r="640" spans="1:7" x14ac:dyDescent="0.25">
      <c r="A640" s="2125">
        <v>43313</v>
      </c>
      <c r="B640" s="57"/>
      <c r="C640" s="57"/>
      <c r="D640" s="113">
        <v>429800</v>
      </c>
      <c r="E640" s="113">
        <f t="shared" si="27"/>
        <v>76813096</v>
      </c>
      <c r="F640" s="113">
        <v>1521050</v>
      </c>
      <c r="G640" s="113">
        <f t="shared" si="28"/>
        <v>728700</v>
      </c>
    </row>
    <row r="641" spans="1:7" x14ac:dyDescent="0.25">
      <c r="A641" s="2125">
        <v>43314</v>
      </c>
      <c r="B641" s="57"/>
      <c r="C641" s="57"/>
      <c r="D641" s="113">
        <v>71400</v>
      </c>
      <c r="E641" s="113">
        <f t="shared" si="27"/>
        <v>76884496</v>
      </c>
      <c r="F641" s="113"/>
      <c r="G641" s="113">
        <f t="shared" si="28"/>
        <v>800100</v>
      </c>
    </row>
    <row r="642" spans="1:7" x14ac:dyDescent="0.25">
      <c r="A642" s="2125">
        <v>43315</v>
      </c>
      <c r="B642" s="57"/>
      <c r="C642" s="57"/>
      <c r="D642" s="113">
        <v>407500</v>
      </c>
      <c r="E642" s="113">
        <f t="shared" si="27"/>
        <v>77291996</v>
      </c>
      <c r="F642" s="113"/>
      <c r="G642" s="113">
        <f t="shared" si="28"/>
        <v>1207600</v>
      </c>
    </row>
    <row r="643" spans="1:7" x14ac:dyDescent="0.25">
      <c r="A643" s="2125">
        <v>43316</v>
      </c>
      <c r="B643" s="57"/>
      <c r="C643" s="57"/>
      <c r="D643" s="113">
        <v>142750</v>
      </c>
      <c r="E643" s="113">
        <f t="shared" si="27"/>
        <v>77434746</v>
      </c>
      <c r="F643" s="113"/>
      <c r="G643" s="113">
        <f t="shared" si="28"/>
        <v>1350350</v>
      </c>
    </row>
    <row r="644" spans="1:7" x14ac:dyDescent="0.25">
      <c r="A644" s="2125">
        <v>43317</v>
      </c>
      <c r="B644" s="57"/>
      <c r="C644" s="57"/>
      <c r="D644" s="113"/>
      <c r="E644" s="113">
        <f t="shared" si="27"/>
        <v>77434746</v>
      </c>
      <c r="F644" s="113"/>
      <c r="G644" s="113">
        <f t="shared" si="28"/>
        <v>1350350</v>
      </c>
    </row>
    <row r="645" spans="1:7" x14ac:dyDescent="0.25">
      <c r="A645" s="2125">
        <v>43318</v>
      </c>
      <c r="B645" s="57"/>
      <c r="C645" s="57"/>
      <c r="D645" s="113">
        <v>46000</v>
      </c>
      <c r="E645" s="113">
        <f t="shared" si="27"/>
        <v>77480746</v>
      </c>
      <c r="F645" s="113"/>
      <c r="G645" s="113">
        <f t="shared" si="28"/>
        <v>1396350</v>
      </c>
    </row>
    <row r="646" spans="1:7" x14ac:dyDescent="0.25">
      <c r="A646" s="2125">
        <v>43319</v>
      </c>
      <c r="B646" s="57"/>
      <c r="C646" s="57"/>
      <c r="D646" s="113">
        <v>240000</v>
      </c>
      <c r="E646" s="113">
        <f t="shared" si="27"/>
        <v>77720746</v>
      </c>
      <c r="F646" s="113"/>
      <c r="G646" s="113">
        <f t="shared" si="28"/>
        <v>1636350</v>
      </c>
    </row>
    <row r="647" spans="1:7" x14ac:dyDescent="0.25">
      <c r="A647" s="2125">
        <v>43320</v>
      </c>
      <c r="B647" s="57"/>
      <c r="C647" s="57"/>
      <c r="D647" s="113">
        <v>1078600</v>
      </c>
      <c r="E647" s="113">
        <f t="shared" si="27"/>
        <v>78799346</v>
      </c>
      <c r="F647" s="113">
        <v>1349850</v>
      </c>
      <c r="G647" s="113">
        <f t="shared" si="28"/>
        <v>1365100</v>
      </c>
    </row>
    <row r="648" spans="1:7" x14ac:dyDescent="0.25">
      <c r="A648" s="2125">
        <v>43321</v>
      </c>
      <c r="B648" s="57"/>
      <c r="C648" s="57"/>
      <c r="D648" s="113">
        <v>448550</v>
      </c>
      <c r="E648" s="113">
        <f t="shared" si="27"/>
        <v>79247896</v>
      </c>
      <c r="F648" s="113"/>
      <c r="G648" s="113">
        <f t="shared" si="28"/>
        <v>1813650</v>
      </c>
    </row>
    <row r="649" spans="1:7" x14ac:dyDescent="0.25">
      <c r="A649" s="2125">
        <v>43322</v>
      </c>
      <c r="B649" s="57"/>
      <c r="C649" s="57"/>
      <c r="D649" s="113">
        <v>1195000</v>
      </c>
      <c r="E649" s="113">
        <f t="shared" si="27"/>
        <v>80442896</v>
      </c>
      <c r="F649" s="113">
        <v>1000000</v>
      </c>
      <c r="G649" s="113">
        <f t="shared" si="28"/>
        <v>2008650</v>
      </c>
    </row>
    <row r="650" spans="1:7" x14ac:dyDescent="0.25">
      <c r="A650" s="2125">
        <v>43323</v>
      </c>
      <c r="B650" s="57"/>
      <c r="C650" s="57"/>
      <c r="D650" s="113">
        <v>400000</v>
      </c>
      <c r="E650" s="113">
        <f t="shared" si="27"/>
        <v>80842896</v>
      </c>
      <c r="F650" s="113"/>
      <c r="G650" s="113">
        <f t="shared" si="28"/>
        <v>2408650</v>
      </c>
    </row>
    <row r="651" spans="1:7" x14ac:dyDescent="0.25">
      <c r="A651" s="2125">
        <v>43324</v>
      </c>
      <c r="B651" s="57"/>
      <c r="C651" s="57"/>
      <c r="D651" s="113">
        <v>348500</v>
      </c>
      <c r="E651" s="113">
        <f t="shared" si="27"/>
        <v>81191396</v>
      </c>
      <c r="F651" s="113"/>
      <c r="G651" s="113">
        <f t="shared" si="28"/>
        <v>2757150</v>
      </c>
    </row>
    <row r="652" spans="1:7" x14ac:dyDescent="0.25">
      <c r="A652" s="2125">
        <v>43325</v>
      </c>
      <c r="B652" s="57"/>
      <c r="C652" s="57"/>
      <c r="D652" s="113">
        <v>160000</v>
      </c>
      <c r="E652" s="113">
        <f>+E651+D652</f>
        <v>81351396</v>
      </c>
      <c r="F652" s="113"/>
      <c r="G652" s="113">
        <f>+G651+D652-F652</f>
        <v>2917150</v>
      </c>
    </row>
    <row r="653" spans="1:7" x14ac:dyDescent="0.25">
      <c r="A653" s="2125">
        <v>43326</v>
      </c>
      <c r="B653" s="57"/>
      <c r="C653" s="57"/>
      <c r="D653" s="113">
        <v>508500</v>
      </c>
      <c r="E653" s="113">
        <f t="shared" si="27"/>
        <v>81859896</v>
      </c>
      <c r="F653" s="113"/>
      <c r="G653" s="113">
        <f t="shared" si="28"/>
        <v>3425650</v>
      </c>
    </row>
    <row r="654" spans="1:7" x14ac:dyDescent="0.25">
      <c r="A654" s="2125">
        <v>43327</v>
      </c>
      <c r="B654" s="57"/>
      <c r="C654" s="57"/>
      <c r="D654" s="113">
        <v>807000</v>
      </c>
      <c r="E654" s="113">
        <f t="shared" si="27"/>
        <v>82666896</v>
      </c>
      <c r="F654" s="113"/>
      <c r="G654" s="113">
        <f t="shared" si="28"/>
        <v>4232650</v>
      </c>
    </row>
    <row r="655" spans="1:7" x14ac:dyDescent="0.25">
      <c r="A655" s="2125">
        <v>43328</v>
      </c>
      <c r="B655" s="57"/>
      <c r="C655" s="57"/>
      <c r="D655" s="113">
        <v>602700</v>
      </c>
      <c r="E655" s="113">
        <f t="shared" si="27"/>
        <v>83269596</v>
      </c>
      <c r="F655" s="113"/>
      <c r="G655" s="113">
        <f t="shared" si="28"/>
        <v>4835350</v>
      </c>
    </row>
    <row r="656" spans="1:7" x14ac:dyDescent="0.25">
      <c r="A656" s="2125">
        <v>43329</v>
      </c>
      <c r="B656" s="57"/>
      <c r="C656" s="57"/>
      <c r="D656" s="113">
        <v>70200</v>
      </c>
      <c r="E656" s="113">
        <f t="shared" si="27"/>
        <v>83339796</v>
      </c>
      <c r="F656" s="113"/>
      <c r="G656" s="113">
        <f t="shared" si="28"/>
        <v>4905550</v>
      </c>
    </row>
    <row r="657" spans="1:7" x14ac:dyDescent="0.25">
      <c r="A657" s="2125">
        <v>43330</v>
      </c>
      <c r="B657" s="57"/>
      <c r="C657" s="57"/>
      <c r="D657" s="113">
        <v>541850</v>
      </c>
      <c r="E657" s="113">
        <f t="shared" si="27"/>
        <v>83881646</v>
      </c>
      <c r="F657" s="113"/>
      <c r="G657" s="113">
        <f t="shared" si="28"/>
        <v>5447400</v>
      </c>
    </row>
    <row r="658" spans="1:7" x14ac:dyDescent="0.25">
      <c r="A658" s="2125">
        <v>43331</v>
      </c>
      <c r="B658" s="57"/>
      <c r="C658" s="57"/>
      <c r="D658" s="113">
        <v>283000</v>
      </c>
      <c r="E658" s="113">
        <f t="shared" si="27"/>
        <v>84164646</v>
      </c>
      <c r="F658" s="113"/>
      <c r="G658" s="113">
        <f t="shared" si="28"/>
        <v>5730400</v>
      </c>
    </row>
    <row r="659" spans="1:7" x14ac:dyDescent="0.25">
      <c r="A659" s="2125">
        <v>43332</v>
      </c>
      <c r="B659" s="57"/>
      <c r="C659" s="57"/>
      <c r="D659" s="113">
        <v>29000</v>
      </c>
      <c r="E659" s="113">
        <f t="shared" si="27"/>
        <v>84193646</v>
      </c>
      <c r="F659" s="113"/>
      <c r="G659" s="113">
        <f t="shared" si="28"/>
        <v>5759400</v>
      </c>
    </row>
    <row r="660" spans="1:7" x14ac:dyDescent="0.25">
      <c r="A660" s="2125">
        <v>43333</v>
      </c>
      <c r="B660" s="57"/>
      <c r="C660" s="57"/>
      <c r="D660" s="113">
        <v>255750</v>
      </c>
      <c r="E660" s="113">
        <f t="shared" si="27"/>
        <v>84449396</v>
      </c>
      <c r="F660" s="113"/>
      <c r="G660" s="113">
        <f t="shared" si="28"/>
        <v>6015150</v>
      </c>
    </row>
    <row r="661" spans="1:7" x14ac:dyDescent="0.25">
      <c r="A661" s="2125">
        <v>43334</v>
      </c>
      <c r="B661" s="57"/>
      <c r="C661" s="57"/>
      <c r="D661" s="113">
        <v>115000</v>
      </c>
      <c r="E661" s="113">
        <f t="shared" si="27"/>
        <v>84564396</v>
      </c>
      <c r="F661" s="113">
        <f>2745650+30500</f>
        <v>2776150</v>
      </c>
      <c r="G661" s="113">
        <f t="shared" si="28"/>
        <v>3354000</v>
      </c>
    </row>
    <row r="662" spans="1:7" x14ac:dyDescent="0.25">
      <c r="A662" s="2125">
        <v>43335</v>
      </c>
      <c r="B662" s="57"/>
      <c r="C662" s="57"/>
      <c r="D662" s="113">
        <v>83250</v>
      </c>
      <c r="E662" s="113">
        <f t="shared" si="27"/>
        <v>84647646</v>
      </c>
      <c r="F662" s="113"/>
      <c r="G662" s="113">
        <f t="shared" si="28"/>
        <v>3437250</v>
      </c>
    </row>
    <row r="663" spans="1:7" x14ac:dyDescent="0.25">
      <c r="A663" s="2125">
        <v>43336</v>
      </c>
      <c r="B663" s="57"/>
      <c r="C663" s="57"/>
      <c r="D663" s="113">
        <v>91500</v>
      </c>
      <c r="E663" s="113">
        <f t="shared" si="27"/>
        <v>84739146</v>
      </c>
      <c r="F663" s="113">
        <v>2984250</v>
      </c>
      <c r="G663" s="113">
        <f t="shared" si="28"/>
        <v>544500</v>
      </c>
    </row>
    <row r="664" spans="1:7" x14ac:dyDescent="0.25">
      <c r="A664" s="2125">
        <v>43337</v>
      </c>
      <c r="B664" s="57"/>
      <c r="C664" s="57"/>
      <c r="D664" s="113">
        <v>371250</v>
      </c>
      <c r="E664" s="113">
        <f>+E663+D664</f>
        <v>85110396</v>
      </c>
      <c r="F664" s="113"/>
      <c r="G664" s="113">
        <f t="shared" si="28"/>
        <v>915750</v>
      </c>
    </row>
    <row r="665" spans="1:7" x14ac:dyDescent="0.25">
      <c r="A665" s="2125">
        <v>43338</v>
      </c>
      <c r="B665" s="57"/>
      <c r="C665" s="57"/>
      <c r="D665" s="113">
        <v>319000</v>
      </c>
      <c r="E665" s="113">
        <f t="shared" si="27"/>
        <v>85429396</v>
      </c>
      <c r="F665" s="113"/>
      <c r="G665" s="113">
        <f t="shared" si="28"/>
        <v>1234750</v>
      </c>
    </row>
    <row r="666" spans="1:7" x14ac:dyDescent="0.25">
      <c r="A666" s="2125">
        <v>43339</v>
      </c>
      <c r="B666" s="57"/>
      <c r="C666" s="57"/>
      <c r="D666" s="113">
        <v>521400</v>
      </c>
      <c r="E666" s="113">
        <f t="shared" si="27"/>
        <v>85950796</v>
      </c>
      <c r="F666" s="113"/>
      <c r="G666" s="113">
        <f t="shared" si="28"/>
        <v>1756150</v>
      </c>
    </row>
    <row r="667" spans="1:7" x14ac:dyDescent="0.25">
      <c r="A667" s="2125">
        <v>43340</v>
      </c>
      <c r="B667" s="57"/>
      <c r="C667" s="57"/>
      <c r="D667" s="113">
        <v>768900</v>
      </c>
      <c r="E667" s="113">
        <f t="shared" si="27"/>
        <v>86719696</v>
      </c>
      <c r="F667" s="113"/>
      <c r="G667" s="113">
        <f t="shared" si="28"/>
        <v>2525050</v>
      </c>
    </row>
    <row r="668" spans="1:7" x14ac:dyDescent="0.25">
      <c r="A668" s="2125">
        <v>43341</v>
      </c>
      <c r="B668" s="57"/>
      <c r="C668" s="57"/>
      <c r="D668" s="113">
        <v>755070</v>
      </c>
      <c r="E668" s="113">
        <f t="shared" si="27"/>
        <v>87474766</v>
      </c>
      <c r="F668" s="113">
        <v>1032850</v>
      </c>
      <c r="G668" s="113">
        <f t="shared" si="28"/>
        <v>2247270</v>
      </c>
    </row>
    <row r="669" spans="1:7" x14ac:dyDescent="0.25">
      <c r="A669" s="2125">
        <v>43342</v>
      </c>
      <c r="B669" s="57"/>
      <c r="C669" s="57"/>
      <c r="D669" s="113">
        <v>395400</v>
      </c>
      <c r="E669" s="113">
        <f t="shared" si="27"/>
        <v>87870166</v>
      </c>
      <c r="F669" s="113"/>
      <c r="G669" s="113">
        <f t="shared" si="28"/>
        <v>2642670</v>
      </c>
    </row>
    <row r="670" spans="1:7" x14ac:dyDescent="0.25">
      <c r="A670" s="2125">
        <v>43343</v>
      </c>
      <c r="B670" s="57"/>
      <c r="C670" s="57"/>
      <c r="D670" s="113">
        <v>280000</v>
      </c>
      <c r="E670" s="113">
        <f t="shared" si="27"/>
        <v>88150166</v>
      </c>
      <c r="F670" s="113"/>
      <c r="G670" s="113">
        <f t="shared" si="28"/>
        <v>2922670</v>
      </c>
    </row>
    <row r="671" spans="1:7" x14ac:dyDescent="0.25">
      <c r="A671" s="2166"/>
      <c r="B671" s="2167"/>
      <c r="C671" s="2167"/>
      <c r="D671" s="2168"/>
      <c r="E671" s="2168">
        <f t="shared" si="27"/>
        <v>88150166</v>
      </c>
      <c r="F671" s="2168"/>
      <c r="G671" s="2168">
        <f t="shared" si="28"/>
        <v>2922670</v>
      </c>
    </row>
    <row r="672" spans="1:7" x14ac:dyDescent="0.25">
      <c r="A672" s="2125">
        <v>43344</v>
      </c>
      <c r="B672" s="57"/>
      <c r="C672" s="57"/>
      <c r="D672" s="113">
        <v>216000</v>
      </c>
      <c r="E672" s="113">
        <f t="shared" si="27"/>
        <v>88366166</v>
      </c>
      <c r="F672" s="113"/>
      <c r="G672" s="113">
        <f t="shared" si="28"/>
        <v>3138670</v>
      </c>
    </row>
    <row r="673" spans="1:7" x14ac:dyDescent="0.25">
      <c r="A673" s="2125">
        <v>43345</v>
      </c>
      <c r="B673" s="57"/>
      <c r="C673" s="57"/>
      <c r="D673" s="113">
        <v>495500</v>
      </c>
      <c r="E673" s="113">
        <f t="shared" si="27"/>
        <v>88861666</v>
      </c>
      <c r="F673" s="113"/>
      <c r="G673" s="113">
        <f t="shared" si="28"/>
        <v>3634170</v>
      </c>
    </row>
    <row r="674" spans="1:7" x14ac:dyDescent="0.25">
      <c r="A674" s="2125">
        <v>43346</v>
      </c>
      <c r="B674" s="57"/>
      <c r="C674" s="57"/>
      <c r="D674" s="113">
        <v>331800</v>
      </c>
      <c r="E674" s="113">
        <f t="shared" si="27"/>
        <v>89193466</v>
      </c>
      <c r="F674" s="113"/>
      <c r="G674" s="113">
        <f t="shared" si="28"/>
        <v>3965970</v>
      </c>
    </row>
    <row r="675" spans="1:7" x14ac:dyDescent="0.25">
      <c r="A675" s="2125">
        <v>43347</v>
      </c>
      <c r="B675" s="57"/>
      <c r="C675" s="57"/>
      <c r="D675" s="113">
        <v>618500</v>
      </c>
      <c r="E675" s="113">
        <f t="shared" si="27"/>
        <v>89811966</v>
      </c>
      <c r="F675" s="113"/>
      <c r="G675" s="113">
        <f t="shared" si="28"/>
        <v>4584470</v>
      </c>
    </row>
    <row r="676" spans="1:7" x14ac:dyDescent="0.25">
      <c r="A676" s="2125">
        <v>43348</v>
      </c>
      <c r="B676" s="57"/>
      <c r="C676" s="57"/>
      <c r="D676" s="113">
        <v>254000</v>
      </c>
      <c r="E676" s="113">
        <f t="shared" si="27"/>
        <v>90065966</v>
      </c>
      <c r="F676" s="113"/>
      <c r="G676" s="113">
        <f t="shared" si="28"/>
        <v>4838470</v>
      </c>
    </row>
    <row r="677" spans="1:7" x14ac:dyDescent="0.25">
      <c r="A677" s="2125">
        <v>43349</v>
      </c>
      <c r="B677" s="57"/>
      <c r="C677" s="57"/>
      <c r="D677" s="113">
        <v>233500</v>
      </c>
      <c r="E677" s="113">
        <f t="shared" si="27"/>
        <v>90299466</v>
      </c>
      <c r="F677" s="113">
        <f>3633670+120000</f>
        <v>3753670</v>
      </c>
      <c r="G677" s="113">
        <f t="shared" si="28"/>
        <v>1318300</v>
      </c>
    </row>
    <row r="678" spans="1:7" x14ac:dyDescent="0.25">
      <c r="A678" s="2125">
        <v>43350</v>
      </c>
      <c r="B678" s="57"/>
      <c r="C678" s="57"/>
      <c r="D678" s="113">
        <v>155000</v>
      </c>
      <c r="E678" s="113">
        <f t="shared" si="27"/>
        <v>90454466</v>
      </c>
      <c r="F678" s="113"/>
      <c r="G678" s="113">
        <f t="shared" si="28"/>
        <v>1473300</v>
      </c>
    </row>
    <row r="679" spans="1:7" x14ac:dyDescent="0.25">
      <c r="A679" s="2125">
        <v>43351</v>
      </c>
      <c r="B679" s="57"/>
      <c r="C679" s="57"/>
      <c r="D679" s="113">
        <v>418000</v>
      </c>
      <c r="E679" s="113">
        <f t="shared" si="27"/>
        <v>90872466</v>
      </c>
      <c r="F679" s="113"/>
      <c r="G679" s="113">
        <f t="shared" si="28"/>
        <v>1891300</v>
      </c>
    </row>
    <row r="680" spans="1:7" x14ac:dyDescent="0.25">
      <c r="A680" s="2125">
        <v>43352</v>
      </c>
      <c r="B680" s="57"/>
      <c r="C680" s="57"/>
      <c r="D680" s="113">
        <v>277500</v>
      </c>
      <c r="E680" s="113">
        <f t="shared" si="27"/>
        <v>91149966</v>
      </c>
      <c r="F680" s="113"/>
      <c r="G680" s="113">
        <f t="shared" si="28"/>
        <v>2168800</v>
      </c>
    </row>
    <row r="681" spans="1:7" x14ac:dyDescent="0.25">
      <c r="A681" s="2125">
        <v>43353</v>
      </c>
      <c r="B681" s="57"/>
      <c r="C681" s="57"/>
      <c r="D681" s="113">
        <v>89250</v>
      </c>
      <c r="E681" s="113">
        <f t="shared" si="27"/>
        <v>91239216</v>
      </c>
      <c r="F681" s="113"/>
      <c r="G681" s="113">
        <f t="shared" si="28"/>
        <v>2258050</v>
      </c>
    </row>
    <row r="682" spans="1:7" x14ac:dyDescent="0.25">
      <c r="A682" s="2125">
        <v>43354</v>
      </c>
      <c r="B682" s="57"/>
      <c r="C682" s="57"/>
      <c r="D682" s="113">
        <v>694000</v>
      </c>
      <c r="E682" s="113">
        <f t="shared" si="27"/>
        <v>91933216</v>
      </c>
      <c r="F682" s="113"/>
      <c r="G682" s="113">
        <f t="shared" si="28"/>
        <v>2952050</v>
      </c>
    </row>
    <row r="683" spans="1:7" x14ac:dyDescent="0.25">
      <c r="A683" s="2125">
        <v>43355</v>
      </c>
      <c r="B683" s="57"/>
      <c r="C683" s="57"/>
      <c r="D683" s="113">
        <v>459000</v>
      </c>
      <c r="E683" s="113">
        <f t="shared" si="27"/>
        <v>92392216</v>
      </c>
      <c r="F683" s="113"/>
      <c r="G683" s="113">
        <f t="shared" si="28"/>
        <v>3411050</v>
      </c>
    </row>
    <row r="684" spans="1:7" x14ac:dyDescent="0.25">
      <c r="A684" s="2125">
        <v>43356</v>
      </c>
      <c r="B684" s="57"/>
      <c r="C684" s="57"/>
      <c r="D684" s="113">
        <v>916000</v>
      </c>
      <c r="E684" s="113">
        <f t="shared" si="27"/>
        <v>93308216</v>
      </c>
      <c r="F684" s="113"/>
      <c r="G684" s="113">
        <f t="shared" si="28"/>
        <v>4327050</v>
      </c>
    </row>
    <row r="685" spans="1:7" x14ac:dyDescent="0.25">
      <c r="A685" s="2125">
        <v>43357</v>
      </c>
      <c r="B685" s="57"/>
      <c r="C685" s="57"/>
      <c r="D685" s="113">
        <v>690250</v>
      </c>
      <c r="E685" s="113">
        <f t="shared" si="27"/>
        <v>93998466</v>
      </c>
      <c r="F685" s="113"/>
      <c r="G685" s="113">
        <f t="shared" si="28"/>
        <v>5017300</v>
      </c>
    </row>
    <row r="686" spans="1:7" x14ac:dyDescent="0.25">
      <c r="A686" s="2125">
        <v>43358</v>
      </c>
      <c r="B686" s="57"/>
      <c r="C686" s="57"/>
      <c r="D686" s="113">
        <v>318500</v>
      </c>
      <c r="E686" s="113">
        <f t="shared" si="27"/>
        <v>94316966</v>
      </c>
      <c r="F686" s="113"/>
      <c r="G686" s="113">
        <f t="shared" si="28"/>
        <v>5335800</v>
      </c>
    </row>
    <row r="687" spans="1:7" x14ac:dyDescent="0.25">
      <c r="A687" s="2125">
        <v>43359</v>
      </c>
      <c r="B687" s="57"/>
      <c r="C687" s="57"/>
      <c r="D687" s="113">
        <v>100000</v>
      </c>
      <c r="E687" s="113">
        <f t="shared" si="27"/>
        <v>94416966</v>
      </c>
      <c r="F687" s="113"/>
      <c r="G687" s="113">
        <f t="shared" si="28"/>
        <v>5435800</v>
      </c>
    </row>
    <row r="688" spans="1:7" x14ac:dyDescent="0.25">
      <c r="A688" s="2125">
        <v>43360</v>
      </c>
      <c r="B688" s="57"/>
      <c r="C688" s="57"/>
      <c r="D688" s="113">
        <v>326500</v>
      </c>
      <c r="E688" s="113">
        <f t="shared" si="27"/>
        <v>94743466</v>
      </c>
      <c r="F688" s="113">
        <v>2138300</v>
      </c>
      <c r="G688" s="113">
        <f t="shared" si="28"/>
        <v>3624000</v>
      </c>
    </row>
    <row r="689" spans="1:7" x14ac:dyDescent="0.25">
      <c r="A689" s="2125">
        <v>43361</v>
      </c>
      <c r="B689" s="57"/>
      <c r="C689" s="57"/>
      <c r="D689" s="113">
        <v>436500</v>
      </c>
      <c r="E689" s="113">
        <f t="shared" si="27"/>
        <v>95179966</v>
      </c>
      <c r="F689" s="113"/>
      <c r="G689" s="113">
        <f t="shared" si="28"/>
        <v>4060500</v>
      </c>
    </row>
    <row r="690" spans="1:7" x14ac:dyDescent="0.25">
      <c r="A690" s="2125">
        <v>43362</v>
      </c>
      <c r="B690" s="57"/>
      <c r="C690" s="57"/>
      <c r="D690" s="113">
        <v>585000</v>
      </c>
      <c r="E690" s="113">
        <f t="shared" si="27"/>
        <v>95764966</v>
      </c>
      <c r="F690" s="113">
        <v>3267000</v>
      </c>
      <c r="G690" s="113">
        <f t="shared" si="28"/>
        <v>1378500</v>
      </c>
    </row>
    <row r="691" spans="1:7" x14ac:dyDescent="0.25">
      <c r="A691" s="2125">
        <v>43363</v>
      </c>
      <c r="B691" s="57"/>
      <c r="C691" s="57"/>
      <c r="D691" s="113">
        <v>30250</v>
      </c>
      <c r="E691" s="113">
        <f t="shared" si="27"/>
        <v>95795216</v>
      </c>
      <c r="F691" s="113"/>
      <c r="G691" s="113">
        <f t="shared" si="28"/>
        <v>1408750</v>
      </c>
    </row>
    <row r="692" spans="1:7" x14ac:dyDescent="0.25">
      <c r="A692" s="2125">
        <v>43364</v>
      </c>
      <c r="B692" s="57"/>
      <c r="C692" s="57"/>
      <c r="D692" s="113">
        <v>598350</v>
      </c>
      <c r="E692" s="113">
        <f t="shared" si="27"/>
        <v>96393566</v>
      </c>
      <c r="F692" s="113"/>
      <c r="G692" s="113">
        <f t="shared" si="28"/>
        <v>2007100</v>
      </c>
    </row>
    <row r="693" spans="1:7" x14ac:dyDescent="0.25">
      <c r="A693" s="2125">
        <v>43365</v>
      </c>
      <c r="B693" s="57"/>
      <c r="C693" s="57"/>
      <c r="D693" s="113">
        <v>224000</v>
      </c>
      <c r="E693" s="113">
        <f t="shared" si="27"/>
        <v>96617566</v>
      </c>
      <c r="F693" s="113"/>
      <c r="G693" s="113">
        <f t="shared" si="28"/>
        <v>2231100</v>
      </c>
    </row>
    <row r="694" spans="1:7" x14ac:dyDescent="0.25">
      <c r="A694" s="2125">
        <v>43366</v>
      </c>
      <c r="B694" s="57"/>
      <c r="C694" s="57"/>
      <c r="D694" s="113">
        <v>157000</v>
      </c>
      <c r="E694" s="113">
        <f t="shared" si="27"/>
        <v>96774566</v>
      </c>
      <c r="F694" s="113"/>
      <c r="G694" s="113">
        <f t="shared" si="28"/>
        <v>2388100</v>
      </c>
    </row>
    <row r="695" spans="1:7" x14ac:dyDescent="0.25">
      <c r="A695" s="2125">
        <v>43367</v>
      </c>
      <c r="B695" s="57"/>
      <c r="C695" s="57"/>
      <c r="D695" s="113">
        <v>164200</v>
      </c>
      <c r="E695" s="113">
        <f t="shared" si="27"/>
        <v>96938766</v>
      </c>
      <c r="F695" s="113"/>
      <c r="G695" s="113">
        <f t="shared" si="28"/>
        <v>2552300</v>
      </c>
    </row>
    <row r="696" spans="1:7" x14ac:dyDescent="0.25">
      <c r="A696" s="2125">
        <v>43368</v>
      </c>
      <c r="B696" s="57"/>
      <c r="C696" s="57"/>
      <c r="D696" s="113">
        <v>261500</v>
      </c>
      <c r="E696" s="113">
        <f t="shared" si="27"/>
        <v>97200266</v>
      </c>
      <c r="F696" s="113"/>
      <c r="G696" s="113">
        <f t="shared" si="28"/>
        <v>2813800</v>
      </c>
    </row>
    <row r="697" spans="1:7" x14ac:dyDescent="0.25">
      <c r="A697" s="2125">
        <v>43369</v>
      </c>
      <c r="B697" s="57"/>
      <c r="C697" s="57"/>
      <c r="D697" s="113">
        <v>50500</v>
      </c>
      <c r="E697" s="113">
        <f t="shared" si="27"/>
        <v>97250766</v>
      </c>
      <c r="F697" s="113">
        <v>2250600</v>
      </c>
      <c r="G697" s="113">
        <f t="shared" si="28"/>
        <v>613700</v>
      </c>
    </row>
    <row r="698" spans="1:7" x14ac:dyDescent="0.25">
      <c r="A698" s="2125">
        <v>43370</v>
      </c>
      <c r="B698" s="57"/>
      <c r="C698" s="57"/>
      <c r="D698" s="113">
        <v>395000</v>
      </c>
      <c r="E698" s="113">
        <f t="shared" si="27"/>
        <v>97645766</v>
      </c>
      <c r="F698" s="113"/>
      <c r="G698" s="113">
        <f t="shared" si="28"/>
        <v>1008700</v>
      </c>
    </row>
    <row r="699" spans="1:7" x14ac:dyDescent="0.25">
      <c r="A699" s="2125">
        <v>43371</v>
      </c>
      <c r="B699" s="57"/>
      <c r="C699" s="57"/>
      <c r="D699" s="113">
        <v>815850</v>
      </c>
      <c r="E699" s="113">
        <f t="shared" si="27"/>
        <v>98461616</v>
      </c>
      <c r="F699" s="113"/>
      <c r="G699" s="113">
        <f t="shared" si="28"/>
        <v>1824550</v>
      </c>
    </row>
    <row r="700" spans="1:7" x14ac:dyDescent="0.25">
      <c r="A700" s="2125">
        <v>43372</v>
      </c>
      <c r="B700" s="57"/>
      <c r="C700" s="57"/>
      <c r="D700" s="113">
        <v>338500</v>
      </c>
      <c r="E700" s="113">
        <f>+E699+D700</f>
        <v>98800116</v>
      </c>
      <c r="F700" s="113"/>
      <c r="G700" s="113">
        <f t="shared" si="28"/>
        <v>2163050</v>
      </c>
    </row>
    <row r="701" spans="1:7" x14ac:dyDescent="0.25">
      <c r="A701" s="2125">
        <v>43373</v>
      </c>
      <c r="B701" s="57"/>
      <c r="C701" s="57"/>
      <c r="D701" s="113">
        <v>341250</v>
      </c>
      <c r="E701" s="113">
        <f t="shared" ref="E701:E764" si="29">+E700+D701</f>
        <v>99141366</v>
      </c>
      <c r="F701" s="113"/>
      <c r="G701" s="113">
        <f t="shared" si="28"/>
        <v>2504300</v>
      </c>
    </row>
    <row r="702" spans="1:7" x14ac:dyDescent="0.25">
      <c r="A702" s="2166"/>
      <c r="B702" s="2167"/>
      <c r="C702" s="2167"/>
      <c r="D702" s="2168"/>
      <c r="E702" s="2168">
        <f t="shared" si="29"/>
        <v>99141366</v>
      </c>
      <c r="F702" s="2168"/>
      <c r="G702" s="2168">
        <f t="shared" si="28"/>
        <v>2504300</v>
      </c>
    </row>
    <row r="703" spans="1:7" x14ac:dyDescent="0.25">
      <c r="A703" s="2125">
        <v>43374</v>
      </c>
      <c r="B703" s="57"/>
      <c r="C703" s="57"/>
      <c r="D703" s="113">
        <v>159600</v>
      </c>
      <c r="E703" s="113">
        <f t="shared" si="29"/>
        <v>99300966</v>
      </c>
      <c r="F703" s="113"/>
      <c r="G703" s="113">
        <f t="shared" ref="G703:G766" si="30">+G702+D703-F703</f>
        <v>2663900</v>
      </c>
    </row>
    <row r="704" spans="1:7" x14ac:dyDescent="0.25">
      <c r="A704" s="2125">
        <v>43375</v>
      </c>
      <c r="B704" s="57"/>
      <c r="C704" s="57"/>
      <c r="D704" s="113">
        <v>53000</v>
      </c>
      <c r="E704" s="113">
        <f t="shared" si="29"/>
        <v>99353966</v>
      </c>
      <c r="F704" s="113"/>
      <c r="G704" s="113">
        <f t="shared" si="30"/>
        <v>2716900</v>
      </c>
    </row>
    <row r="705" spans="1:7" x14ac:dyDescent="0.25">
      <c r="A705" s="2125">
        <v>43376</v>
      </c>
      <c r="B705" s="57"/>
      <c r="C705" s="57"/>
      <c r="D705" s="113">
        <v>376000</v>
      </c>
      <c r="E705" s="113">
        <f t="shared" si="29"/>
        <v>99729966</v>
      </c>
      <c r="F705" s="113">
        <v>2223950</v>
      </c>
      <c r="G705" s="113">
        <f t="shared" si="30"/>
        <v>868950</v>
      </c>
    </row>
    <row r="706" spans="1:7" x14ac:dyDescent="0.25">
      <c r="A706" s="2125">
        <v>43377</v>
      </c>
      <c r="B706" s="57"/>
      <c r="C706" s="57"/>
      <c r="D706" s="113">
        <v>226400</v>
      </c>
      <c r="E706" s="113">
        <f t="shared" si="29"/>
        <v>99956366</v>
      </c>
      <c r="F706" s="113"/>
      <c r="G706" s="113">
        <f t="shared" si="30"/>
        <v>1095350</v>
      </c>
    </row>
    <row r="707" spans="1:7" x14ac:dyDescent="0.25">
      <c r="A707" s="2125">
        <v>43378</v>
      </c>
      <c r="B707" s="57"/>
      <c r="C707" s="57"/>
      <c r="D707" s="113">
        <v>272500</v>
      </c>
      <c r="E707" s="113">
        <f t="shared" si="29"/>
        <v>100228866</v>
      </c>
      <c r="F707" s="113"/>
      <c r="G707" s="113">
        <f t="shared" si="30"/>
        <v>1367850</v>
      </c>
    </row>
    <row r="708" spans="1:7" x14ac:dyDescent="0.25">
      <c r="A708" s="2125">
        <v>43379</v>
      </c>
      <c r="B708" s="57"/>
      <c r="C708" s="57"/>
      <c r="D708" s="113">
        <v>115000</v>
      </c>
      <c r="E708" s="113">
        <f t="shared" si="29"/>
        <v>100343866</v>
      </c>
      <c r="F708" s="113"/>
      <c r="G708" s="113">
        <f t="shared" si="30"/>
        <v>1482850</v>
      </c>
    </row>
    <row r="709" spans="1:7" x14ac:dyDescent="0.25">
      <c r="A709" s="2125">
        <v>43380</v>
      </c>
      <c r="B709" s="57"/>
      <c r="C709" s="57"/>
      <c r="D709" s="113">
        <v>202500</v>
      </c>
      <c r="E709" s="113">
        <f t="shared" si="29"/>
        <v>100546366</v>
      </c>
      <c r="F709" s="113"/>
      <c r="G709" s="113">
        <f t="shared" si="30"/>
        <v>1685350</v>
      </c>
    </row>
    <row r="710" spans="1:7" x14ac:dyDescent="0.25">
      <c r="A710" s="2125">
        <v>43381</v>
      </c>
      <c r="B710" s="57"/>
      <c r="C710" s="57"/>
      <c r="D710" s="113">
        <v>193750</v>
      </c>
      <c r="E710" s="113">
        <f t="shared" si="29"/>
        <v>100740116</v>
      </c>
      <c r="F710" s="113"/>
      <c r="G710" s="113">
        <f t="shared" si="30"/>
        <v>1879100</v>
      </c>
    </row>
    <row r="711" spans="1:7" x14ac:dyDescent="0.25">
      <c r="A711" s="2125">
        <v>43382</v>
      </c>
      <c r="B711" s="57"/>
      <c r="C711" s="57"/>
      <c r="D711" s="113">
        <v>36800</v>
      </c>
      <c r="E711" s="113">
        <f t="shared" si="29"/>
        <v>100776916</v>
      </c>
      <c r="F711" s="113"/>
      <c r="G711" s="113">
        <f t="shared" si="30"/>
        <v>1915900</v>
      </c>
    </row>
    <row r="712" spans="1:7" x14ac:dyDescent="0.25">
      <c r="A712" s="2125">
        <v>43383</v>
      </c>
      <c r="B712" s="57"/>
      <c r="C712" s="57"/>
      <c r="D712" s="113">
        <v>29000</v>
      </c>
      <c r="E712" s="113">
        <f t="shared" si="29"/>
        <v>100805916</v>
      </c>
      <c r="F712" s="113">
        <v>1632050</v>
      </c>
      <c r="G712" s="113">
        <f t="shared" si="30"/>
        <v>312850</v>
      </c>
    </row>
    <row r="713" spans="1:7" x14ac:dyDescent="0.25">
      <c r="A713" s="2125">
        <v>43384</v>
      </c>
      <c r="B713" s="57"/>
      <c r="C713" s="57"/>
      <c r="D713" s="113">
        <v>507000</v>
      </c>
      <c r="E713" s="113">
        <f t="shared" si="29"/>
        <v>101312916</v>
      </c>
      <c r="F713" s="113"/>
      <c r="G713" s="113">
        <f t="shared" si="30"/>
        <v>819850</v>
      </c>
    </row>
    <row r="714" spans="1:7" x14ac:dyDescent="0.25">
      <c r="A714" s="2125">
        <v>43385</v>
      </c>
      <c r="B714" s="57"/>
      <c r="C714" s="57"/>
      <c r="D714" s="113">
        <v>32200</v>
      </c>
      <c r="E714" s="113">
        <f t="shared" si="29"/>
        <v>101345116</v>
      </c>
      <c r="F714" s="113"/>
      <c r="G714" s="113">
        <f t="shared" si="30"/>
        <v>852050</v>
      </c>
    </row>
    <row r="715" spans="1:7" x14ac:dyDescent="0.25">
      <c r="A715" s="2125">
        <v>43386</v>
      </c>
      <c r="B715" s="57"/>
      <c r="C715" s="57"/>
      <c r="D715" s="113">
        <v>336000</v>
      </c>
      <c r="E715" s="113">
        <f t="shared" si="29"/>
        <v>101681116</v>
      </c>
      <c r="F715" s="113"/>
      <c r="G715" s="113">
        <f t="shared" si="30"/>
        <v>1188050</v>
      </c>
    </row>
    <row r="716" spans="1:7" x14ac:dyDescent="0.25">
      <c r="A716" s="2125">
        <v>43387</v>
      </c>
      <c r="B716" s="57"/>
      <c r="C716" s="57"/>
      <c r="D716" s="113"/>
      <c r="E716" s="113">
        <f t="shared" si="29"/>
        <v>101681116</v>
      </c>
      <c r="F716" s="113"/>
      <c r="G716" s="113">
        <f t="shared" si="30"/>
        <v>1188050</v>
      </c>
    </row>
    <row r="717" spans="1:7" x14ac:dyDescent="0.25">
      <c r="A717" s="2125">
        <v>43388</v>
      </c>
      <c r="B717" s="57"/>
      <c r="C717" s="57"/>
      <c r="D717" s="113">
        <v>799500</v>
      </c>
      <c r="E717" s="113">
        <f t="shared" si="29"/>
        <v>102480616</v>
      </c>
      <c r="F717" s="113"/>
      <c r="G717" s="113">
        <f t="shared" si="30"/>
        <v>1987550</v>
      </c>
    </row>
    <row r="718" spans="1:7" x14ac:dyDescent="0.25">
      <c r="A718" s="2125">
        <v>43389</v>
      </c>
      <c r="B718" s="57"/>
      <c r="C718" s="57"/>
      <c r="D718" s="113">
        <v>190000</v>
      </c>
      <c r="E718" s="113">
        <f t="shared" si="29"/>
        <v>102670616</v>
      </c>
      <c r="F718" s="113"/>
      <c r="G718" s="113">
        <f t="shared" si="30"/>
        <v>2177550</v>
      </c>
    </row>
    <row r="719" spans="1:7" x14ac:dyDescent="0.25">
      <c r="A719" s="2125">
        <v>43390</v>
      </c>
      <c r="B719" s="57"/>
      <c r="C719" s="57"/>
      <c r="D719" s="113"/>
      <c r="E719" s="113">
        <f t="shared" si="29"/>
        <v>102670616</v>
      </c>
      <c r="F719" s="113">
        <f>1111550</f>
        <v>1111550</v>
      </c>
      <c r="G719" s="113">
        <f t="shared" si="30"/>
        <v>1066000</v>
      </c>
    </row>
    <row r="720" spans="1:7" x14ac:dyDescent="0.25">
      <c r="A720" s="2125">
        <v>43391</v>
      </c>
      <c r="B720" s="57"/>
      <c r="C720" s="57"/>
      <c r="D720" s="113">
        <v>245000</v>
      </c>
      <c r="E720" s="113">
        <f t="shared" si="29"/>
        <v>102915616</v>
      </c>
      <c r="F720" s="113"/>
      <c r="G720" s="113">
        <f t="shared" si="30"/>
        <v>1311000</v>
      </c>
    </row>
    <row r="721" spans="1:7" x14ac:dyDescent="0.25">
      <c r="A721" s="2125">
        <v>43392</v>
      </c>
      <c r="B721" s="57"/>
      <c r="C721" s="57"/>
      <c r="D721" s="113">
        <v>30000</v>
      </c>
      <c r="E721" s="113">
        <f t="shared" si="29"/>
        <v>102945616</v>
      </c>
      <c r="F721" s="113"/>
      <c r="G721" s="113">
        <f t="shared" si="30"/>
        <v>1341000</v>
      </c>
    </row>
    <row r="722" spans="1:7" x14ac:dyDescent="0.25">
      <c r="A722" s="2125">
        <v>43393</v>
      </c>
      <c r="B722" s="57"/>
      <c r="C722" s="57"/>
      <c r="D722" s="113">
        <v>71000</v>
      </c>
      <c r="E722" s="113">
        <f t="shared" si="29"/>
        <v>103016616</v>
      </c>
      <c r="F722" s="113"/>
      <c r="G722" s="113">
        <f t="shared" si="30"/>
        <v>1412000</v>
      </c>
    </row>
    <row r="723" spans="1:7" x14ac:dyDescent="0.25">
      <c r="A723" s="2125">
        <v>43394</v>
      </c>
      <c r="B723" s="57"/>
      <c r="C723" s="57"/>
      <c r="D723" s="113">
        <v>243625</v>
      </c>
      <c r="E723" s="113">
        <f t="shared" si="29"/>
        <v>103260241</v>
      </c>
      <c r="F723" s="113"/>
      <c r="G723" s="113">
        <f t="shared" si="30"/>
        <v>1655625</v>
      </c>
    </row>
    <row r="724" spans="1:7" x14ac:dyDescent="0.25">
      <c r="A724" s="2125">
        <v>43395</v>
      </c>
      <c r="B724" s="57"/>
      <c r="C724" s="57"/>
      <c r="D724" s="113">
        <v>25750</v>
      </c>
      <c r="E724" s="113">
        <f t="shared" si="29"/>
        <v>103285991</v>
      </c>
      <c r="F724" s="113"/>
      <c r="G724" s="113">
        <f t="shared" si="30"/>
        <v>1681375</v>
      </c>
    </row>
    <row r="725" spans="1:7" x14ac:dyDescent="0.25">
      <c r="A725" s="2125">
        <v>43396</v>
      </c>
      <c r="B725" s="57"/>
      <c r="C725" s="57"/>
      <c r="D725" s="113">
        <v>86800</v>
      </c>
      <c r="E725" s="113">
        <f t="shared" si="29"/>
        <v>103372791</v>
      </c>
      <c r="F725" s="113"/>
      <c r="G725" s="113">
        <f t="shared" si="30"/>
        <v>1768175</v>
      </c>
    </row>
    <row r="726" spans="1:7" x14ac:dyDescent="0.25">
      <c r="A726" s="2125">
        <v>43397</v>
      </c>
      <c r="B726" s="57"/>
      <c r="C726" s="57"/>
      <c r="D726" s="113">
        <v>140000</v>
      </c>
      <c r="E726" s="113">
        <f t="shared" si="29"/>
        <v>103512791</v>
      </c>
      <c r="F726" s="113"/>
      <c r="G726" s="113">
        <f t="shared" si="30"/>
        <v>1908175</v>
      </c>
    </row>
    <row r="727" spans="1:7" x14ac:dyDescent="0.25">
      <c r="A727" s="2125">
        <v>43398</v>
      </c>
      <c r="B727" s="57"/>
      <c r="C727" s="57"/>
      <c r="D727" s="113">
        <v>220000</v>
      </c>
      <c r="E727" s="113">
        <f t="shared" si="29"/>
        <v>103732791</v>
      </c>
      <c r="F727" s="113"/>
      <c r="G727" s="113">
        <f t="shared" si="30"/>
        <v>2128175</v>
      </c>
    </row>
    <row r="728" spans="1:7" x14ac:dyDescent="0.25">
      <c r="A728" s="2125">
        <v>43399</v>
      </c>
      <c r="B728" s="57"/>
      <c r="C728" s="57"/>
      <c r="D728" s="113">
        <v>236000</v>
      </c>
      <c r="E728" s="113">
        <f t="shared" si="29"/>
        <v>103968791</v>
      </c>
      <c r="F728" s="113">
        <f>1570500+41400</f>
        <v>1611900</v>
      </c>
      <c r="G728" s="113">
        <f t="shared" si="30"/>
        <v>752275</v>
      </c>
    </row>
    <row r="729" spans="1:7" x14ac:dyDescent="0.25">
      <c r="A729" s="2125">
        <v>43400</v>
      </c>
      <c r="B729" s="57"/>
      <c r="C729" s="57"/>
      <c r="D729" s="113">
        <v>391400</v>
      </c>
      <c r="E729" s="113">
        <f t="shared" si="29"/>
        <v>104360191</v>
      </c>
      <c r="F729" s="113"/>
      <c r="G729" s="113">
        <f t="shared" si="30"/>
        <v>1143675</v>
      </c>
    </row>
    <row r="730" spans="1:7" x14ac:dyDescent="0.25">
      <c r="A730" s="2125">
        <v>43401</v>
      </c>
      <c r="B730" s="57"/>
      <c r="C730" s="57"/>
      <c r="D730" s="113"/>
      <c r="E730" s="113">
        <f t="shared" si="29"/>
        <v>104360191</v>
      </c>
      <c r="F730" s="113"/>
      <c r="G730" s="113">
        <f t="shared" si="30"/>
        <v>1143675</v>
      </c>
    </row>
    <row r="731" spans="1:7" x14ac:dyDescent="0.25">
      <c r="A731" s="2125">
        <v>43402</v>
      </c>
      <c r="B731" s="57"/>
      <c r="C731" s="57"/>
      <c r="D731" s="113">
        <v>349000</v>
      </c>
      <c r="E731" s="113">
        <f t="shared" si="29"/>
        <v>104709191</v>
      </c>
      <c r="F731" s="113"/>
      <c r="G731" s="113">
        <f t="shared" si="30"/>
        <v>1492675</v>
      </c>
    </row>
    <row r="732" spans="1:7" x14ac:dyDescent="0.25">
      <c r="A732" s="2125">
        <v>43403</v>
      </c>
      <c r="B732" s="57"/>
      <c r="C732" s="57"/>
      <c r="D732" s="113">
        <v>345000</v>
      </c>
      <c r="E732" s="113">
        <f t="shared" si="29"/>
        <v>105054191</v>
      </c>
      <c r="F732" s="113"/>
      <c r="G732" s="113">
        <f t="shared" si="30"/>
        <v>1837675</v>
      </c>
    </row>
    <row r="733" spans="1:7" x14ac:dyDescent="0.25">
      <c r="A733" s="2125">
        <v>43404</v>
      </c>
      <c r="B733" s="57"/>
      <c r="C733" s="57"/>
      <c r="D733" s="113">
        <v>304400</v>
      </c>
      <c r="E733" s="113">
        <f t="shared" si="29"/>
        <v>105358591</v>
      </c>
      <c r="F733" s="113">
        <v>1155075</v>
      </c>
      <c r="G733" s="113">
        <f t="shared" si="30"/>
        <v>987000</v>
      </c>
    </row>
    <row r="734" spans="1:7" x14ac:dyDescent="0.25">
      <c r="A734" s="2166"/>
      <c r="B734" s="2167"/>
      <c r="C734" s="2167"/>
      <c r="D734" s="2168"/>
      <c r="E734" s="113">
        <f t="shared" si="29"/>
        <v>105358591</v>
      </c>
      <c r="F734" s="2168"/>
      <c r="G734" s="113">
        <f t="shared" si="30"/>
        <v>987000</v>
      </c>
    </row>
    <row r="735" spans="1:7" x14ac:dyDescent="0.25">
      <c r="A735" s="2125">
        <v>43405</v>
      </c>
      <c r="B735" s="57"/>
      <c r="C735" s="57"/>
      <c r="D735" s="113">
        <v>114000</v>
      </c>
      <c r="E735" s="113">
        <f t="shared" si="29"/>
        <v>105472591</v>
      </c>
      <c r="F735" s="113"/>
      <c r="G735" s="113">
        <f t="shared" si="30"/>
        <v>1101000</v>
      </c>
    </row>
    <row r="736" spans="1:7" x14ac:dyDescent="0.25">
      <c r="A736" s="2125">
        <v>43406</v>
      </c>
      <c r="B736" s="57"/>
      <c r="C736" s="57"/>
      <c r="D736" s="113">
        <v>99800</v>
      </c>
      <c r="E736" s="113">
        <f t="shared" si="29"/>
        <v>105572391</v>
      </c>
      <c r="F736" s="113"/>
      <c r="G736" s="113">
        <f t="shared" si="30"/>
        <v>1200800</v>
      </c>
    </row>
    <row r="737" spans="1:7" x14ac:dyDescent="0.25">
      <c r="A737" s="2125">
        <v>43407</v>
      </c>
      <c r="B737" s="57"/>
      <c r="C737" s="57"/>
      <c r="D737" s="113">
        <v>742500</v>
      </c>
      <c r="E737" s="113">
        <f t="shared" si="29"/>
        <v>106314891</v>
      </c>
      <c r="F737" s="113"/>
      <c r="G737" s="113">
        <f t="shared" si="30"/>
        <v>1943300</v>
      </c>
    </row>
    <row r="738" spans="1:7" x14ac:dyDescent="0.25">
      <c r="A738" s="2125">
        <v>43408</v>
      </c>
      <c r="B738" s="57"/>
      <c r="C738" s="57"/>
      <c r="D738" s="113">
        <v>166750</v>
      </c>
      <c r="E738" s="113">
        <f t="shared" si="29"/>
        <v>106481641</v>
      </c>
      <c r="F738" s="113"/>
      <c r="G738" s="113">
        <f t="shared" si="30"/>
        <v>2110050</v>
      </c>
    </row>
    <row r="739" spans="1:7" x14ac:dyDescent="0.25">
      <c r="A739" s="2125">
        <v>43409</v>
      </c>
      <c r="B739" s="57"/>
      <c r="C739" s="57"/>
      <c r="D739" s="113">
        <v>156850</v>
      </c>
      <c r="E739" s="113">
        <f t="shared" si="29"/>
        <v>106638491</v>
      </c>
      <c r="F739" s="113"/>
      <c r="G739" s="113">
        <f t="shared" si="30"/>
        <v>2266900</v>
      </c>
    </row>
    <row r="740" spans="1:7" x14ac:dyDescent="0.25">
      <c r="A740" s="2125">
        <v>43410</v>
      </c>
      <c r="B740" s="57"/>
      <c r="C740" s="57"/>
      <c r="D740" s="113">
        <v>303600</v>
      </c>
      <c r="E740" s="113">
        <f t="shared" si="29"/>
        <v>106942091</v>
      </c>
      <c r="F740" s="113"/>
      <c r="G740" s="113">
        <f t="shared" si="30"/>
        <v>2570500</v>
      </c>
    </row>
    <row r="741" spans="1:7" x14ac:dyDescent="0.25">
      <c r="A741" s="2125">
        <v>43411</v>
      </c>
      <c r="B741" s="57"/>
      <c r="C741" s="57"/>
      <c r="D741" s="113">
        <v>391350</v>
      </c>
      <c r="E741" s="113">
        <f t="shared" si="29"/>
        <v>107333441</v>
      </c>
      <c r="F741" s="113"/>
      <c r="G741" s="113">
        <f t="shared" si="30"/>
        <v>2961850</v>
      </c>
    </row>
    <row r="742" spans="1:7" x14ac:dyDescent="0.25">
      <c r="A742" s="2125">
        <v>43412</v>
      </c>
      <c r="B742" s="57"/>
      <c r="C742" s="57"/>
      <c r="D742" s="113">
        <v>265750</v>
      </c>
      <c r="E742" s="113">
        <f t="shared" si="29"/>
        <v>107599191</v>
      </c>
      <c r="F742" s="113"/>
      <c r="G742" s="113">
        <f t="shared" si="30"/>
        <v>3227600</v>
      </c>
    </row>
    <row r="743" spans="1:7" x14ac:dyDescent="0.25">
      <c r="A743" s="2125">
        <v>43413</v>
      </c>
      <c r="B743" s="57"/>
      <c r="C743" s="57"/>
      <c r="D743" s="113">
        <f>510500</f>
        <v>510500</v>
      </c>
      <c r="E743" s="113">
        <f t="shared" si="29"/>
        <v>108109691</v>
      </c>
      <c r="F743" s="113"/>
      <c r="G743" s="113">
        <f t="shared" si="30"/>
        <v>3738100</v>
      </c>
    </row>
    <row r="744" spans="1:7" x14ac:dyDescent="0.25">
      <c r="A744" s="2125">
        <v>43414</v>
      </c>
      <c r="B744" s="57"/>
      <c r="C744" s="57"/>
      <c r="D744" s="113">
        <v>255000</v>
      </c>
      <c r="E744" s="113">
        <f t="shared" si="29"/>
        <v>108364691</v>
      </c>
      <c r="F744" s="113"/>
      <c r="G744" s="113">
        <f t="shared" si="30"/>
        <v>3993100</v>
      </c>
    </row>
    <row r="745" spans="1:7" x14ac:dyDescent="0.25">
      <c r="A745" s="2125">
        <v>43415</v>
      </c>
      <c r="B745" s="57"/>
      <c r="C745" s="57"/>
      <c r="D745" s="113">
        <v>705500</v>
      </c>
      <c r="E745" s="113">
        <f t="shared" si="29"/>
        <v>109070191</v>
      </c>
      <c r="F745" s="113"/>
      <c r="G745" s="113">
        <f t="shared" si="30"/>
        <v>4698600</v>
      </c>
    </row>
    <row r="746" spans="1:7" x14ac:dyDescent="0.25">
      <c r="A746" s="2125">
        <v>43416</v>
      </c>
      <c r="B746" s="57"/>
      <c r="C746" s="57"/>
      <c r="D746" s="113">
        <v>235500</v>
      </c>
      <c r="E746" s="113">
        <f t="shared" si="29"/>
        <v>109305691</v>
      </c>
      <c r="F746" s="113"/>
      <c r="G746" s="113">
        <f t="shared" si="30"/>
        <v>4934100</v>
      </c>
    </row>
    <row r="747" spans="1:7" x14ac:dyDescent="0.25">
      <c r="A747" s="2125">
        <v>43417</v>
      </c>
      <c r="B747" s="57"/>
      <c r="C747" s="57"/>
      <c r="D747" s="113">
        <v>20000</v>
      </c>
      <c r="E747" s="113">
        <f t="shared" si="29"/>
        <v>109325691</v>
      </c>
      <c r="F747" s="113"/>
      <c r="G747" s="113">
        <f t="shared" si="30"/>
        <v>4954100</v>
      </c>
    </row>
    <row r="748" spans="1:7" x14ac:dyDescent="0.25">
      <c r="A748" s="2125">
        <v>43418</v>
      </c>
      <c r="B748" s="57"/>
      <c r="C748" s="57"/>
      <c r="D748" s="113">
        <v>559725</v>
      </c>
      <c r="E748" s="113">
        <f t="shared" si="29"/>
        <v>109885416</v>
      </c>
      <c r="F748" s="113"/>
      <c r="G748" s="113">
        <f t="shared" si="30"/>
        <v>5513825</v>
      </c>
    </row>
    <row r="749" spans="1:7" x14ac:dyDescent="0.25">
      <c r="A749" s="2125">
        <v>43419</v>
      </c>
      <c r="B749" s="57"/>
      <c r="C749" s="57"/>
      <c r="D749" s="113">
        <v>196600</v>
      </c>
      <c r="E749" s="113">
        <f t="shared" si="29"/>
        <v>110082016</v>
      </c>
      <c r="F749" s="113">
        <f>2075050</f>
        <v>2075050</v>
      </c>
      <c r="G749" s="113">
        <f t="shared" si="30"/>
        <v>3635375</v>
      </c>
    </row>
    <row r="750" spans="1:7" x14ac:dyDescent="0.25">
      <c r="A750" s="2125">
        <v>43420</v>
      </c>
      <c r="B750" s="57"/>
      <c r="C750" s="57"/>
      <c r="D750" s="113">
        <v>199000</v>
      </c>
      <c r="E750" s="113">
        <f t="shared" si="29"/>
        <v>110281016</v>
      </c>
      <c r="F750" s="113"/>
      <c r="G750" s="113">
        <f t="shared" si="30"/>
        <v>3834375</v>
      </c>
    </row>
    <row r="751" spans="1:7" x14ac:dyDescent="0.25">
      <c r="A751" s="2125">
        <v>43421</v>
      </c>
      <c r="B751" s="57"/>
      <c r="C751" s="57"/>
      <c r="D751" s="113">
        <v>35600</v>
      </c>
      <c r="E751" s="113">
        <f t="shared" si="29"/>
        <v>110316616</v>
      </c>
      <c r="F751" s="113"/>
      <c r="G751" s="113">
        <f t="shared" si="30"/>
        <v>3869975</v>
      </c>
    </row>
    <row r="752" spans="1:7" x14ac:dyDescent="0.25">
      <c r="A752" s="2125">
        <v>43422</v>
      </c>
      <c r="B752" s="57"/>
      <c r="C752" s="57"/>
      <c r="D752" s="113">
        <v>266500</v>
      </c>
      <c r="E752" s="113">
        <f t="shared" si="29"/>
        <v>110583116</v>
      </c>
      <c r="F752" s="113"/>
      <c r="G752" s="113">
        <f t="shared" si="30"/>
        <v>4136475</v>
      </c>
    </row>
    <row r="753" spans="1:7" x14ac:dyDescent="0.25">
      <c r="A753" s="2125">
        <v>43423</v>
      </c>
      <c r="B753" s="57"/>
      <c r="C753" s="57"/>
      <c r="D753" s="113">
        <v>113000</v>
      </c>
      <c r="E753" s="113">
        <f t="shared" si="29"/>
        <v>110696116</v>
      </c>
      <c r="F753" s="113">
        <v>2585100</v>
      </c>
      <c r="G753" s="113">
        <f t="shared" si="30"/>
        <v>1664375</v>
      </c>
    </row>
    <row r="754" spans="1:7" x14ac:dyDescent="0.25">
      <c r="A754" s="2125">
        <v>43424</v>
      </c>
      <c r="B754" s="57"/>
      <c r="C754" s="57"/>
      <c r="D754" s="113">
        <v>266000</v>
      </c>
      <c r="E754" s="113">
        <f t="shared" si="29"/>
        <v>110962116</v>
      </c>
      <c r="F754" s="113"/>
      <c r="G754" s="113">
        <f t="shared" si="30"/>
        <v>1930375</v>
      </c>
    </row>
    <row r="755" spans="1:7" x14ac:dyDescent="0.25">
      <c r="A755" s="2125">
        <v>43425</v>
      </c>
      <c r="B755" s="57"/>
      <c r="C755" s="57"/>
      <c r="D755" s="113">
        <v>38000</v>
      </c>
      <c r="E755" s="113">
        <f t="shared" si="29"/>
        <v>111000116</v>
      </c>
      <c r="F755" s="113"/>
      <c r="G755" s="113">
        <f t="shared" si="30"/>
        <v>1968375</v>
      </c>
    </row>
    <row r="756" spans="1:7" x14ac:dyDescent="0.25">
      <c r="A756" s="2125">
        <v>43426</v>
      </c>
      <c r="B756" s="57"/>
      <c r="C756" s="57"/>
      <c r="D756" s="113">
        <v>90700</v>
      </c>
      <c r="E756" s="113">
        <f t="shared" si="29"/>
        <v>111090816</v>
      </c>
      <c r="F756" s="113"/>
      <c r="G756" s="113">
        <f t="shared" si="30"/>
        <v>2059075</v>
      </c>
    </row>
    <row r="757" spans="1:7" x14ac:dyDescent="0.25">
      <c r="A757" s="2125">
        <v>43427</v>
      </c>
      <c r="B757" s="57"/>
      <c r="C757" s="57"/>
      <c r="D757" s="113">
        <v>254400</v>
      </c>
      <c r="E757" s="113">
        <f t="shared" si="29"/>
        <v>111345216</v>
      </c>
      <c r="F757" s="113"/>
      <c r="G757" s="113">
        <f t="shared" si="30"/>
        <v>2313475</v>
      </c>
    </row>
    <row r="758" spans="1:7" x14ac:dyDescent="0.25">
      <c r="A758" s="2125">
        <v>43428</v>
      </c>
      <c r="B758" s="57"/>
      <c r="C758" s="57"/>
      <c r="D758" s="113">
        <v>512500</v>
      </c>
      <c r="E758" s="113">
        <f t="shared" si="29"/>
        <v>111857716</v>
      </c>
      <c r="F758" s="113"/>
      <c r="G758" s="113">
        <f t="shared" si="30"/>
        <v>2825975</v>
      </c>
    </row>
    <row r="759" spans="1:7" x14ac:dyDescent="0.25">
      <c r="A759" s="2125">
        <v>43429</v>
      </c>
      <c r="B759" s="57"/>
      <c r="C759" s="57"/>
      <c r="D759" s="113">
        <v>187000</v>
      </c>
      <c r="E759" s="113">
        <f t="shared" si="29"/>
        <v>112044716</v>
      </c>
      <c r="F759" s="113"/>
      <c r="G759" s="113">
        <f t="shared" si="30"/>
        <v>3012975</v>
      </c>
    </row>
    <row r="760" spans="1:7" x14ac:dyDescent="0.25">
      <c r="A760" s="2125">
        <v>43430</v>
      </c>
      <c r="B760" s="57"/>
      <c r="C760" s="57"/>
      <c r="D760" s="113">
        <v>626500</v>
      </c>
      <c r="E760" s="113">
        <f t="shared" si="29"/>
        <v>112671216</v>
      </c>
      <c r="F760" s="113">
        <v>1478425</v>
      </c>
      <c r="G760" s="113">
        <f t="shared" si="30"/>
        <v>2161050</v>
      </c>
    </row>
    <row r="761" spans="1:7" x14ac:dyDescent="0.25">
      <c r="A761" s="2125">
        <v>43431</v>
      </c>
      <c r="B761" s="57"/>
      <c r="C761" s="57"/>
      <c r="D761" s="113">
        <v>386000</v>
      </c>
      <c r="E761" s="113">
        <f t="shared" si="29"/>
        <v>113057216</v>
      </c>
      <c r="F761" s="113">
        <v>1491100</v>
      </c>
      <c r="G761" s="113">
        <f t="shared" si="30"/>
        <v>1055950</v>
      </c>
    </row>
    <row r="762" spans="1:7" x14ac:dyDescent="0.25">
      <c r="A762" s="2125">
        <v>43432</v>
      </c>
      <c r="B762" s="57"/>
      <c r="C762" s="57"/>
      <c r="D762" s="113">
        <v>234100</v>
      </c>
      <c r="E762" s="113">
        <f t="shared" si="29"/>
        <v>113291316</v>
      </c>
      <c r="F762" s="113"/>
      <c r="G762" s="113">
        <f t="shared" si="30"/>
        <v>1290050</v>
      </c>
    </row>
    <row r="763" spans="1:7" x14ac:dyDescent="0.25">
      <c r="A763" s="2125">
        <v>43433</v>
      </c>
      <c r="B763" s="57"/>
      <c r="C763" s="57"/>
      <c r="D763" s="113">
        <v>457250</v>
      </c>
      <c r="E763" s="113">
        <f t="shared" si="29"/>
        <v>113748566</v>
      </c>
      <c r="F763" s="113"/>
      <c r="G763" s="113">
        <f t="shared" si="30"/>
        <v>1747300</v>
      </c>
    </row>
    <row r="764" spans="1:7" x14ac:dyDescent="0.25">
      <c r="A764" s="2125">
        <v>43434</v>
      </c>
      <c r="B764" s="57"/>
      <c r="C764" s="57"/>
      <c r="D764" s="113">
        <v>603250</v>
      </c>
      <c r="E764" s="113">
        <f t="shared" si="29"/>
        <v>114351816</v>
      </c>
      <c r="F764" s="113"/>
      <c r="G764" s="113">
        <f t="shared" si="30"/>
        <v>2350550</v>
      </c>
    </row>
    <row r="765" spans="1:7" x14ac:dyDescent="0.25">
      <c r="A765" s="2125">
        <v>43435</v>
      </c>
      <c r="B765" s="57"/>
      <c r="C765" s="57"/>
      <c r="D765" s="113">
        <v>268400</v>
      </c>
      <c r="E765" s="113">
        <f t="shared" ref="E765:E828" si="31">+E764+D765</f>
        <v>114620216</v>
      </c>
      <c r="F765" s="113"/>
      <c r="G765" s="113">
        <f t="shared" si="30"/>
        <v>2618950</v>
      </c>
    </row>
    <row r="766" spans="1:7" x14ac:dyDescent="0.25">
      <c r="A766" s="2125">
        <v>43436</v>
      </c>
      <c r="B766" s="57"/>
      <c r="C766" s="57"/>
      <c r="D766" s="113">
        <v>202975</v>
      </c>
      <c r="E766" s="113">
        <f t="shared" si="31"/>
        <v>114823191</v>
      </c>
      <c r="F766" s="113"/>
      <c r="G766" s="113">
        <f t="shared" si="30"/>
        <v>2821925</v>
      </c>
    </row>
    <row r="767" spans="1:7" x14ac:dyDescent="0.25">
      <c r="A767" s="2125">
        <v>43437</v>
      </c>
      <c r="B767" s="57"/>
      <c r="C767" s="57"/>
      <c r="D767" s="113">
        <v>37000</v>
      </c>
      <c r="E767" s="113">
        <f t="shared" si="31"/>
        <v>114860191</v>
      </c>
      <c r="F767" s="113"/>
      <c r="G767" s="113">
        <f t="shared" ref="G767:G830" si="32">+G766+D767-F767</f>
        <v>2858925</v>
      </c>
    </row>
    <row r="768" spans="1:7" x14ac:dyDescent="0.25">
      <c r="A768" s="2125">
        <v>43438</v>
      </c>
      <c r="B768" s="57"/>
      <c r="C768" s="57"/>
      <c r="D768" s="113">
        <v>420300</v>
      </c>
      <c r="E768" s="113">
        <f t="shared" si="31"/>
        <v>115280491</v>
      </c>
      <c r="F768" s="113"/>
      <c r="G768" s="113">
        <f t="shared" si="32"/>
        <v>3279225</v>
      </c>
    </row>
    <row r="769" spans="1:7" x14ac:dyDescent="0.25">
      <c r="A769" s="2125">
        <v>43439</v>
      </c>
      <c r="B769" s="57"/>
      <c r="C769" s="57"/>
      <c r="D769" s="113">
        <v>254000</v>
      </c>
      <c r="E769" s="113">
        <f t="shared" si="31"/>
        <v>115534491</v>
      </c>
      <c r="F769" s="113">
        <f>2791975+300000</f>
        <v>3091975</v>
      </c>
      <c r="G769" s="113">
        <f t="shared" si="32"/>
        <v>441250</v>
      </c>
    </row>
    <row r="770" spans="1:7" x14ac:dyDescent="0.25">
      <c r="A770" s="2125">
        <v>43440</v>
      </c>
      <c r="B770" s="57"/>
      <c r="C770" s="57"/>
      <c r="D770" s="113">
        <v>838135</v>
      </c>
      <c r="E770" s="113">
        <f t="shared" si="31"/>
        <v>116372626</v>
      </c>
      <c r="F770" s="113"/>
      <c r="G770" s="113">
        <f t="shared" si="32"/>
        <v>1279385</v>
      </c>
    </row>
    <row r="771" spans="1:7" x14ac:dyDescent="0.25">
      <c r="A771" s="2125">
        <v>43441</v>
      </c>
      <c r="B771" s="57"/>
      <c r="C771" s="57"/>
      <c r="D771" s="113">
        <v>46000</v>
      </c>
      <c r="E771" s="113">
        <f t="shared" si="31"/>
        <v>116418626</v>
      </c>
      <c r="F771" s="113"/>
      <c r="G771" s="113">
        <f t="shared" si="32"/>
        <v>1325385</v>
      </c>
    </row>
    <row r="772" spans="1:7" x14ac:dyDescent="0.25">
      <c r="A772" s="2125">
        <v>43442</v>
      </c>
      <c r="B772" s="57"/>
      <c r="C772" s="57"/>
      <c r="D772" s="113">
        <v>364000</v>
      </c>
      <c r="E772" s="113">
        <f t="shared" si="31"/>
        <v>116782626</v>
      </c>
      <c r="F772" s="113"/>
      <c r="G772" s="113">
        <f t="shared" si="32"/>
        <v>1689385</v>
      </c>
    </row>
    <row r="773" spans="1:7" x14ac:dyDescent="0.25">
      <c r="A773" s="2125">
        <v>43443</v>
      </c>
      <c r="B773" s="57"/>
      <c r="C773" s="57"/>
      <c r="D773" s="113">
        <v>180500</v>
      </c>
      <c r="E773" s="113">
        <f t="shared" si="31"/>
        <v>116963126</v>
      </c>
      <c r="F773" s="113"/>
      <c r="G773" s="113">
        <f t="shared" si="32"/>
        <v>1869885</v>
      </c>
    </row>
    <row r="774" spans="1:7" x14ac:dyDescent="0.25">
      <c r="A774" s="2125">
        <v>43444</v>
      </c>
      <c r="B774" s="57"/>
      <c r="C774" s="57"/>
      <c r="D774" s="113">
        <v>25500</v>
      </c>
      <c r="E774" s="113">
        <f t="shared" si="31"/>
        <v>116988626</v>
      </c>
      <c r="F774" s="113"/>
      <c r="G774" s="113">
        <f t="shared" si="32"/>
        <v>1895385</v>
      </c>
    </row>
    <row r="775" spans="1:7" x14ac:dyDescent="0.25">
      <c r="A775" s="2125">
        <v>43445</v>
      </c>
      <c r="B775" s="57"/>
      <c r="C775" s="57"/>
      <c r="D775" s="113">
        <v>300000</v>
      </c>
      <c r="E775" s="113">
        <f t="shared" si="31"/>
        <v>117288626</v>
      </c>
      <c r="F775" s="113"/>
      <c r="G775" s="113">
        <f t="shared" si="32"/>
        <v>2195385</v>
      </c>
    </row>
    <row r="776" spans="1:7" x14ac:dyDescent="0.25">
      <c r="A776" s="2125">
        <v>43446</v>
      </c>
      <c r="B776" s="57"/>
      <c r="C776" s="57"/>
      <c r="D776" s="113">
        <v>161000</v>
      </c>
      <c r="E776" s="113">
        <f t="shared" si="31"/>
        <v>117449626</v>
      </c>
      <c r="F776" s="113"/>
      <c r="G776" s="113">
        <f t="shared" si="32"/>
        <v>2356385</v>
      </c>
    </row>
    <row r="777" spans="1:7" x14ac:dyDescent="0.25">
      <c r="A777" s="2125">
        <v>43447</v>
      </c>
      <c r="B777" s="57"/>
      <c r="C777" s="57"/>
      <c r="D777" s="113">
        <v>489500</v>
      </c>
      <c r="E777" s="113">
        <f t="shared" si="31"/>
        <v>117939126</v>
      </c>
      <c r="F777" s="113"/>
      <c r="G777" s="113">
        <f t="shared" si="32"/>
        <v>2845885</v>
      </c>
    </row>
    <row r="778" spans="1:7" x14ac:dyDescent="0.25">
      <c r="A778" s="2125">
        <v>43448</v>
      </c>
      <c r="B778" s="57"/>
      <c r="C778" s="57"/>
      <c r="D778" s="113">
        <v>827547</v>
      </c>
      <c r="E778" s="113">
        <f t="shared" si="31"/>
        <v>118766673</v>
      </c>
      <c r="F778" s="113"/>
      <c r="G778" s="113">
        <f t="shared" si="32"/>
        <v>3673432</v>
      </c>
    </row>
    <row r="779" spans="1:7" x14ac:dyDescent="0.25">
      <c r="A779" s="2125">
        <v>43449</v>
      </c>
      <c r="B779" s="57"/>
      <c r="C779" s="57"/>
      <c r="D779" s="275">
        <v>146500</v>
      </c>
      <c r="E779" s="113">
        <f t="shared" si="31"/>
        <v>118913173</v>
      </c>
      <c r="F779" s="113"/>
      <c r="G779" s="113">
        <f t="shared" si="32"/>
        <v>3819932</v>
      </c>
    </row>
    <row r="780" spans="1:7" x14ac:dyDescent="0.25">
      <c r="A780" s="2125">
        <v>43450</v>
      </c>
      <c r="B780" s="57"/>
      <c r="C780" s="57"/>
      <c r="D780" s="113">
        <v>64700</v>
      </c>
      <c r="E780" s="113">
        <f t="shared" si="31"/>
        <v>118977873</v>
      </c>
      <c r="F780" s="113"/>
      <c r="G780" s="113">
        <f t="shared" si="32"/>
        <v>3884632</v>
      </c>
    </row>
    <row r="781" spans="1:7" x14ac:dyDescent="0.25">
      <c r="A781" s="2125">
        <v>43451</v>
      </c>
      <c r="B781" s="57"/>
      <c r="C781" s="57"/>
      <c r="D781" s="113">
        <v>211000</v>
      </c>
      <c r="E781" s="113">
        <f t="shared" si="31"/>
        <v>119188873</v>
      </c>
      <c r="F781" s="113"/>
      <c r="G781" s="113">
        <f t="shared" si="32"/>
        <v>4095632</v>
      </c>
    </row>
    <row r="782" spans="1:7" x14ac:dyDescent="0.25">
      <c r="A782" s="2125">
        <v>43452</v>
      </c>
      <c r="B782" s="57"/>
      <c r="C782" s="57"/>
      <c r="D782" s="113">
        <v>93750</v>
      </c>
      <c r="E782" s="113">
        <f t="shared" si="31"/>
        <v>119282623</v>
      </c>
      <c r="F782" s="113"/>
      <c r="G782" s="113">
        <f t="shared" si="32"/>
        <v>4189382</v>
      </c>
    </row>
    <row r="783" spans="1:7" x14ac:dyDescent="0.25">
      <c r="A783" s="2125">
        <v>43453</v>
      </c>
      <c r="B783" s="57"/>
      <c r="C783" s="57"/>
      <c r="D783" s="113">
        <v>504950</v>
      </c>
      <c r="E783" s="113">
        <f t="shared" si="31"/>
        <v>119787573</v>
      </c>
      <c r="F783" s="113"/>
      <c r="G783" s="113">
        <f t="shared" si="32"/>
        <v>4694332</v>
      </c>
    </row>
    <row r="784" spans="1:7" x14ac:dyDescent="0.25">
      <c r="A784" s="2125">
        <v>43454</v>
      </c>
      <c r="B784" s="57"/>
      <c r="C784" s="57"/>
      <c r="D784" s="113">
        <v>228850</v>
      </c>
      <c r="E784" s="113">
        <f t="shared" si="31"/>
        <v>120016423</v>
      </c>
      <c r="F784" s="113"/>
      <c r="G784" s="113">
        <f t="shared" si="32"/>
        <v>4923182</v>
      </c>
    </row>
    <row r="785" spans="1:8" x14ac:dyDescent="0.25">
      <c r="A785" s="2125">
        <v>43455</v>
      </c>
      <c r="B785" s="57"/>
      <c r="C785" s="57"/>
      <c r="D785" s="113">
        <v>98600</v>
      </c>
      <c r="E785" s="113">
        <f t="shared" si="31"/>
        <v>120115023</v>
      </c>
      <c r="F785" s="113"/>
      <c r="G785" s="113">
        <f t="shared" si="32"/>
        <v>5021782</v>
      </c>
    </row>
    <row r="786" spans="1:8" x14ac:dyDescent="0.25">
      <c r="A786" s="2125">
        <v>43456</v>
      </c>
      <c r="B786" s="57"/>
      <c r="C786" s="57"/>
      <c r="D786" s="113">
        <v>563850</v>
      </c>
      <c r="E786" s="113">
        <f t="shared" si="31"/>
        <v>120678873</v>
      </c>
      <c r="F786" s="113"/>
      <c r="G786" s="113">
        <f t="shared" si="32"/>
        <v>5585632</v>
      </c>
    </row>
    <row r="787" spans="1:8" x14ac:dyDescent="0.25">
      <c r="A787" s="2125">
        <v>43457</v>
      </c>
      <c r="B787" s="57"/>
      <c r="C787" s="57"/>
      <c r="D787" s="113">
        <v>10000</v>
      </c>
      <c r="E787" s="113">
        <f t="shared" si="31"/>
        <v>120688873</v>
      </c>
      <c r="F787" s="113"/>
      <c r="G787" s="113">
        <f t="shared" si="32"/>
        <v>5595632</v>
      </c>
    </row>
    <row r="788" spans="1:8" x14ac:dyDescent="0.25">
      <c r="A788" s="2125">
        <v>43458</v>
      </c>
      <c r="B788" s="57"/>
      <c r="C788" s="57"/>
      <c r="D788" s="113">
        <v>648750</v>
      </c>
      <c r="E788" s="113">
        <f t="shared" si="31"/>
        <v>121337623</v>
      </c>
      <c r="F788" s="113"/>
      <c r="G788" s="113">
        <f t="shared" si="32"/>
        <v>6244382</v>
      </c>
    </row>
    <row r="789" spans="1:8" x14ac:dyDescent="0.25">
      <c r="A789" s="2125">
        <v>43459</v>
      </c>
      <c r="B789" s="57"/>
      <c r="C789" s="57"/>
      <c r="D789" s="113">
        <v>100000</v>
      </c>
      <c r="E789" s="113">
        <f t="shared" si="31"/>
        <v>121437623</v>
      </c>
      <c r="F789" s="113"/>
      <c r="G789" s="113">
        <f t="shared" si="32"/>
        <v>6344382</v>
      </c>
    </row>
    <row r="790" spans="1:8" x14ac:dyDescent="0.25">
      <c r="A790" s="2125">
        <v>43460</v>
      </c>
      <c r="B790" s="57"/>
      <c r="C790" s="57"/>
      <c r="D790" s="113"/>
      <c r="E790" s="113">
        <f t="shared" si="31"/>
        <v>121437623</v>
      </c>
      <c r="F790" s="113">
        <v>2136435</v>
      </c>
      <c r="G790" s="113">
        <f t="shared" si="32"/>
        <v>4207947</v>
      </c>
    </row>
    <row r="791" spans="1:8" x14ac:dyDescent="0.25">
      <c r="A791" s="2125">
        <v>43461</v>
      </c>
      <c r="B791" s="57"/>
      <c r="C791" s="57"/>
      <c r="D791" s="113">
        <v>415500</v>
      </c>
      <c r="E791" s="113">
        <f t="shared" si="31"/>
        <v>121853123</v>
      </c>
      <c r="F791" s="113"/>
      <c r="G791" s="113">
        <f t="shared" si="32"/>
        <v>4623447</v>
      </c>
    </row>
    <row r="792" spans="1:8" x14ac:dyDescent="0.25">
      <c r="A792" s="2125">
        <v>43462</v>
      </c>
      <c r="B792" s="57"/>
      <c r="C792" s="57"/>
      <c r="D792" s="113">
        <v>660000</v>
      </c>
      <c r="E792" s="113">
        <f t="shared" si="31"/>
        <v>122513123</v>
      </c>
      <c r="F792" s="113">
        <v>1734000</v>
      </c>
      <c r="G792" s="113">
        <f t="shared" si="32"/>
        <v>3549447</v>
      </c>
    </row>
    <row r="793" spans="1:8" x14ac:dyDescent="0.25">
      <c r="A793" s="2125">
        <v>43463</v>
      </c>
      <c r="B793" s="57"/>
      <c r="C793" s="57"/>
      <c r="D793" s="113">
        <v>320000</v>
      </c>
      <c r="E793" s="113">
        <f t="shared" si="31"/>
        <v>122833123</v>
      </c>
      <c r="F793" s="113"/>
      <c r="G793" s="113">
        <f t="shared" si="32"/>
        <v>3869447</v>
      </c>
    </row>
    <row r="794" spans="1:8" x14ac:dyDescent="0.25">
      <c r="A794" s="2125">
        <v>43464</v>
      </c>
      <c r="B794" s="57"/>
      <c r="C794" s="57"/>
      <c r="D794" s="113">
        <v>11500</v>
      </c>
      <c r="E794" s="113">
        <f t="shared" si="31"/>
        <v>122844623</v>
      </c>
      <c r="F794" s="113"/>
      <c r="G794" s="113">
        <f t="shared" si="32"/>
        <v>3880947</v>
      </c>
    </row>
    <row r="795" spans="1:8" x14ac:dyDescent="0.25">
      <c r="A795" s="2125">
        <v>43465</v>
      </c>
      <c r="B795" s="57"/>
      <c r="C795" s="57"/>
      <c r="D795" s="113">
        <v>281500</v>
      </c>
      <c r="E795" s="113">
        <f t="shared" si="31"/>
        <v>123126123</v>
      </c>
      <c r="F795" s="113"/>
      <c r="G795" s="113">
        <f t="shared" si="32"/>
        <v>4162447</v>
      </c>
    </row>
    <row r="796" spans="1:8" x14ac:dyDescent="0.25">
      <c r="A796" s="2166"/>
      <c r="B796" s="2167"/>
      <c r="C796" s="2167"/>
      <c r="D796" s="2168"/>
      <c r="E796" s="2168">
        <f t="shared" si="31"/>
        <v>123126123</v>
      </c>
      <c r="F796" s="2168"/>
      <c r="G796" s="2168">
        <f t="shared" si="32"/>
        <v>4162447</v>
      </c>
    </row>
    <row r="797" spans="1:8" x14ac:dyDescent="0.25">
      <c r="A797" s="2125">
        <v>43466</v>
      </c>
      <c r="B797" s="57"/>
      <c r="C797" s="57"/>
      <c r="D797" s="113"/>
      <c r="E797" s="113">
        <f t="shared" si="31"/>
        <v>123126123</v>
      </c>
      <c r="F797" s="113"/>
      <c r="G797" s="113">
        <f t="shared" si="32"/>
        <v>4162447</v>
      </c>
      <c r="H797" s="416" t="e">
        <f>+D810-#REF!</f>
        <v>#REF!</v>
      </c>
    </row>
    <row r="798" spans="1:8" x14ac:dyDescent="0.25">
      <c r="A798" s="2125">
        <v>43467</v>
      </c>
      <c r="B798" s="57"/>
      <c r="C798" s="57"/>
      <c r="D798" s="113">
        <v>1448770</v>
      </c>
      <c r="E798" s="113">
        <f t="shared" si="31"/>
        <v>124574893</v>
      </c>
      <c r="F798" s="113"/>
      <c r="G798" s="113">
        <f t="shared" si="32"/>
        <v>5611217</v>
      </c>
    </row>
    <row r="799" spans="1:8" x14ac:dyDescent="0.25">
      <c r="A799" s="2125">
        <v>43468</v>
      </c>
      <c r="B799" s="57"/>
      <c r="C799" s="57"/>
      <c r="D799" s="113">
        <v>150000</v>
      </c>
      <c r="E799" s="113">
        <f t="shared" si="31"/>
        <v>124724893</v>
      </c>
      <c r="F799" s="113"/>
      <c r="G799" s="113">
        <f t="shared" si="32"/>
        <v>5761217</v>
      </c>
    </row>
    <row r="800" spans="1:8" x14ac:dyDescent="0.25">
      <c r="A800" s="2125">
        <v>43469</v>
      </c>
      <c r="B800" s="57"/>
      <c r="C800" s="57"/>
      <c r="D800" s="113">
        <v>340000</v>
      </c>
      <c r="E800" s="113">
        <f t="shared" si="31"/>
        <v>125064893</v>
      </c>
      <c r="F800" s="113"/>
      <c r="G800" s="113">
        <f t="shared" si="32"/>
        <v>6101217</v>
      </c>
    </row>
    <row r="801" spans="1:7" x14ac:dyDescent="0.25">
      <c r="A801" s="2125">
        <v>43470</v>
      </c>
      <c r="B801" s="57"/>
      <c r="C801" s="57"/>
      <c r="D801" s="113">
        <v>735000</v>
      </c>
      <c r="E801" s="113">
        <f t="shared" si="31"/>
        <v>125799893</v>
      </c>
      <c r="F801" s="113"/>
      <c r="G801" s="113">
        <f t="shared" si="32"/>
        <v>6836217</v>
      </c>
    </row>
    <row r="802" spans="1:7" x14ac:dyDescent="0.25">
      <c r="A802" s="2125">
        <v>43471</v>
      </c>
      <c r="B802" s="57"/>
      <c r="C802" s="57"/>
      <c r="D802" s="113">
        <v>80000</v>
      </c>
      <c r="E802" s="113">
        <f t="shared" si="31"/>
        <v>125879893</v>
      </c>
      <c r="F802" s="113"/>
      <c r="G802" s="113">
        <f t="shared" si="32"/>
        <v>6916217</v>
      </c>
    </row>
    <row r="803" spans="1:7" x14ac:dyDescent="0.25">
      <c r="A803" s="2125">
        <v>43472</v>
      </c>
      <c r="B803" s="57"/>
      <c r="C803" s="57"/>
      <c r="D803" s="113">
        <v>15000</v>
      </c>
      <c r="E803" s="113">
        <f t="shared" si="31"/>
        <v>125894893</v>
      </c>
      <c r="F803" s="113"/>
      <c r="G803" s="2499">
        <f t="shared" si="32"/>
        <v>6931217</v>
      </c>
    </row>
    <row r="804" spans="1:7" x14ac:dyDescent="0.25">
      <c r="A804" s="2125">
        <v>43473</v>
      </c>
      <c r="B804" s="57"/>
      <c r="C804" s="57"/>
      <c r="D804" s="113">
        <v>511750</v>
      </c>
      <c r="E804" s="113">
        <f t="shared" si="31"/>
        <v>126406643</v>
      </c>
      <c r="F804" s="113"/>
      <c r="G804" s="113">
        <f t="shared" si="32"/>
        <v>7442967</v>
      </c>
    </row>
    <row r="805" spans="1:7" x14ac:dyDescent="0.25">
      <c r="A805" s="2125">
        <v>43474</v>
      </c>
      <c r="B805" s="57"/>
      <c r="C805" s="57"/>
      <c r="D805" s="113">
        <v>344300</v>
      </c>
      <c r="E805" s="113">
        <f t="shared" si="31"/>
        <v>126750943</v>
      </c>
      <c r="F805" s="113">
        <v>1695247</v>
      </c>
      <c r="G805" s="113">
        <f t="shared" si="32"/>
        <v>6092020</v>
      </c>
    </row>
    <row r="806" spans="1:7" x14ac:dyDescent="0.25">
      <c r="A806" s="2125">
        <v>43475</v>
      </c>
      <c r="B806" s="57"/>
      <c r="C806" s="57"/>
      <c r="D806" s="113">
        <v>299000</v>
      </c>
      <c r="E806" s="113">
        <f t="shared" si="31"/>
        <v>127049943</v>
      </c>
      <c r="F806" s="113"/>
      <c r="G806" s="113">
        <f t="shared" si="32"/>
        <v>6391020</v>
      </c>
    </row>
    <row r="807" spans="1:7" x14ac:dyDescent="0.25">
      <c r="A807" s="2125">
        <v>43476</v>
      </c>
      <c r="B807" s="57"/>
      <c r="C807" s="57"/>
      <c r="D807" s="113">
        <v>508500</v>
      </c>
      <c r="E807" s="113">
        <f t="shared" si="31"/>
        <v>127558443</v>
      </c>
      <c r="F807" s="113"/>
      <c r="G807" s="113">
        <f t="shared" si="32"/>
        <v>6899520</v>
      </c>
    </row>
    <row r="808" spans="1:7" x14ac:dyDescent="0.25">
      <c r="A808" s="2125">
        <v>43477</v>
      </c>
      <c r="B808" s="57"/>
      <c r="C808" s="57"/>
      <c r="D808" s="113">
        <v>104800</v>
      </c>
      <c r="E808" s="113">
        <f t="shared" si="31"/>
        <v>127663243</v>
      </c>
      <c r="F808" s="113"/>
      <c r="G808" s="113">
        <f t="shared" si="32"/>
        <v>7004320</v>
      </c>
    </row>
    <row r="809" spans="1:7" x14ac:dyDescent="0.25">
      <c r="A809" s="2125">
        <v>43478</v>
      </c>
      <c r="B809" s="57"/>
      <c r="C809" s="57"/>
      <c r="D809" s="113">
        <v>20000</v>
      </c>
      <c r="E809" s="113">
        <f t="shared" si="31"/>
        <v>127683243</v>
      </c>
      <c r="F809" s="113"/>
      <c r="G809" s="113">
        <f t="shared" si="32"/>
        <v>7024320</v>
      </c>
    </row>
    <row r="810" spans="1:7" x14ac:dyDescent="0.25">
      <c r="A810" s="2125">
        <v>43479</v>
      </c>
      <c r="B810" s="57"/>
      <c r="C810" s="57"/>
      <c r="D810" s="113">
        <v>502250</v>
      </c>
      <c r="E810" s="113">
        <f t="shared" si="31"/>
        <v>128185493</v>
      </c>
      <c r="F810" s="113"/>
      <c r="G810" s="113">
        <f t="shared" si="32"/>
        <v>7526570</v>
      </c>
    </row>
    <row r="811" spans="1:7" x14ac:dyDescent="0.25">
      <c r="A811" s="2125">
        <v>43480</v>
      </c>
      <c r="B811" s="57"/>
      <c r="C811" s="57"/>
      <c r="D811" s="113">
        <v>902500</v>
      </c>
      <c r="E811" s="113">
        <f t="shared" si="31"/>
        <v>129087993</v>
      </c>
      <c r="F811" s="113"/>
      <c r="G811" s="113">
        <f t="shared" si="32"/>
        <v>8429070</v>
      </c>
    </row>
    <row r="812" spans="1:7" x14ac:dyDescent="0.25">
      <c r="A812" s="2125">
        <v>43481</v>
      </c>
      <c r="B812" s="57"/>
      <c r="C812" s="57"/>
      <c r="D812" s="113">
        <v>92500</v>
      </c>
      <c r="E812" s="113">
        <f t="shared" si="31"/>
        <v>129180493</v>
      </c>
      <c r="F812" s="113"/>
      <c r="G812" s="113">
        <f t="shared" si="32"/>
        <v>8521570</v>
      </c>
    </row>
    <row r="813" spans="1:7" x14ac:dyDescent="0.25">
      <c r="A813" s="2125">
        <v>43482</v>
      </c>
      <c r="B813" s="57"/>
      <c r="C813" s="57"/>
      <c r="D813" s="113">
        <v>179000</v>
      </c>
      <c r="E813" s="113">
        <f t="shared" si="31"/>
        <v>129359493</v>
      </c>
      <c r="F813" s="113"/>
      <c r="G813" s="113">
        <f t="shared" si="32"/>
        <v>8700570</v>
      </c>
    </row>
    <row r="814" spans="1:7" x14ac:dyDescent="0.25">
      <c r="A814" s="2125">
        <v>43483</v>
      </c>
      <c r="B814" s="57"/>
      <c r="C814" s="57"/>
      <c r="D814" s="113">
        <v>86000</v>
      </c>
      <c r="E814" s="113">
        <f t="shared" si="31"/>
        <v>129445493</v>
      </c>
      <c r="F814" s="113"/>
      <c r="G814" s="113">
        <f t="shared" si="32"/>
        <v>8786570</v>
      </c>
    </row>
    <row r="815" spans="1:7" x14ac:dyDescent="0.25">
      <c r="A815" s="2125">
        <v>43484</v>
      </c>
      <c r="B815" s="57"/>
      <c r="C815" s="57"/>
      <c r="D815" s="113">
        <v>682000</v>
      </c>
      <c r="E815" s="113">
        <f t="shared" si="31"/>
        <v>130127493</v>
      </c>
      <c r="F815" s="113"/>
      <c r="G815" s="113">
        <f t="shared" si="32"/>
        <v>9468570</v>
      </c>
    </row>
    <row r="816" spans="1:7" x14ac:dyDescent="0.25">
      <c r="A816" s="2125">
        <v>43485</v>
      </c>
      <c r="B816" s="57"/>
      <c r="C816" s="57"/>
      <c r="D816" s="113">
        <v>521000</v>
      </c>
      <c r="E816" s="113">
        <f t="shared" si="31"/>
        <v>130648493</v>
      </c>
      <c r="F816" s="113"/>
      <c r="G816" s="113">
        <f t="shared" si="32"/>
        <v>9989570</v>
      </c>
    </row>
    <row r="817" spans="1:7" x14ac:dyDescent="0.25">
      <c r="A817" s="2125">
        <v>43486</v>
      </c>
      <c r="B817" s="57"/>
      <c r="C817" s="57"/>
      <c r="D817" s="113">
        <v>182250</v>
      </c>
      <c r="E817" s="113">
        <f t="shared" si="31"/>
        <v>130830743</v>
      </c>
      <c r="F817" s="113"/>
      <c r="G817" s="113">
        <f t="shared" si="32"/>
        <v>10171820</v>
      </c>
    </row>
    <row r="818" spans="1:7" x14ac:dyDescent="0.25">
      <c r="A818" s="2125">
        <v>43487</v>
      </c>
      <c r="B818" s="57"/>
      <c r="C818" s="57"/>
      <c r="D818" s="113">
        <v>241500</v>
      </c>
      <c r="E818" s="113">
        <f t="shared" si="31"/>
        <v>131072243</v>
      </c>
      <c r="F818" s="113"/>
      <c r="G818" s="113">
        <f t="shared" si="32"/>
        <v>10413320</v>
      </c>
    </row>
    <row r="819" spans="1:7" x14ac:dyDescent="0.25">
      <c r="A819" s="2125">
        <v>43488</v>
      </c>
      <c r="B819" s="57"/>
      <c r="C819" s="57"/>
      <c r="D819" s="113">
        <v>21000</v>
      </c>
      <c r="E819" s="113">
        <f t="shared" si="31"/>
        <v>131093243</v>
      </c>
      <c r="F819" s="113"/>
      <c r="G819" s="113">
        <f t="shared" si="32"/>
        <v>10434320</v>
      </c>
    </row>
    <row r="820" spans="1:7" x14ac:dyDescent="0.25">
      <c r="A820" s="2125">
        <v>43489</v>
      </c>
      <c r="B820" s="57"/>
      <c r="C820" s="57"/>
      <c r="D820" s="113">
        <v>586550</v>
      </c>
      <c r="E820" s="113">
        <f t="shared" si="31"/>
        <v>131679793</v>
      </c>
      <c r="F820" s="113"/>
      <c r="G820" s="113">
        <f t="shared" si="32"/>
        <v>11020870</v>
      </c>
    </row>
    <row r="821" spans="1:7" x14ac:dyDescent="0.25">
      <c r="A821" s="2125">
        <v>43490</v>
      </c>
      <c r="B821" s="57"/>
      <c r="C821" s="57"/>
      <c r="D821" s="113">
        <v>195500</v>
      </c>
      <c r="E821" s="113">
        <f t="shared" si="31"/>
        <v>131875293</v>
      </c>
      <c r="F821" s="113"/>
      <c r="G821" s="113">
        <f t="shared" si="32"/>
        <v>11216370</v>
      </c>
    </row>
    <row r="822" spans="1:7" x14ac:dyDescent="0.25">
      <c r="A822" s="2125">
        <v>43491</v>
      </c>
      <c r="B822" s="57"/>
      <c r="C822" s="57"/>
      <c r="D822" s="113">
        <v>599500</v>
      </c>
      <c r="E822" s="113">
        <f t="shared" si="31"/>
        <v>132474793</v>
      </c>
      <c r="F822" s="113">
        <v>1783350</v>
      </c>
      <c r="G822" s="113">
        <f t="shared" si="32"/>
        <v>10032520</v>
      </c>
    </row>
    <row r="823" spans="1:7" x14ac:dyDescent="0.25">
      <c r="A823" s="2125">
        <v>43492</v>
      </c>
      <c r="B823" s="57"/>
      <c r="C823" s="57"/>
      <c r="D823" s="113">
        <v>186500</v>
      </c>
      <c r="E823" s="113">
        <f t="shared" si="31"/>
        <v>132661293</v>
      </c>
      <c r="F823" s="113"/>
      <c r="G823" s="113">
        <f t="shared" si="32"/>
        <v>10219020</v>
      </c>
    </row>
    <row r="824" spans="1:7" x14ac:dyDescent="0.25">
      <c r="A824" s="2125">
        <v>43493</v>
      </c>
      <c r="B824" s="57"/>
      <c r="C824" s="57"/>
      <c r="D824" s="113">
        <v>619750</v>
      </c>
      <c r="E824" s="113">
        <f t="shared" si="31"/>
        <v>133281043</v>
      </c>
      <c r="F824" s="113"/>
      <c r="G824" s="113">
        <f t="shared" si="32"/>
        <v>10838770</v>
      </c>
    </row>
    <row r="825" spans="1:7" x14ac:dyDescent="0.25">
      <c r="A825" s="2125">
        <v>43494</v>
      </c>
      <c r="B825" s="57"/>
      <c r="C825" s="57"/>
      <c r="D825" s="113">
        <v>20000</v>
      </c>
      <c r="E825" s="113">
        <f t="shared" si="31"/>
        <v>133301043</v>
      </c>
      <c r="F825" s="113">
        <v>2155750</v>
      </c>
      <c r="G825" s="113">
        <f t="shared" si="32"/>
        <v>8703020</v>
      </c>
    </row>
    <row r="826" spans="1:7" x14ac:dyDescent="0.25">
      <c r="A826" s="2125">
        <v>43495</v>
      </c>
      <c r="B826" s="57"/>
      <c r="C826" s="57"/>
      <c r="D826" s="113">
        <v>250000</v>
      </c>
      <c r="E826" s="113">
        <f t="shared" si="31"/>
        <v>133551043</v>
      </c>
      <c r="F826" s="113"/>
      <c r="G826" s="113">
        <f t="shared" si="32"/>
        <v>8953020</v>
      </c>
    </row>
    <row r="827" spans="1:7" x14ac:dyDescent="0.25">
      <c r="A827" s="2125">
        <v>43496</v>
      </c>
      <c r="B827" s="57"/>
      <c r="C827" s="57"/>
      <c r="D827" s="113">
        <v>377500</v>
      </c>
      <c r="E827" s="113">
        <f t="shared" si="31"/>
        <v>133928543</v>
      </c>
      <c r="F827" s="113">
        <v>3065270</v>
      </c>
      <c r="G827" s="113">
        <f t="shared" si="32"/>
        <v>6265250</v>
      </c>
    </row>
    <row r="828" spans="1:7" x14ac:dyDescent="0.25">
      <c r="A828" s="2166"/>
      <c r="B828" s="2167"/>
      <c r="C828" s="2167"/>
      <c r="D828" s="2168"/>
      <c r="E828" s="2168">
        <f t="shared" si="31"/>
        <v>133928543</v>
      </c>
      <c r="F828" s="2168"/>
      <c r="G828" s="2168">
        <f t="shared" si="32"/>
        <v>6265250</v>
      </c>
    </row>
    <row r="829" spans="1:7" x14ac:dyDescent="0.25">
      <c r="A829" s="2125">
        <v>43497</v>
      </c>
      <c r="B829" s="57"/>
      <c r="C829" s="57"/>
      <c r="D829" s="113">
        <v>331000</v>
      </c>
      <c r="E829" s="113">
        <f t="shared" ref="E829:E892" si="33">+E828+D829</f>
        <v>134259543</v>
      </c>
      <c r="F829" s="113">
        <v>2444750</v>
      </c>
      <c r="G829" s="113">
        <f t="shared" si="32"/>
        <v>4151500</v>
      </c>
    </row>
    <row r="830" spans="1:7" x14ac:dyDescent="0.25">
      <c r="A830" s="2125">
        <v>43498</v>
      </c>
      <c r="B830" s="57"/>
      <c r="C830" s="57"/>
      <c r="D830" s="113">
        <v>659500</v>
      </c>
      <c r="E830" s="113">
        <f t="shared" si="33"/>
        <v>134919043</v>
      </c>
      <c r="F830" s="113"/>
      <c r="G830" s="113">
        <f t="shared" si="32"/>
        <v>4811000</v>
      </c>
    </row>
    <row r="831" spans="1:7" x14ac:dyDescent="0.25">
      <c r="A831" s="2125">
        <v>43499</v>
      </c>
      <c r="B831" s="57"/>
      <c r="C831" s="57"/>
      <c r="D831" s="113"/>
      <c r="E831" s="113">
        <f t="shared" si="33"/>
        <v>134919043</v>
      </c>
      <c r="F831" s="113"/>
      <c r="G831" s="113">
        <f t="shared" ref="G831:G889" si="34">+G830+D831-F831</f>
        <v>4811000</v>
      </c>
    </row>
    <row r="832" spans="1:7" x14ac:dyDescent="0.25">
      <c r="A832" s="2125">
        <v>43500</v>
      </c>
      <c r="B832" s="57"/>
      <c r="C832" s="57"/>
      <c r="D832" s="113">
        <v>110750</v>
      </c>
      <c r="E832" s="113">
        <f t="shared" si="33"/>
        <v>135029793</v>
      </c>
      <c r="F832" s="113"/>
      <c r="G832" s="113">
        <f t="shared" si="34"/>
        <v>4921750</v>
      </c>
    </row>
    <row r="833" spans="1:7" x14ac:dyDescent="0.25">
      <c r="A833" s="2125">
        <v>43501</v>
      </c>
      <c r="B833" s="57"/>
      <c r="C833" s="57"/>
      <c r="D833" s="113">
        <v>271000</v>
      </c>
      <c r="E833" s="113">
        <f t="shared" si="33"/>
        <v>135300793</v>
      </c>
      <c r="F833" s="113"/>
      <c r="G833" s="113">
        <f t="shared" si="34"/>
        <v>5192750</v>
      </c>
    </row>
    <row r="834" spans="1:7" x14ac:dyDescent="0.25">
      <c r="A834" s="2125">
        <v>43502</v>
      </c>
      <c r="B834" s="57"/>
      <c r="C834" s="57"/>
      <c r="D834" s="113">
        <v>353500</v>
      </c>
      <c r="E834" s="113">
        <f t="shared" si="33"/>
        <v>135654293</v>
      </c>
      <c r="F834" s="113">
        <v>2376800</v>
      </c>
      <c r="G834" s="113">
        <f t="shared" si="34"/>
        <v>3169450</v>
      </c>
    </row>
    <row r="835" spans="1:7" x14ac:dyDescent="0.25">
      <c r="A835" s="2125">
        <v>43503</v>
      </c>
      <c r="B835" s="57"/>
      <c r="C835" s="57"/>
      <c r="D835" s="113">
        <v>398500</v>
      </c>
      <c r="E835" s="113">
        <f t="shared" si="33"/>
        <v>136052793</v>
      </c>
      <c r="F835" s="113">
        <v>2434200</v>
      </c>
      <c r="G835" s="113">
        <f t="shared" si="34"/>
        <v>1133750</v>
      </c>
    </row>
    <row r="836" spans="1:7" x14ac:dyDescent="0.25">
      <c r="A836" s="2125">
        <v>43504</v>
      </c>
      <c r="B836" s="57"/>
      <c r="C836" s="57"/>
      <c r="D836" s="113">
        <v>207000</v>
      </c>
      <c r="E836" s="113">
        <f t="shared" si="33"/>
        <v>136259793</v>
      </c>
      <c r="F836" s="113"/>
      <c r="G836" s="113">
        <f t="shared" si="34"/>
        <v>1340750</v>
      </c>
    </row>
    <row r="837" spans="1:7" x14ac:dyDescent="0.25">
      <c r="A837" s="2125">
        <v>43505</v>
      </c>
      <c r="B837" s="57"/>
      <c r="C837" s="57"/>
      <c r="D837" s="113">
        <v>1278420</v>
      </c>
      <c r="E837" s="113">
        <f t="shared" si="33"/>
        <v>137538213</v>
      </c>
      <c r="F837" s="113"/>
      <c r="G837" s="113">
        <f t="shared" si="34"/>
        <v>2619170</v>
      </c>
    </row>
    <row r="838" spans="1:7" x14ac:dyDescent="0.25">
      <c r="A838" s="2125">
        <v>43506</v>
      </c>
      <c r="B838" s="57"/>
      <c r="C838" s="57"/>
      <c r="D838" s="113"/>
      <c r="E838" s="113">
        <f t="shared" si="33"/>
        <v>137538213</v>
      </c>
      <c r="F838" s="113"/>
      <c r="G838" s="113">
        <f t="shared" si="34"/>
        <v>2619170</v>
      </c>
    </row>
    <row r="839" spans="1:7" x14ac:dyDescent="0.25">
      <c r="A839" s="2125">
        <v>43507</v>
      </c>
      <c r="B839" s="57"/>
      <c r="C839" s="57"/>
      <c r="D839" s="113">
        <v>63500</v>
      </c>
      <c r="E839" s="113">
        <f t="shared" si="33"/>
        <v>137601713</v>
      </c>
      <c r="F839" s="113"/>
      <c r="G839" s="113">
        <f t="shared" si="34"/>
        <v>2682670</v>
      </c>
    </row>
    <row r="840" spans="1:7" x14ac:dyDescent="0.25">
      <c r="A840" s="2125">
        <v>43508</v>
      </c>
      <c r="B840" s="57"/>
      <c r="C840" s="57"/>
      <c r="D840" s="113">
        <v>10000</v>
      </c>
      <c r="E840" s="113">
        <f t="shared" si="33"/>
        <v>137611713</v>
      </c>
      <c r="F840" s="113">
        <v>2619170</v>
      </c>
      <c r="G840" s="113">
        <f t="shared" si="34"/>
        <v>73500</v>
      </c>
    </row>
    <row r="841" spans="1:7" x14ac:dyDescent="0.25">
      <c r="A841" s="2125">
        <v>43509</v>
      </c>
      <c r="B841" s="57"/>
      <c r="C841" s="57"/>
      <c r="D841" s="113">
        <v>132250</v>
      </c>
      <c r="E841" s="113">
        <f t="shared" si="33"/>
        <v>137743963</v>
      </c>
      <c r="F841" s="113"/>
      <c r="G841" s="113">
        <f t="shared" si="34"/>
        <v>205750</v>
      </c>
    </row>
    <row r="842" spans="1:7" x14ac:dyDescent="0.25">
      <c r="A842" s="2125">
        <v>43510</v>
      </c>
      <c r="B842" s="57"/>
      <c r="C842" s="57"/>
      <c r="D842" s="113">
        <v>81000</v>
      </c>
      <c r="E842" s="113">
        <f t="shared" si="33"/>
        <v>137824963</v>
      </c>
      <c r="F842" s="113"/>
      <c r="G842" s="113">
        <f t="shared" si="34"/>
        <v>286750</v>
      </c>
    </row>
    <row r="843" spans="1:7" x14ac:dyDescent="0.25">
      <c r="A843" s="2125">
        <v>43511</v>
      </c>
      <c r="B843" s="57"/>
      <c r="C843" s="57"/>
      <c r="D843" s="113"/>
      <c r="E843" s="113">
        <f t="shared" si="33"/>
        <v>137824963</v>
      </c>
      <c r="F843" s="113"/>
      <c r="G843" s="113">
        <f t="shared" si="34"/>
        <v>286750</v>
      </c>
    </row>
    <row r="844" spans="1:7" x14ac:dyDescent="0.25">
      <c r="A844" s="2125">
        <v>43512</v>
      </c>
      <c r="B844" s="57"/>
      <c r="C844" s="57"/>
      <c r="D844" s="113">
        <v>449000</v>
      </c>
      <c r="E844" s="113">
        <f t="shared" si="33"/>
        <v>138273963</v>
      </c>
      <c r="F844" s="113"/>
      <c r="G844" s="113">
        <f t="shared" si="34"/>
        <v>735750</v>
      </c>
    </row>
    <row r="845" spans="1:7" x14ac:dyDescent="0.25">
      <c r="A845" s="2125">
        <v>43513</v>
      </c>
      <c r="B845" s="57"/>
      <c r="C845" s="57"/>
      <c r="D845" s="113">
        <v>5500</v>
      </c>
      <c r="E845" s="113">
        <f t="shared" si="33"/>
        <v>138279463</v>
      </c>
      <c r="F845" s="113"/>
      <c r="G845" s="113">
        <f t="shared" si="34"/>
        <v>741250</v>
      </c>
    </row>
    <row r="846" spans="1:7" x14ac:dyDescent="0.25">
      <c r="A846" s="2125">
        <v>43514</v>
      </c>
      <c r="B846" s="57"/>
      <c r="C846" s="57"/>
      <c r="D846" s="113">
        <v>345000</v>
      </c>
      <c r="E846" s="113">
        <f t="shared" si="33"/>
        <v>138624463</v>
      </c>
      <c r="F846" s="113"/>
      <c r="G846" s="113">
        <f t="shared" si="34"/>
        <v>1086250</v>
      </c>
    </row>
    <row r="847" spans="1:7" x14ac:dyDescent="0.25">
      <c r="A847" s="2125">
        <v>43515</v>
      </c>
      <c r="B847" s="57"/>
      <c r="C847" s="57"/>
      <c r="D847" s="113">
        <v>343000</v>
      </c>
      <c r="E847" s="113">
        <f t="shared" si="33"/>
        <v>138967463</v>
      </c>
      <c r="F847" s="113">
        <v>735750</v>
      </c>
      <c r="G847" s="113">
        <f t="shared" si="34"/>
        <v>693500</v>
      </c>
    </row>
    <row r="848" spans="1:7" x14ac:dyDescent="0.25">
      <c r="A848" s="2125">
        <v>43516</v>
      </c>
      <c r="B848" s="57"/>
      <c r="C848" s="57"/>
      <c r="D848" s="113">
        <v>820600</v>
      </c>
      <c r="E848" s="113">
        <f t="shared" si="33"/>
        <v>139788063</v>
      </c>
      <c r="F848" s="113"/>
      <c r="G848" s="113">
        <f t="shared" si="34"/>
        <v>1514100</v>
      </c>
    </row>
    <row r="849" spans="1:7" x14ac:dyDescent="0.25">
      <c r="A849" s="2125">
        <v>43517</v>
      </c>
      <c r="B849" s="57"/>
      <c r="C849" s="57"/>
      <c r="D849" s="113">
        <v>724000</v>
      </c>
      <c r="E849" s="113">
        <f t="shared" si="33"/>
        <v>140512063</v>
      </c>
      <c r="F849" s="113"/>
      <c r="G849" s="113">
        <f t="shared" si="34"/>
        <v>2238100</v>
      </c>
    </row>
    <row r="850" spans="1:7" x14ac:dyDescent="0.25">
      <c r="A850" s="2125">
        <v>43518</v>
      </c>
      <c r="B850" s="57"/>
      <c r="C850" s="57"/>
      <c r="D850" s="113">
        <v>117000</v>
      </c>
      <c r="E850" s="113">
        <f t="shared" si="33"/>
        <v>140629063</v>
      </c>
      <c r="F850" s="113"/>
      <c r="G850" s="113">
        <f t="shared" si="34"/>
        <v>2355100</v>
      </c>
    </row>
    <row r="851" spans="1:7" x14ac:dyDescent="0.25">
      <c r="A851" s="2125">
        <v>43519</v>
      </c>
      <c r="B851" s="57"/>
      <c r="C851" s="57"/>
      <c r="D851" s="113">
        <v>208500</v>
      </c>
      <c r="E851" s="113">
        <f t="shared" si="33"/>
        <v>140837563</v>
      </c>
      <c r="F851" s="113"/>
      <c r="G851" s="113">
        <f t="shared" si="34"/>
        <v>2563600</v>
      </c>
    </row>
    <row r="852" spans="1:7" x14ac:dyDescent="0.25">
      <c r="A852" s="2125">
        <v>43520</v>
      </c>
      <c r="B852" s="57"/>
      <c r="C852" s="57"/>
      <c r="D852" s="113">
        <v>252500</v>
      </c>
      <c r="E852" s="113">
        <f t="shared" si="33"/>
        <v>141090063</v>
      </c>
      <c r="F852" s="113"/>
      <c r="G852" s="113">
        <f t="shared" si="34"/>
        <v>2816100</v>
      </c>
    </row>
    <row r="853" spans="1:7" x14ac:dyDescent="0.25">
      <c r="A853" s="2125">
        <v>43521</v>
      </c>
      <c r="B853" s="57"/>
      <c r="C853" s="57"/>
      <c r="D853" s="113">
        <v>94000</v>
      </c>
      <c r="E853" s="113">
        <f t="shared" si="33"/>
        <v>141184063</v>
      </c>
      <c r="F853" s="113"/>
      <c r="G853" s="113">
        <f t="shared" si="34"/>
        <v>2910100</v>
      </c>
    </row>
    <row r="854" spans="1:7" x14ac:dyDescent="0.25">
      <c r="A854" s="2125">
        <v>43522</v>
      </c>
      <c r="B854" s="57"/>
      <c r="C854" s="57"/>
      <c r="D854" s="113">
        <v>140000</v>
      </c>
      <c r="E854" s="113">
        <f t="shared" si="33"/>
        <v>141324063</v>
      </c>
      <c r="F854" s="113"/>
      <c r="G854" s="113">
        <f t="shared" si="34"/>
        <v>3050100</v>
      </c>
    </row>
    <row r="855" spans="1:7" x14ac:dyDescent="0.25">
      <c r="A855" s="2125">
        <v>43523</v>
      </c>
      <c r="B855" s="57"/>
      <c r="C855" s="57"/>
      <c r="D855" s="113">
        <v>486000</v>
      </c>
      <c r="E855" s="113">
        <f t="shared" si="33"/>
        <v>141810063</v>
      </c>
      <c r="F855" s="113"/>
      <c r="G855" s="113">
        <f t="shared" si="34"/>
        <v>3536100</v>
      </c>
    </row>
    <row r="856" spans="1:7" x14ac:dyDescent="0.25">
      <c r="A856" s="2125">
        <v>43524</v>
      </c>
      <c r="B856" s="57"/>
      <c r="C856" s="57"/>
      <c r="D856" s="113">
        <v>141300</v>
      </c>
      <c r="E856" s="113">
        <f t="shared" si="33"/>
        <v>141951363</v>
      </c>
      <c r="F856" s="113"/>
      <c r="G856" s="113">
        <f t="shared" si="34"/>
        <v>3677400</v>
      </c>
    </row>
    <row r="857" spans="1:7" x14ac:dyDescent="0.25">
      <c r="A857" s="2166"/>
      <c r="B857" s="2167"/>
      <c r="C857" s="2167"/>
      <c r="D857" s="2168"/>
      <c r="E857" s="2168">
        <f t="shared" si="33"/>
        <v>141951363</v>
      </c>
      <c r="F857" s="2168"/>
      <c r="G857" s="113">
        <f t="shared" si="34"/>
        <v>3677400</v>
      </c>
    </row>
    <row r="858" spans="1:7" x14ac:dyDescent="0.25">
      <c r="A858" s="2125">
        <v>43525</v>
      </c>
      <c r="B858" s="57"/>
      <c r="C858" s="57"/>
      <c r="D858" s="113">
        <v>41000</v>
      </c>
      <c r="E858" s="113">
        <f t="shared" si="33"/>
        <v>141992363</v>
      </c>
      <c r="F858" s="113"/>
      <c r="G858" s="113">
        <f t="shared" si="34"/>
        <v>3718400</v>
      </c>
    </row>
    <row r="859" spans="1:7" x14ac:dyDescent="0.25">
      <c r="A859" s="2125">
        <v>43526</v>
      </c>
      <c r="B859" s="57"/>
      <c r="C859" s="57"/>
      <c r="D859" s="113">
        <v>614000</v>
      </c>
      <c r="E859" s="113">
        <v>13573</v>
      </c>
      <c r="F859" s="113"/>
      <c r="G859" s="113">
        <f t="shared" si="34"/>
        <v>4332400</v>
      </c>
    </row>
    <row r="860" spans="1:7" x14ac:dyDescent="0.25">
      <c r="A860" s="2125">
        <v>43527</v>
      </c>
      <c r="B860" s="57"/>
      <c r="C860" s="57"/>
      <c r="D860" s="113">
        <v>20000</v>
      </c>
      <c r="E860" s="113">
        <f>+E859+D860</f>
        <v>33573</v>
      </c>
      <c r="F860" s="113"/>
      <c r="G860" s="113">
        <f t="shared" si="34"/>
        <v>4352400</v>
      </c>
    </row>
    <row r="861" spans="1:7" x14ac:dyDescent="0.25">
      <c r="A861" s="2125">
        <v>43528</v>
      </c>
      <c r="B861" s="57"/>
      <c r="C861" s="57"/>
      <c r="D861" s="113">
        <v>23000</v>
      </c>
      <c r="E861" s="113">
        <f t="shared" si="33"/>
        <v>56573</v>
      </c>
      <c r="F861" s="113"/>
      <c r="G861" s="113">
        <f t="shared" si="34"/>
        <v>4375400</v>
      </c>
    </row>
    <row r="862" spans="1:7" x14ac:dyDescent="0.25">
      <c r="A862" s="2125">
        <v>43529</v>
      </c>
      <c r="B862" s="57"/>
      <c r="C862" s="57"/>
      <c r="D862" s="113">
        <v>297500</v>
      </c>
      <c r="E862" s="113">
        <f t="shared" si="33"/>
        <v>354073</v>
      </c>
      <c r="F862" s="113"/>
      <c r="G862" s="113">
        <f t="shared" si="34"/>
        <v>4672900</v>
      </c>
    </row>
    <row r="863" spans="1:7" x14ac:dyDescent="0.25">
      <c r="A863" s="2125">
        <v>43530</v>
      </c>
      <c r="B863" s="57"/>
      <c r="C863" s="57"/>
      <c r="D863" s="113">
        <v>600500</v>
      </c>
      <c r="E863" s="113">
        <f t="shared" si="33"/>
        <v>954573</v>
      </c>
      <c r="F863" s="113"/>
      <c r="G863" s="113">
        <f t="shared" si="34"/>
        <v>5273400</v>
      </c>
    </row>
    <row r="864" spans="1:7" x14ac:dyDescent="0.25">
      <c r="A864" s="2125">
        <v>43531</v>
      </c>
      <c r="B864" s="57"/>
      <c r="C864" s="57"/>
      <c r="D864" s="113">
        <v>300600</v>
      </c>
      <c r="E864" s="113">
        <f t="shared" si="33"/>
        <v>1255173</v>
      </c>
      <c r="F864" s="113"/>
      <c r="G864" s="113">
        <f t="shared" si="34"/>
        <v>5574000</v>
      </c>
    </row>
    <row r="865" spans="1:8" x14ac:dyDescent="0.25">
      <c r="A865" s="2125">
        <v>43532</v>
      </c>
      <c r="B865" s="57"/>
      <c r="C865" s="57"/>
      <c r="D865" s="113">
        <v>173000</v>
      </c>
      <c r="E865" s="113">
        <f t="shared" si="33"/>
        <v>1428173</v>
      </c>
      <c r="F865" s="113"/>
      <c r="G865" s="113">
        <f t="shared" si="34"/>
        <v>5747000</v>
      </c>
    </row>
    <row r="866" spans="1:8" x14ac:dyDescent="0.25">
      <c r="A866" s="2125">
        <v>43533</v>
      </c>
      <c r="B866" s="57"/>
      <c r="C866" s="57"/>
      <c r="D866" s="113">
        <v>133300</v>
      </c>
      <c r="E866" s="113">
        <f t="shared" si="33"/>
        <v>1561473</v>
      </c>
      <c r="F866" s="113"/>
      <c r="G866" s="113">
        <f t="shared" si="34"/>
        <v>5880300</v>
      </c>
    </row>
    <row r="867" spans="1:8" x14ac:dyDescent="0.25">
      <c r="A867" s="2125">
        <v>43534</v>
      </c>
      <c r="B867" s="57"/>
      <c r="C867" s="57"/>
      <c r="D867" s="113">
        <v>70500</v>
      </c>
      <c r="E867" s="113">
        <f t="shared" si="33"/>
        <v>1631973</v>
      </c>
      <c r="F867" s="2518">
        <v>1516300</v>
      </c>
      <c r="G867" s="113">
        <f t="shared" si="34"/>
        <v>4434500</v>
      </c>
    </row>
    <row r="868" spans="1:8" x14ac:dyDescent="0.25">
      <c r="A868" s="2125">
        <v>43535</v>
      </c>
      <c r="B868" s="57"/>
      <c r="C868" s="57"/>
      <c r="D868" s="113">
        <v>183000</v>
      </c>
      <c r="E868" s="113">
        <f t="shared" si="33"/>
        <v>1814973</v>
      </c>
      <c r="F868" s="113"/>
      <c r="G868" s="113">
        <f t="shared" si="34"/>
        <v>4617500</v>
      </c>
    </row>
    <row r="869" spans="1:8" x14ac:dyDescent="0.25">
      <c r="A869" s="2125">
        <v>43536</v>
      </c>
      <c r="B869" s="57"/>
      <c r="C869" s="57"/>
      <c r="D869" s="113">
        <v>841025</v>
      </c>
      <c r="E869" s="113">
        <f t="shared" si="33"/>
        <v>2655998</v>
      </c>
      <c r="F869" s="113"/>
      <c r="G869" s="113">
        <f t="shared" si="34"/>
        <v>5458525</v>
      </c>
    </row>
    <row r="870" spans="1:8" x14ac:dyDescent="0.25">
      <c r="A870" s="2125">
        <v>43537</v>
      </c>
      <c r="B870" s="57"/>
      <c r="C870" s="57"/>
      <c r="D870" s="113">
        <v>728900</v>
      </c>
      <c r="E870" s="113">
        <f t="shared" si="33"/>
        <v>3384898</v>
      </c>
      <c r="F870" s="113"/>
      <c r="G870" s="113">
        <f t="shared" si="34"/>
        <v>6187425</v>
      </c>
    </row>
    <row r="871" spans="1:8" x14ac:dyDescent="0.25">
      <c r="A871" s="2125">
        <v>43538</v>
      </c>
      <c r="B871" s="57"/>
      <c r="C871" s="57"/>
      <c r="D871" s="275">
        <v>430500</v>
      </c>
      <c r="E871" s="113">
        <f t="shared" si="33"/>
        <v>3815398</v>
      </c>
      <c r="F871" s="113"/>
      <c r="G871" s="113">
        <f t="shared" si="34"/>
        <v>6617925</v>
      </c>
    </row>
    <row r="872" spans="1:8" x14ac:dyDescent="0.25">
      <c r="A872" s="2125">
        <v>43539</v>
      </c>
      <c r="B872" s="57"/>
      <c r="C872" s="57"/>
      <c r="D872" s="113">
        <v>96500</v>
      </c>
      <c r="E872" s="113">
        <f t="shared" si="33"/>
        <v>3911898</v>
      </c>
      <c r="F872" s="113"/>
      <c r="G872" s="113">
        <f t="shared" si="34"/>
        <v>6714425</v>
      </c>
    </row>
    <row r="873" spans="1:8" x14ac:dyDescent="0.25">
      <c r="A873" s="2125">
        <v>43540</v>
      </c>
      <c r="B873" s="57"/>
      <c r="C873" s="57"/>
      <c r="D873" s="2517">
        <v>126250</v>
      </c>
      <c r="E873" s="113">
        <f t="shared" si="33"/>
        <v>4038148</v>
      </c>
      <c r="F873" s="113"/>
      <c r="G873" s="113">
        <f t="shared" si="34"/>
        <v>6840675</v>
      </c>
    </row>
    <row r="874" spans="1:8" x14ac:dyDescent="0.25">
      <c r="A874" s="2125">
        <v>43541</v>
      </c>
      <c r="B874" s="57"/>
      <c r="C874" s="57"/>
      <c r="D874" s="113">
        <v>173500</v>
      </c>
      <c r="E874" s="113">
        <f t="shared" si="33"/>
        <v>4211648</v>
      </c>
      <c r="F874" s="113"/>
      <c r="G874" s="113">
        <f t="shared" si="34"/>
        <v>7014175</v>
      </c>
      <c r="H874" s="416"/>
    </row>
    <row r="875" spans="1:8" x14ac:dyDescent="0.25">
      <c r="A875" s="2125">
        <v>43542</v>
      </c>
      <c r="B875" s="57"/>
      <c r="C875" s="57"/>
      <c r="D875" s="113">
        <v>90000</v>
      </c>
      <c r="E875" s="113">
        <f t="shared" si="33"/>
        <v>4301648</v>
      </c>
      <c r="F875" s="113">
        <v>2816100</v>
      </c>
      <c r="G875" s="113">
        <f t="shared" si="34"/>
        <v>4288075</v>
      </c>
    </row>
    <row r="876" spans="1:8" x14ac:dyDescent="0.25">
      <c r="A876" s="2125">
        <v>43543</v>
      </c>
      <c r="B876" s="57"/>
      <c r="C876" s="57"/>
      <c r="D876" s="113">
        <v>425700</v>
      </c>
      <c r="E876" s="113">
        <f t="shared" si="33"/>
        <v>4727348</v>
      </c>
      <c r="F876" s="2518">
        <v>1583900</v>
      </c>
      <c r="G876" s="113">
        <f t="shared" si="34"/>
        <v>3129875</v>
      </c>
    </row>
    <row r="877" spans="1:8" x14ac:dyDescent="0.25">
      <c r="A877" s="2125">
        <v>43544</v>
      </c>
      <c r="B877" s="57"/>
      <c r="C877" s="57"/>
      <c r="D877" s="113">
        <v>217000</v>
      </c>
      <c r="E877" s="113">
        <f t="shared" si="33"/>
        <v>4944348</v>
      </c>
      <c r="F877" s="2518">
        <v>2534675</v>
      </c>
      <c r="G877" s="113">
        <f t="shared" si="34"/>
        <v>812200</v>
      </c>
    </row>
    <row r="878" spans="1:8" x14ac:dyDescent="0.25">
      <c r="A878" s="2125">
        <v>43545</v>
      </c>
      <c r="B878" s="57"/>
      <c r="C878" s="57"/>
      <c r="D878" s="113">
        <v>54500</v>
      </c>
      <c r="E878" s="113">
        <f t="shared" si="33"/>
        <v>4998848</v>
      </c>
      <c r="F878" s="113"/>
      <c r="G878" s="113">
        <f t="shared" si="34"/>
        <v>866700</v>
      </c>
    </row>
    <row r="879" spans="1:8" x14ac:dyDescent="0.25">
      <c r="A879" s="2125">
        <v>43546</v>
      </c>
      <c r="B879" s="57"/>
      <c r="C879" s="57"/>
      <c r="D879" s="113">
        <v>59300</v>
      </c>
      <c r="E879" s="113">
        <f t="shared" si="33"/>
        <v>5058148</v>
      </c>
      <c r="F879" s="113"/>
      <c r="G879" s="113">
        <f t="shared" si="34"/>
        <v>926000</v>
      </c>
    </row>
    <row r="880" spans="1:8" x14ac:dyDescent="0.25">
      <c r="A880" s="2125">
        <v>43547</v>
      </c>
      <c r="B880" s="57"/>
      <c r="C880" s="57"/>
      <c r="D880" s="113">
        <v>526000</v>
      </c>
      <c r="E880" s="113">
        <f t="shared" si="33"/>
        <v>5584148</v>
      </c>
      <c r="F880" s="113"/>
      <c r="G880" s="113">
        <f t="shared" si="34"/>
        <v>1452000</v>
      </c>
    </row>
    <row r="881" spans="1:7" x14ac:dyDescent="0.25">
      <c r="A881" s="2125">
        <v>43548</v>
      </c>
      <c r="B881" s="57"/>
      <c r="C881" s="57"/>
      <c r="D881" s="113">
        <v>7000</v>
      </c>
      <c r="E881" s="113">
        <f t="shared" si="33"/>
        <v>5591148</v>
      </c>
      <c r="F881" s="113"/>
      <c r="G881" s="113">
        <f t="shared" si="34"/>
        <v>1459000</v>
      </c>
    </row>
    <row r="882" spans="1:7" x14ac:dyDescent="0.25">
      <c r="A882" s="2125">
        <v>43549</v>
      </c>
      <c r="B882" s="57"/>
      <c r="C882" s="57"/>
      <c r="D882" s="113">
        <v>48000</v>
      </c>
      <c r="E882" s="113">
        <f t="shared" si="33"/>
        <v>5639148</v>
      </c>
      <c r="F882" s="113"/>
      <c r="G882" s="113">
        <f t="shared" si="34"/>
        <v>1507000</v>
      </c>
    </row>
    <row r="883" spans="1:7" x14ac:dyDescent="0.25">
      <c r="A883" s="2125">
        <v>43550</v>
      </c>
      <c r="B883" s="57"/>
      <c r="C883" s="57"/>
      <c r="D883" s="113">
        <v>235000</v>
      </c>
      <c r="E883" s="113">
        <f t="shared" si="33"/>
        <v>5874148</v>
      </c>
      <c r="F883" s="113"/>
      <c r="G883" s="113">
        <f t="shared" si="34"/>
        <v>1742000</v>
      </c>
    </row>
    <row r="884" spans="1:7" x14ac:dyDescent="0.25">
      <c r="A884" s="2125">
        <v>43551</v>
      </c>
      <c r="B884" s="57"/>
      <c r="C884" s="57"/>
      <c r="D884" s="113">
        <v>130000</v>
      </c>
      <c r="E884" s="113">
        <f t="shared" si="33"/>
        <v>6004148</v>
      </c>
      <c r="F884" s="113"/>
      <c r="G884" s="113">
        <f t="shared" si="34"/>
        <v>1872000</v>
      </c>
    </row>
    <row r="885" spans="1:7" x14ac:dyDescent="0.25">
      <c r="A885" s="2125">
        <v>43552</v>
      </c>
      <c r="B885" s="57"/>
      <c r="C885" s="57"/>
      <c r="D885" s="113">
        <v>409700</v>
      </c>
      <c r="E885" s="113">
        <f t="shared" si="33"/>
        <v>6413848</v>
      </c>
      <c r="F885" s="113"/>
      <c r="G885" s="113">
        <f t="shared" si="34"/>
        <v>2281700</v>
      </c>
    </row>
    <row r="886" spans="1:7" x14ac:dyDescent="0.25">
      <c r="A886" s="2125">
        <v>43553</v>
      </c>
      <c r="B886" s="57"/>
      <c r="C886" s="57"/>
      <c r="D886" s="113">
        <v>175000</v>
      </c>
      <c r="E886" s="113">
        <f t="shared" si="33"/>
        <v>6588848</v>
      </c>
      <c r="F886" s="113"/>
      <c r="G886" s="113">
        <f t="shared" si="34"/>
        <v>2456700</v>
      </c>
    </row>
    <row r="887" spans="1:7" x14ac:dyDescent="0.25">
      <c r="A887" s="2125">
        <v>43554</v>
      </c>
      <c r="B887" s="57"/>
      <c r="C887" s="57"/>
      <c r="D887" s="113">
        <v>290000</v>
      </c>
      <c r="E887" s="113">
        <f t="shared" si="33"/>
        <v>6878848</v>
      </c>
      <c r="F887" s="113"/>
      <c r="G887" s="113">
        <f t="shared" si="34"/>
        <v>2746700</v>
      </c>
    </row>
    <row r="888" spans="1:7" x14ac:dyDescent="0.25">
      <c r="A888" s="2125">
        <v>43555</v>
      </c>
      <c r="B888" s="57"/>
      <c r="C888" s="57"/>
      <c r="D888" s="113">
        <v>66000</v>
      </c>
      <c r="E888" s="113">
        <f t="shared" si="33"/>
        <v>6944848</v>
      </c>
      <c r="F888" s="113"/>
      <c r="G888" s="113">
        <f t="shared" si="34"/>
        <v>2812700</v>
      </c>
    </row>
    <row r="889" spans="1:7" x14ac:dyDescent="0.25">
      <c r="A889" s="2519"/>
      <c r="B889" s="2520"/>
      <c r="C889" s="2520"/>
      <c r="D889" s="2521"/>
      <c r="E889" s="2521">
        <f t="shared" si="33"/>
        <v>6944848</v>
      </c>
      <c r="F889" s="2521"/>
      <c r="G889" s="2521">
        <f t="shared" si="34"/>
        <v>2812700</v>
      </c>
    </row>
    <row r="890" spans="1:7" x14ac:dyDescent="0.25">
      <c r="A890" s="2125">
        <v>43556</v>
      </c>
      <c r="B890" s="57"/>
      <c r="C890" s="57"/>
      <c r="D890" s="113">
        <v>112000</v>
      </c>
      <c r="E890" s="113">
        <f>+E889+D890</f>
        <v>7056848</v>
      </c>
      <c r="F890" s="113"/>
      <c r="G890" s="113">
        <f>+G889+D890-F890</f>
        <v>2924700</v>
      </c>
    </row>
    <row r="891" spans="1:7" x14ac:dyDescent="0.25">
      <c r="A891" s="2125">
        <v>43557</v>
      </c>
      <c r="B891" s="57"/>
      <c r="C891" s="57"/>
      <c r="D891" s="113">
        <v>336000</v>
      </c>
      <c r="E891" s="113">
        <f t="shared" si="33"/>
        <v>7392848</v>
      </c>
      <c r="F891" s="113"/>
      <c r="G891" s="113">
        <f t="shared" ref="G891:G939" si="35">+G890+D891-F891</f>
        <v>3260700</v>
      </c>
    </row>
    <row r="892" spans="1:7" x14ac:dyDescent="0.25">
      <c r="A892" s="2125">
        <v>43558</v>
      </c>
      <c r="B892" s="57"/>
      <c r="C892" s="57"/>
      <c r="D892" s="113">
        <v>81500</v>
      </c>
      <c r="E892" s="113">
        <f t="shared" si="33"/>
        <v>7474348</v>
      </c>
      <c r="F892" s="113">
        <v>1459000</v>
      </c>
      <c r="G892" s="113">
        <f t="shared" si="35"/>
        <v>1883200</v>
      </c>
    </row>
    <row r="893" spans="1:7" x14ac:dyDescent="0.25">
      <c r="A893" s="2125">
        <v>43559</v>
      </c>
      <c r="B893" s="57"/>
      <c r="C893" s="57"/>
      <c r="D893" s="113">
        <v>366500</v>
      </c>
      <c r="E893" s="113">
        <f t="shared" ref="E893:E939" si="36">+E892+D893</f>
        <v>7840848</v>
      </c>
      <c r="F893" s="113"/>
      <c r="G893" s="113">
        <f t="shared" si="35"/>
        <v>2249700</v>
      </c>
    </row>
    <row r="894" spans="1:7" x14ac:dyDescent="0.25">
      <c r="A894" s="2125">
        <v>43560</v>
      </c>
      <c r="B894" s="57"/>
      <c r="C894" s="57"/>
      <c r="D894" s="113">
        <v>205000</v>
      </c>
      <c r="E894" s="113">
        <f t="shared" si="36"/>
        <v>8045848</v>
      </c>
      <c r="F894" s="113">
        <v>1353700</v>
      </c>
      <c r="G894" s="113">
        <f t="shared" si="35"/>
        <v>1101000</v>
      </c>
    </row>
    <row r="895" spans="1:7" x14ac:dyDescent="0.25">
      <c r="A895" s="2125">
        <v>43561</v>
      </c>
      <c r="B895" s="57"/>
      <c r="C895" s="57"/>
      <c r="D895" s="113">
        <v>628500</v>
      </c>
      <c r="E895" s="113">
        <f t="shared" si="36"/>
        <v>8674348</v>
      </c>
      <c r="F895" s="113"/>
      <c r="G895" s="113">
        <f t="shared" si="35"/>
        <v>1729500</v>
      </c>
    </row>
    <row r="896" spans="1:7" x14ac:dyDescent="0.25">
      <c r="A896" s="2125">
        <v>43562</v>
      </c>
      <c r="B896" s="57"/>
      <c r="C896" s="57"/>
      <c r="D896" s="113">
        <v>187500</v>
      </c>
      <c r="E896" s="113">
        <f t="shared" si="36"/>
        <v>8861848</v>
      </c>
      <c r="F896" s="113"/>
      <c r="G896" s="113">
        <f t="shared" si="35"/>
        <v>1917000</v>
      </c>
    </row>
    <row r="897" spans="1:7" x14ac:dyDescent="0.25">
      <c r="A897" s="2125">
        <v>43563</v>
      </c>
      <c r="B897" s="57"/>
      <c r="C897" s="57"/>
      <c r="D897" s="113">
        <v>20000</v>
      </c>
      <c r="E897" s="113">
        <f t="shared" si="36"/>
        <v>8881848</v>
      </c>
      <c r="F897" s="113"/>
      <c r="G897" s="113">
        <f t="shared" si="35"/>
        <v>1937000</v>
      </c>
    </row>
    <row r="898" spans="1:7" x14ac:dyDescent="0.25">
      <c r="A898" s="2125">
        <v>43564</v>
      </c>
      <c r="B898" s="57"/>
      <c r="C898" s="57"/>
      <c r="D898" s="113">
        <v>333750</v>
      </c>
      <c r="E898" s="113">
        <f t="shared" si="36"/>
        <v>9215598</v>
      </c>
      <c r="F898" s="113"/>
      <c r="G898" s="113">
        <f t="shared" si="35"/>
        <v>2270750</v>
      </c>
    </row>
    <row r="899" spans="1:7" x14ac:dyDescent="0.25">
      <c r="A899" s="2125">
        <v>43565</v>
      </c>
      <c r="B899" s="57"/>
      <c r="C899" s="57"/>
      <c r="D899" s="113">
        <v>183500</v>
      </c>
      <c r="E899" s="113">
        <f t="shared" si="36"/>
        <v>9399098</v>
      </c>
      <c r="F899" s="113"/>
      <c r="G899" s="113">
        <f t="shared" si="35"/>
        <v>2454250</v>
      </c>
    </row>
    <row r="900" spans="1:7" x14ac:dyDescent="0.25">
      <c r="A900" s="2125">
        <v>43566</v>
      </c>
      <c r="B900" s="57"/>
      <c r="C900" s="57"/>
      <c r="D900" s="113">
        <v>493500</v>
      </c>
      <c r="E900" s="113">
        <f t="shared" si="36"/>
        <v>9892598</v>
      </c>
      <c r="F900" s="113"/>
      <c r="G900" s="113">
        <f t="shared" si="35"/>
        <v>2947750</v>
      </c>
    </row>
    <row r="901" spans="1:7" x14ac:dyDescent="0.25">
      <c r="A901" s="2125">
        <v>43567</v>
      </c>
      <c r="B901" s="57"/>
      <c r="C901" s="57"/>
      <c r="D901" s="113">
        <v>677500</v>
      </c>
      <c r="E901" s="113">
        <f t="shared" si="36"/>
        <v>10570098</v>
      </c>
      <c r="F901" s="113">
        <v>1917000</v>
      </c>
      <c r="G901" s="113">
        <f t="shared" si="35"/>
        <v>1708250</v>
      </c>
    </row>
    <row r="902" spans="1:7" x14ac:dyDescent="0.25">
      <c r="A902" s="2125">
        <v>43568</v>
      </c>
      <c r="B902" s="57"/>
      <c r="C902" s="57"/>
      <c r="D902" s="113">
        <v>615000</v>
      </c>
      <c r="E902" s="113">
        <f t="shared" si="36"/>
        <v>11185098</v>
      </c>
      <c r="F902" s="113"/>
      <c r="G902" s="113">
        <f t="shared" si="35"/>
        <v>2323250</v>
      </c>
    </row>
    <row r="903" spans="1:7" x14ac:dyDescent="0.25">
      <c r="A903" s="2125">
        <v>43569</v>
      </c>
      <c r="B903" s="57"/>
      <c r="C903" s="57"/>
      <c r="D903" s="113">
        <v>160000</v>
      </c>
      <c r="E903" s="113">
        <f t="shared" si="36"/>
        <v>11345098</v>
      </c>
      <c r="F903" s="113"/>
      <c r="G903" s="113">
        <f t="shared" si="35"/>
        <v>2483250</v>
      </c>
    </row>
    <row r="904" spans="1:7" x14ac:dyDescent="0.25">
      <c r="A904" s="2125">
        <v>43570</v>
      </c>
      <c r="B904" s="57"/>
      <c r="C904" s="57"/>
      <c r="D904" s="113">
        <v>25000</v>
      </c>
      <c r="E904" s="113">
        <f t="shared" si="36"/>
        <v>11370098</v>
      </c>
      <c r="F904" s="113"/>
      <c r="G904" s="113">
        <f t="shared" si="35"/>
        <v>2508250</v>
      </c>
    </row>
    <row r="905" spans="1:7" x14ac:dyDescent="0.25">
      <c r="A905" s="2125">
        <v>43571</v>
      </c>
      <c r="B905" s="57"/>
      <c r="C905" s="57"/>
      <c r="D905" s="113">
        <v>288000</v>
      </c>
      <c r="E905" s="113">
        <f t="shared" si="36"/>
        <v>11658098</v>
      </c>
      <c r="F905" s="113"/>
      <c r="G905" s="113">
        <f t="shared" si="35"/>
        <v>2796250</v>
      </c>
    </row>
    <row r="906" spans="1:7" x14ac:dyDescent="0.25">
      <c r="A906" s="2125">
        <v>43572</v>
      </c>
      <c r="B906" s="57"/>
      <c r="C906" s="57"/>
      <c r="D906" s="113">
        <v>820200</v>
      </c>
      <c r="E906" s="113">
        <f t="shared" si="36"/>
        <v>12478298</v>
      </c>
      <c r="F906" s="113"/>
      <c r="G906" s="113">
        <f t="shared" si="35"/>
        <v>3616450</v>
      </c>
    </row>
    <row r="907" spans="1:7" x14ac:dyDescent="0.25">
      <c r="A907" s="2125">
        <v>43573</v>
      </c>
      <c r="B907" s="57"/>
      <c r="C907" s="57"/>
      <c r="D907" s="113">
        <v>466000</v>
      </c>
      <c r="E907" s="113">
        <f t="shared" si="36"/>
        <v>12944298</v>
      </c>
      <c r="F907" s="113"/>
      <c r="G907" s="113">
        <f t="shared" si="35"/>
        <v>4082450</v>
      </c>
    </row>
    <row r="908" spans="1:7" x14ac:dyDescent="0.25">
      <c r="A908" s="2125">
        <v>43574</v>
      </c>
      <c r="B908" s="57"/>
      <c r="C908" s="57"/>
      <c r="D908" s="113">
        <v>255000</v>
      </c>
      <c r="E908" s="113">
        <f t="shared" si="36"/>
        <v>13199298</v>
      </c>
      <c r="F908" s="113"/>
      <c r="G908" s="113">
        <f t="shared" si="35"/>
        <v>4337450</v>
      </c>
    </row>
    <row r="909" spans="1:7" x14ac:dyDescent="0.25">
      <c r="A909" s="2125">
        <v>43575</v>
      </c>
      <c r="B909" s="57"/>
      <c r="C909" s="57"/>
      <c r="D909" s="113">
        <v>289000</v>
      </c>
      <c r="E909" s="113">
        <f t="shared" si="36"/>
        <v>13488298</v>
      </c>
      <c r="F909" s="113"/>
      <c r="G909" s="113">
        <f t="shared" si="35"/>
        <v>4626450</v>
      </c>
    </row>
    <row r="910" spans="1:7" x14ac:dyDescent="0.25">
      <c r="A910" s="2125">
        <v>43576</v>
      </c>
      <c r="B910" s="57"/>
      <c r="C910" s="57"/>
      <c r="D910" s="113">
        <v>257500</v>
      </c>
      <c r="E910" s="113">
        <f t="shared" si="36"/>
        <v>13745798</v>
      </c>
      <c r="F910" s="113"/>
      <c r="G910" s="113">
        <f t="shared" si="35"/>
        <v>4883950</v>
      </c>
    </row>
    <row r="911" spans="1:7" x14ac:dyDescent="0.25">
      <c r="A911" s="2125">
        <v>43577</v>
      </c>
      <c r="B911" s="57"/>
      <c r="C911" s="57"/>
      <c r="D911" s="113">
        <v>329500</v>
      </c>
      <c r="E911" s="113">
        <f t="shared" si="36"/>
        <v>14075298</v>
      </c>
      <c r="F911" s="113">
        <v>2468250</v>
      </c>
      <c r="G911" s="113">
        <f t="shared" si="35"/>
        <v>2745200</v>
      </c>
    </row>
    <row r="912" spans="1:7" x14ac:dyDescent="0.25">
      <c r="A912" s="2125">
        <v>43578</v>
      </c>
      <c r="B912" s="57"/>
      <c r="C912" s="57"/>
      <c r="D912" s="113">
        <v>234500</v>
      </c>
      <c r="E912" s="113">
        <f t="shared" si="36"/>
        <v>14309798</v>
      </c>
      <c r="F912" s="113"/>
      <c r="G912" s="113">
        <f t="shared" si="35"/>
        <v>2979700</v>
      </c>
    </row>
    <row r="913" spans="1:7" x14ac:dyDescent="0.25">
      <c r="A913" s="2125">
        <v>43579</v>
      </c>
      <c r="B913" s="57"/>
      <c r="C913" s="57"/>
      <c r="D913" s="113">
        <v>430500</v>
      </c>
      <c r="E913" s="113">
        <f t="shared" si="36"/>
        <v>14740298</v>
      </c>
      <c r="F913" s="113">
        <v>2415700</v>
      </c>
      <c r="G913" s="113">
        <f t="shared" si="35"/>
        <v>994500</v>
      </c>
    </row>
    <row r="914" spans="1:7" x14ac:dyDescent="0.25">
      <c r="A914" s="2125">
        <v>43580</v>
      </c>
      <c r="B914" s="57"/>
      <c r="C914" s="57"/>
      <c r="D914" s="113">
        <v>310150</v>
      </c>
      <c r="E914" s="113">
        <f t="shared" si="36"/>
        <v>15050448</v>
      </c>
      <c r="F914" s="113"/>
      <c r="G914" s="113">
        <f t="shared" si="35"/>
        <v>1304650</v>
      </c>
    </row>
    <row r="915" spans="1:7" x14ac:dyDescent="0.25">
      <c r="A915" s="2125">
        <v>43581</v>
      </c>
      <c r="B915" s="57"/>
      <c r="C915" s="57"/>
      <c r="D915" s="113">
        <v>2000</v>
      </c>
      <c r="E915" s="113">
        <f t="shared" si="36"/>
        <v>15052448</v>
      </c>
      <c r="F915" s="113"/>
      <c r="G915" s="113">
        <f t="shared" si="35"/>
        <v>1306650</v>
      </c>
    </row>
    <row r="916" spans="1:7" x14ac:dyDescent="0.25">
      <c r="A916" s="2125">
        <v>43582</v>
      </c>
      <c r="B916" s="57"/>
      <c r="C916" s="57"/>
      <c r="D916" s="113">
        <v>498750</v>
      </c>
      <c r="E916" s="113">
        <f t="shared" si="36"/>
        <v>15551198</v>
      </c>
      <c r="F916" s="113"/>
      <c r="G916" s="113">
        <f t="shared" si="35"/>
        <v>1805400</v>
      </c>
    </row>
    <row r="917" spans="1:7" x14ac:dyDescent="0.25">
      <c r="A917" s="2125">
        <v>43583</v>
      </c>
      <c r="B917" s="57"/>
      <c r="C917" s="57"/>
      <c r="D917" s="113">
        <v>284000</v>
      </c>
      <c r="E917" s="113">
        <f t="shared" si="36"/>
        <v>15835198</v>
      </c>
      <c r="F917" s="113"/>
      <c r="G917" s="113">
        <f t="shared" si="35"/>
        <v>2089400</v>
      </c>
    </row>
    <row r="918" spans="1:7" x14ac:dyDescent="0.25">
      <c r="A918" s="2125">
        <v>43584</v>
      </c>
      <c r="B918" s="57"/>
      <c r="C918" s="57"/>
      <c r="D918" s="113">
        <v>404000</v>
      </c>
      <c r="E918" s="113">
        <f t="shared" si="36"/>
        <v>16239198</v>
      </c>
      <c r="F918" s="113"/>
      <c r="G918" s="113">
        <f t="shared" si="35"/>
        <v>2493400</v>
      </c>
    </row>
    <row r="919" spans="1:7" x14ac:dyDescent="0.25">
      <c r="A919" s="2125">
        <v>43585</v>
      </c>
      <c r="B919" s="57"/>
      <c r="C919" s="57"/>
      <c r="D919" s="113">
        <v>491700</v>
      </c>
      <c r="E919" s="113">
        <f t="shared" si="36"/>
        <v>16730898</v>
      </c>
      <c r="F919" s="113"/>
      <c r="G919" s="113">
        <f t="shared" si="35"/>
        <v>2985100</v>
      </c>
    </row>
    <row r="920" spans="1:7" x14ac:dyDescent="0.25">
      <c r="A920" s="2166"/>
      <c r="B920" s="2167"/>
      <c r="C920" s="2167"/>
      <c r="D920" s="2168"/>
      <c r="E920" s="113">
        <f t="shared" si="36"/>
        <v>16730898</v>
      </c>
      <c r="F920" s="2168"/>
      <c r="G920" s="113">
        <f t="shared" si="35"/>
        <v>2985100</v>
      </c>
    </row>
    <row r="921" spans="1:7" x14ac:dyDescent="0.25">
      <c r="A921" s="2125">
        <v>43586</v>
      </c>
      <c r="B921" s="57"/>
      <c r="C921" s="57"/>
      <c r="D921" s="113">
        <v>464550</v>
      </c>
      <c r="E921" s="113">
        <f t="shared" si="36"/>
        <v>17195448</v>
      </c>
      <c r="F921" s="113"/>
      <c r="G921" s="113">
        <f t="shared" si="35"/>
        <v>3449650</v>
      </c>
    </row>
    <row r="922" spans="1:7" x14ac:dyDescent="0.25">
      <c r="A922" s="2125">
        <v>43587</v>
      </c>
      <c r="B922" s="57"/>
      <c r="C922" s="57"/>
      <c r="D922" s="113">
        <v>98500</v>
      </c>
      <c r="E922" s="113">
        <f t="shared" si="36"/>
        <v>17293948</v>
      </c>
      <c r="F922" s="113"/>
      <c r="G922" s="113">
        <f t="shared" si="35"/>
        <v>3548150</v>
      </c>
    </row>
    <row r="923" spans="1:7" x14ac:dyDescent="0.25">
      <c r="A923" s="2125">
        <v>43588</v>
      </c>
      <c r="B923" s="57"/>
      <c r="C923" s="57"/>
      <c r="D923" s="113">
        <v>319500</v>
      </c>
      <c r="E923" s="113">
        <f t="shared" si="36"/>
        <v>17613448</v>
      </c>
      <c r="F923" s="113"/>
      <c r="G923" s="113">
        <f t="shared" si="35"/>
        <v>3867650</v>
      </c>
    </row>
    <row r="924" spans="1:7" x14ac:dyDescent="0.25">
      <c r="A924" s="2125">
        <v>43589</v>
      </c>
      <c r="B924" s="57"/>
      <c r="C924" s="57"/>
      <c r="D924" s="113">
        <v>562500</v>
      </c>
      <c r="E924" s="113">
        <f t="shared" si="36"/>
        <v>18175948</v>
      </c>
      <c r="F924" s="113"/>
      <c r="G924" s="113">
        <f t="shared" si="35"/>
        <v>4430150</v>
      </c>
    </row>
    <row r="925" spans="1:7" x14ac:dyDescent="0.25">
      <c r="A925" s="2125">
        <v>43590</v>
      </c>
      <c r="B925" s="57"/>
      <c r="C925" s="57"/>
      <c r="D925" s="113">
        <v>410000</v>
      </c>
      <c r="E925" s="113">
        <f t="shared" si="36"/>
        <v>18585948</v>
      </c>
      <c r="F925" s="113"/>
      <c r="G925" s="113">
        <f t="shared" si="35"/>
        <v>4840150</v>
      </c>
    </row>
    <row r="926" spans="1:7" x14ac:dyDescent="0.25">
      <c r="A926" s="2125">
        <v>43591</v>
      </c>
      <c r="B926" s="57"/>
      <c r="C926" s="57"/>
      <c r="D926" s="113">
        <v>157000</v>
      </c>
      <c r="E926" s="113">
        <f t="shared" si="36"/>
        <v>18742948</v>
      </c>
      <c r="F926" s="113"/>
      <c r="G926" s="113">
        <f t="shared" si="35"/>
        <v>4997150</v>
      </c>
    </row>
    <row r="927" spans="1:7" x14ac:dyDescent="0.25">
      <c r="A927" s="2125">
        <v>43592</v>
      </c>
      <c r="B927" s="57"/>
      <c r="C927" s="57"/>
      <c r="D927" s="113">
        <v>614500</v>
      </c>
      <c r="E927" s="113">
        <f t="shared" si="36"/>
        <v>19357448</v>
      </c>
      <c r="F927" s="113">
        <v>2077900</v>
      </c>
      <c r="G927" s="113">
        <f t="shared" si="35"/>
        <v>3533750</v>
      </c>
    </row>
    <row r="928" spans="1:7" x14ac:dyDescent="0.25">
      <c r="A928" s="2125">
        <v>43593</v>
      </c>
      <c r="B928" s="57"/>
      <c r="C928" s="57"/>
      <c r="D928" s="113">
        <v>566250</v>
      </c>
      <c r="E928" s="113">
        <f t="shared" si="36"/>
        <v>19923698</v>
      </c>
      <c r="F928" s="113"/>
      <c r="G928" s="113">
        <f t="shared" si="35"/>
        <v>4100000</v>
      </c>
    </row>
    <row r="929" spans="1:8" x14ac:dyDescent="0.25">
      <c r="A929" s="2125">
        <v>43594</v>
      </c>
      <c r="B929" s="57"/>
      <c r="C929" s="57"/>
      <c r="D929" s="113">
        <v>50000</v>
      </c>
      <c r="E929" s="113">
        <f t="shared" si="36"/>
        <v>19973698</v>
      </c>
      <c r="F929" s="113">
        <v>2727950</v>
      </c>
      <c r="G929" s="113">
        <f t="shared" si="35"/>
        <v>1422050</v>
      </c>
    </row>
    <row r="930" spans="1:8" x14ac:dyDescent="0.25">
      <c r="A930" s="2125">
        <v>43595</v>
      </c>
      <c r="B930" s="57"/>
      <c r="C930" s="57"/>
      <c r="D930" s="2526">
        <v>323000</v>
      </c>
      <c r="E930" s="113">
        <f t="shared" si="36"/>
        <v>20296698</v>
      </c>
      <c r="F930" s="113"/>
      <c r="G930" s="113">
        <f t="shared" si="35"/>
        <v>1745050</v>
      </c>
    </row>
    <row r="931" spans="1:8" x14ac:dyDescent="0.25">
      <c r="A931" s="2125">
        <v>43596</v>
      </c>
      <c r="B931" s="57"/>
      <c r="C931" s="57"/>
      <c r="D931" s="113">
        <v>643000</v>
      </c>
      <c r="E931" s="113">
        <f t="shared" si="36"/>
        <v>20939698</v>
      </c>
      <c r="F931" s="113"/>
      <c r="G931" s="113">
        <f t="shared" si="35"/>
        <v>2388050</v>
      </c>
      <c r="H931" s="416"/>
    </row>
    <row r="932" spans="1:8" s="877" customFormat="1" x14ac:dyDescent="0.25">
      <c r="A932" s="2524">
        <v>43597</v>
      </c>
      <c r="B932" s="2525"/>
      <c r="C932" s="2525"/>
      <c r="D932" s="86">
        <v>139500</v>
      </c>
      <c r="E932" s="86">
        <f t="shared" si="36"/>
        <v>21079198</v>
      </c>
      <c r="F932" s="86"/>
      <c r="G932" s="86">
        <f t="shared" si="35"/>
        <v>2527550</v>
      </c>
    </row>
    <row r="933" spans="1:8" x14ac:dyDescent="0.25">
      <c r="A933" s="2125">
        <v>43598</v>
      </c>
      <c r="B933" s="57"/>
      <c r="C933" s="57"/>
      <c r="D933" s="113">
        <v>541750</v>
      </c>
      <c r="E933" s="113">
        <f t="shared" si="36"/>
        <v>21620948</v>
      </c>
      <c r="F933" s="113"/>
      <c r="G933" s="113">
        <f t="shared" si="35"/>
        <v>3069300</v>
      </c>
    </row>
    <row r="934" spans="1:8" x14ac:dyDescent="0.25">
      <c r="A934" s="2125">
        <v>43599</v>
      </c>
      <c r="B934" s="57"/>
      <c r="C934" s="57"/>
      <c r="D934" s="113">
        <f>131000-9000</f>
        <v>122000</v>
      </c>
      <c r="E934" s="113">
        <f t="shared" si="36"/>
        <v>21742948</v>
      </c>
      <c r="F934" s="113"/>
      <c r="G934" s="113">
        <f t="shared" si="35"/>
        <v>3191300</v>
      </c>
    </row>
    <row r="935" spans="1:8" x14ac:dyDescent="0.25">
      <c r="A935" s="2125">
        <v>43600</v>
      </c>
      <c r="B935" s="57"/>
      <c r="C935" s="57"/>
      <c r="D935" s="113">
        <v>192000</v>
      </c>
      <c r="E935" s="113">
        <f t="shared" si="36"/>
        <v>21934948</v>
      </c>
      <c r="F935" s="113">
        <v>2363750</v>
      </c>
      <c r="G935" s="113">
        <f t="shared" si="35"/>
        <v>1019550</v>
      </c>
    </row>
    <row r="936" spans="1:8" x14ac:dyDescent="0.25">
      <c r="A936" s="2125">
        <v>43601</v>
      </c>
      <c r="B936" s="57"/>
      <c r="C936" s="57"/>
      <c r="D936" s="113">
        <v>312500</v>
      </c>
      <c r="E936" s="113">
        <f t="shared" si="36"/>
        <v>22247448</v>
      </c>
      <c r="F936" s="113"/>
      <c r="G936" s="113">
        <f t="shared" si="35"/>
        <v>1332050</v>
      </c>
    </row>
    <row r="937" spans="1:8" x14ac:dyDescent="0.25">
      <c r="A937" s="2125">
        <v>43602</v>
      </c>
      <c r="B937" s="57"/>
      <c r="C937" s="57"/>
      <c r="D937" s="113">
        <v>605000</v>
      </c>
      <c r="E937" s="113">
        <f t="shared" si="36"/>
        <v>22852448</v>
      </c>
      <c r="F937" s="113"/>
      <c r="G937" s="113">
        <f t="shared" si="35"/>
        <v>1937050</v>
      </c>
    </row>
    <row r="938" spans="1:8" x14ac:dyDescent="0.25">
      <c r="A938" s="2125">
        <v>43603</v>
      </c>
      <c r="B938" s="57"/>
      <c r="C938" s="57"/>
      <c r="D938" s="113">
        <v>208000</v>
      </c>
      <c r="E938" s="113">
        <f t="shared" si="36"/>
        <v>23060448</v>
      </c>
      <c r="F938" s="113"/>
      <c r="G938" s="113">
        <f t="shared" si="35"/>
        <v>2145050</v>
      </c>
    </row>
    <row r="939" spans="1:8" x14ac:dyDescent="0.25">
      <c r="A939" s="2125">
        <v>43604</v>
      </c>
      <c r="B939" s="57"/>
      <c r="C939" s="57"/>
      <c r="D939" s="113">
        <v>595000</v>
      </c>
      <c r="E939" s="113">
        <f t="shared" si="36"/>
        <v>23655448</v>
      </c>
      <c r="F939" s="113"/>
      <c r="G939" s="113">
        <f t="shared" si="35"/>
        <v>2740050</v>
      </c>
    </row>
    <row r="940" spans="1:8" x14ac:dyDescent="0.25">
      <c r="A940" s="2125">
        <v>43605</v>
      </c>
      <c r="B940" s="57"/>
      <c r="C940" s="57"/>
      <c r="D940" s="113">
        <v>5000</v>
      </c>
      <c r="E940" s="113">
        <f>+E939+D940</f>
        <v>23660448</v>
      </c>
      <c r="F940" s="113"/>
      <c r="G940" s="113">
        <f>+G939+D940-F940</f>
        <v>2745050</v>
      </c>
    </row>
    <row r="941" spans="1:8" x14ac:dyDescent="0.25">
      <c r="A941" s="2125">
        <v>43606</v>
      </c>
      <c r="B941" s="57"/>
      <c r="C941" s="57"/>
      <c r="D941" s="113">
        <v>41000</v>
      </c>
      <c r="E941" s="113">
        <f t="shared" ref="E941:E1004" si="37">+E940+D941</f>
        <v>23701448</v>
      </c>
      <c r="F941" s="113"/>
      <c r="G941" s="113">
        <f t="shared" ref="G941:G1004" si="38">+G940+D941-F941</f>
        <v>2786050</v>
      </c>
    </row>
    <row r="942" spans="1:8" x14ac:dyDescent="0.25">
      <c r="A942" s="2125">
        <v>43607</v>
      </c>
      <c r="B942" s="57"/>
      <c r="C942" s="57"/>
      <c r="D942" s="113">
        <v>583500</v>
      </c>
      <c r="E942" s="113">
        <f t="shared" si="37"/>
        <v>24284948</v>
      </c>
      <c r="F942" s="113"/>
      <c r="G942" s="113">
        <f t="shared" si="38"/>
        <v>3369550</v>
      </c>
    </row>
    <row r="943" spans="1:8" x14ac:dyDescent="0.25">
      <c r="A943" s="2125">
        <v>43608</v>
      </c>
      <c r="B943" s="57"/>
      <c r="C943" s="57"/>
      <c r="D943" s="113">
        <v>90000</v>
      </c>
      <c r="E943" s="113">
        <f t="shared" si="37"/>
        <v>24374948</v>
      </c>
      <c r="F943" s="113"/>
      <c r="G943" s="113">
        <f t="shared" si="38"/>
        <v>3459550</v>
      </c>
    </row>
    <row r="944" spans="1:8" x14ac:dyDescent="0.25">
      <c r="A944" s="2125">
        <v>43609</v>
      </c>
      <c r="B944" s="57"/>
      <c r="C944" s="57"/>
      <c r="D944" s="113">
        <v>10000</v>
      </c>
      <c r="E944" s="113">
        <f t="shared" si="37"/>
        <v>24384948</v>
      </c>
      <c r="F944" s="113"/>
      <c r="G944" s="113">
        <f t="shared" si="38"/>
        <v>3469550</v>
      </c>
    </row>
    <row r="945" spans="1:7" x14ac:dyDescent="0.25">
      <c r="A945" s="2125">
        <v>43610</v>
      </c>
      <c r="B945" s="57"/>
      <c r="C945" s="57"/>
      <c r="D945" s="113">
        <v>423050</v>
      </c>
      <c r="E945" s="113">
        <f t="shared" si="37"/>
        <v>24807998</v>
      </c>
      <c r="F945" s="113">
        <v>2145050</v>
      </c>
      <c r="G945" s="113">
        <f t="shared" si="38"/>
        <v>1747550</v>
      </c>
    </row>
    <row r="946" spans="1:7" x14ac:dyDescent="0.25">
      <c r="A946" s="2125">
        <v>43611</v>
      </c>
      <c r="B946" s="57"/>
      <c r="C946" s="57"/>
      <c r="D946" s="113"/>
      <c r="E946" s="113">
        <f t="shared" si="37"/>
        <v>24807998</v>
      </c>
      <c r="F946" s="113"/>
      <c r="G946" s="113">
        <f t="shared" si="38"/>
        <v>1747550</v>
      </c>
    </row>
    <row r="947" spans="1:7" x14ac:dyDescent="0.25">
      <c r="A947" s="2125">
        <v>43612</v>
      </c>
      <c r="B947" s="57"/>
      <c r="C947" s="57"/>
      <c r="D947" s="113"/>
      <c r="E947" s="113">
        <f t="shared" si="37"/>
        <v>24807998</v>
      </c>
      <c r="F947" s="113"/>
      <c r="G947" s="113">
        <f t="shared" si="38"/>
        <v>1747550</v>
      </c>
    </row>
    <row r="948" spans="1:7" x14ac:dyDescent="0.25">
      <c r="A948" s="2125">
        <v>43613</v>
      </c>
      <c r="B948" s="57"/>
      <c r="C948" s="57"/>
      <c r="D948" s="113">
        <v>86000</v>
      </c>
      <c r="E948" s="113">
        <f t="shared" si="37"/>
        <v>24893998</v>
      </c>
      <c r="F948" s="113"/>
      <c r="G948" s="113">
        <f t="shared" si="38"/>
        <v>1833550</v>
      </c>
    </row>
    <row r="949" spans="1:7" x14ac:dyDescent="0.25">
      <c r="A949" s="2125">
        <v>43614</v>
      </c>
      <c r="B949" s="57"/>
      <c r="C949" s="57"/>
      <c r="D949" s="113">
        <v>143750</v>
      </c>
      <c r="E949" s="113">
        <f t="shared" si="37"/>
        <v>25037748</v>
      </c>
      <c r="F949" s="113"/>
      <c r="G949" s="113">
        <f t="shared" si="38"/>
        <v>1977300</v>
      </c>
    </row>
    <row r="950" spans="1:7" x14ac:dyDescent="0.25">
      <c r="A950" s="2125">
        <v>43615</v>
      </c>
      <c r="B950" s="57"/>
      <c r="C950" s="57"/>
      <c r="D950" s="113">
        <v>10000</v>
      </c>
      <c r="E950" s="113">
        <f t="shared" si="37"/>
        <v>25047748</v>
      </c>
      <c r="F950" s="113"/>
      <c r="G950" s="113">
        <f t="shared" si="38"/>
        <v>1987300</v>
      </c>
    </row>
    <row r="951" spans="1:7" x14ac:dyDescent="0.25">
      <c r="A951" s="2125">
        <v>43616</v>
      </c>
      <c r="B951" s="57"/>
      <c r="C951" s="57"/>
      <c r="D951" s="113">
        <v>331000</v>
      </c>
      <c r="E951" s="113">
        <f t="shared" si="37"/>
        <v>25378748</v>
      </c>
      <c r="F951" s="113">
        <v>1710550</v>
      </c>
      <c r="G951" s="113">
        <f t="shared" si="38"/>
        <v>607750</v>
      </c>
    </row>
    <row r="952" spans="1:7" x14ac:dyDescent="0.25">
      <c r="A952" s="2530"/>
      <c r="B952" s="2531"/>
      <c r="C952" s="2531"/>
      <c r="D952" s="2518"/>
      <c r="E952" s="2518">
        <f t="shared" si="37"/>
        <v>25378748</v>
      </c>
      <c r="F952" s="2518"/>
      <c r="G952" s="2518">
        <f t="shared" si="38"/>
        <v>607750</v>
      </c>
    </row>
    <row r="953" spans="1:7" x14ac:dyDescent="0.25">
      <c r="A953" s="2125">
        <v>43617</v>
      </c>
      <c r="B953" s="57"/>
      <c r="C953" s="57"/>
      <c r="D953" s="113">
        <v>2160300</v>
      </c>
      <c r="E953" s="113">
        <f t="shared" si="37"/>
        <v>27539048</v>
      </c>
      <c r="F953" s="113"/>
      <c r="G953" s="113">
        <f t="shared" si="38"/>
        <v>2768050</v>
      </c>
    </row>
    <row r="954" spans="1:7" x14ac:dyDescent="0.25">
      <c r="A954" s="2125">
        <v>43618</v>
      </c>
      <c r="B954" s="57"/>
      <c r="C954" s="57"/>
      <c r="D954" s="113"/>
      <c r="E954" s="113">
        <f t="shared" si="37"/>
        <v>27539048</v>
      </c>
      <c r="F954" s="113"/>
      <c r="G954" s="113">
        <f t="shared" si="38"/>
        <v>2768050</v>
      </c>
    </row>
    <row r="955" spans="1:7" x14ac:dyDescent="0.25">
      <c r="A955" s="2125">
        <v>43619</v>
      </c>
      <c r="B955" s="57"/>
      <c r="C955" s="57"/>
      <c r="D955" s="113">
        <v>15000</v>
      </c>
      <c r="E955" s="113">
        <f t="shared" si="37"/>
        <v>27554048</v>
      </c>
      <c r="F955" s="113"/>
      <c r="G955" s="113">
        <f t="shared" si="38"/>
        <v>2783050</v>
      </c>
    </row>
    <row r="956" spans="1:7" x14ac:dyDescent="0.25">
      <c r="A956" s="2125">
        <v>43620</v>
      </c>
      <c r="B956" s="57"/>
      <c r="C956" s="57"/>
      <c r="D956" s="113">
        <v>379500</v>
      </c>
      <c r="E956" s="113">
        <f t="shared" si="37"/>
        <v>27933548</v>
      </c>
      <c r="F956" s="113"/>
      <c r="G956" s="113">
        <f t="shared" si="38"/>
        <v>3162550</v>
      </c>
    </row>
    <row r="957" spans="1:7" x14ac:dyDescent="0.25">
      <c r="A957" s="2125">
        <v>43621</v>
      </c>
      <c r="B957" s="57"/>
      <c r="C957" s="57"/>
      <c r="D957" s="113"/>
      <c r="E957" s="113">
        <f t="shared" si="37"/>
        <v>27933548</v>
      </c>
      <c r="F957" s="113"/>
      <c r="G957" s="113">
        <f t="shared" si="38"/>
        <v>3162550</v>
      </c>
    </row>
    <row r="958" spans="1:7" x14ac:dyDescent="0.25">
      <c r="A958" s="2125">
        <v>43622</v>
      </c>
      <c r="B958" s="57"/>
      <c r="C958" s="57"/>
      <c r="D958" s="113">
        <v>101000</v>
      </c>
      <c r="E958" s="113">
        <f t="shared" si="37"/>
        <v>28034548</v>
      </c>
      <c r="F958" s="113"/>
      <c r="G958" s="113">
        <f t="shared" si="38"/>
        <v>3263550</v>
      </c>
    </row>
    <row r="959" spans="1:7" x14ac:dyDescent="0.25">
      <c r="A959" s="2125">
        <v>43623</v>
      </c>
      <c r="B959" s="57"/>
      <c r="C959" s="57"/>
      <c r="D959" s="113">
        <v>506000</v>
      </c>
      <c r="E959" s="113">
        <f t="shared" si="37"/>
        <v>28540548</v>
      </c>
      <c r="F959" s="113"/>
      <c r="G959" s="113">
        <f t="shared" si="38"/>
        <v>3769550</v>
      </c>
    </row>
    <row r="960" spans="1:7" x14ac:dyDescent="0.25">
      <c r="A960" s="2125">
        <v>43624</v>
      </c>
      <c r="B960" s="57"/>
      <c r="C960" s="57"/>
      <c r="D960" s="113">
        <v>371460</v>
      </c>
      <c r="E960" s="113">
        <f t="shared" si="37"/>
        <v>28912008</v>
      </c>
      <c r="F960" s="113"/>
      <c r="G960" s="113">
        <f t="shared" si="38"/>
        <v>4141010</v>
      </c>
    </row>
    <row r="961" spans="1:7" x14ac:dyDescent="0.25">
      <c r="A961" s="2125">
        <v>43625</v>
      </c>
      <c r="B961" s="57"/>
      <c r="C961" s="57"/>
      <c r="D961" s="113">
        <v>5000</v>
      </c>
      <c r="E961" s="113">
        <f t="shared" si="37"/>
        <v>28917008</v>
      </c>
      <c r="F961" s="113"/>
      <c r="G961" s="113">
        <f t="shared" si="38"/>
        <v>4146010</v>
      </c>
    </row>
    <row r="962" spans="1:7" x14ac:dyDescent="0.25">
      <c r="A962" s="2125">
        <v>43626</v>
      </c>
      <c r="B962" s="57"/>
      <c r="C962" s="57"/>
      <c r="D962" s="113">
        <v>4150</v>
      </c>
      <c r="E962" s="113">
        <f t="shared" si="37"/>
        <v>28921158</v>
      </c>
      <c r="F962" s="113"/>
      <c r="G962" s="113">
        <f t="shared" si="38"/>
        <v>4150160</v>
      </c>
    </row>
    <row r="963" spans="1:7" x14ac:dyDescent="0.25">
      <c r="A963" s="2125">
        <v>43627</v>
      </c>
      <c r="B963" s="57"/>
      <c r="C963" s="57"/>
      <c r="D963" s="113">
        <v>30000</v>
      </c>
      <c r="E963" s="113">
        <f t="shared" si="37"/>
        <v>28951158</v>
      </c>
      <c r="F963" s="113">
        <v>1535250</v>
      </c>
      <c r="G963" s="113">
        <f t="shared" si="38"/>
        <v>2644910</v>
      </c>
    </row>
    <row r="964" spans="1:7" x14ac:dyDescent="0.25">
      <c r="A964" s="2125">
        <v>43628</v>
      </c>
      <c r="B964" s="57"/>
      <c r="C964" s="57"/>
      <c r="D964" s="113">
        <v>34500</v>
      </c>
      <c r="E964" s="113">
        <f t="shared" si="37"/>
        <v>28985658</v>
      </c>
      <c r="F964" s="113"/>
      <c r="G964" s="113">
        <f t="shared" si="38"/>
        <v>2679410</v>
      </c>
    </row>
    <row r="965" spans="1:7" x14ac:dyDescent="0.25">
      <c r="A965" s="2125">
        <v>43629</v>
      </c>
      <c r="B965" s="57"/>
      <c r="C965" s="57"/>
      <c r="D965" s="113">
        <v>63000</v>
      </c>
      <c r="E965" s="113">
        <f t="shared" si="37"/>
        <v>29048658</v>
      </c>
      <c r="F965" s="113">
        <v>2610760</v>
      </c>
      <c r="G965" s="113">
        <f t="shared" si="38"/>
        <v>131650</v>
      </c>
    </row>
    <row r="966" spans="1:7" x14ac:dyDescent="0.25">
      <c r="A966" s="2125">
        <v>43630</v>
      </c>
      <c r="B966" s="57"/>
      <c r="C966" s="57"/>
      <c r="D966" s="113">
        <v>240000</v>
      </c>
      <c r="E966" s="113">
        <f t="shared" si="37"/>
        <v>29288658</v>
      </c>
      <c r="F966" s="113"/>
      <c r="G966" s="113">
        <f t="shared" si="38"/>
        <v>371650</v>
      </c>
    </row>
    <row r="967" spans="1:7" x14ac:dyDescent="0.25">
      <c r="A967" s="2125">
        <v>43631</v>
      </c>
      <c r="B967" s="57"/>
      <c r="C967" s="57"/>
      <c r="D967" s="113">
        <v>75000</v>
      </c>
      <c r="E967" s="113">
        <f t="shared" si="37"/>
        <v>29363658</v>
      </c>
      <c r="F967" s="113"/>
      <c r="G967" s="113">
        <f t="shared" si="38"/>
        <v>446650</v>
      </c>
    </row>
    <row r="968" spans="1:7" x14ac:dyDescent="0.25">
      <c r="A968" s="2125">
        <v>43632</v>
      </c>
      <c r="B968" s="57"/>
      <c r="C968" s="57"/>
      <c r="D968" s="113">
        <v>10000</v>
      </c>
      <c r="E968" s="113">
        <f t="shared" si="37"/>
        <v>29373658</v>
      </c>
      <c r="F968" s="113"/>
      <c r="G968" s="113">
        <f t="shared" si="38"/>
        <v>456650</v>
      </c>
    </row>
    <row r="969" spans="1:7" x14ac:dyDescent="0.25">
      <c r="A969" s="2125">
        <v>43633</v>
      </c>
      <c r="B969" s="57"/>
      <c r="C969" s="57"/>
      <c r="D969" s="113">
        <v>107000</v>
      </c>
      <c r="E969" s="113">
        <f t="shared" si="37"/>
        <v>29480658</v>
      </c>
      <c r="F969" s="113"/>
      <c r="G969" s="113">
        <f t="shared" si="38"/>
        <v>563650</v>
      </c>
    </row>
    <row r="970" spans="1:7" x14ac:dyDescent="0.25">
      <c r="A970" s="2125">
        <v>43634</v>
      </c>
      <c r="B970" s="57"/>
      <c r="C970" s="57"/>
      <c r="D970" s="113">
        <v>34500</v>
      </c>
      <c r="E970" s="113">
        <f t="shared" si="37"/>
        <v>29515158</v>
      </c>
      <c r="F970" s="113"/>
      <c r="G970" s="113">
        <f t="shared" si="38"/>
        <v>598150</v>
      </c>
    </row>
    <row r="971" spans="1:7" x14ac:dyDescent="0.25">
      <c r="A971" s="2125">
        <v>43635</v>
      </c>
      <c r="B971" s="57"/>
      <c r="C971" s="57"/>
      <c r="D971" s="113"/>
      <c r="E971" s="113">
        <f t="shared" si="37"/>
        <v>29515158</v>
      </c>
      <c r="F971" s="113"/>
      <c r="G971" s="113">
        <f t="shared" si="38"/>
        <v>598150</v>
      </c>
    </row>
    <row r="972" spans="1:7" x14ac:dyDescent="0.25">
      <c r="A972" s="2125">
        <v>43636</v>
      </c>
      <c r="B972" s="2535"/>
      <c r="C972" s="2535"/>
      <c r="D972" s="2536">
        <v>461500</v>
      </c>
      <c r="E972" s="113">
        <f>+E971+D972</f>
        <v>29976658</v>
      </c>
      <c r="F972" s="113"/>
      <c r="G972" s="113">
        <f t="shared" si="38"/>
        <v>1059650</v>
      </c>
    </row>
    <row r="973" spans="1:7" x14ac:dyDescent="0.25">
      <c r="A973" s="2125">
        <v>43637</v>
      </c>
      <c r="B973" s="2535"/>
      <c r="C973" s="2535"/>
      <c r="D973" s="2536">
        <v>314000</v>
      </c>
      <c r="E973" s="113">
        <f t="shared" si="37"/>
        <v>30290658</v>
      </c>
      <c r="F973" s="113"/>
      <c r="G973" s="113">
        <f t="shared" si="38"/>
        <v>1373650</v>
      </c>
    </row>
    <row r="974" spans="1:7" x14ac:dyDescent="0.25">
      <c r="A974" s="2125">
        <v>43638</v>
      </c>
      <c r="B974" s="2535"/>
      <c r="C974" s="2535"/>
      <c r="D974" s="2536">
        <v>10000</v>
      </c>
      <c r="E974" s="113">
        <f t="shared" si="37"/>
        <v>30300658</v>
      </c>
      <c r="F974" s="113"/>
      <c r="G974" s="113">
        <f t="shared" si="38"/>
        <v>1383650</v>
      </c>
    </row>
    <row r="975" spans="1:7" x14ac:dyDescent="0.25">
      <c r="A975" s="2125">
        <v>43639</v>
      </c>
      <c r="B975" s="2535"/>
      <c r="C975" s="2535"/>
      <c r="D975" s="2536">
        <v>220500</v>
      </c>
      <c r="E975" s="113">
        <f t="shared" si="37"/>
        <v>30521158</v>
      </c>
      <c r="F975" s="113"/>
      <c r="G975" s="113">
        <f t="shared" si="38"/>
        <v>1604150</v>
      </c>
    </row>
    <row r="976" spans="1:7" x14ac:dyDescent="0.25">
      <c r="A976" s="2125">
        <v>43640</v>
      </c>
      <c r="B976" s="2535"/>
      <c r="C976" s="2535"/>
      <c r="D976" s="2536">
        <v>20000</v>
      </c>
      <c r="E976" s="113">
        <f t="shared" si="37"/>
        <v>30541158</v>
      </c>
      <c r="F976" s="113">
        <v>455020</v>
      </c>
      <c r="G976" s="113">
        <f t="shared" si="38"/>
        <v>1169130</v>
      </c>
    </row>
    <row r="977" spans="1:9" ht="20.25" x14ac:dyDescent="0.3">
      <c r="A977" s="2125">
        <v>43641</v>
      </c>
      <c r="B977" s="2534"/>
      <c r="C977" s="2534"/>
      <c r="D977" s="2538">
        <v>218500</v>
      </c>
      <c r="E977" s="113">
        <f t="shared" si="37"/>
        <v>30759658</v>
      </c>
      <c r="F977" s="113"/>
      <c r="G977" s="113">
        <f t="shared" si="38"/>
        <v>1387630</v>
      </c>
      <c r="H977">
        <v>1387630</v>
      </c>
      <c r="I977" s="416">
        <f>+H977-G977</f>
        <v>0</v>
      </c>
    </row>
    <row r="978" spans="1:9" ht="20.25" x14ac:dyDescent="0.3">
      <c r="A978" s="2125">
        <v>43642</v>
      </c>
      <c r="B978" s="2537"/>
      <c r="C978" s="2537"/>
      <c r="D978" s="2539"/>
      <c r="E978" s="113">
        <f t="shared" si="37"/>
        <v>30759658</v>
      </c>
      <c r="F978" s="113"/>
      <c r="G978" s="113">
        <f t="shared" si="38"/>
        <v>1387630</v>
      </c>
      <c r="I978" s="416"/>
    </row>
    <row r="979" spans="1:9" ht="20.25" x14ac:dyDescent="0.3">
      <c r="A979" s="2125">
        <v>43643</v>
      </c>
      <c r="B979" s="2537"/>
      <c r="C979" s="2537"/>
      <c r="D979" s="2539">
        <v>172500</v>
      </c>
      <c r="E979" s="113">
        <f>+E978+D979</f>
        <v>30932158</v>
      </c>
      <c r="F979" s="113">
        <v>1143403</v>
      </c>
      <c r="G979" s="113">
        <f t="shared" si="38"/>
        <v>416727</v>
      </c>
      <c r="I979" s="416"/>
    </row>
    <row r="980" spans="1:9" ht="20.25" x14ac:dyDescent="0.3">
      <c r="A980" s="2125">
        <v>43644</v>
      </c>
      <c r="B980" s="2537"/>
      <c r="C980" s="2537"/>
      <c r="D980" s="2537">
        <v>150000</v>
      </c>
      <c r="E980" s="113">
        <f t="shared" si="37"/>
        <v>31082158</v>
      </c>
      <c r="F980" s="113"/>
      <c r="G980" s="113">
        <f t="shared" si="38"/>
        <v>566727</v>
      </c>
      <c r="I980" s="416"/>
    </row>
    <row r="981" spans="1:9" ht="20.25" x14ac:dyDescent="0.3">
      <c r="A981" s="2530"/>
      <c r="B981" s="2540"/>
      <c r="C981" s="2540"/>
      <c r="D981" s="2540"/>
      <c r="E981" s="2518">
        <f t="shared" si="37"/>
        <v>31082158</v>
      </c>
      <c r="F981" s="2518"/>
      <c r="G981" s="2518">
        <f t="shared" si="38"/>
        <v>566727</v>
      </c>
      <c r="I981" s="416"/>
    </row>
    <row r="982" spans="1:9" ht="20.25" x14ac:dyDescent="0.3">
      <c r="A982" s="2125">
        <v>43647</v>
      </c>
      <c r="B982" s="2537"/>
      <c r="C982" s="2537"/>
      <c r="D982" s="2537">
        <v>164500</v>
      </c>
      <c r="E982" s="113">
        <f t="shared" si="37"/>
        <v>31246658</v>
      </c>
      <c r="F982" s="113"/>
      <c r="G982" s="113">
        <f t="shared" si="38"/>
        <v>731227</v>
      </c>
      <c r="I982" s="416"/>
    </row>
    <row r="983" spans="1:9" ht="20.25" x14ac:dyDescent="0.3">
      <c r="A983" s="2125">
        <v>43648</v>
      </c>
      <c r="B983" s="2537"/>
      <c r="C983" s="2537"/>
      <c r="D983" s="2537"/>
      <c r="E983" s="113">
        <f t="shared" si="37"/>
        <v>31246658</v>
      </c>
      <c r="F983" s="113"/>
      <c r="G983" s="113">
        <f t="shared" si="38"/>
        <v>731227</v>
      </c>
      <c r="I983" s="416"/>
    </row>
    <row r="984" spans="1:9" ht="20.25" x14ac:dyDescent="0.3">
      <c r="A984" s="2125">
        <v>43649</v>
      </c>
      <c r="B984" s="2537"/>
      <c r="C984" s="2537"/>
      <c r="D984" s="2537">
        <v>200000</v>
      </c>
      <c r="E984" s="113">
        <f t="shared" si="37"/>
        <v>31446658</v>
      </c>
      <c r="F984" s="113">
        <v>558997</v>
      </c>
      <c r="G984" s="113">
        <f t="shared" si="38"/>
        <v>372230</v>
      </c>
      <c r="I984" s="416"/>
    </row>
    <row r="985" spans="1:9" ht="20.25" x14ac:dyDescent="0.3">
      <c r="A985" s="2125">
        <v>43650</v>
      </c>
      <c r="B985" s="2537"/>
      <c r="C985" s="2537"/>
      <c r="D985" s="2537">
        <v>5000</v>
      </c>
      <c r="E985" s="113">
        <f t="shared" si="37"/>
        <v>31451658</v>
      </c>
      <c r="F985" s="113"/>
      <c r="G985" s="113">
        <f t="shared" si="38"/>
        <v>377230</v>
      </c>
      <c r="I985" s="416"/>
    </row>
    <row r="986" spans="1:9" ht="20.25" x14ac:dyDescent="0.3">
      <c r="A986" s="2125">
        <v>43651</v>
      </c>
      <c r="B986" s="2537"/>
      <c r="C986" s="2537"/>
      <c r="D986" s="2537">
        <v>167075</v>
      </c>
      <c r="E986" s="113">
        <f t="shared" si="37"/>
        <v>31618733</v>
      </c>
      <c r="F986" s="113"/>
      <c r="G986" s="113">
        <f t="shared" si="38"/>
        <v>544305</v>
      </c>
      <c r="I986" s="416"/>
    </row>
    <row r="987" spans="1:9" ht="20.25" x14ac:dyDescent="0.3">
      <c r="A987" s="2125">
        <v>43652</v>
      </c>
      <c r="B987" s="2537"/>
      <c r="C987" s="2537"/>
      <c r="D987" s="2537"/>
      <c r="E987" s="113">
        <f t="shared" si="37"/>
        <v>31618733</v>
      </c>
      <c r="F987" s="113"/>
      <c r="G987" s="113">
        <f t="shared" si="38"/>
        <v>544305</v>
      </c>
      <c r="I987" s="416"/>
    </row>
    <row r="988" spans="1:9" ht="20.25" x14ac:dyDescent="0.3">
      <c r="A988" s="2125">
        <v>43653</v>
      </c>
      <c r="B988" s="2537"/>
      <c r="C988" s="2537"/>
      <c r="D988" s="2537"/>
      <c r="E988" s="113">
        <f t="shared" si="37"/>
        <v>31618733</v>
      </c>
      <c r="F988" s="113"/>
      <c r="G988" s="113">
        <f t="shared" si="38"/>
        <v>544305</v>
      </c>
      <c r="I988" s="416"/>
    </row>
    <row r="989" spans="1:9" ht="20.25" x14ac:dyDescent="0.3">
      <c r="A989" s="2125">
        <v>43654</v>
      </c>
      <c r="B989" s="2537"/>
      <c r="C989" s="2537"/>
      <c r="D989" s="2537">
        <v>10000</v>
      </c>
      <c r="E989" s="113">
        <f t="shared" si="37"/>
        <v>31628733</v>
      </c>
      <c r="F989" s="113">
        <v>0</v>
      </c>
      <c r="G989" s="113">
        <f t="shared" si="38"/>
        <v>554305</v>
      </c>
      <c r="I989" s="416"/>
    </row>
    <row r="990" spans="1:9" ht="20.25" x14ac:dyDescent="0.3">
      <c r="A990" s="2125">
        <v>43655</v>
      </c>
      <c r="B990" s="2537"/>
      <c r="C990" s="2537"/>
      <c r="D990" s="2537"/>
      <c r="E990" s="113">
        <f t="shared" si="37"/>
        <v>31628733</v>
      </c>
      <c r="F990" s="113"/>
      <c r="G990" s="113">
        <f t="shared" si="38"/>
        <v>554305</v>
      </c>
      <c r="I990" s="416"/>
    </row>
    <row r="991" spans="1:9" ht="20.25" x14ac:dyDescent="0.3">
      <c r="A991" s="2125">
        <v>43656</v>
      </c>
      <c r="B991" s="2537"/>
      <c r="C991" s="2537"/>
      <c r="D991" s="2537"/>
      <c r="E991" s="113">
        <f t="shared" si="37"/>
        <v>31628733</v>
      </c>
      <c r="F991" s="113">
        <v>534659</v>
      </c>
      <c r="G991" s="113">
        <f t="shared" si="38"/>
        <v>19646</v>
      </c>
      <c r="I991" s="416"/>
    </row>
    <row r="992" spans="1:9" ht="20.25" x14ac:dyDescent="0.3">
      <c r="A992" s="2125">
        <v>43657</v>
      </c>
      <c r="B992" s="2537"/>
      <c r="C992" s="2537"/>
      <c r="D992" s="2537">
        <v>7000</v>
      </c>
      <c r="E992" s="113">
        <f t="shared" si="37"/>
        <v>31635733</v>
      </c>
      <c r="F992" s="113"/>
      <c r="G992" s="113">
        <f t="shared" si="38"/>
        <v>26646</v>
      </c>
      <c r="I992" s="416"/>
    </row>
    <row r="993" spans="1:10" ht="20.25" x14ac:dyDescent="0.3">
      <c r="A993" s="2125">
        <v>43658</v>
      </c>
      <c r="B993" s="2537"/>
      <c r="C993" s="2537"/>
      <c r="D993" s="2537">
        <v>223050</v>
      </c>
      <c r="E993" s="113">
        <f t="shared" si="37"/>
        <v>31858783</v>
      </c>
      <c r="F993" s="113"/>
      <c r="G993" s="113">
        <f t="shared" si="38"/>
        <v>249696</v>
      </c>
      <c r="I993" s="416"/>
    </row>
    <row r="994" spans="1:10" ht="20.25" x14ac:dyDescent="0.3">
      <c r="A994" s="2125">
        <v>43659</v>
      </c>
      <c r="B994" s="2537"/>
      <c r="C994" s="2537"/>
      <c r="D994" s="2537"/>
      <c r="E994" s="113">
        <f t="shared" si="37"/>
        <v>31858783</v>
      </c>
      <c r="F994" s="113"/>
      <c r="G994" s="113">
        <f t="shared" si="38"/>
        <v>249696</v>
      </c>
      <c r="I994" s="416"/>
    </row>
    <row r="995" spans="1:10" ht="20.25" x14ac:dyDescent="0.3">
      <c r="A995" s="2125">
        <v>43660</v>
      </c>
      <c r="B995" s="2537"/>
      <c r="C995" s="2537"/>
      <c r="D995" s="2537"/>
      <c r="E995" s="113">
        <f t="shared" si="37"/>
        <v>31858783</v>
      </c>
      <c r="F995" s="113"/>
      <c r="G995" s="113">
        <f t="shared" si="38"/>
        <v>249696</v>
      </c>
      <c r="I995" s="416"/>
    </row>
    <row r="996" spans="1:10" ht="20.25" x14ac:dyDescent="0.3">
      <c r="A996" s="2125">
        <v>43661</v>
      </c>
      <c r="B996" s="2537"/>
      <c r="C996" s="2537"/>
      <c r="D996" s="2537">
        <v>43000</v>
      </c>
      <c r="E996" s="113">
        <f t="shared" si="37"/>
        <v>31901783</v>
      </c>
      <c r="F996" s="113"/>
      <c r="G996" s="113">
        <f t="shared" si="38"/>
        <v>292696</v>
      </c>
      <c r="I996" s="416"/>
    </row>
    <row r="997" spans="1:10" ht="20.25" x14ac:dyDescent="0.3">
      <c r="A997" s="2125">
        <v>43662</v>
      </c>
      <c r="B997" s="2537"/>
      <c r="C997" s="2537"/>
      <c r="D997" s="2537">
        <v>6000</v>
      </c>
      <c r="E997" s="113">
        <f t="shared" si="37"/>
        <v>31907783</v>
      </c>
      <c r="F997" s="113"/>
      <c r="G997" s="113">
        <f t="shared" si="38"/>
        <v>298696</v>
      </c>
      <c r="I997" s="416"/>
    </row>
    <row r="998" spans="1:10" ht="20.25" x14ac:dyDescent="0.3">
      <c r="A998" s="2125">
        <v>43663</v>
      </c>
      <c r="B998" s="2537"/>
      <c r="C998" s="2537"/>
      <c r="D998" s="2537">
        <v>25000</v>
      </c>
      <c r="E998" s="113">
        <f t="shared" si="37"/>
        <v>31932783</v>
      </c>
      <c r="F998" s="113"/>
      <c r="G998" s="113">
        <f t="shared" si="38"/>
        <v>323696</v>
      </c>
      <c r="I998" s="416"/>
      <c r="J998" s="416"/>
    </row>
    <row r="999" spans="1:10" ht="20.25" x14ac:dyDescent="0.3">
      <c r="A999" s="2125">
        <v>43664</v>
      </c>
      <c r="B999" s="2537"/>
      <c r="C999" s="2537"/>
      <c r="D999" s="2537">
        <v>100000</v>
      </c>
      <c r="E999" s="113">
        <f t="shared" si="37"/>
        <v>32032783</v>
      </c>
      <c r="F999" s="113">
        <v>239193</v>
      </c>
      <c r="G999" s="113">
        <f t="shared" si="38"/>
        <v>184503</v>
      </c>
      <c r="I999" s="416"/>
    </row>
    <row r="1000" spans="1:10" ht="20.25" x14ac:dyDescent="0.3">
      <c r="A1000" s="2125">
        <v>43665</v>
      </c>
      <c r="B1000" s="2549"/>
      <c r="C1000" s="2549"/>
      <c r="D1000" s="2549">
        <v>368000</v>
      </c>
      <c r="E1000" s="113">
        <f t="shared" si="37"/>
        <v>32400783</v>
      </c>
      <c r="F1000" s="113"/>
      <c r="G1000" s="113">
        <f t="shared" si="38"/>
        <v>552503</v>
      </c>
      <c r="I1000" s="416"/>
    </row>
    <row r="1001" spans="1:10" ht="20.25" x14ac:dyDescent="0.3">
      <c r="A1001" s="2125">
        <v>43666</v>
      </c>
      <c r="B1001" s="2549"/>
      <c r="C1001" s="2549"/>
      <c r="D1001" s="2549">
        <v>34500</v>
      </c>
      <c r="E1001" s="113">
        <f t="shared" si="37"/>
        <v>32435283</v>
      </c>
      <c r="F1001" s="113"/>
      <c r="G1001" s="113">
        <f t="shared" si="38"/>
        <v>587003</v>
      </c>
      <c r="H1001" s="401"/>
      <c r="I1001" s="466"/>
      <c r="J1001" s="401"/>
    </row>
    <row r="1002" spans="1:10" ht="20.25" x14ac:dyDescent="0.3">
      <c r="A1002" s="2125">
        <v>43667</v>
      </c>
      <c r="B1002" s="2549"/>
      <c r="C1002" s="2549"/>
      <c r="D1002" s="2549">
        <v>39500</v>
      </c>
      <c r="E1002" s="113">
        <f t="shared" si="37"/>
        <v>32474783</v>
      </c>
      <c r="F1002" s="113"/>
      <c r="G1002" s="113">
        <f t="shared" si="38"/>
        <v>626503</v>
      </c>
      <c r="H1002" s="401"/>
      <c r="I1002" s="466"/>
      <c r="J1002" s="401"/>
    </row>
    <row r="1003" spans="1:10" ht="20.25" x14ac:dyDescent="0.3">
      <c r="A1003" s="2125">
        <v>43668</v>
      </c>
      <c r="B1003" s="2549"/>
      <c r="C1003" s="2549"/>
      <c r="D1003" s="2549">
        <v>34500</v>
      </c>
      <c r="E1003" s="113">
        <f t="shared" si="37"/>
        <v>32509283</v>
      </c>
      <c r="F1003" s="113"/>
      <c r="G1003" s="113">
        <f t="shared" si="38"/>
        <v>661003</v>
      </c>
      <c r="H1003" s="2547"/>
      <c r="I1003" s="2548"/>
      <c r="J1003" s="401"/>
    </row>
    <row r="1004" spans="1:10" ht="20.25" x14ac:dyDescent="0.3">
      <c r="A1004" s="2125">
        <v>43669</v>
      </c>
      <c r="B1004" s="2549"/>
      <c r="C1004" s="2549"/>
      <c r="D1004" s="2549">
        <v>179500</v>
      </c>
      <c r="E1004" s="113">
        <f t="shared" si="37"/>
        <v>32688783</v>
      </c>
      <c r="F1004" s="113"/>
      <c r="G1004" s="113">
        <f t="shared" si="38"/>
        <v>840503</v>
      </c>
      <c r="H1004" s="401"/>
      <c r="I1004" s="466"/>
      <c r="J1004" s="401"/>
    </row>
    <row r="1005" spans="1:10" ht="20.25" x14ac:dyDescent="0.3">
      <c r="A1005" s="2125">
        <v>43670</v>
      </c>
      <c r="B1005" s="2549"/>
      <c r="C1005" s="2549"/>
      <c r="D1005" s="2549">
        <v>62500</v>
      </c>
      <c r="E1005" s="113">
        <f t="shared" ref="E1005:E1077" si="39">+E1004+D1005</f>
        <v>32751283</v>
      </c>
      <c r="F1005" s="113">
        <v>505688</v>
      </c>
      <c r="G1005" s="113">
        <f t="shared" ref="G1005:G1077" si="40">+G1004+D1005-F1005</f>
        <v>397315</v>
      </c>
      <c r="H1005" s="401"/>
      <c r="I1005" s="466"/>
      <c r="J1005" s="401"/>
    </row>
    <row r="1006" spans="1:10" ht="20.25" x14ac:dyDescent="0.3">
      <c r="A1006" s="2125">
        <v>43671</v>
      </c>
      <c r="B1006" s="2549"/>
      <c r="C1006" s="2549"/>
      <c r="D1006" s="2549">
        <v>46000</v>
      </c>
      <c r="E1006" s="113">
        <f t="shared" si="39"/>
        <v>32797283</v>
      </c>
      <c r="F1006" s="113"/>
      <c r="G1006" s="113">
        <f t="shared" si="40"/>
        <v>443315</v>
      </c>
      <c r="H1006" s="401"/>
      <c r="I1006" s="466"/>
      <c r="J1006" s="401"/>
    </row>
    <row r="1007" spans="1:10" ht="20.25" x14ac:dyDescent="0.3">
      <c r="A1007" s="2125">
        <v>43672</v>
      </c>
      <c r="B1007" s="2549"/>
      <c r="C1007" s="2549"/>
      <c r="D1007" s="2549">
        <v>307050</v>
      </c>
      <c r="E1007" s="113">
        <f t="shared" si="39"/>
        <v>33104333</v>
      </c>
      <c r="F1007" s="113"/>
      <c r="G1007" s="113">
        <f t="shared" si="40"/>
        <v>750365</v>
      </c>
      <c r="H1007" s="401"/>
      <c r="I1007" s="466"/>
      <c r="J1007" s="401"/>
    </row>
    <row r="1008" spans="1:10" ht="20.25" x14ac:dyDescent="0.3">
      <c r="A1008" s="2125">
        <v>43673</v>
      </c>
      <c r="B1008" s="2549"/>
      <c r="C1008" s="2549"/>
      <c r="D1008" s="2549">
        <v>234500</v>
      </c>
      <c r="E1008" s="113">
        <f t="shared" si="39"/>
        <v>33338833</v>
      </c>
      <c r="F1008" s="113"/>
      <c r="G1008" s="113">
        <f t="shared" si="40"/>
        <v>984865</v>
      </c>
      <c r="H1008" s="466"/>
      <c r="I1008" s="466"/>
      <c r="J1008" s="401"/>
    </row>
    <row r="1009" spans="1:10" ht="20.25" x14ac:dyDescent="0.3">
      <c r="A1009" s="2125">
        <v>43674</v>
      </c>
      <c r="B1009" s="2549"/>
      <c r="C1009" s="2549"/>
      <c r="D1009" s="2549">
        <v>39100</v>
      </c>
      <c r="E1009" s="113">
        <f t="shared" si="39"/>
        <v>33377933</v>
      </c>
      <c r="F1009" s="113"/>
      <c r="G1009" s="113">
        <f t="shared" si="40"/>
        <v>1023965</v>
      </c>
      <c r="H1009" s="466"/>
      <c r="I1009" s="466"/>
      <c r="J1009" s="466"/>
    </row>
    <row r="1010" spans="1:10" ht="20.25" x14ac:dyDescent="0.3">
      <c r="A1010" s="2125">
        <v>43675</v>
      </c>
      <c r="B1010" s="2549"/>
      <c r="C1010" s="2549"/>
      <c r="D1010" s="2549">
        <v>77400</v>
      </c>
      <c r="E1010" s="113">
        <f t="shared" si="39"/>
        <v>33455333</v>
      </c>
      <c r="F1010" s="113"/>
      <c r="G1010" s="113">
        <f t="shared" si="40"/>
        <v>1101365</v>
      </c>
      <c r="H1010" s="401"/>
      <c r="I1010" s="466"/>
      <c r="J1010" s="401"/>
    </row>
    <row r="1011" spans="1:10" ht="20.25" x14ac:dyDescent="0.3">
      <c r="A1011" s="2125">
        <v>43676</v>
      </c>
      <c r="B1011" s="2549"/>
      <c r="C1011" s="2549"/>
      <c r="D1011" s="2549">
        <v>11500</v>
      </c>
      <c r="E1011" s="113">
        <f t="shared" si="39"/>
        <v>33466833</v>
      </c>
      <c r="F1011" s="113"/>
      <c r="G1011" s="113">
        <f t="shared" si="40"/>
        <v>1112865</v>
      </c>
      <c r="I1011" s="416"/>
      <c r="J1011" s="416"/>
    </row>
    <row r="1012" spans="1:10" ht="20.25" x14ac:dyDescent="0.3">
      <c r="A1012" s="2125"/>
      <c r="B1012" s="2549"/>
      <c r="C1012" s="2549"/>
      <c r="D1012" s="2549"/>
      <c r="E1012" s="113">
        <f t="shared" si="39"/>
        <v>33466833</v>
      </c>
      <c r="F1012" s="113"/>
      <c r="G1012" s="113">
        <f t="shared" si="40"/>
        <v>1112865</v>
      </c>
      <c r="I1012" s="416"/>
      <c r="J1012" s="416"/>
    </row>
    <row r="1013" spans="1:10" ht="20.25" x14ac:dyDescent="0.3">
      <c r="A1013" s="2125">
        <v>43677</v>
      </c>
      <c r="B1013" s="2549"/>
      <c r="C1013" s="2549"/>
      <c r="D1013" s="2549">
        <v>36000</v>
      </c>
      <c r="E1013" s="113">
        <f t="shared" si="39"/>
        <v>33502833</v>
      </c>
      <c r="F1013" s="113">
        <v>888865</v>
      </c>
      <c r="G1013" s="113">
        <f t="shared" si="40"/>
        <v>260000</v>
      </c>
      <c r="I1013" s="416"/>
    </row>
    <row r="1014" spans="1:10" ht="20.25" x14ac:dyDescent="0.3">
      <c r="A1014" s="2530"/>
      <c r="B1014" s="2550"/>
      <c r="C1014" s="2550"/>
      <c r="D1014" s="2550"/>
      <c r="E1014" s="2518">
        <f t="shared" si="39"/>
        <v>33502833</v>
      </c>
      <c r="F1014" s="2518"/>
      <c r="G1014" s="2518">
        <f t="shared" si="40"/>
        <v>260000</v>
      </c>
      <c r="I1014" s="416"/>
    </row>
    <row r="1015" spans="1:10" ht="20.25" x14ac:dyDescent="0.3">
      <c r="A1015" s="2125">
        <v>43678</v>
      </c>
      <c r="B1015" s="2549"/>
      <c r="C1015" s="2549"/>
      <c r="D1015" s="2549">
        <v>306650</v>
      </c>
      <c r="E1015" s="113">
        <f t="shared" si="39"/>
        <v>33809483</v>
      </c>
      <c r="F1015" s="113"/>
      <c r="G1015" s="113">
        <f t="shared" si="40"/>
        <v>566650</v>
      </c>
      <c r="I1015" s="416"/>
    </row>
    <row r="1016" spans="1:10" ht="20.25" x14ac:dyDescent="0.3">
      <c r="A1016" s="2125">
        <v>43679</v>
      </c>
      <c r="B1016" s="2549"/>
      <c r="C1016" s="2549"/>
      <c r="D1016" s="2549"/>
      <c r="E1016" s="113">
        <f t="shared" si="39"/>
        <v>33809483</v>
      </c>
      <c r="F1016" s="113"/>
      <c r="G1016" s="113">
        <f t="shared" si="40"/>
        <v>566650</v>
      </c>
      <c r="I1016" s="416"/>
    </row>
    <row r="1017" spans="1:10" ht="20.25" x14ac:dyDescent="0.3">
      <c r="A1017" s="2125">
        <v>43680</v>
      </c>
      <c r="B1017" s="2549"/>
      <c r="C1017" s="2549"/>
      <c r="D1017" s="2549">
        <v>260000</v>
      </c>
      <c r="E1017" s="113">
        <f t="shared" si="39"/>
        <v>34069483</v>
      </c>
      <c r="F1017" s="113"/>
      <c r="G1017" s="113">
        <f t="shared" si="40"/>
        <v>826650</v>
      </c>
      <c r="I1017" s="416"/>
    </row>
    <row r="1018" spans="1:10" ht="20.25" x14ac:dyDescent="0.3">
      <c r="A1018" s="2125">
        <v>43681</v>
      </c>
      <c r="B1018" s="2549"/>
      <c r="C1018" s="2549"/>
      <c r="D1018" s="2549"/>
      <c r="E1018" s="113">
        <f>+E1017+D1018</f>
        <v>34069483</v>
      </c>
      <c r="F1018" s="113"/>
      <c r="G1018" s="113">
        <f t="shared" si="40"/>
        <v>826650</v>
      </c>
      <c r="I1018" s="416"/>
    </row>
    <row r="1019" spans="1:10" ht="20.25" x14ac:dyDescent="0.3">
      <c r="A1019" s="2125">
        <v>43682</v>
      </c>
      <c r="B1019" s="2549"/>
      <c r="C1019" s="2549"/>
      <c r="D1019" s="2549">
        <v>300500</v>
      </c>
      <c r="E1019" s="113">
        <f t="shared" si="39"/>
        <v>34369983</v>
      </c>
      <c r="F1019" s="113"/>
      <c r="G1019" s="113">
        <f t="shared" si="40"/>
        <v>1127150</v>
      </c>
      <c r="I1019" s="416"/>
    </row>
    <row r="1020" spans="1:10" ht="20.25" x14ac:dyDescent="0.3">
      <c r="A1020" s="2125">
        <v>43683</v>
      </c>
      <c r="B1020" s="2549"/>
      <c r="C1020" s="2549"/>
      <c r="D1020" s="2549">
        <v>139100</v>
      </c>
      <c r="E1020" s="113">
        <f t="shared" si="39"/>
        <v>34509083</v>
      </c>
      <c r="F1020" s="113"/>
      <c r="G1020" s="113">
        <f t="shared" si="40"/>
        <v>1266250</v>
      </c>
      <c r="I1020" s="416"/>
    </row>
    <row r="1021" spans="1:10" ht="20.25" x14ac:dyDescent="0.3">
      <c r="A1021" s="2125">
        <v>43684</v>
      </c>
      <c r="B1021" s="2549"/>
      <c r="C1021" s="2549"/>
      <c r="D1021" s="2549">
        <v>100000</v>
      </c>
      <c r="E1021" s="113">
        <f t="shared" si="39"/>
        <v>34609083</v>
      </c>
      <c r="F1021" s="113">
        <v>808254</v>
      </c>
      <c r="G1021" s="113">
        <f t="shared" si="40"/>
        <v>557996</v>
      </c>
      <c r="I1021" s="416"/>
    </row>
    <row r="1022" spans="1:10" ht="20.25" x14ac:dyDescent="0.3">
      <c r="A1022" s="2125">
        <v>43685</v>
      </c>
      <c r="B1022" s="2549"/>
      <c r="C1022" s="2549"/>
      <c r="D1022" s="2549">
        <v>195000</v>
      </c>
      <c r="E1022" s="113">
        <f t="shared" si="39"/>
        <v>34804083</v>
      </c>
      <c r="F1022" s="113"/>
      <c r="G1022" s="113">
        <f t="shared" si="40"/>
        <v>752996</v>
      </c>
      <c r="I1022" s="416"/>
    </row>
    <row r="1023" spans="1:10" ht="20.25" x14ac:dyDescent="0.3">
      <c r="A1023" s="2125">
        <v>43686</v>
      </c>
      <c r="B1023" s="2549"/>
      <c r="C1023" s="2549"/>
      <c r="D1023" s="2549"/>
      <c r="E1023" s="113">
        <f t="shared" si="39"/>
        <v>34804083</v>
      </c>
      <c r="F1023" s="113"/>
      <c r="G1023" s="113">
        <f t="shared" si="40"/>
        <v>752996</v>
      </c>
      <c r="I1023" s="416"/>
    </row>
    <row r="1024" spans="1:10" ht="20.25" x14ac:dyDescent="0.3">
      <c r="A1024" s="2125">
        <v>43687</v>
      </c>
      <c r="B1024" s="2549"/>
      <c r="C1024" s="2549"/>
      <c r="D1024" s="2549">
        <v>239800</v>
      </c>
      <c r="E1024" s="113">
        <f t="shared" si="39"/>
        <v>35043883</v>
      </c>
      <c r="F1024" s="113"/>
      <c r="G1024" s="113">
        <f t="shared" si="40"/>
        <v>992796</v>
      </c>
      <c r="I1024" s="416"/>
    </row>
    <row r="1025" spans="1:11" ht="20.25" x14ac:dyDescent="0.3">
      <c r="A1025" s="2125">
        <v>43688</v>
      </c>
      <c r="B1025" s="2549"/>
      <c r="C1025" s="2549"/>
      <c r="D1025" s="2549">
        <v>125000</v>
      </c>
      <c r="E1025" s="113">
        <f t="shared" si="39"/>
        <v>35168883</v>
      </c>
      <c r="F1025" s="113"/>
      <c r="G1025" s="113">
        <f t="shared" si="40"/>
        <v>1117796</v>
      </c>
      <c r="I1025" s="416"/>
    </row>
    <row r="1026" spans="1:11" ht="20.25" x14ac:dyDescent="0.3">
      <c r="A1026" s="2125">
        <v>43689</v>
      </c>
      <c r="B1026" s="2549"/>
      <c r="C1026" s="2549"/>
      <c r="D1026" s="2549"/>
      <c r="E1026" s="113">
        <f t="shared" si="39"/>
        <v>35168883</v>
      </c>
      <c r="F1026" s="113"/>
      <c r="G1026" s="113">
        <f t="shared" si="40"/>
        <v>1117796</v>
      </c>
      <c r="I1026" s="416"/>
    </row>
    <row r="1027" spans="1:11" ht="20.25" x14ac:dyDescent="0.3">
      <c r="A1027" s="2125">
        <v>43690</v>
      </c>
      <c r="B1027" s="2549"/>
      <c r="C1027" s="2549"/>
      <c r="D1027" s="2549">
        <v>149500</v>
      </c>
      <c r="E1027" s="113">
        <f t="shared" si="39"/>
        <v>35318383</v>
      </c>
      <c r="F1027" s="113"/>
      <c r="G1027" s="113">
        <f t="shared" si="40"/>
        <v>1267296</v>
      </c>
      <c r="I1027" s="416"/>
    </row>
    <row r="1028" spans="1:11" ht="20.25" x14ac:dyDescent="0.3">
      <c r="A1028" s="2125">
        <v>43691</v>
      </c>
      <c r="B1028" s="2549"/>
      <c r="C1028" s="2549"/>
      <c r="D1028" s="2549">
        <f>776250+69000</f>
        <v>845250</v>
      </c>
      <c r="E1028" s="113">
        <f t="shared" si="39"/>
        <v>36163633</v>
      </c>
      <c r="F1028" s="113">
        <v>1020743</v>
      </c>
      <c r="G1028" s="113">
        <f t="shared" si="40"/>
        <v>1091803</v>
      </c>
      <c r="I1028" s="416"/>
    </row>
    <row r="1029" spans="1:11" ht="20.25" x14ac:dyDescent="0.3">
      <c r="A1029" s="2125">
        <v>43692</v>
      </c>
      <c r="B1029" s="2549"/>
      <c r="C1029" s="2549"/>
      <c r="D1029" s="2549">
        <v>260000</v>
      </c>
      <c r="E1029" s="113">
        <f t="shared" si="39"/>
        <v>36423633</v>
      </c>
      <c r="F1029" s="113"/>
      <c r="G1029" s="113">
        <f t="shared" si="40"/>
        <v>1351803</v>
      </c>
      <c r="I1029" s="416"/>
      <c r="K1029" s="416"/>
    </row>
    <row r="1030" spans="1:11" ht="20.25" x14ac:dyDescent="0.3">
      <c r="A1030" s="2125">
        <v>43693</v>
      </c>
      <c r="B1030" s="2549"/>
      <c r="C1030" s="2549"/>
      <c r="D1030" s="2549">
        <v>240000</v>
      </c>
      <c r="E1030" s="113">
        <f t="shared" si="39"/>
        <v>36663633</v>
      </c>
      <c r="F1030" s="113"/>
      <c r="G1030" s="113">
        <f t="shared" si="40"/>
        <v>1591803</v>
      </c>
      <c r="H1030" s="416"/>
      <c r="I1030" s="416"/>
    </row>
    <row r="1031" spans="1:11" ht="20.25" x14ac:dyDescent="0.3">
      <c r="A1031" s="2125">
        <v>43694</v>
      </c>
      <c r="B1031" s="2549"/>
      <c r="C1031" s="2549"/>
      <c r="D1031" s="2549">
        <v>189750</v>
      </c>
      <c r="E1031" s="113">
        <f t="shared" si="39"/>
        <v>36853383</v>
      </c>
      <c r="F1031" s="113"/>
      <c r="G1031" s="113">
        <f t="shared" si="40"/>
        <v>1781553</v>
      </c>
      <c r="I1031" s="416"/>
    </row>
    <row r="1032" spans="1:11" ht="20.25" x14ac:dyDescent="0.3">
      <c r="A1032" s="2125">
        <v>43695</v>
      </c>
      <c r="B1032" s="2549"/>
      <c r="C1032" s="2549"/>
      <c r="D1032" s="2549">
        <v>5750</v>
      </c>
      <c r="E1032" s="113">
        <f t="shared" si="39"/>
        <v>36859133</v>
      </c>
      <c r="F1032" s="113"/>
      <c r="G1032" s="113">
        <f t="shared" si="40"/>
        <v>1787303</v>
      </c>
      <c r="I1032" s="416"/>
    </row>
    <row r="1033" spans="1:11" ht="20.25" x14ac:dyDescent="0.3">
      <c r="A1033" s="2125">
        <v>43696</v>
      </c>
      <c r="B1033" s="2549"/>
      <c r="C1033" s="2549"/>
      <c r="D1033" s="2549"/>
      <c r="E1033" s="113">
        <f t="shared" si="39"/>
        <v>36859133</v>
      </c>
      <c r="F1033" s="113"/>
      <c r="G1033" s="113">
        <f t="shared" si="40"/>
        <v>1787303</v>
      </c>
      <c r="H1033" s="416"/>
      <c r="I1033" s="416"/>
    </row>
    <row r="1034" spans="1:11" ht="20.25" x14ac:dyDescent="0.3">
      <c r="A1034" s="2125">
        <v>43697</v>
      </c>
      <c r="B1034" s="2549"/>
      <c r="C1034" s="2549"/>
      <c r="D1034" s="2549">
        <v>50000</v>
      </c>
      <c r="E1034" s="113">
        <f t="shared" si="39"/>
        <v>36909133</v>
      </c>
      <c r="F1034" s="113"/>
      <c r="G1034" s="113">
        <f t="shared" si="40"/>
        <v>1837303</v>
      </c>
      <c r="I1034" s="416"/>
    </row>
    <row r="1035" spans="1:11" ht="20.25" x14ac:dyDescent="0.3">
      <c r="A1035" s="2125">
        <v>43698</v>
      </c>
      <c r="B1035" s="2549"/>
      <c r="C1035" s="2549"/>
      <c r="D1035" s="2549">
        <v>252000</v>
      </c>
      <c r="E1035" s="113">
        <f t="shared" si="39"/>
        <v>37161133</v>
      </c>
      <c r="F1035" s="113"/>
      <c r="G1035" s="113">
        <f t="shared" si="40"/>
        <v>2089303</v>
      </c>
      <c r="I1035" s="416"/>
    </row>
    <row r="1036" spans="1:11" ht="20.25" x14ac:dyDescent="0.3">
      <c r="A1036" s="2125">
        <v>43699</v>
      </c>
      <c r="B1036" s="2549"/>
      <c r="C1036" s="2549"/>
      <c r="D1036" s="2549">
        <v>575000</v>
      </c>
      <c r="E1036" s="113">
        <f t="shared" si="39"/>
        <v>37736133</v>
      </c>
      <c r="F1036" s="113"/>
      <c r="G1036" s="113">
        <f t="shared" si="40"/>
        <v>2664303</v>
      </c>
      <c r="I1036" s="416"/>
    </row>
    <row r="1037" spans="1:11" ht="20.25" x14ac:dyDescent="0.3">
      <c r="A1037" s="2125">
        <v>43700</v>
      </c>
      <c r="B1037" s="2549"/>
      <c r="C1037" s="2549"/>
      <c r="D1037" s="2549">
        <v>275000</v>
      </c>
      <c r="E1037" s="113">
        <f t="shared" si="39"/>
        <v>38011133</v>
      </c>
      <c r="F1037" s="113">
        <v>1724571</v>
      </c>
      <c r="G1037" s="113">
        <f t="shared" si="40"/>
        <v>1214732</v>
      </c>
      <c r="I1037" s="416"/>
    </row>
    <row r="1038" spans="1:11" ht="20.25" x14ac:dyDescent="0.3">
      <c r="A1038" s="2125">
        <v>43701</v>
      </c>
      <c r="B1038" s="2549"/>
      <c r="C1038" s="2549"/>
      <c r="D1038" s="2549"/>
      <c r="E1038" s="113">
        <f t="shared" si="39"/>
        <v>38011133</v>
      </c>
      <c r="F1038" s="113"/>
      <c r="G1038" s="113">
        <f t="shared" si="40"/>
        <v>1214732</v>
      </c>
      <c r="H1038" s="2579">
        <f>+G1038-1214732</f>
        <v>0</v>
      </c>
      <c r="I1038" s="416"/>
    </row>
    <row r="1039" spans="1:11" ht="20.25" x14ac:dyDescent="0.3">
      <c r="A1039" s="2125">
        <v>43702</v>
      </c>
      <c r="B1039" s="2549"/>
      <c r="C1039" s="2549"/>
      <c r="D1039" s="2549"/>
      <c r="E1039" s="113">
        <f t="shared" si="39"/>
        <v>38011133</v>
      </c>
      <c r="F1039" s="113"/>
      <c r="G1039" s="113">
        <f t="shared" si="40"/>
        <v>1214732</v>
      </c>
      <c r="I1039" s="416"/>
    </row>
    <row r="1040" spans="1:11" ht="20.25" x14ac:dyDescent="0.3">
      <c r="A1040" s="2125">
        <v>43703</v>
      </c>
      <c r="B1040" s="2549"/>
      <c r="C1040" s="2549"/>
      <c r="D1040" s="2549">
        <v>50000</v>
      </c>
      <c r="E1040" s="113">
        <f t="shared" si="39"/>
        <v>38061133</v>
      </c>
      <c r="F1040" s="113"/>
      <c r="G1040" s="113">
        <f t="shared" si="40"/>
        <v>1264732</v>
      </c>
      <c r="I1040" s="416"/>
    </row>
    <row r="1041" spans="1:10" ht="20.25" x14ac:dyDescent="0.3">
      <c r="A1041" s="2125">
        <v>43704</v>
      </c>
      <c r="B1041" s="2549"/>
      <c r="C1041" s="2549"/>
      <c r="D1041" s="2549"/>
      <c r="E1041" s="113">
        <f t="shared" si="39"/>
        <v>38061133</v>
      </c>
      <c r="F1041" s="113"/>
      <c r="G1041" s="113">
        <f t="shared" si="40"/>
        <v>1264732</v>
      </c>
      <c r="I1041" s="416"/>
    </row>
    <row r="1042" spans="1:10" ht="20.25" x14ac:dyDescent="0.3">
      <c r="A1042" s="2125">
        <v>43705</v>
      </c>
      <c r="B1042" s="2549"/>
      <c r="C1042" s="2549"/>
      <c r="D1042" s="2549">
        <v>305200</v>
      </c>
      <c r="E1042" s="113">
        <f t="shared" si="39"/>
        <v>38366333</v>
      </c>
      <c r="F1042" s="113"/>
      <c r="G1042" s="113">
        <f t="shared" si="40"/>
        <v>1569932</v>
      </c>
      <c r="I1042" s="416"/>
    </row>
    <row r="1043" spans="1:10" ht="20.25" x14ac:dyDescent="0.3">
      <c r="A1043" s="2125">
        <v>43706</v>
      </c>
      <c r="B1043" s="2549"/>
      <c r="C1043" s="2549"/>
      <c r="D1043" s="2549"/>
      <c r="E1043" s="113">
        <f t="shared" si="39"/>
        <v>38366333</v>
      </c>
      <c r="F1043" s="113">
        <v>1182264</v>
      </c>
      <c r="G1043" s="113">
        <f t="shared" si="40"/>
        <v>387668</v>
      </c>
      <c r="I1043" s="416"/>
    </row>
    <row r="1044" spans="1:10" ht="20.25" x14ac:dyDescent="0.3">
      <c r="A1044" s="2125">
        <v>43707</v>
      </c>
      <c r="B1044" s="2549"/>
      <c r="C1044" s="2549"/>
      <c r="D1044" s="2549"/>
      <c r="E1044" s="113">
        <f t="shared" si="39"/>
        <v>38366333</v>
      </c>
      <c r="F1044" s="113"/>
      <c r="G1044" s="113">
        <f t="shared" si="40"/>
        <v>387668</v>
      </c>
      <c r="I1044" s="416"/>
    </row>
    <row r="1045" spans="1:10" ht="20.25" x14ac:dyDescent="0.3">
      <c r="A1045" s="2125">
        <v>43708</v>
      </c>
      <c r="B1045" s="2549"/>
      <c r="C1045" s="2549"/>
      <c r="D1045" s="2549">
        <v>240000</v>
      </c>
      <c r="E1045" s="113">
        <f t="shared" si="39"/>
        <v>38606333</v>
      </c>
      <c r="F1045" s="113"/>
      <c r="G1045" s="113">
        <f t="shared" si="40"/>
        <v>627668</v>
      </c>
      <c r="I1045" s="416"/>
    </row>
    <row r="1046" spans="1:10" ht="20.25" x14ac:dyDescent="0.3">
      <c r="A1046" s="2581"/>
      <c r="B1046" s="2582"/>
      <c r="C1046" s="2582"/>
      <c r="D1046" s="2582"/>
      <c r="E1046" s="2583">
        <f t="shared" si="39"/>
        <v>38606333</v>
      </c>
      <c r="F1046" s="2583"/>
      <c r="G1046" s="2583">
        <f t="shared" si="40"/>
        <v>627668</v>
      </c>
      <c r="I1046" s="416"/>
    </row>
    <row r="1047" spans="1:10" ht="20.25" x14ac:dyDescent="0.3">
      <c r="A1047" s="2125">
        <v>43709</v>
      </c>
      <c r="B1047" s="2549"/>
      <c r="C1047" s="2549"/>
      <c r="D1047" s="2549">
        <v>65000</v>
      </c>
      <c r="E1047" s="113">
        <f t="shared" si="39"/>
        <v>38671333</v>
      </c>
      <c r="F1047" s="113"/>
      <c r="G1047" s="113">
        <f t="shared" si="40"/>
        <v>692668</v>
      </c>
      <c r="I1047" s="416"/>
    </row>
    <row r="1048" spans="1:10" ht="20.25" x14ac:dyDescent="0.3">
      <c r="A1048" s="2125">
        <v>43710</v>
      </c>
      <c r="B1048" s="2549"/>
      <c r="C1048" s="2549"/>
      <c r="D1048" s="2549">
        <v>70000</v>
      </c>
      <c r="E1048" s="113">
        <f t="shared" si="39"/>
        <v>38741333</v>
      </c>
      <c r="F1048" s="113"/>
      <c r="G1048" s="113">
        <f t="shared" si="40"/>
        <v>762668</v>
      </c>
      <c r="I1048" s="416"/>
    </row>
    <row r="1049" spans="1:10" ht="20.25" x14ac:dyDescent="0.3">
      <c r="A1049" s="2125">
        <v>43711</v>
      </c>
      <c r="B1049" s="2549"/>
      <c r="C1049" s="2549"/>
      <c r="D1049" s="2549">
        <v>431500</v>
      </c>
      <c r="E1049" s="113">
        <f t="shared" si="39"/>
        <v>39172833</v>
      </c>
      <c r="F1049" s="113">
        <v>657843</v>
      </c>
      <c r="G1049" s="113">
        <f t="shared" si="40"/>
        <v>536325</v>
      </c>
      <c r="I1049" s="416"/>
    </row>
    <row r="1050" spans="1:10" ht="20.25" x14ac:dyDescent="0.3">
      <c r="A1050" s="2125">
        <v>43712</v>
      </c>
      <c r="B1050" s="2549"/>
      <c r="C1050" s="2549"/>
      <c r="D1050" s="2549">
        <v>342500</v>
      </c>
      <c r="E1050" s="113">
        <f t="shared" si="39"/>
        <v>39515333</v>
      </c>
      <c r="F1050" s="113"/>
      <c r="G1050" s="113">
        <f t="shared" si="40"/>
        <v>878825</v>
      </c>
      <c r="I1050" s="416"/>
    </row>
    <row r="1051" spans="1:10" ht="20.25" x14ac:dyDescent="0.3">
      <c r="A1051" s="2125">
        <v>43713</v>
      </c>
      <c r="B1051" s="2549"/>
      <c r="C1051" s="2549"/>
      <c r="D1051" s="2549">
        <v>196000</v>
      </c>
      <c r="E1051" s="113">
        <f t="shared" si="39"/>
        <v>39711333</v>
      </c>
      <c r="F1051" s="113"/>
      <c r="G1051" s="113">
        <f t="shared" si="40"/>
        <v>1074825</v>
      </c>
      <c r="I1051" s="416"/>
    </row>
    <row r="1052" spans="1:10" ht="20.25" x14ac:dyDescent="0.3">
      <c r="A1052" s="2125">
        <v>43714</v>
      </c>
      <c r="B1052" s="2549"/>
      <c r="C1052" s="2549"/>
      <c r="D1052" s="2549">
        <v>224700</v>
      </c>
      <c r="E1052" s="113">
        <f t="shared" si="39"/>
        <v>39936033</v>
      </c>
      <c r="F1052" s="113"/>
      <c r="G1052" s="113">
        <f t="shared" si="40"/>
        <v>1299525</v>
      </c>
      <c r="I1052" s="416"/>
    </row>
    <row r="1053" spans="1:10" ht="20.25" x14ac:dyDescent="0.3">
      <c r="A1053" s="2125">
        <v>43715</v>
      </c>
      <c r="B1053" s="2549"/>
      <c r="C1053" s="2549"/>
      <c r="D1053" s="2549">
        <v>566250</v>
      </c>
      <c r="E1053" s="113">
        <f t="shared" si="39"/>
        <v>40502283</v>
      </c>
      <c r="F1053" s="113"/>
      <c r="G1053" s="113">
        <f t="shared" si="40"/>
        <v>1865775</v>
      </c>
      <c r="I1053" s="416"/>
      <c r="J1053" s="39" t="s">
        <v>1803</v>
      </c>
    </row>
    <row r="1054" spans="1:10" ht="20.25" x14ac:dyDescent="0.3">
      <c r="A1054" s="2125">
        <v>43716</v>
      </c>
      <c r="B1054" s="2549"/>
      <c r="C1054" s="2549"/>
      <c r="D1054" s="2549"/>
      <c r="E1054" s="113">
        <f t="shared" si="39"/>
        <v>40502283</v>
      </c>
      <c r="F1054" s="113"/>
      <c r="G1054" s="113">
        <f t="shared" si="40"/>
        <v>1865775</v>
      </c>
      <c r="I1054" s="416"/>
    </row>
    <row r="1055" spans="1:10" ht="20.25" x14ac:dyDescent="0.3">
      <c r="A1055" s="2125">
        <v>43717</v>
      </c>
      <c r="B1055" s="2549"/>
      <c r="C1055" s="2549"/>
      <c r="D1055" s="2549">
        <v>220000</v>
      </c>
      <c r="E1055" s="113">
        <f t="shared" si="39"/>
        <v>40722283</v>
      </c>
      <c r="F1055" s="113"/>
      <c r="G1055" s="113">
        <f t="shared" si="40"/>
        <v>2085775</v>
      </c>
      <c r="I1055" s="416"/>
    </row>
    <row r="1056" spans="1:10" ht="20.25" x14ac:dyDescent="0.3">
      <c r="A1056" s="2125">
        <v>43718</v>
      </c>
      <c r="B1056" s="2549"/>
      <c r="C1056" s="2549"/>
      <c r="D1056" s="2549">
        <v>280200</v>
      </c>
      <c r="E1056" s="113">
        <f t="shared" si="39"/>
        <v>41002483</v>
      </c>
      <c r="F1056" s="113"/>
      <c r="G1056" s="113">
        <f t="shared" si="40"/>
        <v>2365975</v>
      </c>
      <c r="I1056" s="416"/>
    </row>
    <row r="1057" spans="1:9" ht="20.25" x14ac:dyDescent="0.3">
      <c r="A1057" s="2125">
        <v>43719</v>
      </c>
      <c r="B1057" s="2549"/>
      <c r="C1057" s="2549"/>
      <c r="D1057" s="2549">
        <v>725676</v>
      </c>
      <c r="E1057" s="113">
        <f t="shared" si="39"/>
        <v>41728159</v>
      </c>
      <c r="F1057" s="113">
        <v>1824414</v>
      </c>
      <c r="G1057" s="113">
        <f t="shared" si="40"/>
        <v>1267237</v>
      </c>
      <c r="I1057" s="416"/>
    </row>
    <row r="1058" spans="1:9" ht="20.25" x14ac:dyDescent="0.3">
      <c r="A1058" s="2125">
        <v>43720</v>
      </c>
      <c r="B1058" s="2549"/>
      <c r="C1058" s="2549"/>
      <c r="D1058" s="2549">
        <v>13800</v>
      </c>
      <c r="E1058" s="113">
        <f t="shared" si="39"/>
        <v>41741959</v>
      </c>
      <c r="F1058" s="113"/>
      <c r="G1058" s="113">
        <f t="shared" si="40"/>
        <v>1281037</v>
      </c>
      <c r="I1058" s="416"/>
    </row>
    <row r="1059" spans="1:9" ht="20.25" x14ac:dyDescent="0.3">
      <c r="A1059" s="2125">
        <v>43721</v>
      </c>
      <c r="B1059" s="2549"/>
      <c r="C1059" s="2549"/>
      <c r="D1059" s="2549">
        <v>21100</v>
      </c>
      <c r="E1059" s="113">
        <f t="shared" si="39"/>
        <v>41763059</v>
      </c>
      <c r="F1059" s="113"/>
      <c r="G1059" s="113">
        <f t="shared" si="40"/>
        <v>1302137</v>
      </c>
      <c r="I1059" s="416"/>
    </row>
    <row r="1060" spans="1:9" ht="20.25" x14ac:dyDescent="0.3">
      <c r="A1060" s="2125">
        <v>43722</v>
      </c>
      <c r="B1060" s="2549"/>
      <c r="C1060" s="2549"/>
      <c r="D1060" s="2549">
        <v>345000</v>
      </c>
      <c r="E1060" s="113">
        <f t="shared" si="39"/>
        <v>42108059</v>
      </c>
      <c r="F1060" s="113"/>
      <c r="G1060" s="113">
        <f t="shared" si="40"/>
        <v>1647137</v>
      </c>
      <c r="I1060" s="416"/>
    </row>
    <row r="1061" spans="1:9" ht="20.25" x14ac:dyDescent="0.3">
      <c r="A1061" s="2125">
        <v>43723</v>
      </c>
      <c r="B1061" s="2549"/>
      <c r="C1061" s="2549"/>
      <c r="D1061" s="2549">
        <v>2150</v>
      </c>
      <c r="E1061" s="113">
        <f t="shared" si="39"/>
        <v>42110209</v>
      </c>
      <c r="F1061" s="113"/>
      <c r="G1061" s="113">
        <f t="shared" si="40"/>
        <v>1649287</v>
      </c>
      <c r="I1061" s="416"/>
    </row>
    <row r="1062" spans="1:9" ht="20.25" x14ac:dyDescent="0.3">
      <c r="A1062" s="2125">
        <v>43724</v>
      </c>
      <c r="B1062" s="2549"/>
      <c r="C1062" s="2549"/>
      <c r="D1062" s="2549"/>
      <c r="E1062" s="113">
        <f t="shared" si="39"/>
        <v>42110209</v>
      </c>
      <c r="F1062" s="113"/>
      <c r="G1062" s="113">
        <f t="shared" si="40"/>
        <v>1649287</v>
      </c>
      <c r="I1062" s="416"/>
    </row>
    <row r="1063" spans="1:9" ht="20.25" x14ac:dyDescent="0.3">
      <c r="A1063" s="2125">
        <v>43725</v>
      </c>
      <c r="B1063" s="2549"/>
      <c r="C1063" s="2549"/>
      <c r="D1063" s="2549">
        <v>525000</v>
      </c>
      <c r="E1063" s="113">
        <f t="shared" si="39"/>
        <v>42635209</v>
      </c>
      <c r="F1063" s="113"/>
      <c r="G1063" s="113">
        <f t="shared" si="40"/>
        <v>2174287</v>
      </c>
      <c r="I1063" s="416"/>
    </row>
    <row r="1064" spans="1:9" ht="20.25" x14ac:dyDescent="0.3">
      <c r="A1064" s="2125">
        <v>43726</v>
      </c>
      <c r="B1064" s="2549"/>
      <c r="C1064" s="2549"/>
      <c r="D1064" s="2549">
        <v>204450</v>
      </c>
      <c r="E1064" s="113">
        <f t="shared" si="39"/>
        <v>42839659</v>
      </c>
      <c r="F1064" s="113">
        <v>1574684</v>
      </c>
      <c r="G1064" s="113">
        <f t="shared" si="40"/>
        <v>804053</v>
      </c>
      <c r="I1064" s="416"/>
    </row>
    <row r="1065" spans="1:9" ht="20.25" x14ac:dyDescent="0.3">
      <c r="A1065" s="2125">
        <v>43727</v>
      </c>
      <c r="B1065" s="2549"/>
      <c r="C1065" s="2549"/>
      <c r="D1065" s="2549">
        <v>626900</v>
      </c>
      <c r="E1065" s="113">
        <f t="shared" si="39"/>
        <v>43466559</v>
      </c>
      <c r="F1065" s="113"/>
      <c r="G1065" s="113">
        <f t="shared" si="40"/>
        <v>1430953</v>
      </c>
      <c r="H1065" s="416"/>
      <c r="I1065" s="416"/>
    </row>
    <row r="1066" spans="1:9" ht="20.25" x14ac:dyDescent="0.3">
      <c r="A1066" s="2125">
        <v>43728</v>
      </c>
      <c r="B1066" s="2549"/>
      <c r="C1066" s="2549"/>
      <c r="D1066" s="2549">
        <v>498500</v>
      </c>
      <c r="E1066" s="113">
        <f t="shared" si="39"/>
        <v>43965059</v>
      </c>
      <c r="F1066" s="113"/>
      <c r="G1066" s="113">
        <f t="shared" si="40"/>
        <v>1929453</v>
      </c>
      <c r="H1066" s="416"/>
      <c r="I1066" s="416"/>
    </row>
    <row r="1067" spans="1:9" ht="20.25" x14ac:dyDescent="0.3">
      <c r="A1067" s="2125">
        <v>43729</v>
      </c>
      <c r="B1067" s="2549"/>
      <c r="C1067" s="2549"/>
      <c r="D1067" s="2549">
        <v>618500</v>
      </c>
      <c r="E1067" s="113">
        <f t="shared" si="39"/>
        <v>44583559</v>
      </c>
      <c r="F1067" s="113"/>
      <c r="G1067" s="113">
        <f t="shared" si="40"/>
        <v>2547953</v>
      </c>
      <c r="I1067" s="416"/>
    </row>
    <row r="1068" spans="1:9" ht="20.25" x14ac:dyDescent="0.3">
      <c r="A1068" s="2125">
        <v>43730</v>
      </c>
      <c r="B1068" s="2549"/>
      <c r="C1068" s="2549"/>
      <c r="D1068" s="2549">
        <v>20000</v>
      </c>
      <c r="E1068" s="113">
        <f t="shared" si="39"/>
        <v>44603559</v>
      </c>
      <c r="F1068" s="113"/>
      <c r="G1068" s="113">
        <f t="shared" si="40"/>
        <v>2567953</v>
      </c>
      <c r="I1068" s="416"/>
    </row>
    <row r="1069" spans="1:9" ht="20.25" x14ac:dyDescent="0.3">
      <c r="A1069" s="2125">
        <v>43731</v>
      </c>
      <c r="B1069" s="2549"/>
      <c r="C1069" s="2549"/>
      <c r="D1069" s="2549">
        <v>68000</v>
      </c>
      <c r="E1069" s="113">
        <f t="shared" si="39"/>
        <v>44671559</v>
      </c>
      <c r="F1069" s="113"/>
      <c r="G1069" s="113">
        <f t="shared" si="40"/>
        <v>2635953</v>
      </c>
      <c r="I1069" s="416"/>
    </row>
    <row r="1070" spans="1:9" ht="20.25" x14ac:dyDescent="0.3">
      <c r="A1070" s="2125">
        <v>43732</v>
      </c>
      <c r="B1070" s="2549"/>
      <c r="C1070" s="2549"/>
      <c r="D1070" s="2549">
        <v>46000</v>
      </c>
      <c r="E1070" s="113">
        <f t="shared" si="39"/>
        <v>44717559</v>
      </c>
      <c r="F1070" s="113"/>
      <c r="G1070" s="113">
        <f t="shared" si="40"/>
        <v>2681953</v>
      </c>
      <c r="I1070" s="416"/>
    </row>
    <row r="1071" spans="1:9" ht="20.25" x14ac:dyDescent="0.3">
      <c r="A1071" s="2125">
        <v>43733</v>
      </c>
      <c r="B1071" s="2549"/>
      <c r="C1071" s="2549"/>
      <c r="D1071" s="2549">
        <v>245000</v>
      </c>
      <c r="E1071" s="113">
        <f t="shared" si="39"/>
        <v>44962559</v>
      </c>
      <c r="F1071" s="113"/>
      <c r="G1071" s="113">
        <f t="shared" si="40"/>
        <v>2926953</v>
      </c>
      <c r="I1071" s="416"/>
    </row>
    <row r="1072" spans="1:9" ht="20.25" x14ac:dyDescent="0.3">
      <c r="A1072" s="2125">
        <v>43734</v>
      </c>
      <c r="B1072" s="2549"/>
      <c r="C1072" s="2549"/>
      <c r="D1072" s="2549">
        <v>148500</v>
      </c>
      <c r="E1072" s="113">
        <f t="shared" si="39"/>
        <v>45111059</v>
      </c>
      <c r="F1072" s="113">
        <v>2457645</v>
      </c>
      <c r="G1072" s="113">
        <f t="shared" si="40"/>
        <v>617808</v>
      </c>
      <c r="I1072" s="2591"/>
    </row>
    <row r="1073" spans="1:9" ht="20.25" x14ac:dyDescent="0.3">
      <c r="A1073" s="2125">
        <v>43735</v>
      </c>
      <c r="B1073" s="2549"/>
      <c r="C1073" s="2549"/>
      <c r="D1073" s="2549">
        <v>116000</v>
      </c>
      <c r="E1073" s="113">
        <f t="shared" si="39"/>
        <v>45227059</v>
      </c>
      <c r="F1073" s="113"/>
      <c r="G1073" s="113">
        <f t="shared" si="40"/>
        <v>733808</v>
      </c>
      <c r="I1073" s="416"/>
    </row>
    <row r="1074" spans="1:9" ht="20.25" x14ac:dyDescent="0.3">
      <c r="A1074" s="2125">
        <v>43736</v>
      </c>
      <c r="B1074" s="2549"/>
      <c r="C1074" s="2549"/>
      <c r="D1074" s="2549">
        <v>445000</v>
      </c>
      <c r="E1074" s="113">
        <f t="shared" si="39"/>
        <v>45672059</v>
      </c>
      <c r="F1074" s="113"/>
      <c r="G1074" s="113">
        <f t="shared" si="40"/>
        <v>1178808</v>
      </c>
      <c r="I1074" s="416"/>
    </row>
    <row r="1075" spans="1:9" ht="20.25" x14ac:dyDescent="0.3">
      <c r="A1075" s="2125">
        <v>43737</v>
      </c>
      <c r="B1075" s="2549"/>
      <c r="C1075" s="2549"/>
      <c r="D1075" s="2549">
        <v>12000</v>
      </c>
      <c r="E1075" s="113">
        <f>+E1074+D1075</f>
        <v>45684059</v>
      </c>
      <c r="F1075" s="113"/>
      <c r="G1075" s="113">
        <f t="shared" si="40"/>
        <v>1190808</v>
      </c>
      <c r="I1075" s="416"/>
    </row>
    <row r="1076" spans="1:9" ht="20.25" x14ac:dyDescent="0.3">
      <c r="A1076" s="2125">
        <v>43738</v>
      </c>
      <c r="B1076" s="2549"/>
      <c r="C1076" s="2549"/>
      <c r="D1076" s="2549">
        <v>11500</v>
      </c>
      <c r="E1076" s="113">
        <f t="shared" si="39"/>
        <v>45695559</v>
      </c>
      <c r="F1076" s="113"/>
      <c r="G1076" s="113">
        <f t="shared" si="40"/>
        <v>1202308</v>
      </c>
      <c r="I1076" s="416"/>
    </row>
    <row r="1077" spans="1:9" ht="20.25" x14ac:dyDescent="0.3">
      <c r="A1077" s="2166"/>
      <c r="B1077" s="2592"/>
      <c r="C1077" s="2592"/>
      <c r="D1077" s="2592"/>
      <c r="E1077" s="2168">
        <f t="shared" si="39"/>
        <v>45695559</v>
      </c>
      <c r="F1077" s="2168"/>
      <c r="G1077" s="113">
        <f t="shared" si="40"/>
        <v>1202308</v>
      </c>
      <c r="I1077" s="416"/>
    </row>
    <row r="1078" spans="1:9" ht="20.25" x14ac:dyDescent="0.3">
      <c r="A1078" s="2125">
        <v>43739</v>
      </c>
      <c r="B1078" s="2549"/>
      <c r="C1078" s="2549"/>
      <c r="D1078" s="2549">
        <v>65000</v>
      </c>
      <c r="E1078" s="113">
        <f>+E1077+D1078</f>
        <v>45760559</v>
      </c>
      <c r="F1078" s="113"/>
      <c r="G1078" s="113">
        <f>+G1077+D1078-F1078</f>
        <v>1267308</v>
      </c>
      <c r="I1078" s="416"/>
    </row>
    <row r="1079" spans="1:9" ht="20.25" x14ac:dyDescent="0.3">
      <c r="A1079" s="2125">
        <v>43740</v>
      </c>
      <c r="B1079" s="2549"/>
      <c r="C1079" s="2549"/>
      <c r="D1079" s="2549">
        <v>48750</v>
      </c>
      <c r="E1079" s="113">
        <f t="shared" ref="E1079:E1106" si="41">+E1078+D1079</f>
        <v>45809309</v>
      </c>
      <c r="F1079" s="113"/>
      <c r="G1079" s="113">
        <f t="shared" ref="G1079:G1108" si="42">+G1078+D1079-F1079</f>
        <v>1316058</v>
      </c>
      <c r="I1079" s="416"/>
    </row>
    <row r="1080" spans="1:9" ht="20.25" x14ac:dyDescent="0.3">
      <c r="A1080" s="2125">
        <v>43741</v>
      </c>
      <c r="B1080" s="2549"/>
      <c r="C1080" s="2549"/>
      <c r="D1080" s="2549">
        <v>426550</v>
      </c>
      <c r="E1080" s="113">
        <f t="shared" si="41"/>
        <v>46235859</v>
      </c>
      <c r="F1080" s="113">
        <v>1130948</v>
      </c>
      <c r="G1080" s="113">
        <f t="shared" si="42"/>
        <v>611660</v>
      </c>
      <c r="I1080" s="416"/>
    </row>
    <row r="1081" spans="1:9" ht="20.25" x14ac:dyDescent="0.3">
      <c r="A1081" s="2125">
        <v>43742</v>
      </c>
      <c r="B1081" s="2549"/>
      <c r="C1081" s="2549"/>
      <c r="D1081" s="2549"/>
      <c r="E1081" s="113">
        <f t="shared" si="41"/>
        <v>46235859</v>
      </c>
      <c r="F1081" s="113"/>
      <c r="G1081" s="113">
        <f t="shared" si="42"/>
        <v>611660</v>
      </c>
      <c r="I1081" s="416"/>
    </row>
    <row r="1082" spans="1:9" ht="20.25" x14ac:dyDescent="0.3">
      <c r="A1082" s="2125">
        <v>43743</v>
      </c>
      <c r="B1082" s="2549"/>
      <c r="C1082" s="2549"/>
      <c r="D1082" s="2549">
        <v>243000</v>
      </c>
      <c r="E1082" s="113">
        <f t="shared" si="41"/>
        <v>46478859</v>
      </c>
      <c r="F1082" s="113"/>
      <c r="G1082" s="113">
        <f t="shared" si="42"/>
        <v>854660</v>
      </c>
      <c r="I1082" s="416"/>
    </row>
    <row r="1083" spans="1:9" ht="20.25" x14ac:dyDescent="0.3">
      <c r="A1083" s="2125">
        <v>43744</v>
      </c>
      <c r="B1083" s="2549"/>
      <c r="C1083" s="2549"/>
      <c r="D1083" s="2549">
        <v>996500</v>
      </c>
      <c r="E1083" s="113">
        <f t="shared" si="41"/>
        <v>47475359</v>
      </c>
      <c r="F1083" s="113"/>
      <c r="G1083" s="113">
        <f t="shared" si="42"/>
        <v>1851160</v>
      </c>
      <c r="I1083" s="416"/>
    </row>
    <row r="1084" spans="1:9" ht="20.25" x14ac:dyDescent="0.3">
      <c r="A1084" s="2125">
        <v>43745</v>
      </c>
      <c r="B1084" s="2549"/>
      <c r="C1084" s="2549"/>
      <c r="D1084" s="2549">
        <v>254500</v>
      </c>
      <c r="E1084" s="113">
        <f t="shared" si="41"/>
        <v>47729859</v>
      </c>
      <c r="F1084" s="113"/>
      <c r="G1084" s="113">
        <f t="shared" si="42"/>
        <v>2105660</v>
      </c>
      <c r="I1084" s="416"/>
    </row>
    <row r="1085" spans="1:9" ht="20.25" x14ac:dyDescent="0.3">
      <c r="A1085" s="2125">
        <v>43746</v>
      </c>
      <c r="B1085" s="2549"/>
      <c r="C1085" s="2549"/>
      <c r="D1085" s="2549">
        <v>80000</v>
      </c>
      <c r="E1085" s="113">
        <f t="shared" si="41"/>
        <v>47809859</v>
      </c>
      <c r="F1085" s="113"/>
      <c r="G1085" s="113">
        <f t="shared" si="42"/>
        <v>2185660</v>
      </c>
      <c r="I1085" s="416"/>
    </row>
    <row r="1086" spans="1:9" ht="20.25" x14ac:dyDescent="0.3">
      <c r="A1086" s="2125">
        <v>43747</v>
      </c>
      <c r="B1086" s="2549"/>
      <c r="C1086" s="2549"/>
      <c r="D1086" s="2549">
        <v>183000</v>
      </c>
      <c r="E1086" s="113">
        <f t="shared" si="41"/>
        <v>47992859</v>
      </c>
      <c r="F1086" s="113"/>
      <c r="G1086" s="113">
        <f t="shared" si="42"/>
        <v>2368660</v>
      </c>
      <c r="I1086" s="416"/>
    </row>
    <row r="1087" spans="1:9" ht="20.25" x14ac:dyDescent="0.3">
      <c r="A1087" s="2125">
        <v>43748</v>
      </c>
      <c r="B1087" s="2549"/>
      <c r="C1087" s="2549"/>
      <c r="D1087" s="2549">
        <v>440000</v>
      </c>
      <c r="E1087" s="113">
        <f t="shared" si="41"/>
        <v>48432859</v>
      </c>
      <c r="F1087" s="113">
        <v>1739069</v>
      </c>
      <c r="G1087" s="113">
        <f t="shared" si="42"/>
        <v>1069591</v>
      </c>
      <c r="I1087" s="416"/>
    </row>
    <row r="1088" spans="1:9" ht="20.25" x14ac:dyDescent="0.3">
      <c r="A1088" s="2125">
        <v>43749</v>
      </c>
      <c r="B1088" s="2549"/>
      <c r="C1088" s="2549"/>
      <c r="D1088" s="2549">
        <v>383000</v>
      </c>
      <c r="E1088" s="113">
        <f t="shared" si="41"/>
        <v>48815859</v>
      </c>
      <c r="F1088" s="113"/>
      <c r="G1088" s="113">
        <f t="shared" si="42"/>
        <v>1452591</v>
      </c>
      <c r="I1088" s="416"/>
    </row>
    <row r="1089" spans="1:9" ht="20.25" x14ac:dyDescent="0.3">
      <c r="A1089" s="2125">
        <v>43750</v>
      </c>
      <c r="B1089" s="2549"/>
      <c r="C1089" s="2549"/>
      <c r="D1089" s="2549">
        <v>15000</v>
      </c>
      <c r="E1089" s="113">
        <f t="shared" si="41"/>
        <v>48830859</v>
      </c>
      <c r="F1089" s="113"/>
      <c r="G1089" s="113">
        <f t="shared" si="42"/>
        <v>1467591</v>
      </c>
      <c r="I1089" s="416"/>
    </row>
    <row r="1090" spans="1:9" ht="20.25" x14ac:dyDescent="0.3">
      <c r="A1090" s="2125">
        <v>43751</v>
      </c>
      <c r="B1090" s="2549"/>
      <c r="C1090" s="2549"/>
      <c r="D1090" s="2549">
        <v>5000</v>
      </c>
      <c r="E1090" s="113">
        <f t="shared" si="41"/>
        <v>48835859</v>
      </c>
      <c r="F1090" s="113"/>
      <c r="G1090" s="113">
        <f t="shared" si="42"/>
        <v>1472591</v>
      </c>
      <c r="I1090" s="416"/>
    </row>
    <row r="1091" spans="1:9" ht="20.25" x14ac:dyDescent="0.3">
      <c r="A1091" s="2125">
        <v>43752</v>
      </c>
      <c r="B1091" s="2549"/>
      <c r="C1091" s="2549"/>
      <c r="D1091" s="2549">
        <v>106250</v>
      </c>
      <c r="E1091" s="113">
        <f t="shared" si="41"/>
        <v>48942109</v>
      </c>
      <c r="F1091" s="113"/>
      <c r="G1091" s="113">
        <f t="shared" si="42"/>
        <v>1578841</v>
      </c>
      <c r="I1091" s="416"/>
    </row>
    <row r="1092" spans="1:9" ht="20.25" x14ac:dyDescent="0.3">
      <c r="A1092" s="2125">
        <v>43753</v>
      </c>
      <c r="B1092" s="2549"/>
      <c r="C1092" s="2549"/>
      <c r="D1092" s="2549">
        <v>797650</v>
      </c>
      <c r="E1092" s="113">
        <f t="shared" si="41"/>
        <v>49739759</v>
      </c>
      <c r="F1092" s="113"/>
      <c r="G1092" s="113">
        <f t="shared" si="42"/>
        <v>2376491</v>
      </c>
      <c r="I1092" s="416"/>
    </row>
    <row r="1093" spans="1:9" ht="20.25" x14ac:dyDescent="0.3">
      <c r="A1093" s="2125">
        <v>43754</v>
      </c>
      <c r="B1093" s="2549"/>
      <c r="C1093" s="2549"/>
      <c r="D1093" s="2549"/>
      <c r="E1093" s="113">
        <f t="shared" si="41"/>
        <v>49739759</v>
      </c>
      <c r="F1093" s="113">
        <v>1401479</v>
      </c>
      <c r="G1093" s="113">
        <f t="shared" si="42"/>
        <v>975012</v>
      </c>
      <c r="I1093" s="416"/>
    </row>
    <row r="1094" spans="1:9" ht="20.25" x14ac:dyDescent="0.3">
      <c r="A1094" s="2125">
        <v>43755</v>
      </c>
      <c r="B1094" s="2549"/>
      <c r="C1094" s="2549"/>
      <c r="D1094" s="2549">
        <v>152340</v>
      </c>
      <c r="E1094" s="113">
        <f t="shared" si="41"/>
        <v>49892099</v>
      </c>
      <c r="F1094" s="113"/>
      <c r="G1094" s="113">
        <f t="shared" si="42"/>
        <v>1127352</v>
      </c>
      <c r="I1094" s="416"/>
    </row>
    <row r="1095" spans="1:9" ht="20.25" x14ac:dyDescent="0.3">
      <c r="A1095" s="2125">
        <v>43756</v>
      </c>
      <c r="B1095" s="2549"/>
      <c r="C1095" s="2549"/>
      <c r="D1095" s="2549">
        <v>90000</v>
      </c>
      <c r="E1095" s="113">
        <f t="shared" si="41"/>
        <v>49982099</v>
      </c>
      <c r="F1095" s="113"/>
      <c r="G1095" s="113">
        <f t="shared" si="42"/>
        <v>1217352</v>
      </c>
      <c r="I1095" s="416"/>
    </row>
    <row r="1096" spans="1:9" ht="20.25" x14ac:dyDescent="0.3">
      <c r="A1096" s="2125">
        <v>43757</v>
      </c>
      <c r="B1096" s="2549"/>
      <c r="C1096" s="2549"/>
      <c r="D1096" s="2549">
        <v>28750</v>
      </c>
      <c r="E1096" s="113">
        <f t="shared" si="41"/>
        <v>50010849</v>
      </c>
      <c r="F1096" s="113"/>
      <c r="G1096" s="113">
        <f t="shared" si="42"/>
        <v>1246102</v>
      </c>
      <c r="I1096" s="416"/>
    </row>
    <row r="1097" spans="1:9" ht="20.25" x14ac:dyDescent="0.3">
      <c r="A1097" s="2125">
        <v>43758</v>
      </c>
      <c r="B1097" s="2549"/>
      <c r="C1097" s="2549"/>
      <c r="D1097" s="2549">
        <v>320500</v>
      </c>
      <c r="E1097" s="113">
        <f t="shared" si="41"/>
        <v>50331349</v>
      </c>
      <c r="F1097" s="113"/>
      <c r="G1097" s="113">
        <f t="shared" si="42"/>
        <v>1566602</v>
      </c>
      <c r="I1097" s="416"/>
    </row>
    <row r="1098" spans="1:9" ht="20.25" x14ac:dyDescent="0.3">
      <c r="A1098" s="2125">
        <v>43759</v>
      </c>
      <c r="B1098" s="2549"/>
      <c r="C1098" s="2549"/>
      <c r="D1098" s="2549">
        <v>50000</v>
      </c>
      <c r="E1098" s="113">
        <f t="shared" si="41"/>
        <v>50381349</v>
      </c>
      <c r="F1098" s="113"/>
      <c r="G1098" s="113">
        <f t="shared" si="42"/>
        <v>1616602</v>
      </c>
      <c r="I1098" s="416"/>
    </row>
    <row r="1099" spans="1:9" ht="20.25" x14ac:dyDescent="0.3">
      <c r="A1099" s="2125">
        <v>43760</v>
      </c>
      <c r="B1099" s="2549"/>
      <c r="C1099" s="2549"/>
      <c r="D1099" s="2549">
        <v>28750</v>
      </c>
      <c r="E1099" s="113">
        <f t="shared" si="41"/>
        <v>50410099</v>
      </c>
      <c r="F1099" s="113"/>
      <c r="G1099" s="113">
        <f t="shared" si="42"/>
        <v>1645352</v>
      </c>
      <c r="I1099" s="416"/>
    </row>
    <row r="1100" spans="1:9" ht="20.25" x14ac:dyDescent="0.3">
      <c r="A1100" s="2125">
        <v>43761</v>
      </c>
      <c r="B1100" s="2549"/>
      <c r="C1100" s="2549"/>
      <c r="D1100" s="2549">
        <v>140000</v>
      </c>
      <c r="E1100" s="113">
        <f>+E1099+D1100</f>
        <v>50550099</v>
      </c>
      <c r="F1100" s="113"/>
      <c r="G1100" s="113">
        <f t="shared" si="42"/>
        <v>1785352</v>
      </c>
      <c r="I1100" s="416"/>
    </row>
    <row r="1101" spans="1:9" ht="20.25" x14ac:dyDescent="0.3">
      <c r="A1101" s="2125">
        <v>43762</v>
      </c>
      <c r="B1101" s="2549"/>
      <c r="C1101" s="2549"/>
      <c r="D1101" s="2549">
        <v>34750</v>
      </c>
      <c r="E1101" s="113">
        <f t="shared" si="41"/>
        <v>50584849</v>
      </c>
      <c r="F1101" s="113">
        <v>1380046</v>
      </c>
      <c r="G1101" s="113">
        <f t="shared" si="42"/>
        <v>440056</v>
      </c>
      <c r="I1101" s="416"/>
    </row>
    <row r="1102" spans="1:9" ht="20.25" x14ac:dyDescent="0.3">
      <c r="A1102" s="2125">
        <v>43763</v>
      </c>
      <c r="B1102" s="2549"/>
      <c r="C1102" s="2549"/>
      <c r="D1102" s="2549">
        <v>180000</v>
      </c>
      <c r="E1102" s="113">
        <f t="shared" si="41"/>
        <v>50764849</v>
      </c>
      <c r="F1102" s="113"/>
      <c r="G1102" s="113">
        <f t="shared" si="42"/>
        <v>620056</v>
      </c>
      <c r="I1102" s="416"/>
    </row>
    <row r="1103" spans="1:9" ht="20.25" x14ac:dyDescent="0.3">
      <c r="A1103" s="2125">
        <v>43764</v>
      </c>
      <c r="B1103" s="2549"/>
      <c r="C1103" s="2549"/>
      <c r="D1103" s="2549">
        <v>100000</v>
      </c>
      <c r="E1103" s="113">
        <f t="shared" si="41"/>
        <v>50864849</v>
      </c>
      <c r="F1103" s="113"/>
      <c r="G1103" s="113">
        <f t="shared" si="42"/>
        <v>720056</v>
      </c>
      <c r="I1103" s="416"/>
    </row>
    <row r="1104" spans="1:9" ht="20.25" x14ac:dyDescent="0.3">
      <c r="A1104" s="2125">
        <v>43765</v>
      </c>
      <c r="B1104" s="2549"/>
      <c r="C1104" s="2549"/>
      <c r="D1104" s="2549">
        <v>415500</v>
      </c>
      <c r="E1104" s="113">
        <f t="shared" si="41"/>
        <v>51280349</v>
      </c>
      <c r="F1104" s="113"/>
      <c r="G1104" s="113">
        <f t="shared" si="42"/>
        <v>1135556</v>
      </c>
      <c r="H1104" s="416">
        <f>+G1104-821056</f>
        <v>314500</v>
      </c>
      <c r="I1104" s="416"/>
    </row>
    <row r="1105" spans="1:9" ht="20.25" x14ac:dyDescent="0.3">
      <c r="A1105" s="2125">
        <v>43766</v>
      </c>
      <c r="B1105" s="2549"/>
      <c r="C1105" s="2549"/>
      <c r="D1105" s="2549"/>
      <c r="E1105" s="113">
        <f t="shared" si="41"/>
        <v>51280349</v>
      </c>
      <c r="F1105" s="113"/>
      <c r="G1105" s="113">
        <f t="shared" si="42"/>
        <v>1135556</v>
      </c>
      <c r="I1105" s="416"/>
    </row>
    <row r="1106" spans="1:9" ht="20.25" x14ac:dyDescent="0.3">
      <c r="A1106" s="2125">
        <v>43767</v>
      </c>
      <c r="B1106" s="2549"/>
      <c r="C1106" s="2549"/>
      <c r="D1106" s="2549">
        <v>25000</v>
      </c>
      <c r="E1106" s="113">
        <f t="shared" si="41"/>
        <v>51305349</v>
      </c>
      <c r="F1106" s="113"/>
      <c r="G1106" s="113">
        <f t="shared" si="42"/>
        <v>1160556</v>
      </c>
      <c r="I1106" s="416"/>
    </row>
    <row r="1107" spans="1:9" ht="20.25" x14ac:dyDescent="0.3">
      <c r="A1107" s="2125">
        <v>43768</v>
      </c>
      <c r="B1107" s="2549"/>
      <c r="C1107" s="2549"/>
      <c r="D1107" s="2549">
        <v>187500</v>
      </c>
      <c r="E1107" s="113">
        <f>+E1106+D1107</f>
        <v>51492849</v>
      </c>
      <c r="F1107" s="113"/>
      <c r="G1107" s="113">
        <f t="shared" si="42"/>
        <v>1348056</v>
      </c>
      <c r="I1107" s="416"/>
    </row>
    <row r="1108" spans="1:9" ht="20.25" x14ac:dyDescent="0.3">
      <c r="A1108" s="2125">
        <v>43769</v>
      </c>
      <c r="B1108" s="2549"/>
      <c r="C1108" s="2549"/>
      <c r="D1108" s="2549">
        <v>190000</v>
      </c>
      <c r="E1108" s="113">
        <f>+E1107+D1108</f>
        <v>51682849</v>
      </c>
      <c r="F1108" s="113"/>
      <c r="G1108" s="113">
        <f t="shared" si="42"/>
        <v>1538056</v>
      </c>
      <c r="H1108" s="416"/>
      <c r="I1108" s="416"/>
    </row>
    <row r="1109" spans="1:9" ht="20.25" x14ac:dyDescent="0.3">
      <c r="A1109" s="2166"/>
      <c r="B1109" s="2592"/>
      <c r="C1109" s="2592"/>
      <c r="D1109" s="2592"/>
      <c r="E1109" s="113">
        <f>+E1108+D1109</f>
        <v>51682849</v>
      </c>
      <c r="F1109" s="2168"/>
      <c r="G1109" s="2168">
        <f t="shared" ref="G1109:G1172" si="43">+G1108+D1109-F1109</f>
        <v>1538056</v>
      </c>
      <c r="I1109" s="416"/>
    </row>
    <row r="1110" spans="1:9" ht="20.25" x14ac:dyDescent="0.3">
      <c r="A1110" s="2125">
        <v>43770</v>
      </c>
      <c r="B1110" s="2549"/>
      <c r="C1110" s="2549"/>
      <c r="D1110" s="2549"/>
      <c r="E1110" s="113">
        <f>+E1109+D1110</f>
        <v>51682849</v>
      </c>
      <c r="F1110" s="113"/>
      <c r="G1110" s="113">
        <f t="shared" si="43"/>
        <v>1538056</v>
      </c>
      <c r="I1110" s="416"/>
    </row>
    <row r="1111" spans="1:9" ht="20.25" x14ac:dyDescent="0.3">
      <c r="A1111" s="2125">
        <v>43771</v>
      </c>
      <c r="B1111" s="2549"/>
      <c r="C1111" s="2549"/>
      <c r="D1111" s="2549"/>
      <c r="E1111" s="113">
        <f t="shared" ref="E1111:E1174" si="44">+E1110+D1111</f>
        <v>51682849</v>
      </c>
      <c r="F1111" s="113"/>
      <c r="G1111" s="113">
        <f t="shared" si="43"/>
        <v>1538056</v>
      </c>
      <c r="I1111" s="416"/>
    </row>
    <row r="1112" spans="1:9" ht="20.25" x14ac:dyDescent="0.3">
      <c r="A1112" s="2125">
        <v>43772</v>
      </c>
      <c r="B1112" s="2549"/>
      <c r="C1112" s="2549"/>
      <c r="D1112" s="2549">
        <v>10000</v>
      </c>
      <c r="E1112" s="113">
        <f t="shared" si="44"/>
        <v>51692849</v>
      </c>
      <c r="F1112" s="2517"/>
      <c r="G1112" s="113">
        <f t="shared" si="43"/>
        <v>1548056</v>
      </c>
      <c r="I1112" s="416"/>
    </row>
    <row r="1113" spans="1:9" ht="20.25" x14ac:dyDescent="0.3">
      <c r="A1113" s="2125">
        <v>43773</v>
      </c>
      <c r="B1113" s="2549"/>
      <c r="C1113" s="2549"/>
      <c r="D1113" s="2549">
        <v>10000</v>
      </c>
      <c r="E1113" s="113">
        <f t="shared" si="44"/>
        <v>51702849</v>
      </c>
      <c r="F1113" s="2517">
        <v>742340</v>
      </c>
      <c r="G1113" s="113">
        <f t="shared" si="43"/>
        <v>815716</v>
      </c>
      <c r="I1113" s="416"/>
    </row>
    <row r="1114" spans="1:9" ht="20.25" x14ac:dyDescent="0.3">
      <c r="A1114" s="2125">
        <v>43774</v>
      </c>
      <c r="B1114" s="2549"/>
      <c r="C1114" s="2549"/>
      <c r="D1114" s="2549"/>
      <c r="E1114" s="113">
        <f t="shared" si="44"/>
        <v>51702849</v>
      </c>
      <c r="F1114" s="2517">
        <v>724405</v>
      </c>
      <c r="G1114" s="113">
        <f t="shared" si="43"/>
        <v>91311</v>
      </c>
      <c r="I1114" s="416"/>
    </row>
    <row r="1115" spans="1:9" ht="20.25" x14ac:dyDescent="0.3">
      <c r="A1115" s="2125">
        <v>43775</v>
      </c>
      <c r="B1115" s="2549"/>
      <c r="C1115" s="2549"/>
      <c r="D1115" s="2549">
        <v>285700</v>
      </c>
      <c r="E1115" s="113">
        <f t="shared" si="44"/>
        <v>51988549</v>
      </c>
      <c r="F1115" s="2517"/>
      <c r="G1115" s="113">
        <f t="shared" si="43"/>
        <v>377011</v>
      </c>
      <c r="I1115" s="416"/>
    </row>
    <row r="1116" spans="1:9" ht="20.25" x14ac:dyDescent="0.3">
      <c r="A1116" s="2125">
        <v>43776</v>
      </c>
      <c r="B1116" s="2549"/>
      <c r="C1116" s="2549"/>
      <c r="D1116" s="2549">
        <v>166000</v>
      </c>
      <c r="E1116" s="113">
        <f t="shared" si="44"/>
        <v>52154549</v>
      </c>
      <c r="F1116" s="2517"/>
      <c r="G1116" s="113">
        <f t="shared" si="43"/>
        <v>543011</v>
      </c>
      <c r="I1116" s="416"/>
    </row>
    <row r="1117" spans="1:9" ht="20.25" x14ac:dyDescent="0.3">
      <c r="A1117" s="2125">
        <v>43777</v>
      </c>
      <c r="B1117" s="2549"/>
      <c r="C1117" s="2549"/>
      <c r="D1117" s="2549">
        <v>352150</v>
      </c>
      <c r="E1117" s="113">
        <f t="shared" si="44"/>
        <v>52506699</v>
      </c>
      <c r="F1117" s="2517"/>
      <c r="G1117" s="113">
        <f t="shared" si="43"/>
        <v>895161</v>
      </c>
      <c r="I1117" s="416"/>
    </row>
    <row r="1118" spans="1:9" ht="20.25" x14ac:dyDescent="0.3">
      <c r="A1118" s="2125">
        <v>43778</v>
      </c>
      <c r="B1118" s="2549"/>
      <c r="C1118" s="2549"/>
      <c r="D1118" s="2549">
        <v>330000</v>
      </c>
      <c r="E1118" s="113">
        <f t="shared" si="44"/>
        <v>52836699</v>
      </c>
      <c r="F1118" s="2517"/>
      <c r="G1118" s="113">
        <f t="shared" si="43"/>
        <v>1225161</v>
      </c>
      <c r="I1118" s="416"/>
    </row>
    <row r="1119" spans="1:9" ht="20.25" x14ac:dyDescent="0.3">
      <c r="A1119" s="2125">
        <v>43779</v>
      </c>
      <c r="B1119" s="2549"/>
      <c r="C1119" s="2549"/>
      <c r="D1119" s="2549">
        <v>425025</v>
      </c>
      <c r="E1119" s="113">
        <f t="shared" si="44"/>
        <v>53261724</v>
      </c>
      <c r="F1119" s="2517"/>
      <c r="G1119" s="113">
        <f t="shared" si="43"/>
        <v>1650186</v>
      </c>
      <c r="I1119" s="416"/>
    </row>
    <row r="1120" spans="1:9" ht="20.25" x14ac:dyDescent="0.3">
      <c r="A1120" s="2125">
        <v>43780</v>
      </c>
      <c r="B1120" s="2549"/>
      <c r="C1120" s="2549"/>
      <c r="D1120" s="2549">
        <v>102000</v>
      </c>
      <c r="E1120" s="113">
        <f t="shared" si="44"/>
        <v>53363724</v>
      </c>
      <c r="F1120" s="2517"/>
      <c r="G1120" s="113">
        <f t="shared" si="43"/>
        <v>1752186</v>
      </c>
      <c r="I1120" s="416"/>
    </row>
    <row r="1121" spans="1:14" ht="20.25" x14ac:dyDescent="0.3">
      <c r="A1121" s="2125">
        <v>43781</v>
      </c>
      <c r="B1121" s="2549"/>
      <c r="C1121" s="2549"/>
      <c r="D1121" s="2549">
        <v>6000</v>
      </c>
      <c r="E1121" s="113">
        <f t="shared" si="44"/>
        <v>53369724</v>
      </c>
      <c r="F1121" s="2517"/>
      <c r="G1121" s="113">
        <f t="shared" si="43"/>
        <v>1758186</v>
      </c>
      <c r="I1121" s="416"/>
    </row>
    <row r="1122" spans="1:14" ht="20.25" x14ac:dyDescent="0.3">
      <c r="A1122" s="2125">
        <v>43782</v>
      </c>
      <c r="B1122" s="2549"/>
      <c r="C1122" s="2549"/>
      <c r="D1122" s="2549"/>
      <c r="E1122" s="113">
        <f t="shared" si="44"/>
        <v>53369724</v>
      </c>
      <c r="F1122" s="2517"/>
      <c r="G1122" s="113">
        <f t="shared" si="43"/>
        <v>1758186</v>
      </c>
      <c r="I1122" s="416"/>
    </row>
    <row r="1123" spans="1:14" ht="20.25" x14ac:dyDescent="0.3">
      <c r="A1123" s="2125">
        <v>43783</v>
      </c>
      <c r="B1123" s="2549"/>
      <c r="C1123" s="2549"/>
      <c r="D1123" s="2549">
        <v>131000</v>
      </c>
      <c r="E1123" s="113">
        <f t="shared" si="44"/>
        <v>53500724</v>
      </c>
      <c r="F1123" s="2517"/>
      <c r="G1123" s="113">
        <f t="shared" si="43"/>
        <v>1889186</v>
      </c>
      <c r="I1123" s="416"/>
    </row>
    <row r="1124" spans="1:14" ht="20.25" x14ac:dyDescent="0.3">
      <c r="A1124" s="2125">
        <v>43784</v>
      </c>
      <c r="B1124" s="2549"/>
      <c r="C1124" s="2549"/>
      <c r="D1124" s="2549">
        <v>134500</v>
      </c>
      <c r="E1124" s="113">
        <f t="shared" si="44"/>
        <v>53635224</v>
      </c>
      <c r="F1124" s="2517">
        <v>1509442</v>
      </c>
      <c r="G1124" s="113">
        <f t="shared" si="43"/>
        <v>514244</v>
      </c>
      <c r="I1124" s="416"/>
    </row>
    <row r="1125" spans="1:14" ht="20.25" x14ac:dyDescent="0.3">
      <c r="A1125" s="2125">
        <v>43785</v>
      </c>
      <c r="B1125" s="2549"/>
      <c r="C1125" s="2549"/>
      <c r="D1125" s="2549"/>
      <c r="E1125" s="113">
        <f t="shared" si="44"/>
        <v>53635224</v>
      </c>
      <c r="F1125" s="113"/>
      <c r="G1125" s="113">
        <f t="shared" si="43"/>
        <v>514244</v>
      </c>
      <c r="I1125" s="416"/>
    </row>
    <row r="1126" spans="1:14" ht="20.25" x14ac:dyDescent="0.3">
      <c r="A1126" s="2125">
        <v>43786</v>
      </c>
      <c r="B1126" s="2549"/>
      <c r="C1126" s="2549"/>
      <c r="D1126" s="2549">
        <v>537500</v>
      </c>
      <c r="E1126" s="113">
        <f t="shared" si="44"/>
        <v>54172724</v>
      </c>
      <c r="F1126" s="113"/>
      <c r="G1126" s="113">
        <f t="shared" si="43"/>
        <v>1051744</v>
      </c>
      <c r="I1126" s="416"/>
    </row>
    <row r="1127" spans="1:14" ht="20.25" x14ac:dyDescent="0.3">
      <c r="A1127" s="2125">
        <v>43787</v>
      </c>
      <c r="B1127" s="2549"/>
      <c r="C1127" s="2549"/>
      <c r="D1127" s="2549">
        <v>1186475</v>
      </c>
      <c r="E1127" s="113">
        <f t="shared" si="44"/>
        <v>55359199</v>
      </c>
      <c r="F1127" s="113"/>
      <c r="G1127" s="113">
        <f t="shared" si="43"/>
        <v>2238219</v>
      </c>
      <c r="I1127" s="416"/>
    </row>
    <row r="1128" spans="1:14" ht="20.25" x14ac:dyDescent="0.3">
      <c r="A1128" s="2125">
        <v>43788</v>
      </c>
      <c r="B1128" s="2549"/>
      <c r="C1128" s="2549"/>
      <c r="D1128" s="2549"/>
      <c r="E1128" s="113">
        <f t="shared" si="44"/>
        <v>55359199</v>
      </c>
      <c r="F1128" s="113"/>
      <c r="G1128" s="113">
        <f t="shared" si="43"/>
        <v>2238219</v>
      </c>
      <c r="I1128" s="416"/>
    </row>
    <row r="1129" spans="1:14" ht="20.25" x14ac:dyDescent="0.3">
      <c r="A1129" s="2125">
        <v>43789</v>
      </c>
      <c r="B1129" s="2549"/>
      <c r="C1129" s="2549"/>
      <c r="D1129" s="2549">
        <v>114700</v>
      </c>
      <c r="E1129" s="113">
        <f t="shared" si="44"/>
        <v>55473899</v>
      </c>
      <c r="F1129" s="113"/>
      <c r="G1129" s="113">
        <f t="shared" si="43"/>
        <v>2352919</v>
      </c>
      <c r="I1129" s="416"/>
    </row>
    <row r="1130" spans="1:14" ht="20.25" x14ac:dyDescent="0.3">
      <c r="A1130" s="2125">
        <v>43790</v>
      </c>
      <c r="B1130" s="2549"/>
      <c r="C1130" s="2549"/>
      <c r="D1130" s="2549">
        <v>244000</v>
      </c>
      <c r="E1130" s="113">
        <f t="shared" si="44"/>
        <v>55717899</v>
      </c>
      <c r="F1130" s="113"/>
      <c r="G1130" s="113">
        <f t="shared" si="43"/>
        <v>2596919</v>
      </c>
      <c r="I1130" s="416"/>
    </row>
    <row r="1131" spans="1:14" ht="20.25" x14ac:dyDescent="0.3">
      <c r="A1131" s="2125">
        <v>43791</v>
      </c>
      <c r="B1131" s="2549"/>
      <c r="C1131" s="2549"/>
      <c r="D1131" s="2549">
        <v>206500</v>
      </c>
      <c r="E1131" s="113">
        <f t="shared" si="44"/>
        <v>55924399</v>
      </c>
      <c r="F1131" s="113">
        <v>357718</v>
      </c>
      <c r="G1131" s="113">
        <f t="shared" si="43"/>
        <v>2445701</v>
      </c>
      <c r="H1131" s="416"/>
      <c r="I1131" s="416"/>
    </row>
    <row r="1132" spans="1:14" ht="20.25" x14ac:dyDescent="0.3">
      <c r="A1132" s="2125">
        <v>43792</v>
      </c>
      <c r="B1132" s="2549"/>
      <c r="C1132" s="2549"/>
      <c r="D1132" s="2549">
        <v>399000</v>
      </c>
      <c r="E1132" s="113">
        <f t="shared" si="44"/>
        <v>56323399</v>
      </c>
      <c r="F1132" s="113"/>
      <c r="G1132" s="113">
        <f t="shared" si="43"/>
        <v>2844701</v>
      </c>
      <c r="I1132" s="416"/>
      <c r="N1132" s="416"/>
    </row>
    <row r="1133" spans="1:14" ht="20.25" x14ac:dyDescent="0.3">
      <c r="A1133" s="2125">
        <v>43793</v>
      </c>
      <c r="B1133" s="2549"/>
      <c r="C1133" s="2549"/>
      <c r="D1133" s="2549">
        <v>920000</v>
      </c>
      <c r="E1133" s="113">
        <f t="shared" si="44"/>
        <v>57243399</v>
      </c>
      <c r="F1133" s="113"/>
      <c r="G1133" s="113">
        <f t="shared" si="43"/>
        <v>3764701</v>
      </c>
      <c r="I1133" s="416"/>
      <c r="L1133" s="416"/>
    </row>
    <row r="1134" spans="1:14" ht="20.25" x14ac:dyDescent="0.3">
      <c r="A1134" s="2125">
        <v>43794</v>
      </c>
      <c r="B1134" s="2549"/>
      <c r="C1134" s="2549"/>
      <c r="D1134" s="2549">
        <v>506000</v>
      </c>
      <c r="E1134" s="113">
        <f t="shared" si="44"/>
        <v>57749399</v>
      </c>
      <c r="F1134" s="113"/>
      <c r="G1134" s="113">
        <f t="shared" si="43"/>
        <v>4270701</v>
      </c>
      <c r="I1134" s="416"/>
    </row>
    <row r="1135" spans="1:14" ht="20.25" x14ac:dyDescent="0.3">
      <c r="A1135" s="2125">
        <v>43795</v>
      </c>
      <c r="B1135" s="2549"/>
      <c r="C1135" s="2549"/>
      <c r="D1135" s="2549">
        <v>84000</v>
      </c>
      <c r="E1135" s="113">
        <f t="shared" si="44"/>
        <v>57833399</v>
      </c>
      <c r="F1135" s="113"/>
      <c r="G1135" s="113">
        <f t="shared" si="43"/>
        <v>4354701</v>
      </c>
      <c r="I1135" s="416"/>
    </row>
    <row r="1136" spans="1:14" ht="20.25" x14ac:dyDescent="0.3">
      <c r="A1136" s="2125">
        <v>43796</v>
      </c>
      <c r="B1136" s="2549"/>
      <c r="C1136" s="2549"/>
      <c r="D1136" s="2549">
        <v>287500</v>
      </c>
      <c r="E1136" s="113">
        <f t="shared" si="44"/>
        <v>58120899</v>
      </c>
      <c r="F1136" s="2517"/>
      <c r="G1136" s="113">
        <f t="shared" si="43"/>
        <v>4642201</v>
      </c>
      <c r="H1136" s="416"/>
      <c r="I1136" s="416"/>
      <c r="K1136" s="416"/>
    </row>
    <row r="1137" spans="1:13" ht="20.25" x14ac:dyDescent="0.3">
      <c r="A1137" s="2125">
        <v>43797</v>
      </c>
      <c r="B1137" s="2549"/>
      <c r="C1137" s="2549"/>
      <c r="D1137" s="2549">
        <v>221200</v>
      </c>
      <c r="E1137" s="113">
        <f t="shared" si="44"/>
        <v>58342099</v>
      </c>
      <c r="F1137" s="2517">
        <v>3583885</v>
      </c>
      <c r="G1137" s="113">
        <f t="shared" si="43"/>
        <v>1279516</v>
      </c>
      <c r="I1137" s="416"/>
    </row>
    <row r="1138" spans="1:13" ht="20.25" x14ac:dyDescent="0.3">
      <c r="A1138" s="2125">
        <v>43798</v>
      </c>
      <c r="B1138" s="2549"/>
      <c r="C1138" s="2549"/>
      <c r="D1138" s="2549">
        <v>350000</v>
      </c>
      <c r="E1138" s="113">
        <f t="shared" si="44"/>
        <v>58692099</v>
      </c>
      <c r="F1138" s="2517"/>
      <c r="G1138" s="113">
        <f t="shared" si="43"/>
        <v>1629516</v>
      </c>
      <c r="I1138" s="416"/>
      <c r="J1138" s="416"/>
    </row>
    <row r="1139" spans="1:13" ht="20.25" x14ac:dyDescent="0.3">
      <c r="A1139" s="2125">
        <v>43799</v>
      </c>
      <c r="B1139" s="2549"/>
      <c r="C1139" s="2549"/>
      <c r="D1139" s="2549">
        <v>25000</v>
      </c>
      <c r="E1139" s="113">
        <f>+E1138+D1139</f>
        <v>58717099</v>
      </c>
      <c r="F1139" s="2517"/>
      <c r="G1139" s="113">
        <f t="shared" si="43"/>
        <v>1654516</v>
      </c>
      <c r="I1139" s="416"/>
    </row>
    <row r="1140" spans="1:13" ht="20.25" x14ac:dyDescent="0.3">
      <c r="A1140" s="2166"/>
      <c r="B1140" s="2592"/>
      <c r="C1140" s="2592"/>
      <c r="D1140" s="2592"/>
      <c r="E1140" s="113">
        <f t="shared" si="44"/>
        <v>58717099</v>
      </c>
      <c r="F1140" s="2583"/>
      <c r="G1140" s="113">
        <f t="shared" si="43"/>
        <v>1654516</v>
      </c>
      <c r="I1140" s="416"/>
    </row>
    <row r="1141" spans="1:13" ht="20.25" x14ac:dyDescent="0.3">
      <c r="A1141" s="2125">
        <v>43800</v>
      </c>
      <c r="B1141" s="2549"/>
      <c r="C1141" s="2549"/>
      <c r="D1141" s="2549">
        <f>1758350-1753350</f>
        <v>5000</v>
      </c>
      <c r="E1141" s="113">
        <f t="shared" si="44"/>
        <v>58722099</v>
      </c>
      <c r="F1141" s="2517"/>
      <c r="G1141" s="113">
        <f t="shared" si="43"/>
        <v>1659516</v>
      </c>
      <c r="I1141" s="416"/>
    </row>
    <row r="1142" spans="1:13" ht="20.25" x14ac:dyDescent="0.3">
      <c r="A1142" s="2125">
        <v>43801</v>
      </c>
      <c r="B1142" s="2549"/>
      <c r="C1142" s="2549"/>
      <c r="D1142" s="2549">
        <v>100000</v>
      </c>
      <c r="E1142" s="113">
        <f t="shared" si="44"/>
        <v>58822099</v>
      </c>
      <c r="F1142" s="2517"/>
      <c r="G1142" s="113">
        <f t="shared" si="43"/>
        <v>1759516</v>
      </c>
      <c r="I1142" s="416"/>
    </row>
    <row r="1143" spans="1:13" ht="20.25" x14ac:dyDescent="0.3">
      <c r="A1143" s="2125">
        <v>43802</v>
      </c>
      <c r="B1143" s="2549"/>
      <c r="C1143" s="2549"/>
      <c r="D1143" s="2549">
        <v>19250</v>
      </c>
      <c r="E1143" s="113">
        <f t="shared" si="44"/>
        <v>58841349</v>
      </c>
      <c r="F1143" s="2517"/>
      <c r="G1143" s="113">
        <f t="shared" si="43"/>
        <v>1778766</v>
      </c>
      <c r="I1143" s="416"/>
      <c r="M1143" s="416"/>
    </row>
    <row r="1144" spans="1:13" ht="20.25" x14ac:dyDescent="0.3">
      <c r="A1144" s="2125">
        <v>43803</v>
      </c>
      <c r="B1144" s="2549"/>
      <c r="C1144" s="2549"/>
      <c r="D1144" s="2549">
        <v>244500</v>
      </c>
      <c r="E1144" s="113">
        <f t="shared" si="44"/>
        <v>59085849</v>
      </c>
      <c r="F1144" s="2517"/>
      <c r="G1144" s="113">
        <f t="shared" si="43"/>
        <v>2023266</v>
      </c>
      <c r="I1144" s="416"/>
    </row>
    <row r="1145" spans="1:13" ht="20.25" x14ac:dyDescent="0.3">
      <c r="A1145" s="2125">
        <v>43804</v>
      </c>
      <c r="B1145" s="2549"/>
      <c r="C1145" s="2549"/>
      <c r="D1145" s="2549">
        <v>516000</v>
      </c>
      <c r="E1145" s="113">
        <f t="shared" si="44"/>
        <v>59601849</v>
      </c>
      <c r="F1145" s="2517">
        <v>1553634</v>
      </c>
      <c r="G1145" s="113">
        <f t="shared" si="43"/>
        <v>985632</v>
      </c>
      <c r="I1145" s="416"/>
    </row>
    <row r="1146" spans="1:13" ht="20.25" x14ac:dyDescent="0.3">
      <c r="A1146" s="2125">
        <v>43805</v>
      </c>
      <c r="B1146" s="2549"/>
      <c r="C1146" s="2549"/>
      <c r="D1146" s="2549"/>
      <c r="E1146" s="113">
        <f t="shared" si="44"/>
        <v>59601849</v>
      </c>
      <c r="F1146" s="2517"/>
      <c r="G1146" s="113">
        <f t="shared" si="43"/>
        <v>985632</v>
      </c>
      <c r="I1146" s="416"/>
    </row>
    <row r="1147" spans="1:13" ht="20.25" x14ac:dyDescent="0.3">
      <c r="A1147" s="2125">
        <v>43806</v>
      </c>
      <c r="B1147" s="2549"/>
      <c r="C1147" s="2549"/>
      <c r="D1147" s="2549">
        <v>482000</v>
      </c>
      <c r="E1147" s="113">
        <f t="shared" si="44"/>
        <v>60083849</v>
      </c>
      <c r="F1147" s="2517"/>
      <c r="G1147" s="113">
        <f t="shared" si="43"/>
        <v>1467632</v>
      </c>
      <c r="I1147" s="416"/>
    </row>
    <row r="1148" spans="1:13" ht="20.25" x14ac:dyDescent="0.3">
      <c r="A1148" s="2125">
        <v>43807</v>
      </c>
      <c r="B1148" s="2549"/>
      <c r="C1148" s="2549"/>
      <c r="D1148" s="2549">
        <v>301600</v>
      </c>
      <c r="E1148" s="113">
        <f t="shared" si="44"/>
        <v>60385449</v>
      </c>
      <c r="F1148" s="2517"/>
      <c r="G1148" s="113">
        <f t="shared" si="43"/>
        <v>1769232</v>
      </c>
      <c r="I1148" s="416"/>
    </row>
    <row r="1149" spans="1:13" ht="20.25" x14ac:dyDescent="0.3">
      <c r="A1149" s="2125">
        <v>43808</v>
      </c>
      <c r="B1149" s="2549"/>
      <c r="C1149" s="2549"/>
      <c r="D1149" s="2549">
        <v>50000</v>
      </c>
      <c r="E1149" s="113">
        <f t="shared" si="44"/>
        <v>60435449</v>
      </c>
      <c r="F1149" s="2517"/>
      <c r="G1149" s="113">
        <f t="shared" si="43"/>
        <v>1819232</v>
      </c>
      <c r="I1149" s="416"/>
    </row>
    <row r="1150" spans="1:13" ht="20.25" x14ac:dyDescent="0.3">
      <c r="A1150" s="2125">
        <v>43809</v>
      </c>
      <c r="B1150" s="2549"/>
      <c r="C1150" s="2549"/>
      <c r="D1150" s="2549">
        <v>40000</v>
      </c>
      <c r="E1150" s="113">
        <f t="shared" si="44"/>
        <v>60475449</v>
      </c>
      <c r="F1150" s="2517">
        <v>1623035</v>
      </c>
      <c r="G1150" s="113">
        <f t="shared" si="43"/>
        <v>236197</v>
      </c>
      <c r="I1150" s="416"/>
    </row>
    <row r="1151" spans="1:13" ht="20.25" x14ac:dyDescent="0.3">
      <c r="A1151" s="2125">
        <v>43810</v>
      </c>
      <c r="B1151" s="2549"/>
      <c r="C1151" s="2549"/>
      <c r="D1151" s="2549">
        <v>305000</v>
      </c>
      <c r="E1151" s="113">
        <f t="shared" si="44"/>
        <v>60780449</v>
      </c>
      <c r="F1151" s="113"/>
      <c r="G1151" s="113">
        <f t="shared" si="43"/>
        <v>541197</v>
      </c>
      <c r="H1151" s="2629"/>
      <c r="I1151" s="416"/>
      <c r="M1151" s="416"/>
    </row>
    <row r="1152" spans="1:13" ht="20.25" x14ac:dyDescent="0.3">
      <c r="A1152" s="2125">
        <v>43811</v>
      </c>
      <c r="B1152" s="2549"/>
      <c r="C1152" s="2549"/>
      <c r="D1152" s="2549">
        <v>738500</v>
      </c>
      <c r="E1152" s="113">
        <f t="shared" si="44"/>
        <v>61518949</v>
      </c>
      <c r="F1152" s="113"/>
      <c r="G1152" s="113">
        <f t="shared" si="43"/>
        <v>1279697</v>
      </c>
      <c r="I1152" s="416"/>
    </row>
    <row r="1153" spans="1:13" ht="20.25" x14ac:dyDescent="0.3">
      <c r="A1153" s="2125">
        <v>43812</v>
      </c>
      <c r="B1153" s="2549"/>
      <c r="C1153" s="2549"/>
      <c r="D1153" s="2549">
        <v>211500</v>
      </c>
      <c r="E1153" s="113">
        <f t="shared" si="44"/>
        <v>61730449</v>
      </c>
      <c r="F1153" s="113"/>
      <c r="G1153" s="113">
        <f t="shared" si="43"/>
        <v>1491197</v>
      </c>
      <c r="I1153" s="416"/>
    </row>
    <row r="1154" spans="1:13" ht="20.25" x14ac:dyDescent="0.3">
      <c r="A1154" s="2125">
        <v>43813</v>
      </c>
      <c r="B1154" s="2549"/>
      <c r="C1154" s="2549"/>
      <c r="D1154" s="2549">
        <v>170500</v>
      </c>
      <c r="E1154" s="113">
        <f t="shared" si="44"/>
        <v>61900949</v>
      </c>
      <c r="F1154" s="113"/>
      <c r="G1154" s="113">
        <f t="shared" si="43"/>
        <v>1661697</v>
      </c>
      <c r="I1154" s="416"/>
    </row>
    <row r="1155" spans="1:13" ht="20.25" x14ac:dyDescent="0.3">
      <c r="A1155" s="2125">
        <v>43814</v>
      </c>
      <c r="B1155" s="2549"/>
      <c r="C1155" s="2549"/>
      <c r="D1155" s="2549">
        <v>136500</v>
      </c>
      <c r="E1155" s="113">
        <f t="shared" si="44"/>
        <v>62037449</v>
      </c>
      <c r="F1155" s="2517"/>
      <c r="G1155" s="113">
        <f t="shared" si="43"/>
        <v>1798197</v>
      </c>
      <c r="H1155" s="877"/>
      <c r="I1155" s="2631"/>
      <c r="J1155" s="877"/>
      <c r="K1155" s="877"/>
      <c r="L1155" s="877"/>
      <c r="M1155" s="877"/>
    </row>
    <row r="1156" spans="1:13" ht="20.25" x14ac:dyDescent="0.3">
      <c r="A1156" s="2125">
        <v>43815</v>
      </c>
      <c r="B1156" s="2549"/>
      <c r="C1156" s="2549"/>
      <c r="D1156" s="2549">
        <v>181500</v>
      </c>
      <c r="E1156" s="113">
        <f t="shared" si="44"/>
        <v>62218949</v>
      </c>
      <c r="F1156" s="2517">
        <v>1675995</v>
      </c>
      <c r="G1156" s="113">
        <f t="shared" si="43"/>
        <v>303702</v>
      </c>
      <c r="H1156" s="877"/>
      <c r="I1156" s="2631"/>
      <c r="J1156" s="877"/>
      <c r="K1156" s="877"/>
      <c r="L1156" s="877"/>
      <c r="M1156" s="877"/>
    </row>
    <row r="1157" spans="1:13" ht="20.25" x14ac:dyDescent="0.3">
      <c r="A1157" s="2125">
        <v>43816</v>
      </c>
      <c r="B1157" s="2549"/>
      <c r="C1157" s="2549"/>
      <c r="D1157" s="2549">
        <v>378000</v>
      </c>
      <c r="E1157" s="113">
        <f t="shared" si="44"/>
        <v>62596949</v>
      </c>
      <c r="F1157" s="2517"/>
      <c r="G1157" s="113">
        <f t="shared" si="43"/>
        <v>681702</v>
      </c>
      <c r="H1157" s="877"/>
      <c r="I1157" s="2631"/>
      <c r="J1157" s="877"/>
      <c r="K1157" s="877"/>
      <c r="L1157" s="877"/>
      <c r="M1157" s="2631"/>
    </row>
    <row r="1158" spans="1:13" ht="20.25" x14ac:dyDescent="0.3">
      <c r="A1158" s="2125">
        <v>43817</v>
      </c>
      <c r="B1158" s="2549"/>
      <c r="C1158" s="2549"/>
      <c r="D1158" s="2549">
        <v>123000</v>
      </c>
      <c r="E1158" s="113">
        <f t="shared" si="44"/>
        <v>62719949</v>
      </c>
      <c r="F1158" s="2517"/>
      <c r="G1158" s="113">
        <f t="shared" si="43"/>
        <v>804702</v>
      </c>
      <c r="H1158" s="2631"/>
      <c r="I1158" s="2631"/>
      <c r="J1158" s="877"/>
      <c r="K1158" s="877"/>
      <c r="L1158" s="877"/>
      <c r="M1158" s="877"/>
    </row>
    <row r="1159" spans="1:13" ht="20.25" x14ac:dyDescent="0.3">
      <c r="A1159" s="2125">
        <v>43818</v>
      </c>
      <c r="B1159" s="2549"/>
      <c r="C1159" s="2549"/>
      <c r="D1159" s="2549">
        <v>420000</v>
      </c>
      <c r="E1159" s="113">
        <f t="shared" si="44"/>
        <v>63139949</v>
      </c>
      <c r="F1159" s="2517"/>
      <c r="G1159" s="113">
        <f t="shared" si="43"/>
        <v>1224702</v>
      </c>
      <c r="H1159" s="877"/>
      <c r="I1159" s="2631"/>
      <c r="J1159" s="2631"/>
      <c r="K1159" s="877"/>
      <c r="L1159" s="877"/>
      <c r="M1159" s="877"/>
    </row>
    <row r="1160" spans="1:13" ht="20.25" x14ac:dyDescent="0.3">
      <c r="A1160" s="2125">
        <v>43819</v>
      </c>
      <c r="B1160" s="2549"/>
      <c r="C1160" s="2549"/>
      <c r="D1160" s="2549">
        <v>20000</v>
      </c>
      <c r="E1160" s="113">
        <f t="shared" si="44"/>
        <v>63159949</v>
      </c>
      <c r="F1160" s="2517"/>
      <c r="G1160" s="113">
        <f t="shared" si="43"/>
        <v>1244702</v>
      </c>
      <c r="H1160" s="877"/>
      <c r="I1160" s="2631"/>
      <c r="J1160" s="877"/>
      <c r="K1160" s="2631"/>
      <c r="L1160" s="877"/>
      <c r="M1160" s="877"/>
    </row>
    <row r="1161" spans="1:13" ht="20.25" x14ac:dyDescent="0.3">
      <c r="A1161" s="2125">
        <v>43820</v>
      </c>
      <c r="B1161" s="2549"/>
      <c r="C1161" s="2549"/>
      <c r="D1161" s="2549">
        <v>319350</v>
      </c>
      <c r="E1161" s="113">
        <f t="shared" si="44"/>
        <v>63479299</v>
      </c>
      <c r="F1161" s="2517"/>
      <c r="G1161" s="113">
        <f t="shared" si="43"/>
        <v>1564052</v>
      </c>
      <c r="H1161" s="877"/>
      <c r="I1161" s="2631"/>
      <c r="J1161" s="877"/>
      <c r="K1161" s="877"/>
      <c r="L1161" s="877"/>
      <c r="M1161" s="877"/>
    </row>
    <row r="1162" spans="1:13" ht="20.25" x14ac:dyDescent="0.3">
      <c r="A1162" s="2125">
        <v>43821</v>
      </c>
      <c r="B1162" s="2549"/>
      <c r="C1162" s="2549"/>
      <c r="D1162" s="2549">
        <v>140600</v>
      </c>
      <c r="E1162" s="113">
        <f t="shared" si="44"/>
        <v>63619899</v>
      </c>
      <c r="F1162" s="2517"/>
      <c r="G1162" s="113">
        <f t="shared" si="43"/>
        <v>1704652</v>
      </c>
      <c r="I1162" s="416"/>
      <c r="K1162" s="416"/>
    </row>
    <row r="1163" spans="1:13" ht="20.25" x14ac:dyDescent="0.3">
      <c r="A1163" s="2125">
        <v>43822</v>
      </c>
      <c r="B1163" s="2549"/>
      <c r="C1163" s="2549"/>
      <c r="D1163" s="2549">
        <v>75400</v>
      </c>
      <c r="E1163" s="113">
        <f t="shared" si="44"/>
        <v>63695299</v>
      </c>
      <c r="F1163" s="2517"/>
      <c r="G1163" s="113">
        <f t="shared" si="43"/>
        <v>1780052</v>
      </c>
      <c r="I1163" s="416"/>
    </row>
    <row r="1164" spans="1:13" ht="20.25" x14ac:dyDescent="0.3">
      <c r="A1164" s="2125">
        <v>43823</v>
      </c>
      <c r="B1164" s="2549"/>
      <c r="C1164" s="2549"/>
      <c r="D1164" s="2549">
        <v>376000</v>
      </c>
      <c r="E1164" s="113">
        <f t="shared" si="44"/>
        <v>64071299</v>
      </c>
      <c r="F1164" s="2517">
        <v>1633498</v>
      </c>
      <c r="G1164" s="113">
        <f t="shared" si="43"/>
        <v>522554</v>
      </c>
      <c r="I1164" s="416"/>
    </row>
    <row r="1165" spans="1:13" ht="20.25" x14ac:dyDescent="0.3">
      <c r="A1165" s="2125">
        <v>43824</v>
      </c>
      <c r="B1165" s="2549"/>
      <c r="C1165" s="2549"/>
      <c r="D1165" s="2549">
        <v>322500</v>
      </c>
      <c r="E1165" s="113">
        <f t="shared" si="44"/>
        <v>64393799</v>
      </c>
      <c r="F1165" s="2517"/>
      <c r="G1165" s="113">
        <f t="shared" si="43"/>
        <v>845054</v>
      </c>
      <c r="I1165" s="416"/>
    </row>
    <row r="1166" spans="1:13" ht="20.25" x14ac:dyDescent="0.3">
      <c r="A1166" s="2125">
        <v>43825</v>
      </c>
      <c r="B1166" s="2549"/>
      <c r="C1166" s="2549"/>
      <c r="D1166" s="2549">
        <v>422500</v>
      </c>
      <c r="E1166" s="113">
        <f t="shared" si="44"/>
        <v>64816299</v>
      </c>
      <c r="F1166" s="113"/>
      <c r="G1166" s="113">
        <f t="shared" si="43"/>
        <v>1267554</v>
      </c>
      <c r="I1166" s="416"/>
    </row>
    <row r="1167" spans="1:13" ht="20.25" x14ac:dyDescent="0.3">
      <c r="A1167" s="2125">
        <v>43826</v>
      </c>
      <c r="B1167" s="2549"/>
      <c r="C1167" s="2549"/>
      <c r="D1167" s="2549">
        <v>547579</v>
      </c>
      <c r="E1167" s="113">
        <f t="shared" si="44"/>
        <v>65363878</v>
      </c>
      <c r="F1167" s="113"/>
      <c r="G1167" s="113">
        <f t="shared" si="43"/>
        <v>1815133</v>
      </c>
      <c r="I1167" s="416"/>
    </row>
    <row r="1168" spans="1:13" ht="20.25" x14ac:dyDescent="0.3">
      <c r="A1168" s="2125">
        <v>43827</v>
      </c>
      <c r="B1168" s="2549"/>
      <c r="C1168" s="2549"/>
      <c r="D1168" s="2549">
        <v>334000</v>
      </c>
      <c r="E1168" s="113">
        <f t="shared" si="44"/>
        <v>65697878</v>
      </c>
      <c r="F1168" s="113"/>
      <c r="G1168" s="113">
        <f t="shared" si="43"/>
        <v>2149133</v>
      </c>
      <c r="I1168" s="416"/>
    </row>
    <row r="1169" spans="1:12" ht="20.25" x14ac:dyDescent="0.3">
      <c r="A1169" s="2125">
        <v>43828</v>
      </c>
      <c r="B1169" s="2549"/>
      <c r="C1169" s="2549"/>
      <c r="D1169" s="2549">
        <v>16000</v>
      </c>
      <c r="E1169" s="113">
        <f t="shared" si="44"/>
        <v>65713878</v>
      </c>
      <c r="F1169" s="113"/>
      <c r="G1169" s="113">
        <f t="shared" si="43"/>
        <v>2165133</v>
      </c>
      <c r="I1169" s="416"/>
    </row>
    <row r="1170" spans="1:12" ht="20.25" x14ac:dyDescent="0.3">
      <c r="A1170" s="2125">
        <v>43829</v>
      </c>
      <c r="B1170" s="2549"/>
      <c r="C1170" s="2549"/>
      <c r="D1170" s="2549">
        <v>242800</v>
      </c>
      <c r="E1170" s="113">
        <f t="shared" si="44"/>
        <v>65956678</v>
      </c>
      <c r="F1170" s="113"/>
      <c r="G1170" s="113">
        <f t="shared" si="43"/>
        <v>2407933</v>
      </c>
      <c r="I1170" s="416"/>
    </row>
    <row r="1171" spans="1:12" ht="20.25" x14ac:dyDescent="0.3">
      <c r="A1171" s="2125">
        <v>43830</v>
      </c>
      <c r="B1171" s="2549"/>
      <c r="C1171" s="2549"/>
      <c r="D1171" s="2549">
        <v>223000</v>
      </c>
      <c r="E1171" s="113">
        <f t="shared" si="44"/>
        <v>66179678</v>
      </c>
      <c r="F1171" s="113"/>
      <c r="G1171" s="113">
        <f t="shared" si="43"/>
        <v>2630933</v>
      </c>
      <c r="I1171" s="416"/>
    </row>
    <row r="1172" spans="1:12" ht="20.25" x14ac:dyDescent="0.3">
      <c r="A1172" s="2530"/>
      <c r="B1172" s="2550"/>
      <c r="C1172" s="2550"/>
      <c r="D1172" s="2550"/>
      <c r="E1172" s="113">
        <f t="shared" si="44"/>
        <v>66179678</v>
      </c>
      <c r="F1172" s="2518"/>
      <c r="G1172" s="2518">
        <f t="shared" si="43"/>
        <v>2630933</v>
      </c>
      <c r="I1172" s="416"/>
    </row>
    <row r="1173" spans="1:12" ht="20.25" x14ac:dyDescent="0.3">
      <c r="A1173" s="2125">
        <v>43831</v>
      </c>
      <c r="B1173" s="2549"/>
      <c r="C1173" s="2549"/>
      <c r="D1173" s="2549">
        <v>160000</v>
      </c>
      <c r="E1173" s="113">
        <f t="shared" si="44"/>
        <v>66339678</v>
      </c>
      <c r="F1173" s="113"/>
      <c r="G1173" s="113">
        <f t="shared" ref="G1173:G1290" si="45">+G1172+D1173-F1173</f>
        <v>2790933</v>
      </c>
      <c r="I1173" s="416"/>
    </row>
    <row r="1174" spans="1:12" ht="20.25" x14ac:dyDescent="0.3">
      <c r="A1174" s="2125">
        <v>43832</v>
      </c>
      <c r="B1174" s="2549"/>
      <c r="C1174" s="2549"/>
      <c r="D1174" s="2549">
        <v>408500</v>
      </c>
      <c r="E1174" s="113">
        <f t="shared" si="44"/>
        <v>66748178</v>
      </c>
      <c r="F1174" s="113"/>
      <c r="G1174" s="113">
        <f t="shared" si="45"/>
        <v>3199433</v>
      </c>
      <c r="I1174" s="416"/>
    </row>
    <row r="1175" spans="1:12" ht="20.25" x14ac:dyDescent="0.3">
      <c r="A1175" s="2125">
        <v>43833</v>
      </c>
      <c r="B1175" s="2549"/>
      <c r="C1175" s="2549"/>
      <c r="D1175" s="2549">
        <v>174000</v>
      </c>
      <c r="E1175" s="113">
        <f t="shared" ref="E1175:E1238" si="46">+E1174+D1175</f>
        <v>66922178</v>
      </c>
      <c r="F1175" s="113"/>
      <c r="G1175" s="113">
        <f t="shared" si="45"/>
        <v>3373433</v>
      </c>
      <c r="I1175" s="416"/>
    </row>
    <row r="1176" spans="1:12" ht="20.25" x14ac:dyDescent="0.3">
      <c r="A1176" s="2125">
        <v>43834</v>
      </c>
      <c r="B1176" s="2549"/>
      <c r="C1176" s="2549"/>
      <c r="D1176" s="2549">
        <v>115000</v>
      </c>
      <c r="E1176" s="113">
        <f t="shared" si="46"/>
        <v>67037178</v>
      </c>
      <c r="F1176" s="113"/>
      <c r="G1176" s="113">
        <f t="shared" si="45"/>
        <v>3488433</v>
      </c>
      <c r="I1176" s="416"/>
    </row>
    <row r="1177" spans="1:12" ht="20.25" x14ac:dyDescent="0.3">
      <c r="A1177" s="2125">
        <v>43835</v>
      </c>
      <c r="B1177" s="2549"/>
      <c r="C1177" s="2549"/>
      <c r="D1177" s="2549"/>
      <c r="E1177" s="113">
        <f t="shared" si="46"/>
        <v>67037178</v>
      </c>
      <c r="F1177" s="113"/>
      <c r="G1177" s="113">
        <f t="shared" si="45"/>
        <v>3488433</v>
      </c>
      <c r="I1177" s="416"/>
    </row>
    <row r="1178" spans="1:12" ht="20.25" x14ac:dyDescent="0.3">
      <c r="A1178" s="2125">
        <v>43836</v>
      </c>
      <c r="B1178" s="2549"/>
      <c r="C1178" s="2549"/>
      <c r="D1178" s="2549">
        <v>50000</v>
      </c>
      <c r="E1178" s="113">
        <f t="shared" si="46"/>
        <v>67087178</v>
      </c>
      <c r="F1178" s="2517">
        <v>2034291</v>
      </c>
      <c r="G1178" s="113">
        <f t="shared" si="45"/>
        <v>1504142</v>
      </c>
      <c r="H1178" s="2644"/>
      <c r="I1178" s="416"/>
    </row>
    <row r="1179" spans="1:12" ht="20.25" x14ac:dyDescent="0.3">
      <c r="A1179" s="2125">
        <v>43837</v>
      </c>
      <c r="B1179" s="2549"/>
      <c r="C1179" s="2549"/>
      <c r="D1179" s="2549">
        <v>80000</v>
      </c>
      <c r="E1179" s="113">
        <f t="shared" si="46"/>
        <v>67167178</v>
      </c>
      <c r="F1179" s="113"/>
      <c r="G1179" s="113">
        <f t="shared" si="45"/>
        <v>1584142</v>
      </c>
      <c r="H1179" s="2645"/>
      <c r="I1179" s="416"/>
    </row>
    <row r="1180" spans="1:12" ht="20.25" x14ac:dyDescent="0.3">
      <c r="A1180" s="2125">
        <v>43838</v>
      </c>
      <c r="B1180" s="2549"/>
      <c r="C1180" s="2549"/>
      <c r="D1180" s="2549">
        <v>230000</v>
      </c>
      <c r="E1180" s="113">
        <f t="shared" si="46"/>
        <v>67397178</v>
      </c>
      <c r="F1180" s="113"/>
      <c r="G1180" s="113">
        <f t="shared" si="45"/>
        <v>1814142</v>
      </c>
      <c r="H1180" s="2645"/>
      <c r="I1180" s="416"/>
    </row>
    <row r="1181" spans="1:12" ht="20.25" x14ac:dyDescent="0.3">
      <c r="A1181" s="2125">
        <v>43839</v>
      </c>
      <c r="B1181" s="2549"/>
      <c r="C1181" s="2549"/>
      <c r="D1181" s="2549">
        <v>332550</v>
      </c>
      <c r="E1181" s="113">
        <f t="shared" si="46"/>
        <v>67729728</v>
      </c>
      <c r="F1181" s="113"/>
      <c r="G1181" s="113">
        <f t="shared" si="45"/>
        <v>2146692</v>
      </c>
      <c r="H1181" s="2645"/>
      <c r="I1181" s="416"/>
    </row>
    <row r="1182" spans="1:12" ht="20.25" x14ac:dyDescent="0.3">
      <c r="A1182" s="2125">
        <v>43840</v>
      </c>
      <c r="B1182" s="2549"/>
      <c r="C1182" s="2549"/>
      <c r="D1182" s="2549">
        <v>180000</v>
      </c>
      <c r="E1182" s="113">
        <f t="shared" si="46"/>
        <v>67909728</v>
      </c>
      <c r="F1182" s="113"/>
      <c r="G1182" s="113">
        <f t="shared" si="45"/>
        <v>2326692</v>
      </c>
      <c r="H1182" s="2645"/>
      <c r="I1182" s="416"/>
    </row>
    <row r="1183" spans="1:12" ht="20.25" x14ac:dyDescent="0.3">
      <c r="A1183" s="2125">
        <v>43841</v>
      </c>
      <c r="B1183" s="2549"/>
      <c r="C1183" s="2549"/>
      <c r="D1183" s="2549">
        <v>496000</v>
      </c>
      <c r="E1183" s="113">
        <f t="shared" si="46"/>
        <v>68405728</v>
      </c>
      <c r="F1183" s="113"/>
      <c r="G1183" s="113">
        <f t="shared" si="45"/>
        <v>2822692</v>
      </c>
      <c r="H1183" s="2644"/>
      <c r="I1183" s="416"/>
      <c r="L1183" s="2643"/>
    </row>
    <row r="1184" spans="1:12" ht="20.25" x14ac:dyDescent="0.3">
      <c r="A1184" s="2125">
        <v>43842</v>
      </c>
      <c r="B1184" s="2549"/>
      <c r="C1184" s="2549"/>
      <c r="D1184" s="2549"/>
      <c r="E1184" s="113">
        <f t="shared" si="46"/>
        <v>68405728</v>
      </c>
      <c r="F1184" s="113"/>
      <c r="G1184" s="113">
        <f t="shared" si="45"/>
        <v>2822692</v>
      </c>
      <c r="H1184" s="2645"/>
      <c r="I1184" s="416"/>
    </row>
    <row r="1185" spans="1:13" ht="20.25" x14ac:dyDescent="0.3">
      <c r="A1185" s="2125">
        <v>43843</v>
      </c>
      <c r="B1185" s="2549"/>
      <c r="C1185" s="2549"/>
      <c r="D1185" s="2549">
        <v>60000</v>
      </c>
      <c r="E1185" s="113">
        <f t="shared" si="46"/>
        <v>68465728</v>
      </c>
      <c r="F1185" s="2517">
        <v>1318576</v>
      </c>
      <c r="G1185" s="113">
        <f t="shared" si="45"/>
        <v>1564116</v>
      </c>
      <c r="H1185" s="2645"/>
      <c r="I1185" s="416"/>
    </row>
    <row r="1186" spans="1:13" ht="20.25" x14ac:dyDescent="0.3">
      <c r="A1186" s="2125">
        <v>43844</v>
      </c>
      <c r="B1186" s="2549"/>
      <c r="C1186" s="2549"/>
      <c r="D1186" s="2549">
        <v>20000</v>
      </c>
      <c r="E1186" s="113">
        <f t="shared" si="46"/>
        <v>68485728</v>
      </c>
      <c r="F1186" s="113"/>
      <c r="G1186" s="113">
        <f t="shared" si="45"/>
        <v>1584116</v>
      </c>
      <c r="H1186" s="2645"/>
      <c r="I1186" s="416"/>
    </row>
    <row r="1187" spans="1:13" ht="20.25" x14ac:dyDescent="0.3">
      <c r="A1187" s="2125">
        <v>43845</v>
      </c>
      <c r="B1187" s="2549"/>
      <c r="C1187" s="2549"/>
      <c r="D1187" s="2549">
        <v>225000</v>
      </c>
      <c r="E1187" s="113">
        <f t="shared" si="46"/>
        <v>68710728</v>
      </c>
      <c r="F1187" s="113"/>
      <c r="G1187" s="113">
        <f t="shared" si="45"/>
        <v>1809116</v>
      </c>
      <c r="H1187" s="2644"/>
      <c r="I1187" s="416"/>
    </row>
    <row r="1188" spans="1:13" ht="20.25" x14ac:dyDescent="0.3">
      <c r="A1188" s="2125">
        <v>43846</v>
      </c>
      <c r="B1188" s="2549"/>
      <c r="C1188" s="2549"/>
      <c r="D1188" s="2549"/>
      <c r="E1188" s="113">
        <f t="shared" si="46"/>
        <v>68710728</v>
      </c>
      <c r="F1188" s="113"/>
      <c r="G1188" s="113">
        <f t="shared" si="45"/>
        <v>1809116</v>
      </c>
      <c r="H1188" s="2645"/>
      <c r="I1188" s="416"/>
    </row>
    <row r="1189" spans="1:13" ht="20.25" x14ac:dyDescent="0.3">
      <c r="A1189" s="2125">
        <v>43847</v>
      </c>
      <c r="B1189" s="2549"/>
      <c r="C1189" s="2549"/>
      <c r="D1189" s="2549">
        <v>114500</v>
      </c>
      <c r="E1189" s="113">
        <f t="shared" si="46"/>
        <v>68825228</v>
      </c>
      <c r="F1189" s="113"/>
      <c r="G1189" s="113">
        <f t="shared" si="45"/>
        <v>1923616</v>
      </c>
      <c r="I1189" s="416"/>
    </row>
    <row r="1190" spans="1:13" ht="20.25" x14ac:dyDescent="0.3">
      <c r="A1190" s="2125">
        <v>43848</v>
      </c>
      <c r="B1190" s="2549"/>
      <c r="C1190" s="2549"/>
      <c r="D1190" s="2549">
        <v>38525</v>
      </c>
      <c r="E1190" s="113">
        <f t="shared" si="46"/>
        <v>68863753</v>
      </c>
      <c r="F1190" s="113"/>
      <c r="G1190" s="113">
        <f t="shared" si="45"/>
        <v>1962141</v>
      </c>
      <c r="I1190" s="416"/>
    </row>
    <row r="1191" spans="1:13" ht="20.25" x14ac:dyDescent="0.3">
      <c r="A1191" s="2125">
        <v>43849</v>
      </c>
      <c r="B1191" s="2549"/>
      <c r="C1191" s="2549"/>
      <c r="D1191" s="2549">
        <v>59500</v>
      </c>
      <c r="E1191" s="113">
        <f t="shared" si="46"/>
        <v>68923253</v>
      </c>
      <c r="F1191" s="113"/>
      <c r="G1191" s="113">
        <f t="shared" si="45"/>
        <v>2021641</v>
      </c>
      <c r="I1191" s="416"/>
    </row>
    <row r="1192" spans="1:13" ht="20.25" x14ac:dyDescent="0.3">
      <c r="A1192" s="2125">
        <v>43850</v>
      </c>
      <c r="B1192" s="2549"/>
      <c r="C1192" s="2549"/>
      <c r="D1192" s="2549"/>
      <c r="E1192" s="113">
        <f t="shared" si="46"/>
        <v>68923253</v>
      </c>
      <c r="F1192" s="113"/>
      <c r="G1192" s="113">
        <f t="shared" si="45"/>
        <v>2021641</v>
      </c>
      <c r="I1192" s="416"/>
    </row>
    <row r="1193" spans="1:13" ht="20.25" x14ac:dyDescent="0.3">
      <c r="A1193" s="2125">
        <v>43851</v>
      </c>
      <c r="B1193" s="2549"/>
      <c r="C1193" s="2549"/>
      <c r="D1193" s="2549">
        <v>200000</v>
      </c>
      <c r="E1193" s="113">
        <f t="shared" si="46"/>
        <v>69123253</v>
      </c>
      <c r="F1193" s="113"/>
      <c r="G1193" s="113">
        <f t="shared" si="45"/>
        <v>2221641</v>
      </c>
      <c r="I1193" s="416"/>
    </row>
    <row r="1194" spans="1:13" ht="20.25" x14ac:dyDescent="0.3">
      <c r="A1194" s="2125">
        <v>43852</v>
      </c>
      <c r="B1194" s="2549"/>
      <c r="C1194" s="2549"/>
      <c r="D1194" s="2549">
        <v>220000</v>
      </c>
      <c r="E1194" s="113">
        <f t="shared" si="46"/>
        <v>69343253</v>
      </c>
      <c r="F1194" s="113"/>
      <c r="G1194" s="113">
        <f t="shared" si="45"/>
        <v>2441641</v>
      </c>
      <c r="H1194" s="39"/>
      <c r="I1194" s="2649"/>
      <c r="M1194" s="416"/>
    </row>
    <row r="1195" spans="1:13" ht="20.25" x14ac:dyDescent="0.3">
      <c r="A1195" s="2125">
        <v>43853</v>
      </c>
      <c r="B1195" s="2549"/>
      <c r="C1195" s="2549"/>
      <c r="D1195" s="2549">
        <v>110500</v>
      </c>
      <c r="E1195" s="113">
        <f t="shared" si="46"/>
        <v>69453753</v>
      </c>
      <c r="F1195" s="113"/>
      <c r="G1195" s="113">
        <f t="shared" si="45"/>
        <v>2552141</v>
      </c>
      <c r="H1195" s="416"/>
      <c r="I1195" s="416"/>
    </row>
    <row r="1196" spans="1:13" ht="20.25" x14ac:dyDescent="0.3">
      <c r="A1196" s="2125">
        <v>43854</v>
      </c>
      <c r="B1196" s="2549"/>
      <c r="C1196" s="2549"/>
      <c r="D1196" s="2549">
        <v>660500</v>
      </c>
      <c r="E1196" s="113">
        <f t="shared" si="46"/>
        <v>70114253</v>
      </c>
      <c r="F1196" s="2517">
        <v>1329287</v>
      </c>
      <c r="G1196" s="113">
        <f t="shared" si="45"/>
        <v>1883354</v>
      </c>
      <c r="H1196" s="416"/>
      <c r="I1196" s="416"/>
    </row>
    <row r="1197" spans="1:13" ht="20.25" x14ac:dyDescent="0.3">
      <c r="A1197" s="2125">
        <v>43855</v>
      </c>
      <c r="B1197" s="2549"/>
      <c r="C1197" s="2549"/>
      <c r="D1197" s="2549">
        <v>330000</v>
      </c>
      <c r="E1197" s="113">
        <f t="shared" si="46"/>
        <v>70444253</v>
      </c>
      <c r="F1197" s="113"/>
      <c r="G1197" s="113">
        <f t="shared" si="45"/>
        <v>2213354</v>
      </c>
      <c r="I1197" s="416"/>
    </row>
    <row r="1198" spans="1:13" ht="20.25" x14ac:dyDescent="0.3">
      <c r="A1198" s="2125">
        <v>43856</v>
      </c>
      <c r="B1198" s="2549"/>
      <c r="C1198" s="2549"/>
      <c r="D1198" s="2549">
        <v>155250</v>
      </c>
      <c r="E1198" s="113">
        <f t="shared" si="46"/>
        <v>70599503</v>
      </c>
      <c r="F1198" s="113"/>
      <c r="G1198" s="113">
        <f t="shared" si="45"/>
        <v>2368604</v>
      </c>
      <c r="I1198" s="416"/>
    </row>
    <row r="1199" spans="1:13" ht="20.25" x14ac:dyDescent="0.3">
      <c r="A1199" s="2125">
        <v>43857</v>
      </c>
      <c r="B1199" s="2549"/>
      <c r="C1199" s="2549"/>
      <c r="D1199" s="2549">
        <v>365250</v>
      </c>
      <c r="E1199" s="113">
        <f t="shared" si="46"/>
        <v>70964753</v>
      </c>
      <c r="F1199" s="113"/>
      <c r="G1199" s="113">
        <f t="shared" si="45"/>
        <v>2733854</v>
      </c>
      <c r="I1199" s="416"/>
    </row>
    <row r="1200" spans="1:13" ht="20.25" x14ac:dyDescent="0.3">
      <c r="A1200" s="2125">
        <v>43858</v>
      </c>
      <c r="B1200" s="2549"/>
      <c r="C1200" s="2549"/>
      <c r="D1200" s="2549">
        <v>40000</v>
      </c>
      <c r="E1200" s="113">
        <f t="shared" si="46"/>
        <v>71004753</v>
      </c>
      <c r="F1200" s="113"/>
      <c r="G1200" s="113">
        <f t="shared" si="45"/>
        <v>2773854</v>
      </c>
      <c r="H1200" s="2651"/>
      <c r="I1200" s="416"/>
    </row>
    <row r="1201" spans="1:9" ht="20.25" x14ac:dyDescent="0.3">
      <c r="A1201" s="2125">
        <v>43859</v>
      </c>
      <c r="B1201" s="2549"/>
      <c r="C1201" s="2549"/>
      <c r="D1201" s="2549">
        <v>26000</v>
      </c>
      <c r="E1201" s="113">
        <f t="shared" si="46"/>
        <v>71030753</v>
      </c>
      <c r="F1201" s="113"/>
      <c r="G1201" s="113">
        <f t="shared" si="45"/>
        <v>2799854</v>
      </c>
      <c r="H1201" s="416"/>
      <c r="I1201" s="416"/>
    </row>
    <row r="1202" spans="1:9" ht="20.25" x14ac:dyDescent="0.3">
      <c r="A1202" s="2125">
        <v>43860</v>
      </c>
      <c r="B1202" s="2549"/>
      <c r="C1202" s="2549"/>
      <c r="D1202" s="2549">
        <v>143775</v>
      </c>
      <c r="E1202" s="113">
        <f t="shared" si="46"/>
        <v>71174528</v>
      </c>
      <c r="F1202" s="113"/>
      <c r="G1202" s="113">
        <f t="shared" si="45"/>
        <v>2943629</v>
      </c>
      <c r="H1202" s="416"/>
      <c r="I1202" s="416"/>
    </row>
    <row r="1203" spans="1:9" ht="20.25" x14ac:dyDescent="0.3">
      <c r="A1203" s="2125">
        <v>43861</v>
      </c>
      <c r="B1203" s="2549"/>
      <c r="C1203" s="2549"/>
      <c r="D1203" s="2549">
        <v>90000</v>
      </c>
      <c r="E1203" s="113">
        <f t="shared" si="46"/>
        <v>71264528</v>
      </c>
      <c r="F1203" s="113">
        <v>338288</v>
      </c>
      <c r="G1203" s="113">
        <f t="shared" si="45"/>
        <v>2695341</v>
      </c>
      <c r="H1203" s="416"/>
      <c r="I1203" s="416"/>
    </row>
    <row r="1204" spans="1:9" ht="20.25" x14ac:dyDescent="0.3">
      <c r="A1204" s="2166"/>
      <c r="B1204" s="2592"/>
      <c r="C1204" s="2592"/>
      <c r="D1204" s="2592"/>
      <c r="E1204" s="113">
        <f t="shared" si="46"/>
        <v>71264528</v>
      </c>
      <c r="F1204" s="2168"/>
      <c r="G1204" s="2168">
        <f t="shared" si="45"/>
        <v>2695341</v>
      </c>
      <c r="H1204" s="416"/>
      <c r="I1204" s="416"/>
    </row>
    <row r="1205" spans="1:9" ht="20.25" x14ac:dyDescent="0.3">
      <c r="A1205" s="2125">
        <v>43862</v>
      </c>
      <c r="B1205" s="2549"/>
      <c r="C1205" s="2549"/>
      <c r="D1205" s="2549"/>
      <c r="E1205" s="113">
        <f t="shared" si="46"/>
        <v>71264528</v>
      </c>
      <c r="F1205" s="113"/>
      <c r="G1205" s="113">
        <f t="shared" si="45"/>
        <v>2695341</v>
      </c>
      <c r="H1205" s="416"/>
      <c r="I1205" s="416"/>
    </row>
    <row r="1206" spans="1:9" ht="20.25" x14ac:dyDescent="0.3">
      <c r="A1206" s="2125">
        <v>43863</v>
      </c>
      <c r="B1206" s="2549"/>
      <c r="C1206" s="2549"/>
      <c r="D1206" s="2549">
        <v>287500</v>
      </c>
      <c r="E1206" s="113">
        <f t="shared" si="46"/>
        <v>71552028</v>
      </c>
      <c r="F1206" s="113"/>
      <c r="G1206" s="113">
        <f t="shared" si="45"/>
        <v>2982841</v>
      </c>
      <c r="H1206" s="416"/>
      <c r="I1206" s="416"/>
    </row>
    <row r="1207" spans="1:9" ht="20.25" x14ac:dyDescent="0.3">
      <c r="A1207" s="2125">
        <v>43864</v>
      </c>
      <c r="B1207" s="2549"/>
      <c r="C1207" s="2549"/>
      <c r="D1207" s="2549">
        <v>288750</v>
      </c>
      <c r="E1207" s="113">
        <f t="shared" si="46"/>
        <v>71840778</v>
      </c>
      <c r="F1207" s="113"/>
      <c r="G1207" s="113">
        <f t="shared" si="45"/>
        <v>3271591</v>
      </c>
      <c r="H1207" s="416"/>
      <c r="I1207" s="416"/>
    </row>
    <row r="1208" spans="1:9" ht="20.25" x14ac:dyDescent="0.3">
      <c r="A1208" s="2125">
        <v>43865</v>
      </c>
      <c r="B1208" s="2549"/>
      <c r="C1208" s="2549"/>
      <c r="D1208" s="2549">
        <v>304500</v>
      </c>
      <c r="E1208" s="113">
        <f t="shared" si="46"/>
        <v>72145278</v>
      </c>
      <c r="F1208" s="113">
        <v>1692959</v>
      </c>
      <c r="G1208" s="113">
        <f t="shared" si="45"/>
        <v>1883132</v>
      </c>
      <c r="H1208" s="416"/>
      <c r="I1208" s="416"/>
    </row>
    <row r="1209" spans="1:9" ht="20.25" x14ac:dyDescent="0.3">
      <c r="A1209" s="2125">
        <v>43866</v>
      </c>
      <c r="B1209" s="2549"/>
      <c r="C1209" s="2549"/>
      <c r="D1209" s="2549">
        <v>878500</v>
      </c>
      <c r="E1209" s="113">
        <f t="shared" si="46"/>
        <v>73023778</v>
      </c>
      <c r="F1209" s="113"/>
      <c r="G1209" s="113">
        <f t="shared" si="45"/>
        <v>2761632</v>
      </c>
      <c r="H1209" s="416"/>
      <c r="I1209" s="416"/>
    </row>
    <row r="1210" spans="1:9" ht="20.25" x14ac:dyDescent="0.3">
      <c r="A1210" s="2125">
        <v>43867</v>
      </c>
      <c r="B1210" s="2549"/>
      <c r="C1210" s="2549"/>
      <c r="D1210" s="2549">
        <v>474500</v>
      </c>
      <c r="E1210" s="113">
        <f t="shared" si="46"/>
        <v>73498278</v>
      </c>
      <c r="F1210" s="113"/>
      <c r="G1210" s="113">
        <f t="shared" si="45"/>
        <v>3236132</v>
      </c>
      <c r="H1210" s="416"/>
      <c r="I1210" s="416"/>
    </row>
    <row r="1211" spans="1:9" ht="20.25" x14ac:dyDescent="0.3">
      <c r="A1211" s="2125">
        <v>43868</v>
      </c>
      <c r="B1211" s="2549"/>
      <c r="C1211" s="2549"/>
      <c r="D1211" s="2549">
        <v>11500</v>
      </c>
      <c r="E1211" s="113">
        <f t="shared" si="46"/>
        <v>73509778</v>
      </c>
      <c r="F1211" s="113">
        <v>851723</v>
      </c>
      <c r="G1211" s="113">
        <f t="shared" si="45"/>
        <v>2395909</v>
      </c>
      <c r="H1211" s="416"/>
      <c r="I1211" s="416"/>
    </row>
    <row r="1212" spans="1:9" ht="20.25" x14ac:dyDescent="0.3">
      <c r="A1212" s="2125">
        <v>43869</v>
      </c>
      <c r="B1212" s="2549"/>
      <c r="C1212" s="2549"/>
      <c r="D1212" s="2549">
        <v>983000</v>
      </c>
      <c r="E1212" s="113">
        <f t="shared" si="46"/>
        <v>74492778</v>
      </c>
      <c r="F1212" s="113"/>
      <c r="G1212" s="113">
        <f t="shared" si="45"/>
        <v>3378909</v>
      </c>
      <c r="H1212" s="2653"/>
      <c r="I1212" s="416"/>
    </row>
    <row r="1213" spans="1:9" ht="20.25" x14ac:dyDescent="0.3">
      <c r="A1213" s="2125">
        <v>43870</v>
      </c>
      <c r="B1213" s="2549"/>
      <c r="C1213" s="2549"/>
      <c r="D1213" s="2549">
        <v>150000</v>
      </c>
      <c r="E1213" s="113">
        <f t="shared" si="46"/>
        <v>74642778</v>
      </c>
      <c r="F1213" s="113"/>
      <c r="G1213" s="113">
        <f t="shared" si="45"/>
        <v>3528909</v>
      </c>
      <c r="H1213" s="416"/>
      <c r="I1213" s="416"/>
    </row>
    <row r="1214" spans="1:9" ht="20.25" x14ac:dyDescent="0.3">
      <c r="A1214" s="2125">
        <v>43871</v>
      </c>
      <c r="B1214" s="2549"/>
      <c r="C1214" s="2549"/>
      <c r="D1214" s="2549">
        <v>343000</v>
      </c>
      <c r="E1214" s="113">
        <f t="shared" si="46"/>
        <v>74985778</v>
      </c>
      <c r="F1214" s="113"/>
      <c r="G1214" s="113">
        <f t="shared" si="45"/>
        <v>3871909</v>
      </c>
      <c r="H1214" s="416"/>
      <c r="I1214" s="416"/>
    </row>
    <row r="1215" spans="1:9" ht="20.25" x14ac:dyDescent="0.3">
      <c r="A1215" s="2125">
        <v>43872</v>
      </c>
      <c r="B1215" s="2549"/>
      <c r="C1215" s="2549"/>
      <c r="D1215" s="2549">
        <v>348600</v>
      </c>
      <c r="E1215" s="113">
        <f t="shared" si="46"/>
        <v>75334378</v>
      </c>
      <c r="F1215" s="113"/>
      <c r="G1215" s="113">
        <f t="shared" si="45"/>
        <v>4220509</v>
      </c>
      <c r="H1215" s="416"/>
      <c r="I1215" s="416"/>
    </row>
    <row r="1216" spans="1:9" ht="20.25" x14ac:dyDescent="0.3">
      <c r="A1216" s="2125">
        <v>43873</v>
      </c>
      <c r="B1216" s="2549"/>
      <c r="C1216" s="2549"/>
      <c r="D1216" s="2549">
        <v>50000</v>
      </c>
      <c r="E1216" s="113">
        <f t="shared" si="46"/>
        <v>75384378</v>
      </c>
      <c r="F1216" s="113"/>
      <c r="G1216" s="113">
        <f t="shared" si="45"/>
        <v>4270509</v>
      </c>
      <c r="H1216" s="416"/>
      <c r="I1216" s="416"/>
    </row>
    <row r="1217" spans="1:10" ht="20.25" x14ac:dyDescent="0.3">
      <c r="A1217" s="2125">
        <v>43874</v>
      </c>
      <c r="B1217" s="2549"/>
      <c r="C1217" s="2549"/>
      <c r="D1217" s="2549">
        <v>69000</v>
      </c>
      <c r="E1217" s="113">
        <f t="shared" si="46"/>
        <v>75453378</v>
      </c>
      <c r="F1217" s="113"/>
      <c r="G1217" s="113">
        <f t="shared" si="45"/>
        <v>4339509</v>
      </c>
      <c r="H1217" s="416"/>
      <c r="I1217" s="416"/>
    </row>
    <row r="1218" spans="1:10" ht="20.25" x14ac:dyDescent="0.3">
      <c r="A1218" s="2125">
        <v>43875</v>
      </c>
      <c r="B1218" s="2549"/>
      <c r="C1218" s="2549"/>
      <c r="D1218" s="2549">
        <v>237000</v>
      </c>
      <c r="E1218" s="113">
        <f t="shared" si="46"/>
        <v>75690378</v>
      </c>
      <c r="F1218" s="113"/>
      <c r="G1218" s="113">
        <f t="shared" si="45"/>
        <v>4576509</v>
      </c>
      <c r="H1218" s="416"/>
      <c r="I1218" s="416"/>
    </row>
    <row r="1219" spans="1:10" ht="20.25" x14ac:dyDescent="0.3">
      <c r="A1219" s="2125">
        <v>43876</v>
      </c>
      <c r="B1219" s="2549"/>
      <c r="C1219" s="2549"/>
      <c r="D1219" s="2549">
        <v>400000</v>
      </c>
      <c r="E1219" s="113">
        <f t="shared" si="46"/>
        <v>76090378</v>
      </c>
      <c r="F1219" s="113"/>
      <c r="G1219" s="113">
        <f t="shared" si="45"/>
        <v>4976509</v>
      </c>
      <c r="H1219" s="416"/>
      <c r="I1219" s="416"/>
    </row>
    <row r="1220" spans="1:10" ht="20.25" x14ac:dyDescent="0.3">
      <c r="A1220" s="2125">
        <v>43877</v>
      </c>
      <c r="B1220" s="2549"/>
      <c r="C1220" s="2549"/>
      <c r="D1220" s="2549"/>
      <c r="E1220" s="113">
        <f t="shared" si="46"/>
        <v>76090378</v>
      </c>
      <c r="F1220" s="113"/>
      <c r="G1220" s="113">
        <f t="shared" si="45"/>
        <v>4976509</v>
      </c>
      <c r="H1220" s="416"/>
      <c r="I1220" s="416"/>
    </row>
    <row r="1221" spans="1:10" ht="20.25" x14ac:dyDescent="0.3">
      <c r="A1221" s="2125">
        <v>43878</v>
      </c>
      <c r="B1221" s="2549"/>
      <c r="C1221" s="2549"/>
      <c r="D1221" s="2549"/>
      <c r="E1221" s="113">
        <f t="shared" si="46"/>
        <v>76090378</v>
      </c>
      <c r="F1221" s="113"/>
      <c r="G1221" s="113">
        <f t="shared" si="45"/>
        <v>4976509</v>
      </c>
      <c r="H1221" s="416"/>
      <c r="I1221" s="416">
        <f>+G1224-4977034</f>
        <v>1596975</v>
      </c>
    </row>
    <row r="1222" spans="1:10" ht="20.25" x14ac:dyDescent="0.3">
      <c r="A1222" s="2125">
        <v>43879</v>
      </c>
      <c r="B1222" s="2549"/>
      <c r="C1222" s="2549"/>
      <c r="D1222" s="2549">
        <v>185000</v>
      </c>
      <c r="E1222" s="113">
        <f t="shared" si="46"/>
        <v>76275378</v>
      </c>
      <c r="F1222" s="113"/>
      <c r="G1222" s="113">
        <f t="shared" si="45"/>
        <v>5161509</v>
      </c>
      <c r="H1222" s="416"/>
      <c r="I1222" s="416"/>
    </row>
    <row r="1223" spans="1:10" ht="20.25" x14ac:dyDescent="0.3">
      <c r="A1223" s="2125">
        <v>43880</v>
      </c>
      <c r="B1223" s="2549"/>
      <c r="C1223" s="2549"/>
      <c r="D1223" s="2549">
        <v>1377500</v>
      </c>
      <c r="E1223" s="113">
        <f t="shared" si="46"/>
        <v>77652878</v>
      </c>
      <c r="F1223" s="113"/>
      <c r="G1223" s="113">
        <f t="shared" si="45"/>
        <v>6539009</v>
      </c>
      <c r="H1223" s="416"/>
      <c r="I1223" s="416"/>
    </row>
    <row r="1224" spans="1:10" ht="20.25" x14ac:dyDescent="0.3">
      <c r="A1224" s="2125">
        <v>43881</v>
      </c>
      <c r="B1224" s="2549"/>
      <c r="C1224" s="2549"/>
      <c r="D1224" s="2549">
        <v>35000</v>
      </c>
      <c r="E1224" s="113">
        <f t="shared" si="46"/>
        <v>77687878</v>
      </c>
      <c r="F1224" s="113"/>
      <c r="G1224" s="113">
        <f t="shared" si="45"/>
        <v>6574009</v>
      </c>
      <c r="H1224" s="416"/>
      <c r="I1224" s="416"/>
    </row>
    <row r="1225" spans="1:10" ht="20.25" x14ac:dyDescent="0.3">
      <c r="A1225" s="2125">
        <v>43882</v>
      </c>
      <c r="B1225" s="2549"/>
      <c r="C1225" s="2549"/>
      <c r="D1225" s="2549">
        <v>1568750</v>
      </c>
      <c r="E1225" s="113">
        <f t="shared" si="46"/>
        <v>79256628</v>
      </c>
      <c r="F1225" s="113"/>
      <c r="G1225" s="113">
        <f t="shared" si="45"/>
        <v>8142759</v>
      </c>
      <c r="H1225" s="416"/>
      <c r="I1225" s="416"/>
    </row>
    <row r="1226" spans="1:10" ht="20.25" x14ac:dyDescent="0.3">
      <c r="A1226" s="2125">
        <v>43883</v>
      </c>
      <c r="B1226" s="2549"/>
      <c r="C1226" s="2549"/>
      <c r="D1226" s="2549">
        <v>264500</v>
      </c>
      <c r="E1226" s="113">
        <f t="shared" si="46"/>
        <v>79521128</v>
      </c>
      <c r="F1226" s="113"/>
      <c r="G1226" s="113">
        <f t="shared" si="45"/>
        <v>8407259</v>
      </c>
      <c r="H1226" s="416"/>
      <c r="I1226" s="416"/>
    </row>
    <row r="1227" spans="1:10" ht="20.25" x14ac:dyDescent="0.3">
      <c r="A1227" s="2125">
        <v>43884</v>
      </c>
      <c r="B1227" s="2549"/>
      <c r="C1227" s="2549"/>
      <c r="D1227" s="2549">
        <v>528800</v>
      </c>
      <c r="E1227" s="113">
        <f t="shared" si="46"/>
        <v>80049928</v>
      </c>
      <c r="F1227" s="113"/>
      <c r="G1227" s="113">
        <f t="shared" si="45"/>
        <v>8936059</v>
      </c>
      <c r="H1227" s="416">
        <v>-8833084</v>
      </c>
      <c r="I1227" s="416">
        <f>SUM(G1227:H1227)</f>
        <v>102975</v>
      </c>
      <c r="J1227">
        <v>-103500</v>
      </c>
    </row>
    <row r="1228" spans="1:10" ht="20.25" x14ac:dyDescent="0.3">
      <c r="A1228" s="2125">
        <v>43885</v>
      </c>
      <c r="B1228" s="2549"/>
      <c r="C1228" s="2549"/>
      <c r="D1228" s="2549"/>
      <c r="E1228" s="113">
        <f t="shared" si="46"/>
        <v>80049928</v>
      </c>
      <c r="F1228" s="113"/>
      <c r="G1228" s="113">
        <f t="shared" si="45"/>
        <v>8936059</v>
      </c>
      <c r="H1228" s="416"/>
      <c r="I1228" s="416"/>
    </row>
    <row r="1229" spans="1:10" ht="20.25" x14ac:dyDescent="0.3">
      <c r="A1229" s="2125">
        <v>43886</v>
      </c>
      <c r="B1229" s="2549"/>
      <c r="C1229" s="2549"/>
      <c r="D1229" s="2549"/>
      <c r="E1229" s="113">
        <f t="shared" si="46"/>
        <v>80049928</v>
      </c>
      <c r="F1229" s="113"/>
      <c r="G1229" s="113">
        <f t="shared" si="45"/>
        <v>8936059</v>
      </c>
      <c r="H1229" s="416"/>
      <c r="I1229" s="416"/>
    </row>
    <row r="1230" spans="1:10" ht="20.25" x14ac:dyDescent="0.3">
      <c r="A1230" s="2125">
        <v>43887</v>
      </c>
      <c r="B1230" s="2549"/>
      <c r="C1230" s="2549"/>
      <c r="D1230" s="2549">
        <v>1377000</v>
      </c>
      <c r="E1230" s="113">
        <f t="shared" si="46"/>
        <v>81426928</v>
      </c>
      <c r="F1230" s="113"/>
      <c r="G1230" s="113">
        <f t="shared" si="45"/>
        <v>10313059</v>
      </c>
      <c r="H1230" s="416"/>
      <c r="I1230" s="416"/>
    </row>
    <row r="1231" spans="1:10" ht="20.25" x14ac:dyDescent="0.3">
      <c r="A1231" s="2125">
        <v>43888</v>
      </c>
      <c r="B1231" s="2549"/>
      <c r="C1231" s="2549"/>
      <c r="D1231" s="2549">
        <v>34500</v>
      </c>
      <c r="E1231" s="113">
        <f t="shared" si="46"/>
        <v>81461428</v>
      </c>
      <c r="F1231" s="113">
        <f>3331813+1476809</f>
        <v>4808622</v>
      </c>
      <c r="G1231" s="113">
        <f t="shared" si="45"/>
        <v>5538937</v>
      </c>
      <c r="H1231" s="416"/>
      <c r="I1231" s="416"/>
    </row>
    <row r="1232" spans="1:10" ht="20.25" x14ac:dyDescent="0.3">
      <c r="A1232" s="2125">
        <v>43889</v>
      </c>
      <c r="B1232" s="2549"/>
      <c r="C1232" s="2549"/>
      <c r="D1232" s="2549">
        <v>382750</v>
      </c>
      <c r="E1232" s="113">
        <f t="shared" si="46"/>
        <v>81844178</v>
      </c>
      <c r="F1232" s="113">
        <v>3315372</v>
      </c>
      <c r="G1232" s="113">
        <f t="shared" si="45"/>
        <v>2606315</v>
      </c>
      <c r="H1232" s="416"/>
      <c r="I1232" s="416"/>
    </row>
    <row r="1233" spans="1:11" ht="20.25" x14ac:dyDescent="0.3">
      <c r="A1233" s="2125">
        <v>43890</v>
      </c>
      <c r="B1233" s="2549"/>
      <c r="C1233" s="2549"/>
      <c r="D1233" s="2549">
        <v>185000</v>
      </c>
      <c r="E1233" s="113">
        <f t="shared" si="46"/>
        <v>82029178</v>
      </c>
      <c r="F1233" s="113"/>
      <c r="G1233" s="113">
        <f t="shared" si="45"/>
        <v>2791315</v>
      </c>
      <c r="H1233" s="416"/>
      <c r="I1233" s="416"/>
    </row>
    <row r="1234" spans="1:11" s="2657" customFormat="1" ht="20.25" x14ac:dyDescent="0.3">
      <c r="A1234" s="2166"/>
      <c r="B1234" s="2592"/>
      <c r="C1234" s="2592"/>
      <c r="D1234" s="2592"/>
      <c r="E1234" s="113">
        <f t="shared" si="46"/>
        <v>82029178</v>
      </c>
      <c r="F1234" s="2168"/>
      <c r="G1234" s="2168">
        <f t="shared" si="45"/>
        <v>2791315</v>
      </c>
      <c r="H1234" s="416"/>
      <c r="I1234" s="416"/>
    </row>
    <row r="1235" spans="1:11" s="2657" customFormat="1" ht="20.25" x14ac:dyDescent="0.3">
      <c r="A1235" s="2125">
        <v>43891</v>
      </c>
      <c r="B1235" s="2549"/>
      <c r="C1235" s="2549"/>
      <c r="D1235" s="2549">
        <v>316300</v>
      </c>
      <c r="E1235" s="113">
        <f t="shared" si="46"/>
        <v>82345478</v>
      </c>
      <c r="F1235" s="113"/>
      <c r="G1235" s="113">
        <f t="shared" si="45"/>
        <v>3107615</v>
      </c>
      <c r="H1235" s="416"/>
      <c r="I1235" s="416"/>
    </row>
    <row r="1236" spans="1:11" s="2657" customFormat="1" ht="20.25" x14ac:dyDescent="0.3">
      <c r="A1236" s="2125">
        <v>43892</v>
      </c>
      <c r="B1236" s="2549"/>
      <c r="C1236" s="2549"/>
      <c r="D1236" s="2549">
        <v>516175</v>
      </c>
      <c r="E1236" s="113">
        <f t="shared" si="46"/>
        <v>82861653</v>
      </c>
      <c r="F1236" s="113"/>
      <c r="G1236" s="113">
        <f t="shared" si="45"/>
        <v>3623790</v>
      </c>
      <c r="H1236" s="416"/>
      <c r="I1236" s="416"/>
    </row>
    <row r="1237" spans="1:11" s="2657" customFormat="1" ht="20.25" x14ac:dyDescent="0.3">
      <c r="A1237" s="2125">
        <v>43893</v>
      </c>
      <c r="B1237" s="2549"/>
      <c r="C1237" s="2549"/>
      <c r="D1237" s="2549">
        <v>85000</v>
      </c>
      <c r="E1237" s="113">
        <f t="shared" si="46"/>
        <v>82946653</v>
      </c>
      <c r="F1237" s="113"/>
      <c r="G1237" s="113">
        <f t="shared" si="45"/>
        <v>3708790</v>
      </c>
      <c r="H1237" s="416"/>
      <c r="I1237" s="416"/>
    </row>
    <row r="1238" spans="1:11" s="2657" customFormat="1" ht="20.25" x14ac:dyDescent="0.3">
      <c r="A1238" s="2125">
        <v>43894</v>
      </c>
      <c r="B1238" s="2549"/>
      <c r="C1238" s="2549"/>
      <c r="D1238" s="2549"/>
      <c r="E1238" s="113">
        <f t="shared" si="46"/>
        <v>82946653</v>
      </c>
      <c r="F1238" s="113">
        <v>2917398</v>
      </c>
      <c r="G1238" s="113">
        <f t="shared" si="45"/>
        <v>791392</v>
      </c>
      <c r="H1238" s="416"/>
      <c r="I1238" s="416"/>
    </row>
    <row r="1239" spans="1:11" s="2657" customFormat="1" ht="20.25" x14ac:dyDescent="0.3">
      <c r="A1239" s="2125">
        <v>43895</v>
      </c>
      <c r="B1239" s="2549"/>
      <c r="C1239" s="2549"/>
      <c r="D1239" s="2549">
        <v>312000</v>
      </c>
      <c r="E1239" s="113">
        <f t="shared" ref="E1239:E1302" si="47">+E1238+D1239</f>
        <v>83258653</v>
      </c>
      <c r="F1239" s="113"/>
      <c r="G1239" s="113">
        <f t="shared" si="45"/>
        <v>1103392</v>
      </c>
      <c r="H1239" s="416"/>
      <c r="I1239" s="416"/>
    </row>
    <row r="1240" spans="1:11" s="2657" customFormat="1" ht="20.25" x14ac:dyDescent="0.3">
      <c r="A1240" s="2125">
        <v>43896</v>
      </c>
      <c r="B1240" s="2549"/>
      <c r="C1240" s="2549"/>
      <c r="D1240" s="2549">
        <v>23000</v>
      </c>
      <c r="E1240" s="113">
        <f t="shared" si="47"/>
        <v>83281653</v>
      </c>
      <c r="F1240" s="113"/>
      <c r="G1240" s="113">
        <f t="shared" si="45"/>
        <v>1126392</v>
      </c>
      <c r="H1240" s="416"/>
      <c r="I1240" s="416"/>
    </row>
    <row r="1241" spans="1:11" s="2657" customFormat="1" ht="20.25" x14ac:dyDescent="0.3">
      <c r="A1241" s="2125">
        <v>43897</v>
      </c>
      <c r="B1241" s="2549"/>
      <c r="C1241" s="2549"/>
      <c r="D1241" s="2549">
        <v>73000</v>
      </c>
      <c r="E1241" s="113">
        <f t="shared" si="47"/>
        <v>83354653</v>
      </c>
      <c r="F1241" s="113"/>
      <c r="G1241" s="113">
        <f t="shared" si="45"/>
        <v>1199392</v>
      </c>
      <c r="H1241" s="416"/>
      <c r="I1241" s="416"/>
    </row>
    <row r="1242" spans="1:11" s="2657" customFormat="1" ht="20.25" x14ac:dyDescent="0.3">
      <c r="A1242" s="2125">
        <v>43898</v>
      </c>
      <c r="B1242" s="2549"/>
      <c r="C1242" s="2549"/>
      <c r="D1242" s="2663">
        <v>20500</v>
      </c>
      <c r="E1242" s="113">
        <f t="shared" si="47"/>
        <v>83375153</v>
      </c>
      <c r="F1242" s="113"/>
      <c r="G1242" s="113">
        <f t="shared" si="45"/>
        <v>1219892</v>
      </c>
      <c r="H1242" s="416"/>
      <c r="I1242" s="416"/>
      <c r="K1242" s="416"/>
    </row>
    <row r="1243" spans="1:11" s="2657" customFormat="1" ht="20.25" x14ac:dyDescent="0.3">
      <c r="A1243" s="2125">
        <v>43899</v>
      </c>
      <c r="B1243" s="2549"/>
      <c r="C1243" s="2549"/>
      <c r="D1243" s="2549">
        <v>47300</v>
      </c>
      <c r="E1243" s="113">
        <f t="shared" si="47"/>
        <v>83422453</v>
      </c>
      <c r="F1243" s="113"/>
      <c r="G1243" s="113">
        <f t="shared" si="45"/>
        <v>1267192</v>
      </c>
      <c r="H1243" s="416"/>
      <c r="I1243" s="416"/>
    </row>
    <row r="1244" spans="1:11" s="2657" customFormat="1" ht="20.25" x14ac:dyDescent="0.3">
      <c r="A1244" s="2125">
        <v>43900</v>
      </c>
      <c r="B1244" s="2549"/>
      <c r="C1244" s="2549"/>
      <c r="D1244" s="2549">
        <v>518750</v>
      </c>
      <c r="E1244" s="113">
        <f t="shared" si="47"/>
        <v>83941203</v>
      </c>
      <c r="F1244" s="113"/>
      <c r="G1244" s="113">
        <f t="shared" si="45"/>
        <v>1785942</v>
      </c>
      <c r="H1244" s="416"/>
      <c r="I1244" s="416"/>
      <c r="K1244" s="416"/>
    </row>
    <row r="1245" spans="1:11" s="2657" customFormat="1" ht="20.25" x14ac:dyDescent="0.3">
      <c r="A1245" s="2125">
        <v>43901</v>
      </c>
      <c r="B1245" s="2549"/>
      <c r="C1245" s="2549"/>
      <c r="D1245" s="2549">
        <v>1030047</v>
      </c>
      <c r="E1245" s="113">
        <f t="shared" si="47"/>
        <v>84971250</v>
      </c>
      <c r="F1245" s="113"/>
      <c r="G1245" s="113">
        <f t="shared" si="45"/>
        <v>2815989</v>
      </c>
      <c r="H1245" s="416"/>
      <c r="I1245" s="416"/>
    </row>
    <row r="1246" spans="1:11" s="2657" customFormat="1" ht="20.25" x14ac:dyDescent="0.3">
      <c r="A1246" s="2125">
        <v>43902</v>
      </c>
      <c r="B1246" s="2549"/>
      <c r="C1246" s="2549"/>
      <c r="D1246" s="2549">
        <v>154500</v>
      </c>
      <c r="E1246" s="113">
        <f t="shared" si="47"/>
        <v>85125750</v>
      </c>
      <c r="F1246" s="113"/>
      <c r="G1246" s="113">
        <f t="shared" si="45"/>
        <v>2970489</v>
      </c>
      <c r="H1246" s="416"/>
      <c r="I1246" s="416"/>
      <c r="K1246" s="2662"/>
    </row>
    <row r="1247" spans="1:11" s="2657" customFormat="1" ht="20.25" x14ac:dyDescent="0.3">
      <c r="A1247" s="2125">
        <v>43903</v>
      </c>
      <c r="B1247" s="2549"/>
      <c r="C1247" s="2549"/>
      <c r="D1247" s="2549">
        <v>5000</v>
      </c>
      <c r="E1247" s="113">
        <f t="shared" si="47"/>
        <v>85130750</v>
      </c>
      <c r="F1247" s="113"/>
      <c r="G1247" s="113">
        <f t="shared" si="45"/>
        <v>2975489</v>
      </c>
      <c r="H1247" s="416"/>
      <c r="I1247" s="416"/>
    </row>
    <row r="1248" spans="1:11" s="2657" customFormat="1" ht="20.25" x14ac:dyDescent="0.3">
      <c r="A1248" s="2125">
        <v>43904</v>
      </c>
      <c r="B1248" s="2549"/>
      <c r="C1248" s="2549"/>
      <c r="D1248" s="2549">
        <v>318700</v>
      </c>
      <c r="E1248" s="113">
        <f t="shared" si="47"/>
        <v>85449450</v>
      </c>
      <c r="F1248" s="113">
        <v>941801</v>
      </c>
      <c r="G1248" s="113">
        <f t="shared" si="45"/>
        <v>2352388</v>
      </c>
      <c r="H1248" s="416"/>
      <c r="I1248" s="416"/>
    </row>
    <row r="1249" spans="1:12" s="2657" customFormat="1" ht="20.25" x14ac:dyDescent="0.3">
      <c r="A1249" s="2125">
        <v>43905</v>
      </c>
      <c r="B1249" s="2549"/>
      <c r="C1249" s="2549"/>
      <c r="D1249" s="2549">
        <v>283550</v>
      </c>
      <c r="E1249" s="113">
        <f t="shared" si="47"/>
        <v>85733000</v>
      </c>
      <c r="F1249" s="113"/>
      <c r="G1249" s="113">
        <f t="shared" si="45"/>
        <v>2635938</v>
      </c>
      <c r="H1249" s="416"/>
      <c r="I1249" s="416"/>
    </row>
    <row r="1250" spans="1:12" s="2657" customFormat="1" ht="20.25" x14ac:dyDescent="0.3">
      <c r="A1250" s="2125">
        <v>43906</v>
      </c>
      <c r="B1250" s="2549"/>
      <c r="C1250" s="2549"/>
      <c r="D1250" s="2549">
        <v>391500</v>
      </c>
      <c r="E1250" s="113">
        <f t="shared" si="47"/>
        <v>86124500</v>
      </c>
      <c r="F1250" s="113"/>
      <c r="G1250" s="113">
        <f t="shared" si="45"/>
        <v>3027438</v>
      </c>
      <c r="H1250" s="416"/>
      <c r="I1250" s="416"/>
      <c r="L1250" s="2665"/>
    </row>
    <row r="1251" spans="1:12" s="2657" customFormat="1" ht="20.25" x14ac:dyDescent="0.3">
      <c r="A1251" s="2125">
        <v>43907</v>
      </c>
      <c r="B1251" s="2549"/>
      <c r="C1251" s="2549"/>
      <c r="D1251" s="2549">
        <v>195000</v>
      </c>
      <c r="E1251" s="113">
        <f t="shared" si="47"/>
        <v>86319500</v>
      </c>
      <c r="F1251" s="113"/>
      <c r="G1251" s="113">
        <f t="shared" si="45"/>
        <v>3222438</v>
      </c>
      <c r="H1251" s="2629"/>
      <c r="I1251" s="416"/>
    </row>
    <row r="1252" spans="1:12" s="2657" customFormat="1" ht="20.25" x14ac:dyDescent="0.3">
      <c r="A1252" s="2125">
        <v>43908</v>
      </c>
      <c r="B1252" s="2549"/>
      <c r="C1252" s="2549"/>
      <c r="D1252" s="2549">
        <v>90000</v>
      </c>
      <c r="E1252" s="113">
        <f t="shared" si="47"/>
        <v>86409500</v>
      </c>
      <c r="F1252" s="113"/>
      <c r="G1252" s="113">
        <f t="shared" si="45"/>
        <v>3312438</v>
      </c>
      <c r="H1252" s="2629"/>
      <c r="I1252" s="416"/>
    </row>
    <row r="1253" spans="1:12" s="2657" customFormat="1" ht="20.25" x14ac:dyDescent="0.3">
      <c r="A1253" s="2125">
        <v>43909</v>
      </c>
      <c r="B1253" s="2549"/>
      <c r="C1253" s="2549"/>
      <c r="D1253" s="2549">
        <v>34500</v>
      </c>
      <c r="E1253" s="113">
        <f t="shared" si="47"/>
        <v>86444000</v>
      </c>
      <c r="F1253" s="113"/>
      <c r="G1253" s="113">
        <f t="shared" si="45"/>
        <v>3346938</v>
      </c>
      <c r="H1253" s="2629"/>
      <c r="I1253" s="416"/>
    </row>
    <row r="1254" spans="1:12" s="2657" customFormat="1" ht="20.25" x14ac:dyDescent="0.3">
      <c r="A1254" s="2125">
        <v>43910</v>
      </c>
      <c r="B1254" s="2549"/>
      <c r="C1254" s="2549"/>
      <c r="D1254" s="2549">
        <v>86000</v>
      </c>
      <c r="E1254" s="113">
        <f t="shared" si="47"/>
        <v>86530000</v>
      </c>
      <c r="F1254" s="113"/>
      <c r="G1254" s="113">
        <f t="shared" si="45"/>
        <v>3432938</v>
      </c>
      <c r="H1254" s="2629"/>
      <c r="I1254" s="416"/>
      <c r="L1254" s="2675"/>
    </row>
    <row r="1255" spans="1:12" s="2657" customFormat="1" ht="20.25" x14ac:dyDescent="0.3">
      <c r="A1255" s="2125">
        <v>43911</v>
      </c>
      <c r="B1255" s="2549"/>
      <c r="C1255" s="2549"/>
      <c r="D1255" s="2549">
        <v>287730</v>
      </c>
      <c r="E1255" s="113">
        <f t="shared" si="47"/>
        <v>86817730</v>
      </c>
      <c r="F1255" s="113"/>
      <c r="G1255" s="113">
        <f t="shared" si="45"/>
        <v>3720668</v>
      </c>
      <c r="H1255" s="2629"/>
      <c r="I1255" s="416"/>
    </row>
    <row r="1256" spans="1:12" s="2657" customFormat="1" ht="20.25" x14ac:dyDescent="0.3">
      <c r="A1256" s="2125">
        <v>43912</v>
      </c>
      <c r="B1256" s="2549"/>
      <c r="C1256" s="2549"/>
      <c r="D1256" s="2549">
        <v>100000</v>
      </c>
      <c r="E1256" s="113">
        <f t="shared" si="47"/>
        <v>86917730</v>
      </c>
      <c r="F1256" s="113"/>
      <c r="G1256" s="113">
        <f t="shared" si="45"/>
        <v>3820668</v>
      </c>
      <c r="H1256" s="2629"/>
      <c r="I1256" s="416"/>
    </row>
    <row r="1257" spans="1:12" s="2657" customFormat="1" ht="20.25" x14ac:dyDescent="0.3">
      <c r="A1257" s="2125">
        <v>43913</v>
      </c>
      <c r="B1257" s="2549"/>
      <c r="C1257" s="2549"/>
      <c r="D1257" s="2549">
        <v>20850</v>
      </c>
      <c r="E1257" s="113">
        <f t="shared" si="47"/>
        <v>86938580</v>
      </c>
      <c r="F1257" s="113"/>
      <c r="G1257" s="113">
        <f t="shared" si="45"/>
        <v>3841518</v>
      </c>
      <c r="H1257" s="2629"/>
      <c r="I1257" s="416"/>
    </row>
    <row r="1258" spans="1:12" s="2657" customFormat="1" ht="20.25" x14ac:dyDescent="0.3">
      <c r="A1258" s="2125">
        <v>43914</v>
      </c>
      <c r="B1258" s="2549"/>
      <c r="C1258" s="2549"/>
      <c r="D1258" s="2549"/>
      <c r="E1258" s="113">
        <f t="shared" si="47"/>
        <v>86938580</v>
      </c>
      <c r="F1258" s="113"/>
      <c r="G1258" s="113">
        <f t="shared" si="45"/>
        <v>3841518</v>
      </c>
      <c r="H1258" s="2676"/>
      <c r="I1258" s="2677"/>
    </row>
    <row r="1259" spans="1:12" s="2657" customFormat="1" ht="20.25" x14ac:dyDescent="0.3">
      <c r="A1259" s="2125">
        <v>43915</v>
      </c>
      <c r="B1259" s="2549"/>
      <c r="C1259" s="2549"/>
      <c r="D1259" s="2549"/>
      <c r="E1259" s="113">
        <f t="shared" si="47"/>
        <v>86938580</v>
      </c>
      <c r="F1259" s="113"/>
      <c r="G1259" s="113">
        <f t="shared" si="45"/>
        <v>3841518</v>
      </c>
      <c r="H1259" s="2629"/>
      <c r="I1259" s="416"/>
    </row>
    <row r="1260" spans="1:12" s="2657" customFormat="1" ht="20.25" x14ac:dyDescent="0.3">
      <c r="A1260" s="2125">
        <v>43916</v>
      </c>
      <c r="B1260" s="2549"/>
      <c r="C1260" s="2549"/>
      <c r="D1260" s="2549">
        <v>338500</v>
      </c>
      <c r="E1260" s="113">
        <f t="shared" si="47"/>
        <v>87277080</v>
      </c>
      <c r="F1260" s="113"/>
      <c r="G1260" s="113">
        <f t="shared" si="45"/>
        <v>4180018</v>
      </c>
      <c r="H1260" s="2629"/>
      <c r="I1260" s="416"/>
    </row>
    <row r="1261" spans="1:12" s="2657" customFormat="1" ht="20.25" x14ac:dyDescent="0.3">
      <c r="A1261" s="2125">
        <v>43917</v>
      </c>
      <c r="B1261" s="2549"/>
      <c r="C1261" s="2549"/>
      <c r="D1261" s="2549">
        <v>166750</v>
      </c>
      <c r="E1261" s="113">
        <f t="shared" si="47"/>
        <v>87443830</v>
      </c>
      <c r="F1261" s="113"/>
      <c r="G1261" s="113">
        <f t="shared" si="45"/>
        <v>4346768</v>
      </c>
      <c r="H1261" s="2629"/>
      <c r="I1261" s="416"/>
      <c r="K1261" s="2679"/>
    </row>
    <row r="1262" spans="1:12" s="2657" customFormat="1" ht="20.25" x14ac:dyDescent="0.3">
      <c r="A1262" s="2125">
        <v>43918</v>
      </c>
      <c r="B1262" s="2549"/>
      <c r="C1262" s="2549"/>
      <c r="D1262" s="2549">
        <v>114000</v>
      </c>
      <c r="E1262" s="113">
        <f t="shared" si="47"/>
        <v>87557830</v>
      </c>
      <c r="F1262" s="2678">
        <v>1230322</v>
      </c>
      <c r="G1262" s="113">
        <f t="shared" si="45"/>
        <v>3230446</v>
      </c>
      <c r="H1262" s="2674"/>
      <c r="I1262" s="416"/>
    </row>
    <row r="1263" spans="1:12" s="2657" customFormat="1" ht="20.25" x14ac:dyDescent="0.3">
      <c r="A1263" s="2125">
        <v>43919</v>
      </c>
      <c r="B1263" s="2549"/>
      <c r="C1263" s="2549"/>
      <c r="D1263" s="2549"/>
      <c r="E1263" s="113">
        <f t="shared" si="47"/>
        <v>87557830</v>
      </c>
      <c r="F1263" s="113">
        <v>2315053</v>
      </c>
      <c r="G1263" s="113">
        <f t="shared" si="45"/>
        <v>915393</v>
      </c>
      <c r="H1263" s="416"/>
      <c r="I1263" s="416"/>
    </row>
    <row r="1264" spans="1:12" s="2657" customFormat="1" ht="20.25" x14ac:dyDescent="0.3">
      <c r="A1264" s="2125">
        <v>43920</v>
      </c>
      <c r="B1264" s="2549"/>
      <c r="C1264" s="2549"/>
      <c r="D1264" s="2549"/>
      <c r="E1264" s="113">
        <f t="shared" si="47"/>
        <v>87557830</v>
      </c>
      <c r="F1264" s="113"/>
      <c r="G1264" s="113">
        <f t="shared" si="45"/>
        <v>915393</v>
      </c>
      <c r="H1264" s="416"/>
      <c r="I1264" s="416"/>
    </row>
    <row r="1265" spans="1:14" s="2657" customFormat="1" ht="20.25" x14ac:dyDescent="0.3">
      <c r="A1265" s="2125">
        <v>43921</v>
      </c>
      <c r="B1265" s="2549"/>
      <c r="C1265" s="2549"/>
      <c r="D1265" s="2549"/>
      <c r="E1265" s="113">
        <f t="shared" si="47"/>
        <v>87557830</v>
      </c>
      <c r="F1265" s="113"/>
      <c r="G1265" s="113">
        <f t="shared" si="45"/>
        <v>915393</v>
      </c>
      <c r="H1265" s="416"/>
      <c r="I1265" s="416"/>
    </row>
    <row r="1266" spans="1:14" s="2657" customFormat="1" ht="20.25" x14ac:dyDescent="0.3">
      <c r="A1266" s="2166"/>
      <c r="B1266" s="2592"/>
      <c r="C1266" s="2592"/>
      <c r="D1266" s="2592"/>
      <c r="E1266" s="113">
        <f t="shared" si="47"/>
        <v>87557830</v>
      </c>
      <c r="F1266" s="2168"/>
      <c r="G1266" s="113">
        <f t="shared" si="45"/>
        <v>915393</v>
      </c>
      <c r="H1266" s="416"/>
      <c r="I1266" s="416"/>
    </row>
    <row r="1267" spans="1:14" s="2657" customFormat="1" ht="20.25" x14ac:dyDescent="0.3">
      <c r="A1267" s="2125">
        <v>43922</v>
      </c>
      <c r="B1267" s="2549"/>
      <c r="C1267" s="2549"/>
      <c r="D1267" s="2700">
        <f>223000-8000</f>
        <v>215000</v>
      </c>
      <c r="E1267" s="113">
        <f t="shared" si="47"/>
        <v>87772830</v>
      </c>
      <c r="F1267" s="113"/>
      <c r="G1267" s="113">
        <f t="shared" si="45"/>
        <v>1130393</v>
      </c>
      <c r="H1267" s="416"/>
      <c r="I1267" s="416"/>
    </row>
    <row r="1268" spans="1:14" s="2657" customFormat="1" ht="20.25" x14ac:dyDescent="0.3">
      <c r="A1268" s="2125">
        <v>43923</v>
      </c>
      <c r="B1268" s="2549"/>
      <c r="C1268" s="2549"/>
      <c r="D1268" s="2700">
        <v>3200</v>
      </c>
      <c r="E1268" s="113">
        <f t="shared" si="47"/>
        <v>87776030</v>
      </c>
      <c r="F1268" s="113">
        <v>539417</v>
      </c>
      <c r="G1268" s="113">
        <f t="shared" si="45"/>
        <v>594176</v>
      </c>
      <c r="H1268" s="416"/>
      <c r="I1268" s="416"/>
    </row>
    <row r="1269" spans="1:14" s="2657" customFormat="1" ht="20.25" x14ac:dyDescent="0.3">
      <c r="A1269" s="2125">
        <v>43924</v>
      </c>
      <c r="B1269" s="2549"/>
      <c r="C1269" s="2549"/>
      <c r="D1269" s="2700">
        <v>212500</v>
      </c>
      <c r="E1269" s="113">
        <f t="shared" si="47"/>
        <v>87988530</v>
      </c>
      <c r="F1269" s="113"/>
      <c r="G1269" s="113">
        <f t="shared" si="45"/>
        <v>806676</v>
      </c>
      <c r="H1269" s="416"/>
      <c r="I1269" s="416"/>
    </row>
    <row r="1270" spans="1:14" s="2657" customFormat="1" ht="20.25" x14ac:dyDescent="0.3">
      <c r="A1270" s="2125">
        <v>43925</v>
      </c>
      <c r="B1270" s="2549"/>
      <c r="C1270" s="2549"/>
      <c r="D1270" s="2549"/>
      <c r="E1270" s="113">
        <f t="shared" si="47"/>
        <v>87988530</v>
      </c>
      <c r="F1270" s="113"/>
      <c r="G1270" s="113">
        <f t="shared" si="45"/>
        <v>806676</v>
      </c>
      <c r="H1270" s="416"/>
      <c r="I1270" s="416"/>
    </row>
    <row r="1271" spans="1:14" s="2657" customFormat="1" ht="20.25" x14ac:dyDescent="0.3">
      <c r="A1271" s="2125">
        <v>43926</v>
      </c>
      <c r="B1271" s="2549"/>
      <c r="C1271" s="2549"/>
      <c r="D1271" s="2549"/>
      <c r="E1271" s="113">
        <f t="shared" si="47"/>
        <v>87988530</v>
      </c>
      <c r="F1271" s="113"/>
      <c r="G1271" s="113">
        <f t="shared" si="45"/>
        <v>806676</v>
      </c>
      <c r="H1271" s="416"/>
      <c r="I1271" s="416"/>
    </row>
    <row r="1272" spans="1:14" s="2657" customFormat="1" ht="20.25" x14ac:dyDescent="0.3">
      <c r="A1272" s="2125">
        <v>43927</v>
      </c>
      <c r="B1272" s="2549"/>
      <c r="C1272" s="2549"/>
      <c r="D1272" s="2700">
        <v>56800</v>
      </c>
      <c r="E1272" s="113">
        <f t="shared" si="47"/>
        <v>88045330</v>
      </c>
      <c r="F1272" s="113"/>
      <c r="G1272" s="113">
        <f t="shared" si="45"/>
        <v>863476</v>
      </c>
      <c r="H1272" s="416"/>
      <c r="I1272" s="416"/>
    </row>
    <row r="1273" spans="1:14" s="2657" customFormat="1" ht="20.25" x14ac:dyDescent="0.3">
      <c r="A1273" s="2125">
        <v>43928</v>
      </c>
      <c r="B1273" s="2549"/>
      <c r="C1273" s="2549"/>
      <c r="D1273" s="2700">
        <v>193500</v>
      </c>
      <c r="E1273" s="113">
        <f t="shared" si="47"/>
        <v>88238830</v>
      </c>
      <c r="F1273" s="113"/>
      <c r="G1273" s="113">
        <f t="shared" si="45"/>
        <v>1056976</v>
      </c>
      <c r="H1273" s="416"/>
      <c r="I1273" s="416"/>
    </row>
    <row r="1274" spans="1:14" s="2657" customFormat="1" ht="20.25" x14ac:dyDescent="0.3">
      <c r="A1274" s="2125">
        <v>43929</v>
      </c>
      <c r="B1274" s="2549"/>
      <c r="C1274" s="2549"/>
      <c r="D1274" s="2549"/>
      <c r="E1274" s="113">
        <f t="shared" si="47"/>
        <v>88238830</v>
      </c>
      <c r="F1274" s="113">
        <v>613552</v>
      </c>
      <c r="G1274" s="113">
        <f t="shared" si="45"/>
        <v>443424</v>
      </c>
      <c r="H1274" s="2697">
        <f>+G1274-409449</f>
        <v>33975</v>
      </c>
      <c r="I1274" s="416"/>
    </row>
    <row r="1275" spans="1:14" s="2657" customFormat="1" ht="20.25" x14ac:dyDescent="0.3">
      <c r="A1275" s="2125">
        <v>43930</v>
      </c>
      <c r="B1275" s="2549"/>
      <c r="C1275" s="2549"/>
      <c r="D1275" s="2549">
        <v>262500</v>
      </c>
      <c r="E1275" s="113">
        <f t="shared" si="47"/>
        <v>88501330</v>
      </c>
      <c r="F1275" s="113"/>
      <c r="G1275" s="113">
        <f t="shared" si="45"/>
        <v>705924</v>
      </c>
      <c r="H1275" s="416"/>
      <c r="I1275" s="416"/>
    </row>
    <row r="1276" spans="1:14" s="2657" customFormat="1" ht="20.25" x14ac:dyDescent="0.3">
      <c r="A1276" s="2125">
        <v>43931</v>
      </c>
      <c r="B1276" s="2549"/>
      <c r="C1276" s="2549"/>
      <c r="D1276" s="2700">
        <v>200000</v>
      </c>
      <c r="E1276" s="113">
        <f t="shared" si="47"/>
        <v>88701330</v>
      </c>
      <c r="F1276" s="113"/>
      <c r="G1276" s="113">
        <f t="shared" si="45"/>
        <v>905924</v>
      </c>
      <c r="H1276" s="416"/>
      <c r="I1276" s="416"/>
    </row>
    <row r="1277" spans="1:14" s="2657" customFormat="1" ht="20.25" x14ac:dyDescent="0.3">
      <c r="A1277" s="2125">
        <v>43932</v>
      </c>
      <c r="B1277" s="2549"/>
      <c r="C1277" s="2549"/>
      <c r="D1277" s="2700">
        <v>590000</v>
      </c>
      <c r="E1277" s="113">
        <f t="shared" si="47"/>
        <v>89291330</v>
      </c>
      <c r="F1277" s="113"/>
      <c r="G1277" s="113">
        <f t="shared" si="45"/>
        <v>1495924</v>
      </c>
      <c r="H1277" s="2656"/>
      <c r="I1277" s="416"/>
      <c r="N1277" s="836"/>
    </row>
    <row r="1278" spans="1:14" s="2657" customFormat="1" ht="20.25" x14ac:dyDescent="0.3">
      <c r="A1278" s="2125">
        <v>43933</v>
      </c>
      <c r="B1278" s="2549"/>
      <c r="C1278" s="2549"/>
      <c r="D1278" s="2549"/>
      <c r="E1278" s="113">
        <f t="shared" si="47"/>
        <v>89291330</v>
      </c>
      <c r="F1278" s="113"/>
      <c r="G1278" s="113">
        <f t="shared" si="45"/>
        <v>1495924</v>
      </c>
      <c r="H1278" s="416"/>
      <c r="I1278" s="416"/>
    </row>
    <row r="1279" spans="1:14" s="2657" customFormat="1" ht="20.25" x14ac:dyDescent="0.3">
      <c r="A1279" s="2125">
        <v>43934</v>
      </c>
      <c r="B1279" s="2549"/>
      <c r="C1279" s="2549"/>
      <c r="D1279" s="2700">
        <v>59000</v>
      </c>
      <c r="E1279" s="113">
        <f t="shared" si="47"/>
        <v>89350330</v>
      </c>
      <c r="F1279" s="113"/>
      <c r="G1279" s="113">
        <f t="shared" si="45"/>
        <v>1554924</v>
      </c>
      <c r="H1279" s="416"/>
      <c r="I1279" s="416"/>
    </row>
    <row r="1280" spans="1:14" s="2657" customFormat="1" ht="20.25" x14ac:dyDescent="0.3">
      <c r="A1280" s="2125">
        <v>43935</v>
      </c>
      <c r="B1280" s="2549"/>
      <c r="C1280" s="2549"/>
      <c r="D1280" s="2700">
        <v>139500</v>
      </c>
      <c r="E1280" s="113">
        <f t="shared" si="47"/>
        <v>89489830</v>
      </c>
      <c r="F1280" s="113"/>
      <c r="G1280" s="113">
        <f t="shared" si="45"/>
        <v>1694424</v>
      </c>
      <c r="H1280" s="416"/>
      <c r="I1280" s="416"/>
    </row>
    <row r="1281" spans="1:13" s="2657" customFormat="1" ht="20.25" x14ac:dyDescent="0.3">
      <c r="A1281" s="2125">
        <v>43936</v>
      </c>
      <c r="B1281" s="2549"/>
      <c r="C1281" s="2549"/>
      <c r="D1281" s="2700">
        <v>280000</v>
      </c>
      <c r="E1281" s="113">
        <f t="shared" si="47"/>
        <v>89769830</v>
      </c>
      <c r="F1281" s="113"/>
      <c r="G1281" s="113">
        <f t="shared" si="45"/>
        <v>1974424</v>
      </c>
      <c r="H1281" s="416"/>
      <c r="I1281" s="416"/>
    </row>
    <row r="1282" spans="1:13" s="2657" customFormat="1" ht="20.25" x14ac:dyDescent="0.3">
      <c r="A1282" s="2125">
        <v>43937</v>
      </c>
      <c r="B1282" s="2549"/>
      <c r="C1282" s="2549"/>
      <c r="D1282" s="2549"/>
      <c r="E1282" s="113">
        <f t="shared" si="47"/>
        <v>89769830</v>
      </c>
      <c r="F1282" s="113"/>
      <c r="G1282" s="113">
        <f t="shared" si="45"/>
        <v>1974424</v>
      </c>
      <c r="H1282" s="416"/>
      <c r="I1282" s="416"/>
    </row>
    <row r="1283" spans="1:13" s="2657" customFormat="1" ht="20.25" x14ac:dyDescent="0.3">
      <c r="A1283" s="2125">
        <v>43938</v>
      </c>
      <c r="B1283" s="2549"/>
      <c r="C1283" s="2549"/>
      <c r="D1283" s="2700">
        <v>63250</v>
      </c>
      <c r="E1283" s="113">
        <f t="shared" si="47"/>
        <v>89833080</v>
      </c>
      <c r="F1283" s="113"/>
      <c r="G1283" s="113">
        <f t="shared" si="45"/>
        <v>2037674</v>
      </c>
      <c r="H1283" s="416"/>
      <c r="I1283" s="416"/>
    </row>
    <row r="1284" spans="1:13" s="2657" customFormat="1" ht="20.25" x14ac:dyDescent="0.3">
      <c r="A1284" s="2125">
        <v>43939</v>
      </c>
      <c r="B1284" s="2549"/>
      <c r="C1284" s="2549"/>
      <c r="D1284" s="2700">
        <v>20000</v>
      </c>
      <c r="E1284" s="113">
        <f t="shared" si="47"/>
        <v>89853080</v>
      </c>
      <c r="F1284" s="113"/>
      <c r="G1284" s="113">
        <f t="shared" si="45"/>
        <v>2057674</v>
      </c>
      <c r="H1284" s="416"/>
      <c r="I1284" s="416"/>
    </row>
    <row r="1285" spans="1:13" s="2657" customFormat="1" ht="20.25" x14ac:dyDescent="0.3">
      <c r="A1285" s="2125">
        <v>43940</v>
      </c>
      <c r="B1285" s="2549"/>
      <c r="C1285" s="2549"/>
      <c r="D1285" s="2549"/>
      <c r="E1285" s="113">
        <f t="shared" si="47"/>
        <v>89853080</v>
      </c>
      <c r="F1285" s="113"/>
      <c r="G1285" s="113">
        <f t="shared" si="45"/>
        <v>2057674</v>
      </c>
      <c r="H1285" s="416"/>
      <c r="I1285" s="416"/>
      <c r="M1285" s="416"/>
    </row>
    <row r="1286" spans="1:13" s="2657" customFormat="1" ht="20.25" x14ac:dyDescent="0.3">
      <c r="A1286" s="2125">
        <v>43941</v>
      </c>
      <c r="B1286" s="2549"/>
      <c r="C1286" s="2549"/>
      <c r="D1286" s="2549"/>
      <c r="E1286" s="113">
        <f t="shared" si="47"/>
        <v>89853080</v>
      </c>
      <c r="F1286" s="113"/>
      <c r="G1286" s="113">
        <f t="shared" si="45"/>
        <v>2057674</v>
      </c>
      <c r="H1286" s="416"/>
      <c r="I1286" s="416"/>
    </row>
    <row r="1287" spans="1:13" s="2657" customFormat="1" ht="20.25" x14ac:dyDescent="0.3">
      <c r="A1287" s="2125">
        <v>43942</v>
      </c>
      <c r="B1287" s="2549"/>
      <c r="C1287" s="2549"/>
      <c r="D1287" s="2549"/>
      <c r="E1287" s="113">
        <f t="shared" si="47"/>
        <v>89853080</v>
      </c>
      <c r="F1287" s="113">
        <v>1296355</v>
      </c>
      <c r="G1287" s="113">
        <f t="shared" si="45"/>
        <v>761319</v>
      </c>
      <c r="H1287" s="416"/>
      <c r="I1287" s="416"/>
      <c r="M1287" s="416"/>
    </row>
    <row r="1288" spans="1:13" ht="20.25" x14ac:dyDescent="0.3">
      <c r="A1288" s="2125">
        <v>43943</v>
      </c>
      <c r="B1288" s="2549"/>
      <c r="C1288" s="2549"/>
      <c r="D1288" s="2549"/>
      <c r="E1288" s="113">
        <f t="shared" si="47"/>
        <v>89853080</v>
      </c>
      <c r="F1288" s="113"/>
      <c r="G1288" s="113">
        <f t="shared" si="45"/>
        <v>761319</v>
      </c>
      <c r="H1288" s="416"/>
      <c r="I1288" s="416"/>
    </row>
    <row r="1289" spans="1:13" ht="20.25" x14ac:dyDescent="0.3">
      <c r="A1289" s="2125">
        <v>43944</v>
      </c>
      <c r="B1289" s="2549"/>
      <c r="C1289" s="2549"/>
      <c r="D1289" s="2700">
        <v>511000</v>
      </c>
      <c r="E1289" s="113">
        <f t="shared" si="47"/>
        <v>90364080</v>
      </c>
      <c r="F1289" s="113"/>
      <c r="G1289" s="113">
        <f t="shared" si="45"/>
        <v>1272319</v>
      </c>
      <c r="H1289" s="2697"/>
      <c r="I1289" s="416"/>
    </row>
    <row r="1290" spans="1:13" ht="20.25" x14ac:dyDescent="0.3">
      <c r="A1290" s="2125">
        <v>43945</v>
      </c>
      <c r="B1290" s="2549"/>
      <c r="C1290" s="2549"/>
      <c r="D1290" s="2700">
        <v>1085500</v>
      </c>
      <c r="E1290" s="113">
        <f t="shared" si="47"/>
        <v>91449580</v>
      </c>
      <c r="F1290" s="113"/>
      <c r="G1290" s="113">
        <f t="shared" si="45"/>
        <v>2357819</v>
      </c>
      <c r="H1290" s="2656"/>
      <c r="I1290" s="416"/>
    </row>
    <row r="1291" spans="1:13" s="2657" customFormat="1" ht="20.25" x14ac:dyDescent="0.3">
      <c r="A1291" s="2125">
        <v>43946</v>
      </c>
      <c r="B1291" s="2549"/>
      <c r="C1291" s="2549"/>
      <c r="D1291" s="2700">
        <v>1242000</v>
      </c>
      <c r="E1291" s="113">
        <f t="shared" si="47"/>
        <v>92691580</v>
      </c>
      <c r="F1291" s="113"/>
      <c r="G1291" s="113">
        <f t="shared" ref="G1291:G1318" si="48">+G1290+D1291-F1291</f>
        <v>3599819</v>
      </c>
      <c r="H1291" s="2656"/>
      <c r="I1291" s="416"/>
    </row>
    <row r="1292" spans="1:13" s="2657" customFormat="1" ht="20.25" x14ac:dyDescent="0.3">
      <c r="A1292" s="2125">
        <v>43947</v>
      </c>
      <c r="B1292" s="2549"/>
      <c r="C1292" s="2549"/>
      <c r="D1292" s="2700">
        <v>724500</v>
      </c>
      <c r="E1292" s="113">
        <f t="shared" si="47"/>
        <v>93416080</v>
      </c>
      <c r="F1292" s="113"/>
      <c r="G1292" s="113">
        <f t="shared" si="48"/>
        <v>4324319</v>
      </c>
      <c r="H1292" s="2656"/>
      <c r="I1292" s="416"/>
      <c r="J1292" s="416"/>
      <c r="L1292" s="416"/>
    </row>
    <row r="1293" spans="1:13" s="2657" customFormat="1" ht="20.25" x14ac:dyDescent="0.3">
      <c r="A1293" s="2125">
        <v>43948</v>
      </c>
      <c r="B1293" s="2549"/>
      <c r="C1293" s="2549"/>
      <c r="D1293" s="2549"/>
      <c r="E1293" s="113">
        <f t="shared" si="47"/>
        <v>93416080</v>
      </c>
      <c r="F1293" s="113"/>
      <c r="G1293" s="113">
        <f t="shared" si="48"/>
        <v>4324319</v>
      </c>
      <c r="H1293" s="2656"/>
      <c r="I1293" s="416"/>
      <c r="J1293" s="416"/>
    </row>
    <row r="1294" spans="1:13" s="2657" customFormat="1" ht="20.25" x14ac:dyDescent="0.3">
      <c r="A1294" s="2125">
        <v>43949</v>
      </c>
      <c r="B1294" s="2549"/>
      <c r="C1294" s="2549"/>
      <c r="D1294" s="2700">
        <v>316000</v>
      </c>
      <c r="E1294" s="113">
        <f t="shared" si="47"/>
        <v>93732080</v>
      </c>
      <c r="F1294" s="2517">
        <v>446899</v>
      </c>
      <c r="G1294" s="113">
        <f t="shared" si="48"/>
        <v>4193420</v>
      </c>
      <c r="H1294" s="2656"/>
      <c r="I1294" s="416"/>
    </row>
    <row r="1295" spans="1:13" ht="20.25" x14ac:dyDescent="0.3">
      <c r="A1295" s="2125">
        <v>43950</v>
      </c>
      <c r="B1295" s="2549"/>
      <c r="C1295" s="2549"/>
      <c r="D1295" s="2700">
        <v>446750</v>
      </c>
      <c r="E1295" s="113">
        <f t="shared" si="47"/>
        <v>94178830</v>
      </c>
      <c r="F1295" s="2517">
        <v>4042766</v>
      </c>
      <c r="G1295" s="113">
        <f t="shared" si="48"/>
        <v>597404</v>
      </c>
      <c r="H1295" s="416"/>
      <c r="I1295" s="416"/>
    </row>
    <row r="1296" spans="1:13" s="2657" customFormat="1" ht="20.25" x14ac:dyDescent="0.3">
      <c r="A1296" s="2125">
        <v>43951</v>
      </c>
      <c r="B1296" s="2549"/>
      <c r="C1296" s="2549"/>
      <c r="D1296" s="2549">
        <v>253000</v>
      </c>
      <c r="E1296" s="113">
        <f t="shared" si="47"/>
        <v>94431830</v>
      </c>
      <c r="F1296" s="113"/>
      <c r="G1296" s="113">
        <f t="shared" si="48"/>
        <v>850404</v>
      </c>
      <c r="H1296" s="416"/>
      <c r="I1296" s="416"/>
    </row>
    <row r="1297" spans="1:11" s="2657" customFormat="1" ht="20.25" x14ac:dyDescent="0.3">
      <c r="A1297" s="2166"/>
      <c r="B1297" s="2592"/>
      <c r="C1297" s="2592"/>
      <c r="D1297" s="2592"/>
      <c r="E1297" s="113">
        <f t="shared" si="47"/>
        <v>94431830</v>
      </c>
      <c r="F1297" s="2168"/>
      <c r="G1297" s="2168">
        <v>850404</v>
      </c>
      <c r="H1297" s="416"/>
    </row>
    <row r="1298" spans="1:11" s="2657" customFormat="1" ht="20.25" x14ac:dyDescent="0.3">
      <c r="A1298" s="2125">
        <v>43952</v>
      </c>
      <c r="B1298" s="2701"/>
      <c r="C1298" s="2701"/>
      <c r="D1298" s="2701"/>
      <c r="E1298" s="113">
        <f t="shared" si="47"/>
        <v>94431830</v>
      </c>
      <c r="F1298" s="86"/>
      <c r="G1298" s="86">
        <f>+G1296+D1298-F1298</f>
        <v>850404</v>
      </c>
      <c r="H1298" s="416"/>
    </row>
    <row r="1299" spans="1:11" s="2657" customFormat="1" ht="20.25" x14ac:dyDescent="0.3">
      <c r="A1299" s="2125">
        <v>43953</v>
      </c>
      <c r="B1299" s="2549"/>
      <c r="C1299" s="2549"/>
      <c r="D1299" s="2549">
        <v>35700</v>
      </c>
      <c r="E1299" s="113">
        <f t="shared" si="47"/>
        <v>94467530</v>
      </c>
      <c r="F1299" s="113"/>
      <c r="G1299" s="113">
        <f t="shared" si="48"/>
        <v>886104</v>
      </c>
      <c r="H1299" s="416"/>
    </row>
    <row r="1300" spans="1:11" s="2657" customFormat="1" ht="20.25" x14ac:dyDescent="0.3">
      <c r="A1300" s="2125">
        <v>43954</v>
      </c>
      <c r="B1300" s="2549"/>
      <c r="C1300" s="2549"/>
      <c r="D1300" s="2549">
        <v>506000</v>
      </c>
      <c r="E1300" s="113">
        <f t="shared" si="47"/>
        <v>94973530</v>
      </c>
      <c r="F1300" s="113"/>
      <c r="G1300" s="113">
        <f t="shared" si="48"/>
        <v>1392104</v>
      </c>
      <c r="H1300" s="416"/>
    </row>
    <row r="1301" spans="1:11" s="2657" customFormat="1" ht="20.25" x14ac:dyDescent="0.3">
      <c r="A1301" s="2125">
        <v>43955</v>
      </c>
      <c r="B1301" s="2549"/>
      <c r="C1301" s="2549"/>
      <c r="D1301" s="2549">
        <v>599500</v>
      </c>
      <c r="E1301" s="113">
        <f t="shared" si="47"/>
        <v>95573030</v>
      </c>
      <c r="F1301" s="113"/>
      <c r="G1301" s="113">
        <f t="shared" si="48"/>
        <v>1991604</v>
      </c>
      <c r="H1301" s="416"/>
    </row>
    <row r="1302" spans="1:11" s="2657" customFormat="1" ht="20.25" x14ac:dyDescent="0.3">
      <c r="A1302" s="2125">
        <v>43956</v>
      </c>
      <c r="B1302" s="2549"/>
      <c r="C1302" s="2549"/>
      <c r="D1302" s="2549">
        <f>736000-34500</f>
        <v>701500</v>
      </c>
      <c r="E1302" s="113">
        <f t="shared" si="47"/>
        <v>96274530</v>
      </c>
      <c r="F1302" s="113"/>
      <c r="G1302" s="113">
        <f t="shared" si="48"/>
        <v>2693104</v>
      </c>
      <c r="H1302" s="416"/>
    </row>
    <row r="1303" spans="1:11" s="2657" customFormat="1" ht="20.25" x14ac:dyDescent="0.3">
      <c r="A1303" s="2125">
        <v>43957</v>
      </c>
      <c r="B1303" s="2549"/>
      <c r="C1303" s="2549"/>
      <c r="D1303" s="2549">
        <v>591000</v>
      </c>
      <c r="E1303" s="113">
        <f t="shared" ref="E1303:E1318" si="49">+E1302+D1303</f>
        <v>96865530</v>
      </c>
      <c r="F1303" s="113"/>
      <c r="G1303" s="113">
        <f t="shared" si="48"/>
        <v>3284104</v>
      </c>
      <c r="H1303" s="416"/>
    </row>
    <row r="1304" spans="1:11" s="2657" customFormat="1" ht="20.25" x14ac:dyDescent="0.3">
      <c r="A1304" s="2125">
        <v>43958</v>
      </c>
      <c r="B1304" s="2549"/>
      <c r="C1304" s="2549"/>
      <c r="D1304" s="2549">
        <v>30000</v>
      </c>
      <c r="E1304" s="113">
        <f t="shared" si="49"/>
        <v>96895530</v>
      </c>
      <c r="F1304" s="113"/>
      <c r="G1304" s="113">
        <f t="shared" si="48"/>
        <v>3314104</v>
      </c>
      <c r="H1304" s="416"/>
    </row>
    <row r="1305" spans="1:11" s="2657" customFormat="1" ht="20.25" x14ac:dyDescent="0.3">
      <c r="A1305" s="2125">
        <v>43959</v>
      </c>
      <c r="B1305" s="2549"/>
      <c r="C1305" s="2549"/>
      <c r="D1305" s="2549">
        <v>10000</v>
      </c>
      <c r="E1305" s="113">
        <f t="shared" si="49"/>
        <v>96905530</v>
      </c>
      <c r="F1305" s="2702">
        <v>1159097</v>
      </c>
      <c r="G1305" s="113">
        <f t="shared" si="48"/>
        <v>2165007</v>
      </c>
      <c r="H1305" s="416"/>
    </row>
    <row r="1306" spans="1:11" s="2657" customFormat="1" ht="20.25" x14ac:dyDescent="0.3">
      <c r="A1306" s="2125">
        <v>43960</v>
      </c>
      <c r="B1306" s="2549"/>
      <c r="C1306" s="2549"/>
      <c r="D1306" s="2549">
        <v>382750</v>
      </c>
      <c r="E1306" s="113">
        <f t="shared" si="49"/>
        <v>97288280</v>
      </c>
      <c r="F1306" s="113"/>
      <c r="G1306" s="113">
        <f t="shared" si="48"/>
        <v>2547757</v>
      </c>
      <c r="H1306" s="416"/>
    </row>
    <row r="1307" spans="1:11" s="2657" customFormat="1" ht="20.25" x14ac:dyDescent="0.3">
      <c r="A1307" s="2125">
        <v>43961</v>
      </c>
      <c r="B1307" s="2549"/>
      <c r="C1307" s="2549"/>
      <c r="D1307" s="2549">
        <v>13800</v>
      </c>
      <c r="E1307" s="113">
        <f t="shared" si="49"/>
        <v>97302080</v>
      </c>
      <c r="F1307" s="113"/>
      <c r="G1307" s="113">
        <f t="shared" si="48"/>
        <v>2561557</v>
      </c>
      <c r="H1307" s="416"/>
      <c r="I1307" s="416"/>
    </row>
    <row r="1308" spans="1:11" s="2657" customFormat="1" ht="20.25" x14ac:dyDescent="0.3">
      <c r="A1308" s="2125">
        <v>43962</v>
      </c>
      <c r="B1308" s="2549"/>
      <c r="C1308" s="2549"/>
      <c r="D1308" s="2549">
        <v>15000</v>
      </c>
      <c r="E1308" s="113">
        <f t="shared" si="49"/>
        <v>97317080</v>
      </c>
      <c r="F1308" s="113"/>
      <c r="G1308" s="113">
        <f t="shared" si="48"/>
        <v>2576557</v>
      </c>
      <c r="H1308" s="416"/>
    </row>
    <row r="1309" spans="1:11" s="2657" customFormat="1" ht="20.25" x14ac:dyDescent="0.3">
      <c r="A1309" s="2125">
        <v>43963</v>
      </c>
      <c r="B1309" s="2549"/>
      <c r="C1309" s="2549"/>
      <c r="D1309" s="2549">
        <v>45000</v>
      </c>
      <c r="E1309" s="113">
        <f t="shared" si="49"/>
        <v>97362080</v>
      </c>
      <c r="F1309" s="113"/>
      <c r="G1309" s="113">
        <f t="shared" si="48"/>
        <v>2621557</v>
      </c>
      <c r="H1309" s="416"/>
    </row>
    <row r="1310" spans="1:11" s="2657" customFormat="1" ht="20.25" x14ac:dyDescent="0.3">
      <c r="A1310" s="2125">
        <v>43964</v>
      </c>
      <c r="B1310" s="2549"/>
      <c r="C1310" s="2549"/>
      <c r="D1310" s="2549">
        <v>72000</v>
      </c>
      <c r="E1310" s="113">
        <f t="shared" si="49"/>
        <v>97434080</v>
      </c>
      <c r="F1310" s="2517">
        <v>2320436</v>
      </c>
      <c r="G1310" s="113">
        <f t="shared" si="48"/>
        <v>373121</v>
      </c>
      <c r="H1310" s="416"/>
    </row>
    <row r="1311" spans="1:11" s="2657" customFormat="1" ht="20.25" x14ac:dyDescent="0.3">
      <c r="A1311" s="2125">
        <v>43965</v>
      </c>
      <c r="B1311" s="2549"/>
      <c r="C1311" s="2549"/>
      <c r="D1311" s="2549">
        <v>29500</v>
      </c>
      <c r="E1311" s="113">
        <f t="shared" si="49"/>
        <v>97463580</v>
      </c>
      <c r="F1311" s="113"/>
      <c r="G1311" s="113">
        <f t="shared" si="48"/>
        <v>402621</v>
      </c>
      <c r="H1311" s="416"/>
    </row>
    <row r="1312" spans="1:11" s="2657" customFormat="1" ht="20.25" x14ac:dyDescent="0.3">
      <c r="A1312" s="2125">
        <v>43966</v>
      </c>
      <c r="B1312" s="2549"/>
      <c r="C1312" s="2549"/>
      <c r="D1312" s="2549">
        <v>43000</v>
      </c>
      <c r="E1312" s="113">
        <f t="shared" si="49"/>
        <v>97506580</v>
      </c>
      <c r="F1312" s="113"/>
      <c r="G1312" s="113">
        <f t="shared" si="48"/>
        <v>445621</v>
      </c>
      <c r="H1312" s="416"/>
      <c r="K1312" s="416"/>
    </row>
    <row r="1313" spans="1:10" s="2657" customFormat="1" ht="20.25" x14ac:dyDescent="0.3">
      <c r="A1313" s="2125">
        <v>43967</v>
      </c>
      <c r="B1313" s="2549"/>
      <c r="C1313" s="2549"/>
      <c r="D1313" s="2549">
        <v>221500</v>
      </c>
      <c r="E1313" s="113">
        <f t="shared" si="49"/>
        <v>97728080</v>
      </c>
      <c r="F1313" s="113"/>
      <c r="G1313" s="113">
        <f t="shared" si="48"/>
        <v>667121</v>
      </c>
      <c r="H1313" s="416"/>
      <c r="I1313" s="416"/>
    </row>
    <row r="1314" spans="1:10" s="2657" customFormat="1" ht="20.25" x14ac:dyDescent="0.3">
      <c r="A1314" s="2125">
        <v>43968</v>
      </c>
      <c r="B1314" s="2549"/>
      <c r="C1314" s="2549"/>
      <c r="D1314" s="2549">
        <v>356500</v>
      </c>
      <c r="E1314" s="113">
        <f t="shared" si="49"/>
        <v>98084580</v>
      </c>
      <c r="F1314" s="113"/>
      <c r="G1314" s="113">
        <f t="shared" si="48"/>
        <v>1023621</v>
      </c>
      <c r="H1314" s="416"/>
      <c r="J1314" s="416"/>
    </row>
    <row r="1315" spans="1:10" s="2657" customFormat="1" ht="20.25" x14ac:dyDescent="0.3">
      <c r="A1315" s="2125">
        <v>43969</v>
      </c>
      <c r="B1315" s="2549"/>
      <c r="C1315" s="2549"/>
      <c r="D1315" s="2549">
        <v>35000</v>
      </c>
      <c r="E1315" s="113">
        <f t="shared" si="49"/>
        <v>98119580</v>
      </c>
      <c r="F1315" s="113"/>
      <c r="G1315" s="113">
        <f t="shared" si="48"/>
        <v>1058621</v>
      </c>
      <c r="H1315" s="2629"/>
    </row>
    <row r="1316" spans="1:10" s="2657" customFormat="1" ht="20.25" x14ac:dyDescent="0.3">
      <c r="A1316" s="2125">
        <v>43970</v>
      </c>
      <c r="B1316" s="2549"/>
      <c r="C1316" s="2549"/>
      <c r="D1316" s="2549">
        <v>530000</v>
      </c>
      <c r="E1316" s="113">
        <f t="shared" si="49"/>
        <v>98649580</v>
      </c>
      <c r="F1316" s="113"/>
      <c r="G1316" s="113">
        <f t="shared" si="48"/>
        <v>1588621</v>
      </c>
      <c r="H1316" s="416"/>
    </row>
    <row r="1317" spans="1:10" s="2657" customFormat="1" ht="20.25" x14ac:dyDescent="0.3">
      <c r="A1317" s="2125">
        <v>43971</v>
      </c>
      <c r="B1317" s="2549"/>
      <c r="C1317" s="2549"/>
      <c r="D1317" s="2549">
        <v>419650</v>
      </c>
      <c r="E1317" s="113">
        <f t="shared" si="49"/>
        <v>99069230</v>
      </c>
      <c r="F1317" s="113"/>
      <c r="G1317" s="113">
        <f t="shared" si="48"/>
        <v>2008271</v>
      </c>
      <c r="H1317" s="2653"/>
    </row>
    <row r="1318" spans="1:10" s="2657" customFormat="1" ht="20.25" x14ac:dyDescent="0.3">
      <c r="A1318" s="2125">
        <v>43972</v>
      </c>
      <c r="B1318" s="2549"/>
      <c r="C1318" s="2549"/>
      <c r="D1318" s="2549">
        <v>243000</v>
      </c>
      <c r="E1318" s="113">
        <f t="shared" si="49"/>
        <v>99312230</v>
      </c>
      <c r="F1318" s="113"/>
      <c r="G1318" s="113">
        <f t="shared" si="48"/>
        <v>2251271</v>
      </c>
      <c r="H1318" s="416"/>
    </row>
    <row r="1319" spans="1:10" s="2657" customFormat="1" ht="20.25" x14ac:dyDescent="0.3">
      <c r="A1319" s="2125">
        <v>43973</v>
      </c>
      <c r="B1319" s="2549"/>
      <c r="C1319" s="2549"/>
      <c r="D1319" s="2549"/>
      <c r="E1319" s="113">
        <f>+E1318+D1319</f>
        <v>99312230</v>
      </c>
      <c r="F1319" s="113"/>
      <c r="G1319" s="113">
        <f>+G1318+D1319-F1319</f>
        <v>2251271</v>
      </c>
      <c r="H1319" s="416"/>
    </row>
    <row r="1320" spans="1:10" s="2657" customFormat="1" ht="20.25" x14ac:dyDescent="0.3">
      <c r="A1320" s="2125">
        <v>43974</v>
      </c>
      <c r="B1320" s="2549"/>
      <c r="C1320" s="2549"/>
      <c r="D1320" s="2549"/>
      <c r="E1320" s="113">
        <f t="shared" ref="E1320:E1384" si="50">+E1319+D1320</f>
        <v>99312230</v>
      </c>
      <c r="F1320" s="113"/>
      <c r="G1320" s="113">
        <f t="shared" ref="G1320:G1384" si="51">+G1319+D1320-F1320</f>
        <v>2251271</v>
      </c>
      <c r="H1320" s="416"/>
    </row>
    <row r="1321" spans="1:10" s="2657" customFormat="1" ht="20.25" x14ac:dyDescent="0.3">
      <c r="A1321" s="2125">
        <v>43975</v>
      </c>
      <c r="B1321" s="2549"/>
      <c r="C1321" s="2549"/>
      <c r="D1321" s="2549"/>
      <c r="E1321" s="113">
        <f t="shared" si="50"/>
        <v>99312230</v>
      </c>
      <c r="F1321" s="113"/>
      <c r="G1321" s="113">
        <f t="shared" si="51"/>
        <v>2251271</v>
      </c>
      <c r="H1321" s="416"/>
    </row>
    <row r="1322" spans="1:10" s="2657" customFormat="1" ht="20.25" x14ac:dyDescent="0.3">
      <c r="A1322" s="2125">
        <v>43976</v>
      </c>
      <c r="B1322" s="2549"/>
      <c r="C1322" s="2549"/>
      <c r="D1322" s="2549"/>
      <c r="E1322" s="113">
        <f t="shared" si="50"/>
        <v>99312230</v>
      </c>
      <c r="F1322" s="113"/>
      <c r="G1322" s="113">
        <f t="shared" si="51"/>
        <v>2251271</v>
      </c>
      <c r="H1322" s="416"/>
    </row>
    <row r="1323" spans="1:10" s="2657" customFormat="1" ht="20.25" x14ac:dyDescent="0.3">
      <c r="A1323" s="2125">
        <v>43977</v>
      </c>
      <c r="B1323" s="2549"/>
      <c r="C1323" s="2549"/>
      <c r="D1323" s="2549">
        <v>202750</v>
      </c>
      <c r="E1323" s="113">
        <f t="shared" si="50"/>
        <v>99514980</v>
      </c>
      <c r="F1323" s="2517">
        <v>616790</v>
      </c>
      <c r="G1323" s="113">
        <f t="shared" si="51"/>
        <v>1837231</v>
      </c>
      <c r="H1323" s="416"/>
    </row>
    <row r="1324" spans="1:10" s="2657" customFormat="1" ht="20.25" x14ac:dyDescent="0.3">
      <c r="A1324" s="2125">
        <v>43978</v>
      </c>
      <c r="B1324" s="2549"/>
      <c r="C1324" s="2549"/>
      <c r="D1324" s="2549">
        <v>33000</v>
      </c>
      <c r="E1324" s="113">
        <f t="shared" si="50"/>
        <v>99547980</v>
      </c>
      <c r="F1324" s="113"/>
      <c r="G1324" s="113">
        <f t="shared" si="51"/>
        <v>1870231</v>
      </c>
      <c r="H1324" s="416"/>
      <c r="I1324" s="416"/>
    </row>
    <row r="1325" spans="1:10" s="2657" customFormat="1" ht="20.25" x14ac:dyDescent="0.3">
      <c r="A1325" s="2125">
        <v>43979</v>
      </c>
      <c r="B1325" s="2549"/>
      <c r="C1325" s="2549"/>
      <c r="D1325" s="2549">
        <v>179500</v>
      </c>
      <c r="E1325" s="113">
        <f t="shared" si="50"/>
        <v>99727480</v>
      </c>
      <c r="F1325" s="113"/>
      <c r="G1325" s="113">
        <f t="shared" si="51"/>
        <v>2049731</v>
      </c>
      <c r="H1325" s="416"/>
    </row>
    <row r="1326" spans="1:10" s="2657" customFormat="1" ht="20.25" x14ac:dyDescent="0.3">
      <c r="A1326" s="2125">
        <v>43980</v>
      </c>
      <c r="B1326" s="2549"/>
      <c r="C1326" s="2549"/>
      <c r="D1326" s="2549"/>
      <c r="E1326" s="113">
        <f t="shared" si="50"/>
        <v>99727480</v>
      </c>
      <c r="F1326" s="113"/>
      <c r="G1326" s="113">
        <f t="shared" si="51"/>
        <v>2049731</v>
      </c>
      <c r="H1326" s="416"/>
    </row>
    <row r="1327" spans="1:10" s="2657" customFormat="1" ht="20.25" x14ac:dyDescent="0.3">
      <c r="A1327" s="2125">
        <v>43981</v>
      </c>
      <c r="B1327" s="2549"/>
      <c r="C1327" s="2549"/>
      <c r="D1327" s="2549">
        <v>198000</v>
      </c>
      <c r="E1327" s="113">
        <f t="shared" si="50"/>
        <v>99925480</v>
      </c>
      <c r="F1327" s="113"/>
      <c r="G1327" s="113">
        <f t="shared" si="51"/>
        <v>2247731</v>
      </c>
      <c r="H1327" s="416"/>
    </row>
    <row r="1328" spans="1:10" s="2657" customFormat="1" ht="20.25" x14ac:dyDescent="0.3">
      <c r="A1328" s="2125">
        <v>43982</v>
      </c>
      <c r="B1328" s="2549"/>
      <c r="C1328" s="2549"/>
      <c r="D1328" s="2549"/>
      <c r="E1328" s="113">
        <f t="shared" si="50"/>
        <v>99925480</v>
      </c>
      <c r="F1328" s="113"/>
      <c r="G1328" s="113">
        <f t="shared" si="51"/>
        <v>2247731</v>
      </c>
      <c r="H1328" s="416"/>
    </row>
    <row r="1329" spans="1:8" s="2657" customFormat="1" ht="20.25" x14ac:dyDescent="0.3">
      <c r="A1329" s="2166"/>
      <c r="B1329" s="2592"/>
      <c r="C1329" s="2592"/>
      <c r="D1329" s="2592"/>
      <c r="E1329" s="2168">
        <f t="shared" si="50"/>
        <v>99925480</v>
      </c>
      <c r="F1329" s="2168"/>
      <c r="G1329" s="113">
        <f t="shared" si="51"/>
        <v>2247731</v>
      </c>
      <c r="H1329" s="416"/>
    </row>
    <row r="1330" spans="1:8" s="2657" customFormat="1" ht="20.25" x14ac:dyDescent="0.3">
      <c r="A1330" s="2125">
        <v>43983</v>
      </c>
      <c r="B1330" s="2549"/>
      <c r="C1330" s="2549"/>
      <c r="D1330" s="2549"/>
      <c r="E1330" s="113">
        <f t="shared" si="50"/>
        <v>99925480</v>
      </c>
      <c r="F1330" s="113"/>
      <c r="G1330" s="113">
        <f t="shared" si="51"/>
        <v>2247731</v>
      </c>
      <c r="H1330" s="416"/>
    </row>
    <row r="1331" spans="1:8" s="2657" customFormat="1" ht="20.25" x14ac:dyDescent="0.3">
      <c r="A1331" s="2125">
        <v>43984</v>
      </c>
      <c r="B1331" s="2549"/>
      <c r="C1331" s="2549"/>
      <c r="D1331" s="2549">
        <v>592250</v>
      </c>
      <c r="E1331" s="113">
        <f t="shared" si="50"/>
        <v>100517730</v>
      </c>
      <c r="F1331" s="113">
        <v>1339351</v>
      </c>
      <c r="G1331" s="113">
        <f t="shared" si="51"/>
        <v>1500630</v>
      </c>
      <c r="H1331" s="416"/>
    </row>
    <row r="1332" spans="1:8" s="2657" customFormat="1" ht="20.25" x14ac:dyDescent="0.3">
      <c r="A1332" s="2125">
        <v>43985</v>
      </c>
      <c r="B1332" s="2549"/>
      <c r="C1332" s="2549"/>
      <c r="D1332" s="2549">
        <v>403500</v>
      </c>
      <c r="E1332" s="113">
        <f t="shared" si="50"/>
        <v>100921230</v>
      </c>
      <c r="F1332" s="113"/>
      <c r="G1332" s="113">
        <f t="shared" si="51"/>
        <v>1904130</v>
      </c>
      <c r="H1332" s="416"/>
    </row>
    <row r="1333" spans="1:8" s="2657" customFormat="1" ht="20.25" x14ac:dyDescent="0.3">
      <c r="A1333" s="2125">
        <v>43986</v>
      </c>
      <c r="B1333" s="2549"/>
      <c r="C1333" s="2549"/>
      <c r="D1333" s="2549">
        <v>588000</v>
      </c>
      <c r="E1333" s="113">
        <f t="shared" si="50"/>
        <v>101509230</v>
      </c>
      <c r="F1333" s="113"/>
      <c r="G1333" s="113">
        <f t="shared" si="51"/>
        <v>2492130</v>
      </c>
      <c r="H1333" s="416"/>
    </row>
    <row r="1334" spans="1:8" s="2657" customFormat="1" ht="20.25" x14ac:dyDescent="0.3">
      <c r="A1334" s="2125">
        <v>43987</v>
      </c>
      <c r="B1334" s="2549"/>
      <c r="C1334" s="2549"/>
      <c r="D1334" s="2549">
        <v>16500</v>
      </c>
      <c r="E1334" s="113">
        <f t="shared" si="50"/>
        <v>101525730</v>
      </c>
      <c r="F1334" s="113"/>
      <c r="G1334" s="113">
        <f t="shared" si="51"/>
        <v>2508630</v>
      </c>
      <c r="H1334" s="416"/>
    </row>
    <row r="1335" spans="1:8" s="2657" customFormat="1" ht="20.25" x14ac:dyDescent="0.3">
      <c r="A1335" s="2125">
        <v>43988</v>
      </c>
      <c r="B1335" s="2549"/>
      <c r="C1335" s="2549"/>
      <c r="D1335" s="2549"/>
      <c r="E1335" s="113">
        <f t="shared" si="50"/>
        <v>101525730</v>
      </c>
      <c r="F1335" s="113"/>
      <c r="G1335" s="113">
        <f t="shared" si="51"/>
        <v>2508630</v>
      </c>
      <c r="H1335" s="416">
        <f>+G1335-2940155</f>
        <v>-431525</v>
      </c>
    </row>
    <row r="1336" spans="1:8" s="2657" customFormat="1" ht="20.25" x14ac:dyDescent="0.3">
      <c r="A1336" s="2125">
        <v>43989</v>
      </c>
      <c r="B1336" s="2549"/>
      <c r="C1336" s="2549"/>
      <c r="D1336" s="2549">
        <v>165000</v>
      </c>
      <c r="E1336" s="113">
        <f t="shared" si="50"/>
        <v>101690730</v>
      </c>
      <c r="F1336" s="113"/>
      <c r="G1336" s="113">
        <f t="shared" si="51"/>
        <v>2673630</v>
      </c>
      <c r="H1336" s="416"/>
    </row>
    <row r="1337" spans="1:8" s="2657" customFormat="1" ht="20.25" x14ac:dyDescent="0.3">
      <c r="A1337" s="2125">
        <v>43990</v>
      </c>
      <c r="B1337" s="2549"/>
      <c r="C1337" s="2549"/>
      <c r="D1337" s="2549">
        <v>446000</v>
      </c>
      <c r="E1337" s="113">
        <f t="shared" si="50"/>
        <v>102136730</v>
      </c>
      <c r="F1337" s="113"/>
      <c r="G1337" s="113">
        <f t="shared" si="51"/>
        <v>3119630</v>
      </c>
      <c r="H1337" s="416"/>
    </row>
    <row r="1338" spans="1:8" s="2657" customFormat="1" ht="20.25" x14ac:dyDescent="0.3">
      <c r="A1338" s="2125">
        <v>43991</v>
      </c>
      <c r="B1338" s="2549"/>
      <c r="C1338" s="2549"/>
      <c r="D1338" s="2549"/>
      <c r="E1338" s="113">
        <f t="shared" si="50"/>
        <v>102136730</v>
      </c>
      <c r="F1338" s="113"/>
      <c r="G1338" s="113">
        <f t="shared" si="51"/>
        <v>3119630</v>
      </c>
      <c r="H1338" s="416"/>
    </row>
    <row r="1339" spans="1:8" s="2657" customFormat="1" ht="20.25" x14ac:dyDescent="0.3">
      <c r="A1339" s="2125">
        <v>43992</v>
      </c>
      <c r="B1339" s="2549"/>
      <c r="C1339" s="2549"/>
      <c r="D1339" s="2549"/>
      <c r="E1339" s="113">
        <f t="shared" si="50"/>
        <v>102136730</v>
      </c>
      <c r="F1339" s="113"/>
      <c r="G1339" s="113">
        <f t="shared" si="51"/>
        <v>3119630</v>
      </c>
      <c r="H1339" s="416"/>
    </row>
    <row r="1340" spans="1:8" s="2657" customFormat="1" ht="20.25" x14ac:dyDescent="0.3">
      <c r="A1340" s="2125">
        <v>43993</v>
      </c>
      <c r="B1340" s="2549"/>
      <c r="C1340" s="2549"/>
      <c r="D1340" s="2549">
        <v>41500</v>
      </c>
      <c r="E1340" s="113">
        <f t="shared" si="50"/>
        <v>102178230</v>
      </c>
      <c r="F1340" s="113"/>
      <c r="G1340" s="113">
        <f t="shared" si="51"/>
        <v>3161130</v>
      </c>
      <c r="H1340" s="416"/>
    </row>
    <row r="1341" spans="1:8" s="2657" customFormat="1" ht="20.25" x14ac:dyDescent="0.3">
      <c r="A1341" s="2125">
        <v>43994</v>
      </c>
      <c r="B1341" s="2549"/>
      <c r="C1341" s="2549"/>
      <c r="D1341" s="2549">
        <v>16500</v>
      </c>
      <c r="E1341" s="113">
        <f t="shared" si="50"/>
        <v>102194730</v>
      </c>
      <c r="F1341" s="113"/>
      <c r="G1341" s="113">
        <f t="shared" si="51"/>
        <v>3177630</v>
      </c>
      <c r="H1341" s="416"/>
    </row>
    <row r="1342" spans="1:8" s="2657" customFormat="1" ht="20.25" x14ac:dyDescent="0.3">
      <c r="A1342" s="2125">
        <v>43995</v>
      </c>
      <c r="B1342" s="2549"/>
      <c r="C1342" s="2549"/>
      <c r="D1342" s="2704">
        <v>235500</v>
      </c>
      <c r="E1342" s="113">
        <f t="shared" si="50"/>
        <v>102430230</v>
      </c>
      <c r="F1342" s="113"/>
      <c r="G1342" s="113">
        <f t="shared" si="51"/>
        <v>3413130</v>
      </c>
      <c r="H1342" s="416"/>
    </row>
    <row r="1343" spans="1:8" s="2657" customFormat="1" ht="20.25" x14ac:dyDescent="0.3">
      <c r="A1343" s="2125">
        <v>43996</v>
      </c>
      <c r="B1343" s="2549"/>
      <c r="C1343" s="2549"/>
      <c r="D1343" s="2704">
        <v>64000</v>
      </c>
      <c r="E1343" s="113">
        <f t="shared" si="50"/>
        <v>102494230</v>
      </c>
      <c r="F1343" s="113"/>
      <c r="G1343" s="113">
        <f t="shared" si="51"/>
        <v>3477130</v>
      </c>
      <c r="H1343" s="416"/>
    </row>
    <row r="1344" spans="1:8" s="2657" customFormat="1" ht="20.25" x14ac:dyDescent="0.3">
      <c r="A1344" s="2125">
        <v>43997</v>
      </c>
      <c r="B1344" s="2549"/>
      <c r="C1344" s="2549"/>
      <c r="D1344" s="2704">
        <v>20250</v>
      </c>
      <c r="E1344" s="113">
        <f t="shared" si="50"/>
        <v>102514480</v>
      </c>
      <c r="F1344" s="113"/>
      <c r="G1344" s="113">
        <f t="shared" si="51"/>
        <v>3497380</v>
      </c>
      <c r="H1344" s="416"/>
    </row>
    <row r="1345" spans="1:13" s="2657" customFormat="1" ht="20.25" x14ac:dyDescent="0.3">
      <c r="A1345" s="2125">
        <v>43998</v>
      </c>
      <c r="B1345" s="2549"/>
      <c r="C1345" s="2549"/>
      <c r="D1345" s="2704">
        <v>229500</v>
      </c>
      <c r="E1345" s="113">
        <f t="shared" si="50"/>
        <v>102743980</v>
      </c>
      <c r="F1345" s="113"/>
      <c r="G1345" s="113">
        <f t="shared" si="51"/>
        <v>3726880</v>
      </c>
      <c r="H1345" s="416"/>
    </row>
    <row r="1346" spans="1:13" s="2657" customFormat="1" ht="20.25" x14ac:dyDescent="0.3">
      <c r="A1346" s="2125">
        <v>43999</v>
      </c>
      <c r="B1346" s="2549"/>
      <c r="C1346" s="2549"/>
      <c r="D1346" s="2549"/>
      <c r="E1346" s="113">
        <f t="shared" si="50"/>
        <v>102743980</v>
      </c>
      <c r="F1346" s="113"/>
      <c r="G1346" s="113">
        <f t="shared" si="51"/>
        <v>3726880</v>
      </c>
      <c r="H1346" s="416"/>
      <c r="I1346" s="416"/>
    </row>
    <row r="1347" spans="1:13" s="2657" customFormat="1" ht="20.25" x14ac:dyDescent="0.3">
      <c r="A1347" s="2125">
        <v>44000</v>
      </c>
      <c r="B1347" s="2549"/>
      <c r="C1347" s="2549"/>
      <c r="D1347" s="2704">
        <v>175000</v>
      </c>
      <c r="E1347" s="113">
        <f t="shared" si="50"/>
        <v>102918980</v>
      </c>
      <c r="F1347" s="113"/>
      <c r="G1347" s="113">
        <f t="shared" si="51"/>
        <v>3901880</v>
      </c>
      <c r="H1347" s="416"/>
    </row>
    <row r="1348" spans="1:13" s="2657" customFormat="1" ht="20.25" x14ac:dyDescent="0.3">
      <c r="A1348" s="2125">
        <v>44001</v>
      </c>
      <c r="B1348" s="2549"/>
      <c r="C1348" s="2549"/>
      <c r="D1348" s="2704">
        <v>563000</v>
      </c>
      <c r="E1348" s="113">
        <f t="shared" si="50"/>
        <v>103481980</v>
      </c>
      <c r="F1348" s="113"/>
      <c r="G1348" s="113">
        <f t="shared" si="51"/>
        <v>4464880</v>
      </c>
      <c r="H1348" s="416"/>
    </row>
    <row r="1349" spans="1:13" s="2657" customFormat="1" ht="20.25" x14ac:dyDescent="0.3">
      <c r="A1349" s="2125">
        <v>44002</v>
      </c>
      <c r="B1349" s="2549"/>
      <c r="C1349" s="2549"/>
      <c r="D1349" s="2704">
        <v>214500</v>
      </c>
      <c r="E1349" s="113">
        <f t="shared" si="50"/>
        <v>103696480</v>
      </c>
      <c r="F1349" s="113">
        <v>3150712</v>
      </c>
      <c r="G1349" s="113">
        <f t="shared" si="51"/>
        <v>1528668</v>
      </c>
      <c r="H1349" s="281"/>
    </row>
    <row r="1350" spans="1:13" s="2657" customFormat="1" ht="20.25" x14ac:dyDescent="0.3">
      <c r="A1350" s="2125">
        <v>44003</v>
      </c>
      <c r="B1350" s="2549"/>
      <c r="C1350" s="2549"/>
      <c r="D1350" s="2704">
        <v>34500</v>
      </c>
      <c r="E1350" s="113">
        <f t="shared" si="50"/>
        <v>103730980</v>
      </c>
      <c r="F1350" s="113"/>
      <c r="G1350" s="113">
        <f t="shared" si="51"/>
        <v>1563168</v>
      </c>
      <c r="H1350" s="281"/>
    </row>
    <row r="1351" spans="1:13" s="2657" customFormat="1" ht="20.25" x14ac:dyDescent="0.3">
      <c r="A1351" s="2125">
        <v>44004</v>
      </c>
      <c r="B1351" s="2549"/>
      <c r="C1351" s="2549"/>
      <c r="D1351" s="2704">
        <v>37750</v>
      </c>
      <c r="E1351" s="113">
        <f t="shared" si="50"/>
        <v>103768730</v>
      </c>
      <c r="F1351" s="113"/>
      <c r="G1351" s="113">
        <f t="shared" si="51"/>
        <v>1600918</v>
      </c>
      <c r="H1351" s="416"/>
    </row>
    <row r="1352" spans="1:13" s="2657" customFormat="1" ht="20.25" x14ac:dyDescent="0.3">
      <c r="A1352" s="2125">
        <v>44005</v>
      </c>
      <c r="B1352" s="2549"/>
      <c r="C1352" s="2549"/>
      <c r="D1352" s="2549">
        <v>124500</v>
      </c>
      <c r="E1352" s="113">
        <f t="shared" si="50"/>
        <v>103893230</v>
      </c>
      <c r="F1352" s="113"/>
      <c r="G1352" s="113">
        <f t="shared" si="51"/>
        <v>1725418</v>
      </c>
      <c r="H1352" s="416"/>
    </row>
    <row r="1353" spans="1:13" s="2657" customFormat="1" ht="20.25" x14ac:dyDescent="0.3">
      <c r="A1353" s="2125">
        <v>44006</v>
      </c>
      <c r="B1353" s="2549"/>
      <c r="C1353" s="2549"/>
      <c r="D1353" s="2549">
        <v>70700</v>
      </c>
      <c r="E1353" s="113">
        <f t="shared" si="50"/>
        <v>103963930</v>
      </c>
      <c r="F1353" s="113"/>
      <c r="G1353" s="113">
        <f t="shared" si="51"/>
        <v>1796118</v>
      </c>
      <c r="H1353" s="416"/>
    </row>
    <row r="1354" spans="1:13" s="2657" customFormat="1" ht="20.25" x14ac:dyDescent="0.3">
      <c r="A1354" s="2125">
        <v>44007</v>
      </c>
      <c r="B1354" s="2549"/>
      <c r="C1354" s="2549"/>
      <c r="D1354" s="2549">
        <v>5000</v>
      </c>
      <c r="E1354" s="113">
        <f t="shared" si="50"/>
        <v>103968930</v>
      </c>
      <c r="F1354" s="113"/>
      <c r="G1354" s="113">
        <f t="shared" si="51"/>
        <v>1801118</v>
      </c>
      <c r="H1354" s="416"/>
      <c r="K1354" s="416"/>
      <c r="M1354" s="416"/>
    </row>
    <row r="1355" spans="1:13" s="2657" customFormat="1" ht="20.25" x14ac:dyDescent="0.3">
      <c r="A1355" s="2125">
        <v>44008</v>
      </c>
      <c r="B1355" s="2549"/>
      <c r="C1355" s="2549"/>
      <c r="D1355" s="2549">
        <v>23064</v>
      </c>
      <c r="E1355" s="113">
        <f t="shared" si="50"/>
        <v>103991994</v>
      </c>
      <c r="F1355" s="113">
        <v>1163581</v>
      </c>
      <c r="G1355" s="113">
        <f t="shared" si="51"/>
        <v>660601</v>
      </c>
      <c r="H1355" s="416"/>
      <c r="K1355" s="416"/>
    </row>
    <row r="1356" spans="1:13" s="2657" customFormat="1" ht="20.25" x14ac:dyDescent="0.3">
      <c r="A1356" s="2125">
        <v>44009</v>
      </c>
      <c r="B1356" s="2549"/>
      <c r="C1356" s="2549"/>
      <c r="D1356" s="2549"/>
      <c r="E1356" s="113">
        <f t="shared" si="50"/>
        <v>103991994</v>
      </c>
      <c r="F1356" s="113"/>
      <c r="G1356" s="113">
        <f t="shared" si="51"/>
        <v>660601</v>
      </c>
      <c r="H1356" s="416"/>
    </row>
    <row r="1357" spans="1:13" s="2657" customFormat="1" ht="20.25" x14ac:dyDescent="0.3">
      <c r="A1357" s="2125">
        <v>44010</v>
      </c>
      <c r="B1357" s="2549"/>
      <c r="C1357" s="2549"/>
      <c r="D1357" s="2549">
        <v>451275</v>
      </c>
      <c r="E1357" s="113">
        <f t="shared" si="50"/>
        <v>104443269</v>
      </c>
      <c r="F1357" s="113"/>
      <c r="G1357" s="113">
        <f t="shared" si="51"/>
        <v>1111876</v>
      </c>
      <c r="H1357" s="416"/>
    </row>
    <row r="1358" spans="1:13" s="2657" customFormat="1" ht="20.25" x14ac:dyDescent="0.3">
      <c r="A1358" s="2125">
        <v>44011</v>
      </c>
      <c r="B1358" s="2549"/>
      <c r="C1358" s="2549"/>
      <c r="D1358" s="2549"/>
      <c r="E1358" s="113">
        <f t="shared" si="50"/>
        <v>104443269</v>
      </c>
      <c r="F1358" s="113"/>
      <c r="G1358" s="113">
        <f t="shared" si="51"/>
        <v>1111876</v>
      </c>
      <c r="H1358" s="416"/>
    </row>
    <row r="1359" spans="1:13" s="2657" customFormat="1" ht="20.25" x14ac:dyDescent="0.3">
      <c r="A1359" s="2125">
        <v>44012</v>
      </c>
      <c r="B1359" s="2549"/>
      <c r="C1359" s="2549"/>
      <c r="D1359" s="2549">
        <v>91500</v>
      </c>
      <c r="E1359" s="113">
        <f t="shared" si="50"/>
        <v>104534769</v>
      </c>
      <c r="F1359" s="113"/>
      <c r="G1359" s="113">
        <f t="shared" si="51"/>
        <v>1203376</v>
      </c>
      <c r="H1359" s="416"/>
    </row>
    <row r="1360" spans="1:13" s="2657" customFormat="1" ht="20.25" x14ac:dyDescent="0.3">
      <c r="A1360" s="2166"/>
      <c r="B1360" s="2592"/>
      <c r="C1360" s="2592"/>
      <c r="D1360" s="2592"/>
      <c r="E1360" s="113">
        <f t="shared" si="50"/>
        <v>104534769</v>
      </c>
      <c r="F1360" s="2168"/>
      <c r="G1360" s="113">
        <f t="shared" si="51"/>
        <v>1203376</v>
      </c>
      <c r="H1360" s="416"/>
    </row>
    <row r="1361" spans="1:8" s="2657" customFormat="1" ht="20.25" x14ac:dyDescent="0.3">
      <c r="A1361" s="2125">
        <v>44013</v>
      </c>
      <c r="B1361" s="2549"/>
      <c r="C1361" s="2549"/>
      <c r="D1361" s="2549">
        <v>286500</v>
      </c>
      <c r="E1361" s="113">
        <f t="shared" si="50"/>
        <v>104821269</v>
      </c>
      <c r="F1361" s="113"/>
      <c r="G1361" s="113">
        <f t="shared" si="51"/>
        <v>1489876</v>
      </c>
      <c r="H1361" s="416"/>
    </row>
    <row r="1362" spans="1:8" s="2657" customFormat="1" ht="20.25" x14ac:dyDescent="0.3">
      <c r="A1362" s="2125">
        <v>44014</v>
      </c>
      <c r="B1362" s="2549"/>
      <c r="C1362" s="2549"/>
      <c r="D1362" s="2549">
        <v>143000</v>
      </c>
      <c r="E1362" s="113">
        <f t="shared" si="50"/>
        <v>104964269</v>
      </c>
      <c r="F1362" s="113"/>
      <c r="G1362" s="113">
        <f t="shared" si="51"/>
        <v>1632876</v>
      </c>
      <c r="H1362" s="416"/>
    </row>
    <row r="1363" spans="1:8" s="2657" customFormat="1" ht="20.25" x14ac:dyDescent="0.3">
      <c r="A1363" s="2125">
        <v>44015</v>
      </c>
      <c r="B1363" s="2549"/>
      <c r="C1363" s="2549"/>
      <c r="D1363" s="2549">
        <v>46000</v>
      </c>
      <c r="E1363" s="113">
        <f t="shared" si="50"/>
        <v>105010269</v>
      </c>
      <c r="F1363" s="113"/>
      <c r="G1363" s="113">
        <f t="shared" si="51"/>
        <v>1678876</v>
      </c>
      <c r="H1363" s="416"/>
    </row>
    <row r="1364" spans="1:8" s="2657" customFormat="1" ht="20.25" x14ac:dyDescent="0.3">
      <c r="A1364" s="2125">
        <v>44016</v>
      </c>
      <c r="B1364" s="2549"/>
      <c r="C1364" s="2549"/>
      <c r="D1364" s="2549">
        <v>10000</v>
      </c>
      <c r="E1364" s="113">
        <f t="shared" si="50"/>
        <v>105020269</v>
      </c>
      <c r="F1364" s="113">
        <v>709746</v>
      </c>
      <c r="G1364" s="113">
        <f t="shared" si="51"/>
        <v>979130</v>
      </c>
      <c r="H1364" s="416"/>
    </row>
    <row r="1365" spans="1:8" s="2657" customFormat="1" ht="20.25" x14ac:dyDescent="0.3">
      <c r="A1365" s="2125">
        <v>44017</v>
      </c>
      <c r="B1365" s="2549"/>
      <c r="C1365" s="2549"/>
      <c r="D1365" s="2549">
        <v>86250</v>
      </c>
      <c r="E1365" s="113">
        <f t="shared" si="50"/>
        <v>105106519</v>
      </c>
      <c r="F1365" s="113"/>
      <c r="G1365" s="113">
        <f t="shared" si="51"/>
        <v>1065380</v>
      </c>
      <c r="H1365" s="416"/>
    </row>
    <row r="1366" spans="1:8" s="2657" customFormat="1" ht="20.25" x14ac:dyDescent="0.3">
      <c r="A1366" s="2125">
        <v>44018</v>
      </c>
      <c r="B1366" s="2549"/>
      <c r="C1366" s="2549"/>
      <c r="D1366" s="2549">
        <v>38750</v>
      </c>
      <c r="E1366" s="113">
        <f t="shared" si="50"/>
        <v>105145269</v>
      </c>
      <c r="F1366" s="113"/>
      <c r="G1366" s="113">
        <f t="shared" si="51"/>
        <v>1104130</v>
      </c>
      <c r="H1366" s="416"/>
    </row>
    <row r="1367" spans="1:8" s="2657" customFormat="1" ht="20.25" x14ac:dyDescent="0.3">
      <c r="A1367" s="2125">
        <v>44019</v>
      </c>
      <c r="B1367" s="2549"/>
      <c r="C1367" s="2549"/>
      <c r="D1367" s="2549">
        <v>313000</v>
      </c>
      <c r="E1367" s="113">
        <f t="shared" si="50"/>
        <v>105458269</v>
      </c>
      <c r="F1367" s="113"/>
      <c r="G1367" s="113">
        <f t="shared" si="51"/>
        <v>1417130</v>
      </c>
      <c r="H1367" s="416"/>
    </row>
    <row r="1368" spans="1:8" s="2657" customFormat="1" ht="20.25" x14ac:dyDescent="0.3">
      <c r="A1368" s="2125">
        <v>44020</v>
      </c>
      <c r="B1368" s="2549"/>
      <c r="C1368" s="2549"/>
      <c r="D1368" s="2549">
        <v>193250</v>
      </c>
      <c r="E1368" s="113">
        <f t="shared" si="50"/>
        <v>105651519</v>
      </c>
      <c r="F1368" s="113"/>
      <c r="G1368" s="113">
        <f t="shared" si="51"/>
        <v>1610380</v>
      </c>
      <c r="H1368" s="416"/>
    </row>
    <row r="1369" spans="1:8" s="2657" customFormat="1" ht="20.25" x14ac:dyDescent="0.3">
      <c r="A1369" s="2125">
        <v>44021</v>
      </c>
      <c r="B1369" s="2549"/>
      <c r="C1369" s="2549"/>
      <c r="D1369" s="2549">
        <v>11000</v>
      </c>
      <c r="E1369" s="113">
        <f t="shared" si="50"/>
        <v>105662519</v>
      </c>
      <c r="F1369" s="113"/>
      <c r="G1369" s="113">
        <f t="shared" si="51"/>
        <v>1621380</v>
      </c>
      <c r="H1369" s="416"/>
    </row>
    <row r="1370" spans="1:8" s="2657" customFormat="1" ht="20.25" x14ac:dyDescent="0.3">
      <c r="A1370" s="2125">
        <v>44022</v>
      </c>
      <c r="B1370" s="2549"/>
      <c r="C1370" s="2549"/>
      <c r="D1370" s="2549">
        <v>7000</v>
      </c>
      <c r="E1370" s="113">
        <f t="shared" si="50"/>
        <v>105669519</v>
      </c>
      <c r="F1370" s="113"/>
      <c r="G1370" s="113">
        <f t="shared" si="51"/>
        <v>1628380</v>
      </c>
      <c r="H1370" s="416"/>
    </row>
    <row r="1371" spans="1:8" s="2657" customFormat="1" ht="20.25" x14ac:dyDescent="0.3">
      <c r="A1371" s="2125">
        <v>44023</v>
      </c>
      <c r="B1371" s="2549"/>
      <c r="C1371" s="2549"/>
      <c r="D1371" s="2549"/>
      <c r="E1371" s="113">
        <f t="shared" si="50"/>
        <v>105669519</v>
      </c>
      <c r="F1371" s="113"/>
      <c r="G1371" s="113">
        <f t="shared" si="51"/>
        <v>1628380</v>
      </c>
      <c r="H1371" s="416"/>
    </row>
    <row r="1372" spans="1:8" s="2657" customFormat="1" ht="20.25" x14ac:dyDescent="0.3">
      <c r="A1372" s="2125">
        <v>44024</v>
      </c>
      <c r="B1372" s="2549"/>
      <c r="C1372" s="2549"/>
      <c r="D1372" s="2549"/>
      <c r="E1372" s="113">
        <f t="shared" si="50"/>
        <v>105669519</v>
      </c>
      <c r="F1372" s="113"/>
      <c r="G1372" s="113">
        <f t="shared" si="51"/>
        <v>1628380</v>
      </c>
      <c r="H1372" s="416"/>
    </row>
    <row r="1373" spans="1:8" s="2657" customFormat="1" ht="20.25" x14ac:dyDescent="0.3">
      <c r="A1373" s="2125">
        <v>44025</v>
      </c>
      <c r="B1373" s="2549"/>
      <c r="C1373" s="2549"/>
      <c r="D1373" s="2549">
        <v>60000</v>
      </c>
      <c r="E1373" s="113">
        <f t="shared" si="50"/>
        <v>105729519</v>
      </c>
      <c r="F1373" s="113"/>
      <c r="G1373" s="113">
        <f t="shared" si="51"/>
        <v>1688380</v>
      </c>
      <c r="H1373" s="416"/>
    </row>
    <row r="1374" spans="1:8" s="2657" customFormat="1" ht="20.25" x14ac:dyDescent="0.3">
      <c r="A1374" s="2125">
        <v>44026</v>
      </c>
      <c r="B1374" s="2549"/>
      <c r="C1374" s="2549"/>
      <c r="D1374" s="2549">
        <v>45250</v>
      </c>
      <c r="E1374" s="113">
        <f t="shared" si="50"/>
        <v>105774769</v>
      </c>
      <c r="F1374" s="113"/>
      <c r="G1374" s="113">
        <f t="shared" si="51"/>
        <v>1733630</v>
      </c>
      <c r="H1374" s="416"/>
    </row>
    <row r="1375" spans="1:8" s="2657" customFormat="1" ht="20.25" x14ac:dyDescent="0.3">
      <c r="A1375" s="2125">
        <v>44027</v>
      </c>
      <c r="B1375" s="2549"/>
      <c r="C1375" s="2549"/>
      <c r="D1375" s="2549">
        <v>194500</v>
      </c>
      <c r="E1375" s="113">
        <f t="shared" si="50"/>
        <v>105969269</v>
      </c>
      <c r="F1375" s="113"/>
      <c r="G1375" s="113">
        <f t="shared" si="51"/>
        <v>1928130</v>
      </c>
      <c r="H1375" s="2707">
        <f>+G1375-1604651</f>
        <v>323479</v>
      </c>
    </row>
    <row r="1376" spans="1:8" s="2657" customFormat="1" ht="20.25" x14ac:dyDescent="0.3">
      <c r="A1376" s="2125">
        <v>44028</v>
      </c>
      <c r="B1376" s="2549"/>
      <c r="C1376" s="2549"/>
      <c r="D1376" s="2549">
        <v>520000</v>
      </c>
      <c r="E1376" s="113">
        <f t="shared" si="50"/>
        <v>106489269</v>
      </c>
      <c r="F1376" s="113"/>
      <c r="G1376" s="113">
        <f t="shared" si="51"/>
        <v>2448130</v>
      </c>
      <c r="H1376" s="416"/>
    </row>
    <row r="1377" spans="1:8" s="2657" customFormat="1" ht="20.25" x14ac:dyDescent="0.3">
      <c r="A1377" s="2125">
        <v>44029</v>
      </c>
      <c r="B1377" s="2549"/>
      <c r="C1377" s="2549"/>
      <c r="D1377" s="2549">
        <v>659000</v>
      </c>
      <c r="E1377" s="113">
        <f t="shared" si="50"/>
        <v>107148269</v>
      </c>
      <c r="F1377" s="113"/>
      <c r="G1377" s="113">
        <f t="shared" si="51"/>
        <v>3107130</v>
      </c>
      <c r="H1377" s="416"/>
    </row>
    <row r="1378" spans="1:8" s="2657" customFormat="1" ht="20.25" x14ac:dyDescent="0.3">
      <c r="A1378" s="2125">
        <v>44030</v>
      </c>
      <c r="B1378" s="2549"/>
      <c r="C1378" s="2549"/>
      <c r="D1378" s="2549">
        <v>263750</v>
      </c>
      <c r="E1378" s="113">
        <f t="shared" si="50"/>
        <v>107412019</v>
      </c>
      <c r="F1378" s="113"/>
      <c r="G1378" s="113">
        <f t="shared" si="51"/>
        <v>3370880</v>
      </c>
      <c r="H1378" s="416"/>
    </row>
    <row r="1379" spans="1:8" s="2657" customFormat="1" ht="20.25" x14ac:dyDescent="0.3">
      <c r="A1379" s="2125">
        <v>44031</v>
      </c>
      <c r="B1379" s="2549"/>
      <c r="C1379" s="2549"/>
      <c r="D1379" s="2549">
        <v>50875</v>
      </c>
      <c r="E1379" s="113">
        <f t="shared" si="50"/>
        <v>107462894</v>
      </c>
      <c r="F1379" s="113"/>
      <c r="G1379" s="113">
        <f t="shared" si="51"/>
        <v>3421755</v>
      </c>
      <c r="H1379" s="416"/>
    </row>
    <row r="1380" spans="1:8" s="2657" customFormat="1" ht="20.25" x14ac:dyDescent="0.3">
      <c r="A1380" s="2125">
        <v>44032</v>
      </c>
      <c r="B1380" s="2549"/>
      <c r="C1380" s="2549"/>
      <c r="D1380" s="2549"/>
      <c r="E1380" s="113">
        <f t="shared" si="50"/>
        <v>107462894</v>
      </c>
      <c r="F1380" s="113">
        <f>589637+765258</f>
        <v>1354895</v>
      </c>
      <c r="G1380" s="113">
        <f t="shared" si="51"/>
        <v>2066860</v>
      </c>
      <c r="H1380" s="416"/>
    </row>
    <row r="1381" spans="1:8" s="2657" customFormat="1" ht="20.25" x14ac:dyDescent="0.3">
      <c r="A1381" s="2125">
        <v>44033</v>
      </c>
      <c r="B1381" s="2549"/>
      <c r="C1381" s="2549"/>
      <c r="D1381" s="2549">
        <v>32000</v>
      </c>
      <c r="E1381" s="113">
        <f t="shared" si="50"/>
        <v>107494894</v>
      </c>
      <c r="F1381" s="113"/>
      <c r="G1381" s="113">
        <f t="shared" si="51"/>
        <v>2098860</v>
      </c>
      <c r="H1381" s="416"/>
    </row>
    <row r="1382" spans="1:8" s="2657" customFormat="1" ht="20.25" x14ac:dyDescent="0.3">
      <c r="A1382" s="2125">
        <v>44034</v>
      </c>
      <c r="B1382" s="2549"/>
      <c r="C1382" s="2549"/>
      <c r="D1382" s="2549">
        <v>171050</v>
      </c>
      <c r="E1382" s="113">
        <f t="shared" si="50"/>
        <v>107665944</v>
      </c>
      <c r="F1382" s="113"/>
      <c r="G1382" s="113">
        <f t="shared" si="51"/>
        <v>2269910</v>
      </c>
      <c r="H1382" s="416"/>
    </row>
    <row r="1383" spans="1:8" s="2657" customFormat="1" ht="20.25" x14ac:dyDescent="0.3">
      <c r="A1383" s="2125">
        <v>44035</v>
      </c>
      <c r="B1383" s="2549"/>
      <c r="C1383" s="2549"/>
      <c r="D1383" s="2549">
        <v>10200</v>
      </c>
      <c r="E1383" s="113">
        <f t="shared" si="50"/>
        <v>107676144</v>
      </c>
      <c r="F1383" s="113"/>
      <c r="G1383" s="113">
        <f t="shared" si="51"/>
        <v>2280110</v>
      </c>
      <c r="H1383" s="416"/>
    </row>
    <row r="1384" spans="1:8" s="2657" customFormat="1" ht="20.25" x14ac:dyDescent="0.3">
      <c r="A1384" s="2125">
        <v>44036</v>
      </c>
      <c r="B1384" s="2549"/>
      <c r="C1384" s="2549"/>
      <c r="D1384" s="2549"/>
      <c r="E1384" s="113">
        <f t="shared" si="50"/>
        <v>107676144</v>
      </c>
      <c r="F1384" s="113"/>
      <c r="G1384" s="113">
        <f t="shared" si="51"/>
        <v>2280110</v>
      </c>
      <c r="H1384" s="416"/>
    </row>
    <row r="1385" spans="1:8" s="2657" customFormat="1" ht="20.25" x14ac:dyDescent="0.3">
      <c r="A1385" s="2125">
        <v>44037</v>
      </c>
      <c r="B1385" s="2549"/>
      <c r="C1385" s="2549"/>
      <c r="D1385" s="2549"/>
      <c r="E1385" s="113">
        <f t="shared" ref="E1385:E1448" si="52">+E1384+D1385</f>
        <v>107676144</v>
      </c>
      <c r="F1385" s="113"/>
      <c r="G1385" s="113">
        <f t="shared" ref="G1385:G1448" si="53">+G1384+D1385-F1385</f>
        <v>2280110</v>
      </c>
      <c r="H1385" s="416"/>
    </row>
    <row r="1386" spans="1:8" s="2657" customFormat="1" ht="20.25" x14ac:dyDescent="0.3">
      <c r="A1386" s="2125">
        <v>44038</v>
      </c>
      <c r="B1386" s="2549"/>
      <c r="C1386" s="2549"/>
      <c r="D1386" s="2549"/>
      <c r="E1386" s="113">
        <f t="shared" si="52"/>
        <v>107676144</v>
      </c>
      <c r="F1386" s="113"/>
      <c r="G1386" s="113">
        <f t="shared" si="53"/>
        <v>2280110</v>
      </c>
      <c r="H1386" s="416"/>
    </row>
    <row r="1387" spans="1:8" s="2657" customFormat="1" ht="20.25" x14ac:dyDescent="0.3">
      <c r="A1387" s="2125">
        <v>44039</v>
      </c>
      <c r="B1387" s="2549"/>
      <c r="C1387" s="2549"/>
      <c r="D1387" s="2549">
        <v>37600</v>
      </c>
      <c r="E1387" s="113">
        <f t="shared" si="52"/>
        <v>107713744</v>
      </c>
      <c r="F1387" s="113"/>
      <c r="G1387" s="113">
        <f t="shared" si="53"/>
        <v>2317710</v>
      </c>
      <c r="H1387" s="416"/>
    </row>
    <row r="1388" spans="1:8" s="2657" customFormat="1" ht="20.25" x14ac:dyDescent="0.3">
      <c r="A1388" s="2125">
        <v>44040</v>
      </c>
      <c r="B1388" s="2549"/>
      <c r="C1388" s="2549"/>
      <c r="D1388" s="2549">
        <v>236900</v>
      </c>
      <c r="E1388" s="113">
        <f t="shared" si="52"/>
        <v>107950644</v>
      </c>
      <c r="F1388" s="113"/>
      <c r="G1388" s="113">
        <f t="shared" si="53"/>
        <v>2554610</v>
      </c>
      <c r="H1388" s="416"/>
    </row>
    <row r="1389" spans="1:8" s="2657" customFormat="1" ht="20.25" x14ac:dyDescent="0.3">
      <c r="A1389" s="2125">
        <v>44041</v>
      </c>
      <c r="B1389" s="2549"/>
      <c r="C1389" s="2549"/>
      <c r="D1389" s="2549">
        <v>127000</v>
      </c>
      <c r="E1389" s="113">
        <f t="shared" si="52"/>
        <v>108077644</v>
      </c>
      <c r="F1389" s="113"/>
      <c r="G1389" s="113">
        <f t="shared" si="53"/>
        <v>2681610</v>
      </c>
      <c r="H1389" s="416"/>
    </row>
    <row r="1390" spans="1:8" s="2657" customFormat="1" ht="20.25" x14ac:dyDescent="0.3">
      <c r="A1390" s="2125">
        <v>44042</v>
      </c>
      <c r="B1390" s="2549"/>
      <c r="C1390" s="2549"/>
      <c r="D1390" s="2549">
        <v>26000</v>
      </c>
      <c r="E1390" s="113">
        <f t="shared" si="52"/>
        <v>108103644</v>
      </c>
      <c r="F1390" s="113">
        <v>1786973</v>
      </c>
      <c r="G1390" s="113">
        <f t="shared" si="53"/>
        <v>920637</v>
      </c>
      <c r="H1390" s="416"/>
    </row>
    <row r="1391" spans="1:8" s="2657" customFormat="1" ht="20.25" x14ac:dyDescent="0.3">
      <c r="A1391" s="2125">
        <v>44043</v>
      </c>
      <c r="B1391" s="2549"/>
      <c r="C1391" s="2549"/>
      <c r="D1391" s="2549"/>
      <c r="E1391" s="113">
        <f t="shared" si="52"/>
        <v>108103644</v>
      </c>
      <c r="F1391" s="113">
        <v>212489</v>
      </c>
      <c r="G1391" s="113">
        <f t="shared" si="53"/>
        <v>708148</v>
      </c>
      <c r="H1391" s="416"/>
    </row>
    <row r="1392" spans="1:8" s="2657" customFormat="1" ht="20.25" x14ac:dyDescent="0.3">
      <c r="A1392" s="2166"/>
      <c r="B1392" s="2592"/>
      <c r="C1392" s="2592"/>
      <c r="D1392" s="2592"/>
      <c r="E1392" s="2168">
        <f t="shared" si="52"/>
        <v>108103644</v>
      </c>
      <c r="F1392" s="2168"/>
      <c r="G1392" s="2168">
        <f t="shared" si="53"/>
        <v>708148</v>
      </c>
      <c r="H1392" s="416"/>
    </row>
    <row r="1393" spans="1:9" s="2657" customFormat="1" ht="20.25" x14ac:dyDescent="0.3">
      <c r="A1393" s="2125">
        <v>44044</v>
      </c>
      <c r="B1393" s="2549"/>
      <c r="C1393" s="2549"/>
      <c r="D1393" s="2549">
        <v>100000</v>
      </c>
      <c r="E1393" s="113">
        <f t="shared" si="52"/>
        <v>108203644</v>
      </c>
      <c r="F1393" s="113"/>
      <c r="G1393" s="113">
        <f t="shared" si="53"/>
        <v>808148</v>
      </c>
      <c r="H1393" s="416"/>
    </row>
    <row r="1394" spans="1:9" s="2657" customFormat="1" ht="20.25" x14ac:dyDescent="0.3">
      <c r="A1394" s="2125">
        <v>44045</v>
      </c>
      <c r="B1394" s="2549"/>
      <c r="C1394" s="2549"/>
      <c r="D1394" s="2549"/>
      <c r="E1394" s="113">
        <f t="shared" si="52"/>
        <v>108203644</v>
      </c>
      <c r="F1394" s="113"/>
      <c r="G1394" s="113">
        <f t="shared" si="53"/>
        <v>808148</v>
      </c>
      <c r="H1394" s="416"/>
    </row>
    <row r="1395" spans="1:9" s="2657" customFormat="1" ht="20.25" x14ac:dyDescent="0.3">
      <c r="A1395" s="2125">
        <v>44046</v>
      </c>
      <c r="B1395" s="2549"/>
      <c r="C1395" s="2549"/>
      <c r="D1395" s="2549"/>
      <c r="E1395" s="113">
        <f t="shared" si="52"/>
        <v>108203644</v>
      </c>
      <c r="F1395" s="113"/>
      <c r="G1395" s="113">
        <f t="shared" si="53"/>
        <v>808148</v>
      </c>
      <c r="H1395" s="416"/>
    </row>
    <row r="1396" spans="1:9" s="2657" customFormat="1" ht="20.25" x14ac:dyDescent="0.3">
      <c r="A1396" s="2125">
        <v>44047</v>
      </c>
      <c r="B1396" s="2549"/>
      <c r="C1396" s="2549"/>
      <c r="D1396" s="2549">
        <v>128000</v>
      </c>
      <c r="E1396" s="113">
        <f t="shared" si="52"/>
        <v>108331644</v>
      </c>
      <c r="F1396" s="113"/>
      <c r="G1396" s="113">
        <f t="shared" si="53"/>
        <v>936148</v>
      </c>
      <c r="H1396" s="416"/>
    </row>
    <row r="1397" spans="1:9" s="2657" customFormat="1" ht="20.25" x14ac:dyDescent="0.3">
      <c r="A1397" s="2125">
        <v>44048</v>
      </c>
      <c r="B1397" s="2549"/>
      <c r="C1397" s="2549"/>
      <c r="D1397" s="2549">
        <v>5000</v>
      </c>
      <c r="E1397" s="113">
        <f t="shared" si="52"/>
        <v>108336644</v>
      </c>
      <c r="F1397" s="113"/>
      <c r="G1397" s="113">
        <f t="shared" si="53"/>
        <v>941148</v>
      </c>
      <c r="H1397" s="416"/>
    </row>
    <row r="1398" spans="1:9" s="2657" customFormat="1" ht="20.25" x14ac:dyDescent="0.3">
      <c r="A1398" s="2125">
        <v>44049</v>
      </c>
      <c r="B1398" s="2549"/>
      <c r="C1398" s="2549"/>
      <c r="D1398" s="2549">
        <v>580000</v>
      </c>
      <c r="E1398" s="113">
        <f t="shared" si="52"/>
        <v>108916644</v>
      </c>
      <c r="F1398" s="113"/>
      <c r="G1398" s="113">
        <f t="shared" si="53"/>
        <v>1521148</v>
      </c>
      <c r="H1398" s="416"/>
    </row>
    <row r="1399" spans="1:9" s="2657" customFormat="1" ht="20.25" x14ac:dyDescent="0.3">
      <c r="A1399" s="2125">
        <v>44050</v>
      </c>
      <c r="B1399" s="2549"/>
      <c r="C1399" s="2549"/>
      <c r="D1399" s="2549"/>
      <c r="E1399" s="113">
        <f t="shared" si="52"/>
        <v>108916644</v>
      </c>
      <c r="F1399" s="113">
        <v>525617</v>
      </c>
      <c r="G1399" s="113">
        <f t="shared" si="53"/>
        <v>995531</v>
      </c>
      <c r="H1399" s="416"/>
    </row>
    <row r="1400" spans="1:9" s="2657" customFormat="1" ht="20.25" x14ac:dyDescent="0.3">
      <c r="A1400" s="2125">
        <v>44051</v>
      </c>
      <c r="B1400" s="2549"/>
      <c r="C1400" s="2549"/>
      <c r="D1400" s="2549"/>
      <c r="E1400" s="113">
        <f t="shared" si="52"/>
        <v>108916644</v>
      </c>
      <c r="F1400" s="113"/>
      <c r="G1400" s="113">
        <f t="shared" si="53"/>
        <v>995531</v>
      </c>
      <c r="H1400" s="416"/>
    </row>
    <row r="1401" spans="1:9" s="2657" customFormat="1" ht="20.25" x14ac:dyDescent="0.3">
      <c r="A1401" s="2125">
        <v>44052</v>
      </c>
      <c r="B1401" s="2549"/>
      <c r="C1401" s="2549"/>
      <c r="D1401" s="2549">
        <v>10000</v>
      </c>
      <c r="E1401" s="113">
        <f t="shared" si="52"/>
        <v>108926644</v>
      </c>
      <c r="F1401" s="113"/>
      <c r="G1401" s="113">
        <f t="shared" si="53"/>
        <v>1005531</v>
      </c>
      <c r="H1401" s="416"/>
    </row>
    <row r="1402" spans="1:9" s="2657" customFormat="1" ht="20.25" x14ac:dyDescent="0.3">
      <c r="A1402" s="2125">
        <v>44053</v>
      </c>
      <c r="B1402" s="2549"/>
      <c r="C1402" s="2549"/>
      <c r="D1402" s="2549">
        <v>25000</v>
      </c>
      <c r="E1402" s="113">
        <f t="shared" si="52"/>
        <v>108951644</v>
      </c>
      <c r="F1402" s="113"/>
      <c r="G1402" s="113">
        <f t="shared" si="53"/>
        <v>1030531</v>
      </c>
      <c r="H1402" s="416"/>
    </row>
    <row r="1403" spans="1:9" s="2657" customFormat="1" ht="20.25" x14ac:dyDescent="0.3">
      <c r="A1403" s="2125">
        <v>44054</v>
      </c>
      <c r="B1403" s="2549"/>
      <c r="C1403" s="2549"/>
      <c r="D1403" s="2549">
        <v>10000</v>
      </c>
      <c r="E1403" s="113">
        <f t="shared" si="52"/>
        <v>108961644</v>
      </c>
      <c r="F1403" s="113"/>
      <c r="G1403" s="113">
        <f t="shared" si="53"/>
        <v>1040531</v>
      </c>
      <c r="H1403" s="416"/>
    </row>
    <row r="1404" spans="1:9" s="2657" customFormat="1" ht="20.25" x14ac:dyDescent="0.3">
      <c r="A1404" s="2125">
        <v>44055</v>
      </c>
      <c r="B1404" s="2549"/>
      <c r="C1404" s="2549"/>
      <c r="D1404" s="2549">
        <v>20500</v>
      </c>
      <c r="E1404" s="113">
        <f t="shared" si="52"/>
        <v>108982144</v>
      </c>
      <c r="F1404" s="113"/>
      <c r="G1404" s="113">
        <f t="shared" si="53"/>
        <v>1061031</v>
      </c>
      <c r="H1404" s="416"/>
    </row>
    <row r="1405" spans="1:9" s="2657" customFormat="1" ht="20.25" x14ac:dyDescent="0.3">
      <c r="A1405" s="2125">
        <v>44056</v>
      </c>
      <c r="B1405" s="2549"/>
      <c r="C1405" s="2549"/>
      <c r="D1405" s="2549">
        <v>61000</v>
      </c>
      <c r="E1405" s="113">
        <f t="shared" si="52"/>
        <v>109043144</v>
      </c>
      <c r="F1405" s="113"/>
      <c r="G1405" s="113">
        <f t="shared" si="53"/>
        <v>1122031</v>
      </c>
      <c r="H1405" s="416"/>
    </row>
    <row r="1406" spans="1:9" s="2657" customFormat="1" ht="20.25" x14ac:dyDescent="0.3">
      <c r="A1406" s="2125">
        <v>44057</v>
      </c>
      <c r="B1406" s="2549"/>
      <c r="C1406" s="2549"/>
      <c r="D1406" s="2549">
        <v>491600</v>
      </c>
      <c r="E1406" s="113">
        <f t="shared" si="52"/>
        <v>109534744</v>
      </c>
      <c r="F1406" s="113"/>
      <c r="G1406" s="113">
        <f t="shared" si="53"/>
        <v>1613631</v>
      </c>
      <c r="H1406" s="416">
        <f>+G1406-1579656</f>
        <v>33975</v>
      </c>
      <c r="I1406" s="2657">
        <v>-34500</v>
      </c>
    </row>
    <row r="1407" spans="1:9" s="2657" customFormat="1" ht="20.25" x14ac:dyDescent="0.3">
      <c r="A1407" s="2125">
        <v>44058</v>
      </c>
      <c r="B1407" s="2549"/>
      <c r="C1407" s="2549"/>
      <c r="D1407" s="2549"/>
      <c r="E1407" s="113">
        <f t="shared" si="52"/>
        <v>109534744</v>
      </c>
      <c r="F1407" s="113"/>
      <c r="G1407" s="113">
        <f t="shared" si="53"/>
        <v>1613631</v>
      </c>
      <c r="H1407" s="416"/>
    </row>
    <row r="1408" spans="1:9" s="2657" customFormat="1" ht="20.25" x14ac:dyDescent="0.3">
      <c r="A1408" s="2125">
        <v>44059</v>
      </c>
      <c r="B1408" s="2549"/>
      <c r="C1408" s="2549"/>
      <c r="D1408" s="2549"/>
      <c r="E1408" s="113">
        <f t="shared" si="52"/>
        <v>109534744</v>
      </c>
      <c r="F1408" s="113"/>
      <c r="G1408" s="113">
        <f t="shared" si="53"/>
        <v>1613631</v>
      </c>
      <c r="H1408" s="416"/>
    </row>
    <row r="1409" spans="1:8" s="2657" customFormat="1" ht="20.25" x14ac:dyDescent="0.3">
      <c r="A1409" s="2125">
        <v>44060</v>
      </c>
      <c r="B1409" s="2549"/>
      <c r="C1409" s="2549"/>
      <c r="D1409" s="2549">
        <v>2000</v>
      </c>
      <c r="E1409" s="113">
        <f t="shared" si="52"/>
        <v>109536744</v>
      </c>
      <c r="F1409" s="113"/>
      <c r="G1409" s="113">
        <f t="shared" si="53"/>
        <v>1615631</v>
      </c>
      <c r="H1409" s="416"/>
    </row>
    <row r="1410" spans="1:8" s="2657" customFormat="1" ht="20.25" x14ac:dyDescent="0.3">
      <c r="A1410" s="2125">
        <v>44061</v>
      </c>
      <c r="B1410" s="2549"/>
      <c r="C1410" s="2549"/>
      <c r="D1410" s="2549">
        <v>100500</v>
      </c>
      <c r="E1410" s="113">
        <f t="shared" si="52"/>
        <v>109637244</v>
      </c>
      <c r="F1410" s="113"/>
      <c r="G1410" s="113">
        <f t="shared" si="53"/>
        <v>1716131</v>
      </c>
      <c r="H1410" s="416"/>
    </row>
    <row r="1411" spans="1:8" s="2657" customFormat="1" ht="20.25" x14ac:dyDescent="0.3">
      <c r="A1411" s="2125">
        <v>44062</v>
      </c>
      <c r="B1411" s="2549"/>
      <c r="C1411" s="2549"/>
      <c r="D1411" s="2549">
        <v>75500</v>
      </c>
      <c r="E1411" s="113">
        <f t="shared" si="52"/>
        <v>109712744</v>
      </c>
      <c r="F1411" s="113"/>
      <c r="G1411" s="113">
        <f t="shared" si="53"/>
        <v>1791631</v>
      </c>
      <c r="H1411" s="416"/>
    </row>
    <row r="1412" spans="1:8" s="2657" customFormat="1" ht="20.25" x14ac:dyDescent="0.3">
      <c r="A1412" s="2125">
        <v>44063</v>
      </c>
      <c r="B1412" s="2549"/>
      <c r="C1412" s="2549"/>
      <c r="D1412" s="2549"/>
      <c r="E1412" s="113">
        <f t="shared" si="52"/>
        <v>109712744</v>
      </c>
      <c r="F1412" s="113"/>
      <c r="G1412" s="113">
        <f t="shared" si="53"/>
        <v>1791631</v>
      </c>
      <c r="H1412" s="416"/>
    </row>
    <row r="1413" spans="1:8" s="2657" customFormat="1" ht="20.25" x14ac:dyDescent="0.3">
      <c r="A1413" s="2125">
        <v>44064</v>
      </c>
      <c r="B1413" s="2549"/>
      <c r="C1413" s="2549"/>
      <c r="D1413" s="2549">
        <v>5000</v>
      </c>
      <c r="E1413" s="113">
        <f t="shared" si="52"/>
        <v>109717744</v>
      </c>
      <c r="F1413" s="113"/>
      <c r="G1413" s="113">
        <f t="shared" si="53"/>
        <v>1796631</v>
      </c>
      <c r="H1413" s="416"/>
    </row>
    <row r="1414" spans="1:8" s="2657" customFormat="1" ht="20.25" x14ac:dyDescent="0.3">
      <c r="A1414" s="2125">
        <v>44065</v>
      </c>
      <c r="B1414" s="2549"/>
      <c r="C1414" s="2549"/>
      <c r="D1414" s="2549">
        <v>10300</v>
      </c>
      <c r="E1414" s="113">
        <f t="shared" si="52"/>
        <v>109728044</v>
      </c>
      <c r="F1414" s="113"/>
      <c r="G1414" s="113">
        <f t="shared" si="53"/>
        <v>1806931</v>
      </c>
      <c r="H1414" s="416"/>
    </row>
    <row r="1415" spans="1:8" s="2657" customFormat="1" ht="20.25" x14ac:dyDescent="0.3">
      <c r="A1415" s="2125">
        <v>44066</v>
      </c>
      <c r="B1415" s="2549"/>
      <c r="C1415" s="2549"/>
      <c r="D1415" s="2549">
        <v>29500</v>
      </c>
      <c r="E1415" s="113">
        <f t="shared" si="52"/>
        <v>109757544</v>
      </c>
      <c r="F1415" s="113"/>
      <c r="G1415" s="113">
        <f t="shared" si="53"/>
        <v>1836431</v>
      </c>
      <c r="H1415" s="416"/>
    </row>
    <row r="1416" spans="1:8" s="2657" customFormat="1" ht="20.25" x14ac:dyDescent="0.3">
      <c r="A1416" s="2125">
        <v>44067</v>
      </c>
      <c r="B1416" s="2549"/>
      <c r="C1416" s="2549"/>
      <c r="D1416" s="2549"/>
      <c r="E1416" s="113">
        <f t="shared" si="52"/>
        <v>109757544</v>
      </c>
      <c r="F1416" s="113"/>
      <c r="G1416" s="113">
        <f t="shared" si="53"/>
        <v>1836431</v>
      </c>
      <c r="H1416" s="416"/>
    </row>
    <row r="1417" spans="1:8" s="2657" customFormat="1" ht="20.25" x14ac:dyDescent="0.3">
      <c r="A1417" s="2125">
        <v>44068</v>
      </c>
      <c r="B1417" s="2549"/>
      <c r="C1417" s="2549"/>
      <c r="D1417" s="2549"/>
      <c r="E1417" s="113">
        <f t="shared" si="52"/>
        <v>109757544</v>
      </c>
      <c r="F1417" s="113"/>
      <c r="G1417" s="113">
        <f t="shared" si="53"/>
        <v>1836431</v>
      </c>
      <c r="H1417" s="416"/>
    </row>
    <row r="1418" spans="1:8" s="2657" customFormat="1" ht="20.25" x14ac:dyDescent="0.3">
      <c r="A1418" s="2125">
        <v>44069</v>
      </c>
      <c r="B1418" s="2549"/>
      <c r="C1418" s="2549"/>
      <c r="D1418" s="2549"/>
      <c r="E1418" s="113">
        <f t="shared" si="52"/>
        <v>109757544</v>
      </c>
      <c r="F1418" s="113"/>
      <c r="G1418" s="113">
        <f t="shared" si="53"/>
        <v>1836431</v>
      </c>
      <c r="H1418" s="416"/>
    </row>
    <row r="1419" spans="1:8" s="2657" customFormat="1" ht="20.25" x14ac:dyDescent="0.3">
      <c r="A1419" s="2125">
        <v>44070</v>
      </c>
      <c r="B1419" s="2549"/>
      <c r="C1419" s="2549"/>
      <c r="D1419" s="2549">
        <v>31500</v>
      </c>
      <c r="E1419" s="113">
        <f t="shared" si="52"/>
        <v>109789044</v>
      </c>
      <c r="F1419" s="113">
        <v>720419</v>
      </c>
      <c r="G1419" s="113">
        <f t="shared" si="53"/>
        <v>1147512</v>
      </c>
      <c r="H1419" s="416"/>
    </row>
    <row r="1420" spans="1:8" s="2657" customFormat="1" ht="20.25" x14ac:dyDescent="0.3">
      <c r="A1420" s="2125">
        <v>44071</v>
      </c>
      <c r="B1420" s="2549"/>
      <c r="C1420" s="2549"/>
      <c r="D1420" s="2549">
        <v>43500</v>
      </c>
      <c r="E1420" s="113">
        <f t="shared" si="52"/>
        <v>109832544</v>
      </c>
      <c r="F1420" s="113">
        <v>571552</v>
      </c>
      <c r="G1420" s="113">
        <f t="shared" si="53"/>
        <v>619460</v>
      </c>
      <c r="H1420" s="416"/>
    </row>
    <row r="1421" spans="1:8" s="2657" customFormat="1" ht="20.25" x14ac:dyDescent="0.3">
      <c r="A1421" s="2125">
        <v>44072</v>
      </c>
      <c r="B1421" s="2549"/>
      <c r="C1421" s="2549"/>
      <c r="D1421" s="2549">
        <v>16000</v>
      </c>
      <c r="E1421" s="113">
        <f t="shared" si="52"/>
        <v>109848544</v>
      </c>
      <c r="F1421" s="113">
        <v>88981</v>
      </c>
      <c r="G1421" s="113">
        <f t="shared" si="53"/>
        <v>546479</v>
      </c>
      <c r="H1421" s="416"/>
    </row>
    <row r="1422" spans="1:8" s="2657" customFormat="1" ht="20.25" x14ac:dyDescent="0.3">
      <c r="A1422" s="2125">
        <v>44073</v>
      </c>
      <c r="B1422" s="2549"/>
      <c r="C1422" s="2549"/>
      <c r="D1422" s="2549">
        <v>15000</v>
      </c>
      <c r="E1422" s="113">
        <f t="shared" si="52"/>
        <v>109863544</v>
      </c>
      <c r="F1422" s="113"/>
      <c r="G1422" s="113">
        <f t="shared" si="53"/>
        <v>561479</v>
      </c>
      <c r="H1422" s="416"/>
    </row>
    <row r="1423" spans="1:8" s="2657" customFormat="1" ht="20.25" x14ac:dyDescent="0.3">
      <c r="A1423" s="2125">
        <v>44074</v>
      </c>
      <c r="B1423" s="2549"/>
      <c r="C1423" s="2549"/>
      <c r="D1423" s="2549">
        <v>10000</v>
      </c>
      <c r="E1423" s="113">
        <f t="shared" si="52"/>
        <v>109873544</v>
      </c>
      <c r="F1423" s="113"/>
      <c r="G1423" s="113">
        <f t="shared" si="53"/>
        <v>571479</v>
      </c>
      <c r="H1423" s="416">
        <f>543004-G1423</f>
        <v>-28475</v>
      </c>
    </row>
    <row r="1424" spans="1:8" s="2657" customFormat="1" ht="20.25" x14ac:dyDescent="0.3">
      <c r="A1424" s="2166"/>
      <c r="B1424" s="2592"/>
      <c r="C1424" s="2592"/>
      <c r="D1424" s="2592"/>
      <c r="E1424" s="113">
        <f t="shared" si="52"/>
        <v>109873544</v>
      </c>
      <c r="F1424" s="2168"/>
      <c r="G1424" s="113">
        <f t="shared" si="53"/>
        <v>571479</v>
      </c>
      <c r="H1424" s="416"/>
    </row>
    <row r="1425" spans="1:13" s="2657" customFormat="1" ht="20.25" x14ac:dyDescent="0.3">
      <c r="A1425" s="2125">
        <v>44075</v>
      </c>
      <c r="B1425" s="2549"/>
      <c r="C1425" s="2549"/>
      <c r="D1425" s="2549"/>
      <c r="E1425" s="113">
        <f t="shared" si="52"/>
        <v>109873544</v>
      </c>
      <c r="F1425" s="113"/>
      <c r="G1425" s="113">
        <f t="shared" si="53"/>
        <v>571479</v>
      </c>
      <c r="H1425" s="416"/>
    </row>
    <row r="1426" spans="1:13" s="2657" customFormat="1" ht="20.25" x14ac:dyDescent="0.3">
      <c r="A1426" s="2125">
        <v>44076</v>
      </c>
      <c r="B1426" s="2549"/>
      <c r="C1426" s="2549"/>
      <c r="D1426" s="2549">
        <v>73000</v>
      </c>
      <c r="E1426" s="113">
        <f t="shared" si="52"/>
        <v>109946544</v>
      </c>
      <c r="F1426" s="113">
        <v>258075</v>
      </c>
      <c r="G1426" s="113">
        <f t="shared" si="53"/>
        <v>386404</v>
      </c>
      <c r="H1426" s="2653">
        <f>+G1426-368929</f>
        <v>17475</v>
      </c>
      <c r="I1426" s="2657">
        <v>18000</v>
      </c>
    </row>
    <row r="1427" spans="1:13" s="2657" customFormat="1" ht="20.25" x14ac:dyDescent="0.3">
      <c r="A1427" s="2125">
        <v>44077</v>
      </c>
      <c r="B1427" s="2549"/>
      <c r="C1427" s="2549"/>
      <c r="D1427" s="2549">
        <v>15500</v>
      </c>
      <c r="E1427" s="113">
        <f t="shared" si="52"/>
        <v>109962044</v>
      </c>
      <c r="F1427" s="113"/>
      <c r="G1427" s="113">
        <f t="shared" si="53"/>
        <v>401904</v>
      </c>
      <c r="H1427" s="2653">
        <f>+G1427-388429</f>
        <v>13475</v>
      </c>
      <c r="I1427" s="2657">
        <v>14000</v>
      </c>
    </row>
    <row r="1428" spans="1:13" s="2657" customFormat="1" ht="20.25" x14ac:dyDescent="0.3">
      <c r="A1428" s="2125">
        <v>44078</v>
      </c>
      <c r="B1428" s="2549"/>
      <c r="C1428" s="2549"/>
      <c r="D1428" s="2549">
        <v>5000</v>
      </c>
      <c r="E1428" s="113">
        <f t="shared" si="52"/>
        <v>109967044</v>
      </c>
      <c r="F1428" s="113"/>
      <c r="G1428" s="113">
        <f t="shared" si="53"/>
        <v>406904</v>
      </c>
      <c r="H1428" s="2653">
        <f>+G1428-393429</f>
        <v>13475</v>
      </c>
      <c r="I1428" s="2657">
        <v>14000</v>
      </c>
    </row>
    <row r="1429" spans="1:13" s="2657" customFormat="1" ht="20.25" x14ac:dyDescent="0.3">
      <c r="A1429" s="2125">
        <v>44079</v>
      </c>
      <c r="B1429" s="2549"/>
      <c r="C1429" s="2549"/>
      <c r="D1429" s="2549">
        <v>21500</v>
      </c>
      <c r="E1429" s="113">
        <f t="shared" si="52"/>
        <v>109988544</v>
      </c>
      <c r="F1429" s="113"/>
      <c r="G1429" s="113">
        <f t="shared" si="53"/>
        <v>428404</v>
      </c>
      <c r="H1429" s="2653">
        <f>+G1429-414929</f>
        <v>13475</v>
      </c>
      <c r="I1429" s="2657">
        <v>14000</v>
      </c>
    </row>
    <row r="1430" spans="1:13" s="2657" customFormat="1" ht="20.25" x14ac:dyDescent="0.3">
      <c r="A1430" s="2125">
        <v>44080</v>
      </c>
      <c r="B1430" s="2549"/>
      <c r="C1430" s="2549"/>
      <c r="D1430" s="2549">
        <v>34500</v>
      </c>
      <c r="E1430" s="113">
        <f t="shared" si="52"/>
        <v>110023044</v>
      </c>
      <c r="F1430" s="113"/>
      <c r="G1430" s="113">
        <f t="shared" si="53"/>
        <v>462904</v>
      </c>
      <c r="H1430" s="416"/>
      <c r="I1430" s="2657">
        <f>34500+14000</f>
        <v>48500</v>
      </c>
    </row>
    <row r="1431" spans="1:13" s="2657" customFormat="1" ht="20.25" x14ac:dyDescent="0.3">
      <c r="A1431" s="2125">
        <v>44081</v>
      </c>
      <c r="B1431" s="2549"/>
      <c r="C1431" s="2549"/>
      <c r="D1431" s="2549"/>
      <c r="E1431" s="113">
        <f t="shared" si="52"/>
        <v>110023044</v>
      </c>
      <c r="F1431" s="113"/>
      <c r="G1431" s="113">
        <f t="shared" si="53"/>
        <v>462904</v>
      </c>
      <c r="H1431" s="416"/>
      <c r="M1431" s="416"/>
    </row>
    <row r="1432" spans="1:13" s="2657" customFormat="1" ht="20.25" x14ac:dyDescent="0.3">
      <c r="A1432" s="2125">
        <v>44082</v>
      </c>
      <c r="B1432" s="2549"/>
      <c r="C1432" s="2549"/>
      <c r="D1432" s="2549"/>
      <c r="E1432" s="113">
        <f t="shared" si="52"/>
        <v>110023044</v>
      </c>
      <c r="F1432" s="113"/>
      <c r="G1432" s="113">
        <f t="shared" si="53"/>
        <v>462904</v>
      </c>
      <c r="H1432" s="416"/>
    </row>
    <row r="1433" spans="1:13" s="2657" customFormat="1" ht="20.25" x14ac:dyDescent="0.3">
      <c r="A1433" s="2125">
        <v>44083</v>
      </c>
      <c r="B1433" s="2549"/>
      <c r="C1433" s="2549"/>
      <c r="D1433" s="2549">
        <v>109500</v>
      </c>
      <c r="E1433" s="113">
        <f t="shared" si="52"/>
        <v>110132544</v>
      </c>
      <c r="F1433" s="113"/>
      <c r="G1433" s="113">
        <f t="shared" si="53"/>
        <v>572404</v>
      </c>
      <c r="H1433" s="416">
        <f>+G1433-524429</f>
        <v>47975</v>
      </c>
      <c r="I1433" s="2657">
        <v>48500</v>
      </c>
    </row>
    <row r="1434" spans="1:13" s="2657" customFormat="1" ht="20.25" x14ac:dyDescent="0.3">
      <c r="A1434" s="2125">
        <v>44084</v>
      </c>
      <c r="B1434" s="2549"/>
      <c r="C1434" s="2549"/>
      <c r="D1434" s="2549">
        <v>30000</v>
      </c>
      <c r="E1434" s="113">
        <f t="shared" si="52"/>
        <v>110162544</v>
      </c>
      <c r="F1434" s="113"/>
      <c r="G1434" s="113">
        <f t="shared" si="53"/>
        <v>602404</v>
      </c>
      <c r="H1434" s="416">
        <f>+G1434-554429</f>
        <v>47975</v>
      </c>
      <c r="I1434" s="2657">
        <v>48500</v>
      </c>
    </row>
    <row r="1435" spans="1:13" s="2657" customFormat="1" ht="20.25" x14ac:dyDescent="0.3">
      <c r="A1435" s="2125">
        <v>44085</v>
      </c>
      <c r="B1435" s="2549"/>
      <c r="C1435" s="2549"/>
      <c r="D1435" s="2549">
        <v>14500</v>
      </c>
      <c r="E1435" s="113">
        <f t="shared" si="52"/>
        <v>110177044</v>
      </c>
      <c r="F1435" s="113"/>
      <c r="G1435" s="113">
        <f t="shared" si="53"/>
        <v>616904</v>
      </c>
      <c r="H1435" s="416">
        <f>+G1435-568929</f>
        <v>47975</v>
      </c>
      <c r="I1435" s="2657">
        <v>48500</v>
      </c>
    </row>
    <row r="1436" spans="1:13" s="2657" customFormat="1" ht="20.25" x14ac:dyDescent="0.3">
      <c r="A1436" s="2125">
        <v>44086</v>
      </c>
      <c r="B1436" s="2549"/>
      <c r="C1436" s="2549"/>
      <c r="D1436" s="2549">
        <v>11500</v>
      </c>
      <c r="E1436" s="113">
        <f t="shared" si="52"/>
        <v>110188544</v>
      </c>
      <c r="F1436" s="113">
        <v>125550</v>
      </c>
      <c r="G1436" s="113">
        <f t="shared" si="53"/>
        <v>502854</v>
      </c>
      <c r="H1436" s="416">
        <v>60000</v>
      </c>
    </row>
    <row r="1437" spans="1:13" s="2657" customFormat="1" ht="20.25" x14ac:dyDescent="0.3">
      <c r="A1437" s="2125">
        <v>44087</v>
      </c>
      <c r="B1437" s="2549"/>
      <c r="C1437" s="2549"/>
      <c r="D1437" s="2549">
        <v>39550</v>
      </c>
      <c r="E1437" s="113">
        <f t="shared" si="52"/>
        <v>110228094</v>
      </c>
      <c r="F1437" s="113"/>
      <c r="G1437" s="113">
        <f t="shared" si="53"/>
        <v>542404</v>
      </c>
      <c r="H1437" s="416">
        <f>+G1437-482929</f>
        <v>59475</v>
      </c>
      <c r="I1437" s="2657">
        <v>60000</v>
      </c>
    </row>
    <row r="1438" spans="1:13" s="2657" customFormat="1" ht="20.25" x14ac:dyDescent="0.3">
      <c r="A1438" s="2125">
        <v>44088</v>
      </c>
      <c r="B1438" s="2549"/>
      <c r="C1438" s="2549"/>
      <c r="D1438" s="2549">
        <v>279650</v>
      </c>
      <c r="E1438" s="113">
        <f t="shared" si="52"/>
        <v>110507744</v>
      </c>
      <c r="F1438" s="113"/>
      <c r="G1438" s="113">
        <f t="shared" si="53"/>
        <v>822054</v>
      </c>
      <c r="H1438" s="416">
        <f>+G1438-762579</f>
        <v>59475</v>
      </c>
      <c r="I1438" s="2657">
        <v>60000</v>
      </c>
    </row>
    <row r="1439" spans="1:13" s="2657" customFormat="1" ht="20.25" x14ac:dyDescent="0.3">
      <c r="A1439" s="2125">
        <v>44089</v>
      </c>
      <c r="B1439" s="2549"/>
      <c r="C1439" s="2549"/>
      <c r="D1439" s="2549">
        <v>166500</v>
      </c>
      <c r="E1439" s="113">
        <f t="shared" si="52"/>
        <v>110674244</v>
      </c>
      <c r="F1439" s="113"/>
      <c r="G1439" s="113">
        <f t="shared" si="53"/>
        <v>988554</v>
      </c>
      <c r="H1439" s="416">
        <f>+G1439-929079</f>
        <v>59475</v>
      </c>
      <c r="I1439" s="2657">
        <v>60000</v>
      </c>
    </row>
    <row r="1440" spans="1:13" s="2657" customFormat="1" ht="20.25" x14ac:dyDescent="0.3">
      <c r="A1440" s="2125">
        <v>44090</v>
      </c>
      <c r="B1440" s="2549"/>
      <c r="C1440" s="2549"/>
      <c r="D1440" s="2549">
        <v>15000</v>
      </c>
      <c r="E1440" s="113">
        <f t="shared" si="52"/>
        <v>110689244</v>
      </c>
      <c r="F1440" s="113"/>
      <c r="G1440" s="113">
        <f t="shared" si="53"/>
        <v>1003554</v>
      </c>
      <c r="H1440" s="416">
        <f>+G1440-944079</f>
        <v>59475</v>
      </c>
      <c r="I1440" s="2657">
        <v>60000</v>
      </c>
    </row>
    <row r="1441" spans="1:15" s="2657" customFormat="1" ht="20.25" x14ac:dyDescent="0.3">
      <c r="A1441" s="2125">
        <v>44091</v>
      </c>
      <c r="B1441" s="2549"/>
      <c r="C1441" s="2549"/>
      <c r="D1441" s="2549">
        <v>262200</v>
      </c>
      <c r="E1441" s="113">
        <f t="shared" si="52"/>
        <v>110951444</v>
      </c>
      <c r="F1441" s="113"/>
      <c r="G1441" s="113">
        <f t="shared" si="53"/>
        <v>1265754</v>
      </c>
      <c r="H1441" s="416">
        <f>+G1441-1183279</f>
        <v>82475</v>
      </c>
      <c r="I1441" s="39" t="s">
        <v>2101</v>
      </c>
      <c r="J1441" s="39" t="s">
        <v>2102</v>
      </c>
      <c r="K1441" s="416"/>
      <c r="L1441" s="416">
        <f>172500-160475</f>
        <v>12025</v>
      </c>
    </row>
    <row r="1442" spans="1:15" s="2657" customFormat="1" ht="20.25" x14ac:dyDescent="0.3">
      <c r="A1442" s="2125">
        <v>44092</v>
      </c>
      <c r="B1442" s="2549"/>
      <c r="C1442" s="2549"/>
      <c r="D1442" s="2549">
        <v>113100</v>
      </c>
      <c r="E1442" s="113">
        <f t="shared" si="52"/>
        <v>111064544</v>
      </c>
      <c r="F1442" s="113">
        <v>192859</v>
      </c>
      <c r="G1442" s="113">
        <f t="shared" si="53"/>
        <v>1185995</v>
      </c>
      <c r="H1442" s="416">
        <f>+G1442-1273379</f>
        <v>-87384</v>
      </c>
      <c r="I1442" s="39" t="s">
        <v>2101</v>
      </c>
      <c r="J1442" s="39" t="s">
        <v>2102</v>
      </c>
    </row>
    <row r="1443" spans="1:15" s="2657" customFormat="1" ht="20.25" x14ac:dyDescent="0.3">
      <c r="A1443" s="2125">
        <v>44093</v>
      </c>
      <c r="B1443" s="2549"/>
      <c r="C1443" s="2549"/>
      <c r="D1443" s="2549">
        <v>24000</v>
      </c>
      <c r="E1443" s="113">
        <f t="shared" si="52"/>
        <v>111088544</v>
      </c>
      <c r="F1443" s="113"/>
      <c r="G1443" s="113">
        <f t="shared" si="53"/>
        <v>1209995</v>
      </c>
      <c r="H1443" s="416">
        <f>+G1443-1081520</f>
        <v>128475</v>
      </c>
      <c r="I1443" s="39">
        <v>23000</v>
      </c>
      <c r="J1443" s="39" t="s">
        <v>2102</v>
      </c>
    </row>
    <row r="1444" spans="1:15" s="2657" customFormat="1" ht="20.25" x14ac:dyDescent="0.3">
      <c r="A1444" s="2125">
        <v>44094</v>
      </c>
      <c r="B1444" s="2549"/>
      <c r="C1444" s="2549"/>
      <c r="D1444" s="2549">
        <v>46000</v>
      </c>
      <c r="E1444" s="113">
        <f t="shared" si="52"/>
        <v>111134544</v>
      </c>
      <c r="F1444" s="113"/>
      <c r="G1444" s="113">
        <f t="shared" si="53"/>
        <v>1255995</v>
      </c>
      <c r="H1444" s="416"/>
      <c r="I1444" s="39">
        <v>46000</v>
      </c>
      <c r="N1444" s="416">
        <f>+M1447-H1446</f>
        <v>-206475</v>
      </c>
    </row>
    <row r="1445" spans="1:15" s="2657" customFormat="1" ht="20.25" x14ac:dyDescent="0.3">
      <c r="A1445" s="2125">
        <v>44095</v>
      </c>
      <c r="B1445" s="2549"/>
      <c r="C1445" s="2549"/>
      <c r="D1445" s="2549"/>
      <c r="E1445" s="113">
        <f t="shared" si="52"/>
        <v>111134544</v>
      </c>
      <c r="F1445" s="113"/>
      <c r="G1445" s="113">
        <f t="shared" si="53"/>
        <v>1255995</v>
      </c>
      <c r="H1445" s="416">
        <v>34500</v>
      </c>
    </row>
    <row r="1446" spans="1:15" s="2657" customFormat="1" ht="20.25" x14ac:dyDescent="0.3">
      <c r="A1446" s="2125">
        <v>44096</v>
      </c>
      <c r="B1446" s="2549"/>
      <c r="C1446" s="2549"/>
      <c r="D1446" s="2549">
        <v>80500</v>
      </c>
      <c r="E1446" s="113">
        <f t="shared" si="52"/>
        <v>111215044</v>
      </c>
      <c r="F1446" s="113"/>
      <c r="G1446" s="113">
        <f t="shared" si="53"/>
        <v>1336495</v>
      </c>
      <c r="H1446" s="416">
        <f>+G1446-1176020</f>
        <v>160475</v>
      </c>
    </row>
    <row r="1447" spans="1:15" s="2657" customFormat="1" ht="20.25" x14ac:dyDescent="0.3">
      <c r="A1447" s="2125">
        <v>44097</v>
      </c>
      <c r="B1447" s="2549"/>
      <c r="C1447" s="2549"/>
      <c r="D1447" s="2549">
        <v>10000</v>
      </c>
      <c r="E1447" s="113">
        <f t="shared" si="52"/>
        <v>111225044</v>
      </c>
      <c r="F1447" s="113"/>
      <c r="G1447" s="113">
        <f t="shared" si="53"/>
        <v>1346495</v>
      </c>
      <c r="H1447" s="416"/>
      <c r="M1447" s="416">
        <f>+H1448-46000</f>
        <v>-46000</v>
      </c>
    </row>
    <row r="1448" spans="1:15" s="2657" customFormat="1" ht="20.25" x14ac:dyDescent="0.3">
      <c r="A1448" s="2125">
        <v>44098</v>
      </c>
      <c r="B1448" s="2549"/>
      <c r="C1448" s="2549"/>
      <c r="D1448" s="2549">
        <v>111500</v>
      </c>
      <c r="E1448" s="113">
        <f t="shared" si="52"/>
        <v>111336544</v>
      </c>
      <c r="F1448" s="113"/>
      <c r="G1448" s="113">
        <f t="shared" si="53"/>
        <v>1457995</v>
      </c>
      <c r="H1448" s="416"/>
    </row>
    <row r="1449" spans="1:15" s="2657" customFormat="1" ht="20.25" x14ac:dyDescent="0.3">
      <c r="A1449" s="2125">
        <v>44099</v>
      </c>
      <c r="B1449" s="2549"/>
      <c r="C1449" s="2549"/>
      <c r="D1449" s="2549">
        <v>531000</v>
      </c>
      <c r="E1449" s="113">
        <f t="shared" ref="E1449:E1486" si="54">+E1448+D1449</f>
        <v>111867544</v>
      </c>
      <c r="F1449" s="113"/>
      <c r="G1449" s="113">
        <f t="shared" ref="G1449:G1486" si="55">+G1448+D1449-F1449</f>
        <v>1988995</v>
      </c>
      <c r="H1449" s="416">
        <f>1348520-G1449</f>
        <v>-640475</v>
      </c>
    </row>
    <row r="1450" spans="1:15" s="2657" customFormat="1" ht="20.25" x14ac:dyDescent="0.3">
      <c r="A1450" s="2125">
        <v>44100</v>
      </c>
      <c r="B1450" s="2549"/>
      <c r="C1450" s="2549"/>
      <c r="D1450" s="2549">
        <v>35500</v>
      </c>
      <c r="E1450" s="113">
        <f t="shared" si="54"/>
        <v>111903044</v>
      </c>
      <c r="F1450" s="113">
        <v>788625</v>
      </c>
      <c r="G1450" s="113">
        <f t="shared" si="55"/>
        <v>1235870</v>
      </c>
      <c r="H1450" s="416"/>
    </row>
    <row r="1451" spans="1:15" s="2657" customFormat="1" ht="20.25" x14ac:dyDescent="0.3">
      <c r="A1451" s="2125">
        <v>44101</v>
      </c>
      <c r="B1451" s="2549"/>
      <c r="C1451" s="2549"/>
      <c r="D1451" s="2549">
        <v>225500</v>
      </c>
      <c r="E1451" s="113">
        <f t="shared" si="54"/>
        <v>112128544</v>
      </c>
      <c r="F1451" s="113"/>
      <c r="G1451" s="113">
        <f t="shared" si="55"/>
        <v>1461370</v>
      </c>
      <c r="H1451" s="416"/>
    </row>
    <row r="1452" spans="1:15" s="2657" customFormat="1" ht="20.25" x14ac:dyDescent="0.3">
      <c r="A1452" s="2125">
        <v>44102</v>
      </c>
      <c r="B1452" s="2549"/>
      <c r="C1452" s="2549"/>
      <c r="D1452" s="2549">
        <v>100000</v>
      </c>
      <c r="E1452" s="113">
        <f t="shared" si="54"/>
        <v>112228544</v>
      </c>
      <c r="F1452" s="113"/>
      <c r="G1452" s="113">
        <f t="shared" si="55"/>
        <v>1561370</v>
      </c>
      <c r="H1452" s="416"/>
    </row>
    <row r="1453" spans="1:15" s="2657" customFormat="1" ht="20.25" x14ac:dyDescent="0.3">
      <c r="A1453" s="2125">
        <v>44103</v>
      </c>
      <c r="B1453" s="2549"/>
      <c r="C1453" s="2549"/>
      <c r="D1453" s="2549">
        <v>235000</v>
      </c>
      <c r="E1453" s="113">
        <f t="shared" si="54"/>
        <v>112463544</v>
      </c>
      <c r="F1453" s="113"/>
      <c r="G1453" s="113">
        <f t="shared" si="55"/>
        <v>1796370</v>
      </c>
      <c r="H1453" s="416"/>
    </row>
    <row r="1454" spans="1:15" s="2657" customFormat="1" ht="20.25" x14ac:dyDescent="0.3">
      <c r="A1454" s="2125">
        <v>44104</v>
      </c>
      <c r="B1454" s="2549"/>
      <c r="C1454" s="2549"/>
      <c r="D1454" s="2549">
        <v>50000</v>
      </c>
      <c r="E1454" s="113">
        <f t="shared" si="54"/>
        <v>112513544</v>
      </c>
      <c r="F1454" s="113"/>
      <c r="G1454" s="113">
        <f t="shared" si="55"/>
        <v>1846370</v>
      </c>
      <c r="H1454" s="416"/>
      <c r="O1454" s="416">
        <f>1846895-G1454</f>
        <v>525</v>
      </c>
    </row>
    <row r="1455" spans="1:15" s="2657" customFormat="1" ht="20.25" x14ac:dyDescent="0.3">
      <c r="A1455" s="2166"/>
      <c r="B1455" s="2592"/>
      <c r="C1455" s="2592"/>
      <c r="D1455" s="2592"/>
      <c r="E1455" s="2168">
        <f t="shared" si="54"/>
        <v>112513544</v>
      </c>
      <c r="F1455" s="2168"/>
      <c r="G1455" s="2168">
        <f t="shared" si="55"/>
        <v>1846370</v>
      </c>
      <c r="H1455" s="416"/>
      <c r="O1455" s="416"/>
    </row>
    <row r="1456" spans="1:15" s="2657" customFormat="1" ht="20.25" x14ac:dyDescent="0.3">
      <c r="A1456" s="2125">
        <v>44105</v>
      </c>
      <c r="B1456" s="2549"/>
      <c r="C1456" s="2549"/>
      <c r="D1456" s="2549"/>
      <c r="E1456" s="113">
        <f t="shared" si="54"/>
        <v>112513544</v>
      </c>
      <c r="F1456" s="113"/>
      <c r="G1456" s="113">
        <f t="shared" si="55"/>
        <v>1846370</v>
      </c>
      <c r="H1456" s="416"/>
      <c r="O1456" s="416"/>
    </row>
    <row r="1457" spans="1:15" s="2657" customFormat="1" ht="20.25" x14ac:dyDescent="0.3">
      <c r="A1457" s="2125">
        <v>44106</v>
      </c>
      <c r="B1457" s="2549"/>
      <c r="C1457" s="2549"/>
      <c r="D1457" s="2549">
        <v>232000</v>
      </c>
      <c r="E1457" s="113">
        <f t="shared" si="54"/>
        <v>112745544</v>
      </c>
      <c r="F1457" s="113">
        <v>1030807</v>
      </c>
      <c r="G1457" s="113">
        <f t="shared" si="55"/>
        <v>1047563</v>
      </c>
      <c r="H1457" s="416"/>
      <c r="O1457" s="416"/>
    </row>
    <row r="1458" spans="1:15" s="2657" customFormat="1" ht="20.25" x14ac:dyDescent="0.3">
      <c r="A1458" s="2125">
        <v>44107</v>
      </c>
      <c r="B1458" s="2549"/>
      <c r="C1458" s="2549"/>
      <c r="D1458" s="2549"/>
      <c r="E1458" s="113">
        <f t="shared" si="54"/>
        <v>112745544</v>
      </c>
      <c r="F1458" s="113"/>
      <c r="G1458" s="113">
        <f t="shared" si="55"/>
        <v>1047563</v>
      </c>
      <c r="H1458" s="416"/>
      <c r="O1458" s="416"/>
    </row>
    <row r="1459" spans="1:15" s="2657" customFormat="1" ht="20.25" x14ac:dyDescent="0.3">
      <c r="A1459" s="2125">
        <v>44108</v>
      </c>
      <c r="B1459" s="2549"/>
      <c r="C1459" s="2549"/>
      <c r="D1459" s="2549">
        <v>36000</v>
      </c>
      <c r="E1459" s="113">
        <f t="shared" si="54"/>
        <v>112781544</v>
      </c>
      <c r="F1459" s="113"/>
      <c r="G1459" s="113">
        <f t="shared" si="55"/>
        <v>1083563</v>
      </c>
      <c r="H1459" s="416"/>
      <c r="O1459" s="416"/>
    </row>
    <row r="1460" spans="1:15" s="2657" customFormat="1" ht="20.25" x14ac:dyDescent="0.3">
      <c r="A1460" s="2125">
        <v>44109</v>
      </c>
      <c r="B1460" s="2549"/>
      <c r="C1460" s="2549"/>
      <c r="D1460" s="2549">
        <v>10000</v>
      </c>
      <c r="E1460" s="113">
        <f t="shared" si="54"/>
        <v>112791544</v>
      </c>
      <c r="F1460" s="113"/>
      <c r="G1460" s="113">
        <f t="shared" si="55"/>
        <v>1093563</v>
      </c>
      <c r="H1460" s="416"/>
      <c r="O1460" s="416"/>
    </row>
    <row r="1461" spans="1:15" s="2657" customFormat="1" ht="20.25" x14ac:dyDescent="0.3">
      <c r="A1461" s="2125">
        <v>44110</v>
      </c>
      <c r="B1461" s="2549"/>
      <c r="C1461" s="2549"/>
      <c r="D1461" s="2549">
        <v>187000</v>
      </c>
      <c r="E1461" s="113">
        <f t="shared" si="54"/>
        <v>112978544</v>
      </c>
      <c r="F1461" s="113"/>
      <c r="G1461" s="113">
        <f t="shared" si="55"/>
        <v>1280563</v>
      </c>
      <c r="H1461" s="416"/>
      <c r="O1461" s="416">
        <f>+G1461-1758838</f>
        <v>-478275</v>
      </c>
    </row>
    <row r="1462" spans="1:15" s="2657" customFormat="1" ht="20.25" x14ac:dyDescent="0.3">
      <c r="A1462" s="2125">
        <v>44111</v>
      </c>
      <c r="B1462" s="2549"/>
      <c r="C1462" s="2549"/>
      <c r="D1462" s="2549">
        <v>512250</v>
      </c>
      <c r="E1462" s="113">
        <f t="shared" si="54"/>
        <v>113490794</v>
      </c>
      <c r="F1462" s="113"/>
      <c r="G1462" s="113">
        <f t="shared" si="55"/>
        <v>1792813</v>
      </c>
      <c r="H1462" s="416"/>
      <c r="O1462" s="416"/>
    </row>
    <row r="1463" spans="1:15" s="2657" customFormat="1" ht="20.25" x14ac:dyDescent="0.3">
      <c r="A1463" s="2125">
        <v>44112</v>
      </c>
      <c r="B1463" s="2549"/>
      <c r="C1463" s="2549"/>
      <c r="D1463" s="2549"/>
      <c r="E1463" s="113">
        <f t="shared" si="54"/>
        <v>113490794</v>
      </c>
      <c r="F1463" s="113"/>
      <c r="G1463" s="113">
        <f t="shared" si="55"/>
        <v>1792813</v>
      </c>
      <c r="H1463" s="416"/>
      <c r="O1463" s="416"/>
    </row>
    <row r="1464" spans="1:15" s="2657" customFormat="1" ht="20.25" x14ac:dyDescent="0.3">
      <c r="A1464" s="2125">
        <v>44113</v>
      </c>
      <c r="B1464" s="2549"/>
      <c r="C1464" s="2549"/>
      <c r="D1464" s="2549">
        <v>170000</v>
      </c>
      <c r="E1464" s="113">
        <f t="shared" si="54"/>
        <v>113660794</v>
      </c>
      <c r="F1464" s="113"/>
      <c r="G1464" s="113">
        <f t="shared" si="55"/>
        <v>1962813</v>
      </c>
      <c r="H1464" s="416"/>
      <c r="O1464" s="416"/>
    </row>
    <row r="1465" spans="1:15" s="2657" customFormat="1" ht="20.25" x14ac:dyDescent="0.3">
      <c r="A1465" s="2125">
        <v>44114</v>
      </c>
      <c r="B1465" s="2549"/>
      <c r="C1465" s="2549"/>
      <c r="D1465" s="2549"/>
      <c r="E1465" s="113">
        <f t="shared" si="54"/>
        <v>113660794</v>
      </c>
      <c r="F1465" s="113"/>
      <c r="G1465" s="113">
        <f t="shared" si="55"/>
        <v>1962813</v>
      </c>
      <c r="H1465" s="416"/>
      <c r="O1465" s="416"/>
    </row>
    <row r="1466" spans="1:15" s="2657" customFormat="1" ht="20.25" x14ac:dyDescent="0.3">
      <c r="A1466" s="2125">
        <v>44115</v>
      </c>
      <c r="B1466" s="2549"/>
      <c r="C1466" s="2549"/>
      <c r="D1466" s="2549"/>
      <c r="E1466" s="113">
        <f t="shared" si="54"/>
        <v>113660794</v>
      </c>
      <c r="F1466" s="113"/>
      <c r="G1466" s="113">
        <f t="shared" si="55"/>
        <v>1962813</v>
      </c>
      <c r="H1466" s="416"/>
      <c r="O1466" s="416"/>
    </row>
    <row r="1467" spans="1:15" s="2657" customFormat="1" ht="20.25" x14ac:dyDescent="0.3">
      <c r="A1467" s="2125">
        <v>44116</v>
      </c>
      <c r="B1467" s="2549"/>
      <c r="C1467" s="2549"/>
      <c r="D1467" s="2549"/>
      <c r="E1467" s="113">
        <f t="shared" si="54"/>
        <v>113660794</v>
      </c>
      <c r="F1467" s="113"/>
      <c r="G1467" s="113">
        <f t="shared" si="55"/>
        <v>1962813</v>
      </c>
      <c r="H1467" s="416"/>
      <c r="O1467" s="416"/>
    </row>
    <row r="1468" spans="1:15" s="2657" customFormat="1" ht="20.25" x14ac:dyDescent="0.3">
      <c r="A1468" s="2125">
        <v>44117</v>
      </c>
      <c r="B1468" s="2549"/>
      <c r="C1468" s="2549"/>
      <c r="D1468" s="2549"/>
      <c r="E1468" s="113">
        <f t="shared" si="54"/>
        <v>113660794</v>
      </c>
      <c r="F1468" s="113"/>
      <c r="G1468" s="113">
        <f t="shared" si="55"/>
        <v>1962813</v>
      </c>
      <c r="H1468" s="416"/>
      <c r="O1468" s="416"/>
    </row>
    <row r="1469" spans="1:15" s="2657" customFormat="1" ht="20.25" x14ac:dyDescent="0.3">
      <c r="A1469" s="2125">
        <v>44118</v>
      </c>
      <c r="B1469" s="2549"/>
      <c r="C1469" s="2549"/>
      <c r="D1469" s="2549"/>
      <c r="E1469" s="113">
        <f t="shared" si="54"/>
        <v>113660794</v>
      </c>
      <c r="F1469" s="113"/>
      <c r="G1469" s="113">
        <f t="shared" si="55"/>
        <v>1962813</v>
      </c>
      <c r="H1469" s="416"/>
      <c r="O1469" s="416"/>
    </row>
    <row r="1470" spans="1:15" s="2657" customFormat="1" ht="20.25" x14ac:dyDescent="0.3">
      <c r="A1470" s="2125">
        <v>44119</v>
      </c>
      <c r="B1470" s="2549"/>
      <c r="C1470" s="2549"/>
      <c r="D1470" s="2549"/>
      <c r="E1470" s="113">
        <f t="shared" si="54"/>
        <v>113660794</v>
      </c>
      <c r="F1470" s="113"/>
      <c r="G1470" s="113">
        <f t="shared" si="55"/>
        <v>1962813</v>
      </c>
      <c r="H1470" s="416"/>
      <c r="O1470" s="416"/>
    </row>
    <row r="1471" spans="1:15" s="2657" customFormat="1" ht="20.25" x14ac:dyDescent="0.3">
      <c r="A1471" s="2125">
        <v>44120</v>
      </c>
      <c r="B1471" s="2549"/>
      <c r="C1471" s="2549"/>
      <c r="D1471" s="2549"/>
      <c r="E1471" s="113">
        <f t="shared" si="54"/>
        <v>113660794</v>
      </c>
      <c r="F1471" s="113"/>
      <c r="G1471" s="113">
        <f t="shared" si="55"/>
        <v>1962813</v>
      </c>
      <c r="H1471" s="416"/>
      <c r="O1471" s="416"/>
    </row>
    <row r="1472" spans="1:15" s="2657" customFormat="1" ht="20.25" x14ac:dyDescent="0.3">
      <c r="A1472" s="2125">
        <v>44121</v>
      </c>
      <c r="B1472" s="2549"/>
      <c r="C1472" s="2549"/>
      <c r="D1472" s="2549"/>
      <c r="E1472" s="113">
        <f t="shared" si="54"/>
        <v>113660794</v>
      </c>
      <c r="F1472" s="113"/>
      <c r="G1472" s="113">
        <f t="shared" si="55"/>
        <v>1962813</v>
      </c>
      <c r="H1472" s="416"/>
      <c r="O1472" s="416"/>
    </row>
    <row r="1473" spans="1:15" s="2657" customFormat="1" ht="20.25" x14ac:dyDescent="0.3">
      <c r="A1473" s="2125">
        <v>44122</v>
      </c>
      <c r="B1473" s="2549"/>
      <c r="C1473" s="2549"/>
      <c r="D1473" s="2549"/>
      <c r="E1473" s="113">
        <f t="shared" si="54"/>
        <v>113660794</v>
      </c>
      <c r="F1473" s="113"/>
      <c r="G1473" s="113">
        <f t="shared" si="55"/>
        <v>1962813</v>
      </c>
      <c r="H1473" s="416"/>
      <c r="O1473" s="416"/>
    </row>
    <row r="1474" spans="1:15" s="2657" customFormat="1" ht="20.25" x14ac:dyDescent="0.3">
      <c r="A1474" s="2125">
        <v>44123</v>
      </c>
      <c r="B1474" s="2549"/>
      <c r="C1474" s="2549"/>
      <c r="D1474" s="2549"/>
      <c r="E1474" s="113">
        <f t="shared" si="54"/>
        <v>113660794</v>
      </c>
      <c r="F1474" s="113"/>
      <c r="G1474" s="113">
        <f t="shared" si="55"/>
        <v>1962813</v>
      </c>
      <c r="H1474" s="416"/>
      <c r="O1474" s="416"/>
    </row>
    <row r="1475" spans="1:15" s="2657" customFormat="1" ht="20.25" x14ac:dyDescent="0.3">
      <c r="A1475" s="2125">
        <v>44124</v>
      </c>
      <c r="B1475" s="2549"/>
      <c r="C1475" s="2549"/>
      <c r="D1475" s="2549"/>
      <c r="E1475" s="113">
        <f t="shared" si="54"/>
        <v>113660794</v>
      </c>
      <c r="F1475" s="113"/>
      <c r="G1475" s="113">
        <f t="shared" si="55"/>
        <v>1962813</v>
      </c>
      <c r="H1475" s="416"/>
      <c r="O1475" s="416"/>
    </row>
    <row r="1476" spans="1:15" s="2657" customFormat="1" ht="20.25" x14ac:dyDescent="0.3">
      <c r="A1476" s="2125">
        <v>44125</v>
      </c>
      <c r="B1476" s="2549"/>
      <c r="C1476" s="2549"/>
      <c r="D1476" s="2549"/>
      <c r="E1476" s="113">
        <f t="shared" si="54"/>
        <v>113660794</v>
      </c>
      <c r="F1476" s="113"/>
      <c r="G1476" s="113">
        <f t="shared" si="55"/>
        <v>1962813</v>
      </c>
      <c r="H1476" s="416"/>
      <c r="O1476" s="416"/>
    </row>
    <row r="1477" spans="1:15" s="2657" customFormat="1" ht="20.25" x14ac:dyDescent="0.3">
      <c r="A1477" s="2125">
        <v>44126</v>
      </c>
      <c r="B1477" s="2549"/>
      <c r="C1477" s="2549"/>
      <c r="D1477" s="2549"/>
      <c r="E1477" s="113">
        <f t="shared" si="54"/>
        <v>113660794</v>
      </c>
      <c r="F1477" s="113"/>
      <c r="G1477" s="113">
        <f t="shared" si="55"/>
        <v>1962813</v>
      </c>
      <c r="H1477" s="416"/>
    </row>
    <row r="1478" spans="1:15" s="2657" customFormat="1" ht="20.25" x14ac:dyDescent="0.3">
      <c r="A1478" s="2125">
        <v>44127</v>
      </c>
      <c r="B1478" s="2549"/>
      <c r="C1478" s="2549"/>
      <c r="D1478" s="2549"/>
      <c r="E1478" s="113">
        <f t="shared" si="54"/>
        <v>113660794</v>
      </c>
      <c r="F1478" s="113"/>
      <c r="G1478" s="113">
        <f t="shared" si="55"/>
        <v>1962813</v>
      </c>
      <c r="H1478" s="416"/>
    </row>
    <row r="1479" spans="1:15" s="2657" customFormat="1" ht="20.25" x14ac:dyDescent="0.3">
      <c r="A1479" s="2125">
        <v>44128</v>
      </c>
      <c r="B1479" s="2549"/>
      <c r="C1479" s="2549"/>
      <c r="D1479" s="2549"/>
      <c r="E1479" s="113">
        <f t="shared" si="54"/>
        <v>113660794</v>
      </c>
      <c r="F1479" s="113"/>
      <c r="G1479" s="113">
        <f t="shared" si="55"/>
        <v>1962813</v>
      </c>
      <c r="H1479" s="416"/>
    </row>
    <row r="1480" spans="1:15" s="2657" customFormat="1" ht="20.25" x14ac:dyDescent="0.3">
      <c r="A1480" s="2125">
        <v>44129</v>
      </c>
      <c r="B1480" s="2549"/>
      <c r="C1480" s="2549"/>
      <c r="D1480" s="2549"/>
      <c r="E1480" s="113">
        <f t="shared" si="54"/>
        <v>113660794</v>
      </c>
      <c r="F1480" s="113"/>
      <c r="G1480" s="113">
        <f t="shared" si="55"/>
        <v>1962813</v>
      </c>
      <c r="H1480" s="416"/>
    </row>
    <row r="1481" spans="1:15" s="2657" customFormat="1" ht="20.25" x14ac:dyDescent="0.3">
      <c r="A1481" s="2125">
        <v>44130</v>
      </c>
      <c r="B1481" s="2549"/>
      <c r="C1481" s="2549"/>
      <c r="D1481" s="2549"/>
      <c r="E1481" s="113">
        <f t="shared" si="54"/>
        <v>113660794</v>
      </c>
      <c r="F1481" s="113"/>
      <c r="G1481" s="113">
        <f t="shared" si="55"/>
        <v>1962813</v>
      </c>
      <c r="H1481" s="416"/>
    </row>
    <row r="1482" spans="1:15" s="2657" customFormat="1" ht="20.25" x14ac:dyDescent="0.3">
      <c r="A1482" s="2125">
        <v>44131</v>
      </c>
      <c r="B1482" s="2549"/>
      <c r="C1482" s="2549"/>
      <c r="D1482" s="2549"/>
      <c r="E1482" s="113">
        <f t="shared" si="54"/>
        <v>113660794</v>
      </c>
      <c r="F1482" s="113"/>
      <c r="G1482" s="113">
        <f t="shared" si="55"/>
        <v>1962813</v>
      </c>
      <c r="H1482" s="416"/>
    </row>
    <row r="1483" spans="1:15" s="2657" customFormat="1" ht="20.25" x14ac:dyDescent="0.3">
      <c r="A1483" s="2125">
        <v>44132</v>
      </c>
      <c r="B1483" s="2549"/>
      <c r="C1483" s="2549"/>
      <c r="D1483" s="2549"/>
      <c r="E1483" s="113">
        <f t="shared" si="54"/>
        <v>113660794</v>
      </c>
      <c r="F1483" s="113"/>
      <c r="G1483" s="113">
        <f t="shared" si="55"/>
        <v>1962813</v>
      </c>
      <c r="H1483" s="416"/>
    </row>
    <row r="1484" spans="1:15" s="2657" customFormat="1" ht="20.25" x14ac:dyDescent="0.3">
      <c r="A1484" s="2125">
        <v>44133</v>
      </c>
      <c r="B1484" s="2549"/>
      <c r="C1484" s="2549"/>
      <c r="D1484" s="2549"/>
      <c r="E1484" s="113">
        <f t="shared" si="54"/>
        <v>113660794</v>
      </c>
      <c r="F1484" s="113"/>
      <c r="G1484" s="113">
        <f t="shared" si="55"/>
        <v>1962813</v>
      </c>
      <c r="H1484" s="416"/>
    </row>
    <row r="1485" spans="1:15" s="2657" customFormat="1" ht="20.25" x14ac:dyDescent="0.3">
      <c r="A1485" s="2125">
        <v>44134</v>
      </c>
      <c r="B1485" s="2549"/>
      <c r="C1485" s="2549"/>
      <c r="D1485" s="2549"/>
      <c r="E1485" s="113">
        <f t="shared" si="54"/>
        <v>113660794</v>
      </c>
      <c r="F1485" s="113"/>
      <c r="G1485" s="113">
        <f t="shared" si="55"/>
        <v>1962813</v>
      </c>
      <c r="H1485" s="416"/>
    </row>
    <row r="1486" spans="1:15" s="2657" customFormat="1" ht="20.25" x14ac:dyDescent="0.3">
      <c r="A1486" s="2125">
        <v>44135</v>
      </c>
      <c r="B1486" s="2549"/>
      <c r="C1486" s="2549"/>
      <c r="D1486" s="2549"/>
      <c r="E1486" s="113">
        <f t="shared" si="54"/>
        <v>113660794</v>
      </c>
      <c r="F1486" s="113"/>
      <c r="G1486" s="113">
        <f t="shared" si="55"/>
        <v>1962813</v>
      </c>
      <c r="H1486" s="416"/>
    </row>
    <row r="1487" spans="1:15" ht="16.5" x14ac:dyDescent="0.3">
      <c r="A1487" s="2125"/>
      <c r="B1487" s="57"/>
      <c r="C1487" s="113"/>
      <c r="D1487" s="112">
        <f>SUM(D1456:D1486)</f>
        <v>1147250</v>
      </c>
      <c r="E1487" s="113"/>
      <c r="F1487" s="113"/>
      <c r="G1487" s="113">
        <f>+E1487-F1487</f>
        <v>0</v>
      </c>
    </row>
    <row r="1488" spans="1:15" x14ac:dyDescent="0.25">
      <c r="A1488"/>
      <c r="B1488" t="s">
        <v>1811</v>
      </c>
      <c r="D1488" s="2337">
        <f>+D1487-[3]RECETTE!$AY$36</f>
        <v>-6274900</v>
      </c>
      <c r="E1488"/>
      <c r="F1488"/>
      <c r="G1488" s="116"/>
    </row>
    <row r="1489" spans="2:2" x14ac:dyDescent="0.25">
      <c r="B1489"/>
    </row>
  </sheetData>
  <mergeCells count="1">
    <mergeCell ref="B11:C11"/>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U57"/>
  <sheetViews>
    <sheetView topLeftCell="A5" zoomScale="98" zoomScaleNormal="98" workbookViewId="0">
      <selection activeCell="O18" sqref="O18"/>
    </sheetView>
  </sheetViews>
  <sheetFormatPr baseColWidth="10" defaultRowHeight="18" x14ac:dyDescent="0.25"/>
  <cols>
    <col min="1" max="1" width="15.42578125" style="38" customWidth="1"/>
    <col min="2" max="2" width="17" style="38" customWidth="1"/>
    <col min="3" max="3" width="15.28515625" style="38" customWidth="1"/>
    <col min="4" max="4" width="18" style="38" customWidth="1"/>
    <col min="5" max="5" width="17.28515625" style="38" customWidth="1"/>
    <col min="6" max="6" width="8.28515625" style="283" hidden="1" customWidth="1"/>
    <col min="7" max="7" width="7.42578125" style="283" hidden="1" customWidth="1"/>
    <col min="8" max="8" width="34.140625" style="42" hidden="1" customWidth="1"/>
    <col min="9" max="9" width="20.42578125" style="634" hidden="1" customWidth="1"/>
    <col min="10" max="11" width="11.42578125" style="38" hidden="1" customWidth="1"/>
    <col min="12" max="12" width="16.28515625" style="38" hidden="1" customWidth="1"/>
    <col min="13" max="13" width="0" style="38" hidden="1" customWidth="1"/>
    <col min="14" max="14" width="18.5703125" style="38" customWidth="1"/>
    <col min="15" max="15" width="18.42578125" style="38" customWidth="1"/>
    <col min="16" max="16" width="16.42578125" style="38" bestFit="1" customWidth="1"/>
    <col min="17" max="16384" width="11.42578125" style="38"/>
  </cols>
  <sheetData>
    <row r="1" spans="1:19" ht="20.25" x14ac:dyDescent="0.3">
      <c r="A1" s="212" t="s">
        <v>170</v>
      </c>
      <c r="B1" s="32"/>
      <c r="C1" s="32"/>
      <c r="D1" s="19"/>
      <c r="E1" s="405"/>
    </row>
    <row r="2" spans="1:19" ht="20.25" x14ac:dyDescent="0.3">
      <c r="A2" s="299" t="s">
        <v>212</v>
      </c>
      <c r="B2" s="32"/>
      <c r="C2" s="32"/>
      <c r="D2" s="19"/>
      <c r="E2" s="405"/>
    </row>
    <row r="3" spans="1:19" s="139" customFormat="1" ht="18.75" x14ac:dyDescent="0.25">
      <c r="C3" s="56"/>
      <c r="E3" s="834" t="s">
        <v>190</v>
      </c>
      <c r="H3" s="592"/>
      <c r="I3" s="635"/>
    </row>
    <row r="4" spans="1:19" s="139" customFormat="1" ht="18.75" x14ac:dyDescent="0.3">
      <c r="A4" s="2951" t="s">
        <v>354</v>
      </c>
      <c r="B4" s="2951"/>
      <c r="C4" s="2951"/>
      <c r="D4" s="2951"/>
      <c r="E4" s="833"/>
      <c r="F4" s="833"/>
      <c r="G4" s="833"/>
      <c r="H4" s="833"/>
      <c r="I4" s="635"/>
    </row>
    <row r="5" spans="1:19" ht="18.75" x14ac:dyDescent="0.3">
      <c r="A5" s="36" t="s">
        <v>19</v>
      </c>
      <c r="B5" s="142">
        <f>+'RC'!B4</f>
        <v>43221</v>
      </c>
      <c r="C5" s="56"/>
    </row>
    <row r="6" spans="1:19" x14ac:dyDescent="0.25">
      <c r="S6" s="38" t="s">
        <v>102</v>
      </c>
    </row>
    <row r="7" spans="1:19" ht="19.5" x14ac:dyDescent="0.35">
      <c r="A7" s="98" t="s">
        <v>63</v>
      </c>
      <c r="B7" s="98" t="s">
        <v>260</v>
      </c>
      <c r="C7" s="98" t="s">
        <v>261</v>
      </c>
      <c r="D7" s="98" t="s">
        <v>64</v>
      </c>
      <c r="F7" s="284"/>
      <c r="H7" s="636"/>
      <c r="I7" s="2953"/>
      <c r="J7" s="2953"/>
      <c r="K7" s="2953"/>
      <c r="L7" s="2953"/>
    </row>
    <row r="8" spans="1:19" ht="19.5" thickBot="1" x14ac:dyDescent="0.35">
      <c r="A8" s="1757">
        <v>44105</v>
      </c>
      <c r="B8" s="1758">
        <v>1730</v>
      </c>
      <c r="C8" s="1758">
        <v>40</v>
      </c>
      <c r="D8" s="112">
        <f t="shared" ref="D8:D39" si="0">C8-B8</f>
        <v>-1690</v>
      </c>
      <c r="E8" s="318"/>
      <c r="F8" s="285"/>
      <c r="G8" s="605"/>
      <c r="H8" s="605"/>
      <c r="I8" s="771"/>
      <c r="J8" s="283"/>
      <c r="K8" s="283"/>
      <c r="L8" s="283"/>
      <c r="O8" s="283"/>
      <c r="P8" s="283"/>
      <c r="Q8" s="283"/>
    </row>
    <row r="9" spans="1:19" ht="20.25" x14ac:dyDescent="0.3">
      <c r="A9" s="1757">
        <f>+A8+1</f>
        <v>44106</v>
      </c>
      <c r="B9" s="1759">
        <v>1210</v>
      </c>
      <c r="C9" s="1758">
        <v>30</v>
      </c>
      <c r="D9" s="112">
        <f t="shared" si="0"/>
        <v>-1180</v>
      </c>
      <c r="E9" s="318"/>
      <c r="F9" s="405"/>
      <c r="G9" s="772"/>
      <c r="H9" s="77"/>
      <c r="I9" s="771"/>
      <c r="J9" s="773"/>
      <c r="K9" s="773"/>
      <c r="L9" s="773"/>
      <c r="O9" s="283"/>
      <c r="P9" s="405"/>
      <c r="Q9" s="283"/>
    </row>
    <row r="10" spans="1:19" ht="21" thickBot="1" x14ac:dyDescent="0.35">
      <c r="A10" s="1757">
        <f t="shared" ref="A10:A39" si="1">+A9+1</f>
        <v>44107</v>
      </c>
      <c r="B10" s="38">
        <v>8545</v>
      </c>
      <c r="C10" s="1758">
        <v>50</v>
      </c>
      <c r="D10" s="112">
        <f t="shared" si="0"/>
        <v>-8495</v>
      </c>
      <c r="E10" s="318"/>
      <c r="F10" s="405"/>
      <c r="G10" s="774"/>
      <c r="H10" s="77"/>
      <c r="I10" s="771"/>
      <c r="J10" s="773"/>
      <c r="K10" s="2952"/>
      <c r="L10" s="2952"/>
      <c r="O10" s="283"/>
      <c r="P10" s="405"/>
      <c r="Q10" s="283"/>
    </row>
    <row r="11" spans="1:19" ht="21" thickBot="1" x14ac:dyDescent="0.35">
      <c r="A11" s="1757">
        <f t="shared" si="1"/>
        <v>44108</v>
      </c>
      <c r="B11" s="1759">
        <v>4327</v>
      </c>
      <c r="C11" s="1758"/>
      <c r="D11" s="112">
        <f t="shared" si="0"/>
        <v>-4327</v>
      </c>
      <c r="E11" s="318"/>
      <c r="F11" s="405"/>
      <c r="G11" s="774"/>
      <c r="H11" s="77"/>
      <c r="I11" s="771"/>
      <c r="J11" s="773"/>
      <c r="K11" s="2952"/>
      <c r="L11" s="2952"/>
      <c r="O11" s="283"/>
      <c r="P11" s="283"/>
      <c r="Q11" s="283"/>
      <c r="R11" s="283"/>
      <c r="S11" s="283"/>
    </row>
    <row r="12" spans="1:19" ht="20.25" x14ac:dyDescent="0.3">
      <c r="A12" s="1757">
        <f t="shared" si="1"/>
        <v>44109</v>
      </c>
      <c r="B12" s="1759">
        <v>80</v>
      </c>
      <c r="C12" s="1758">
        <v>880</v>
      </c>
      <c r="D12" s="112">
        <f t="shared" si="0"/>
        <v>800</v>
      </c>
      <c r="E12" s="318"/>
      <c r="F12" s="405"/>
      <c r="G12" s="772"/>
      <c r="H12" s="77"/>
      <c r="I12" s="771"/>
      <c r="J12" s="773"/>
      <c r="K12" s="773"/>
      <c r="L12" s="773"/>
      <c r="O12" s="283"/>
      <c r="P12" s="283"/>
      <c r="Q12" s="283"/>
      <c r="R12" s="405"/>
      <c r="S12" s="283"/>
    </row>
    <row r="13" spans="1:19" ht="20.25" x14ac:dyDescent="0.3">
      <c r="A13" s="1757">
        <f t="shared" si="1"/>
        <v>44110</v>
      </c>
      <c r="B13" s="1760">
        <v>13090</v>
      </c>
      <c r="C13" s="1758"/>
      <c r="D13" s="112">
        <f t="shared" si="0"/>
        <v>-13090</v>
      </c>
      <c r="E13" s="318"/>
      <c r="F13" s="285"/>
      <c r="G13" s="774"/>
      <c r="H13" s="77"/>
      <c r="I13" s="771"/>
      <c r="J13" s="773"/>
      <c r="K13" s="2952"/>
      <c r="L13" s="2952"/>
      <c r="O13" s="405"/>
      <c r="P13" s="1814"/>
      <c r="Q13" s="283"/>
      <c r="R13" s="283"/>
      <c r="S13" s="283"/>
    </row>
    <row r="14" spans="1:19" ht="20.25" x14ac:dyDescent="0.3">
      <c r="A14" s="1757">
        <f t="shared" si="1"/>
        <v>44111</v>
      </c>
      <c r="B14" s="1760"/>
      <c r="C14" s="1758">
        <v>16140</v>
      </c>
      <c r="D14" s="112">
        <f t="shared" si="0"/>
        <v>16140</v>
      </c>
      <c r="E14" s="318"/>
      <c r="F14" s="285"/>
      <c r="G14" s="774"/>
      <c r="H14" s="77"/>
      <c r="I14" s="771"/>
      <c r="J14" s="773"/>
      <c r="K14" s="2952"/>
      <c r="L14" s="2952"/>
      <c r="O14" s="405"/>
      <c r="P14" s="405"/>
      <c r="Q14" s="283"/>
      <c r="R14" s="283"/>
      <c r="S14" s="283"/>
    </row>
    <row r="15" spans="1:19" ht="20.25" x14ac:dyDescent="0.3">
      <c r="A15" s="1757">
        <f t="shared" si="1"/>
        <v>44112</v>
      </c>
      <c r="B15" s="1761">
        <v>7380</v>
      </c>
      <c r="C15" s="1758">
        <v>0</v>
      </c>
      <c r="D15" s="112">
        <f t="shared" si="0"/>
        <v>-7380</v>
      </c>
      <c r="E15" s="318"/>
      <c r="F15" s="285"/>
      <c r="G15" s="774"/>
      <c r="H15" s="77"/>
      <c r="I15" s="771"/>
      <c r="J15" s="773"/>
      <c r="K15" s="2952"/>
      <c r="L15" s="2952"/>
      <c r="O15" s="405"/>
      <c r="P15" s="405"/>
      <c r="Q15" s="283"/>
      <c r="R15" s="283"/>
      <c r="S15" s="283"/>
    </row>
    <row r="16" spans="1:19" ht="23.25" x14ac:dyDescent="0.35">
      <c r="A16" s="1757">
        <f t="shared" si="1"/>
        <v>44113</v>
      </c>
      <c r="B16" s="1758">
        <v>1520</v>
      </c>
      <c r="C16" s="1762">
        <v>138</v>
      </c>
      <c r="D16" s="112">
        <f t="shared" si="0"/>
        <v>-1382</v>
      </c>
      <c r="E16" s="318"/>
      <c r="F16" s="424"/>
      <c r="G16" s="774"/>
      <c r="H16" s="77"/>
      <c r="I16" s="771"/>
      <c r="J16" s="773"/>
      <c r="K16" s="2952"/>
      <c r="L16" s="2952"/>
      <c r="O16" s="405"/>
      <c r="P16" s="405"/>
      <c r="Q16" s="283"/>
      <c r="R16" s="283"/>
      <c r="S16" s="283"/>
    </row>
    <row r="17" spans="1:21" ht="24" thickBot="1" x14ac:dyDescent="0.4">
      <c r="A17" s="1757">
        <f t="shared" si="1"/>
        <v>44114</v>
      </c>
      <c r="B17" s="1763"/>
      <c r="C17" s="1762"/>
      <c r="D17" s="112">
        <f t="shared" si="0"/>
        <v>0</v>
      </c>
      <c r="E17" s="318"/>
      <c r="F17" s="424"/>
      <c r="G17" s="774"/>
      <c r="H17" s="77"/>
      <c r="I17" s="771"/>
      <c r="J17" s="773"/>
      <c r="K17" s="2952"/>
      <c r="L17" s="2952"/>
      <c r="O17" s="405"/>
      <c r="P17" s="1815"/>
      <c r="Q17" s="283"/>
      <c r="R17" s="283"/>
      <c r="S17" s="283"/>
    </row>
    <row r="18" spans="1:21" ht="20.25" x14ac:dyDescent="0.3">
      <c r="A18" s="1757">
        <f t="shared" si="1"/>
        <v>44115</v>
      </c>
      <c r="B18" s="1759"/>
      <c r="C18" s="1762"/>
      <c r="D18" s="112">
        <f t="shared" si="0"/>
        <v>0</v>
      </c>
      <c r="E18" s="318"/>
      <c r="F18" s="285"/>
      <c r="G18" s="774"/>
      <c r="H18" s="77"/>
      <c r="I18" s="771"/>
      <c r="J18" s="773"/>
      <c r="K18" s="773"/>
      <c r="L18" s="773"/>
      <c r="O18" s="405"/>
      <c r="P18" s="283"/>
      <c r="Q18" s="283"/>
      <c r="R18" s="283"/>
      <c r="S18" s="283"/>
    </row>
    <row r="19" spans="1:21" ht="20.25" x14ac:dyDescent="0.3">
      <c r="A19" s="1757">
        <f t="shared" si="1"/>
        <v>44116</v>
      </c>
      <c r="B19" s="1760"/>
      <c r="C19" s="1758"/>
      <c r="D19" s="112">
        <f t="shared" si="0"/>
        <v>0</v>
      </c>
      <c r="E19" s="318"/>
      <c r="F19" s="285"/>
      <c r="G19" s="774"/>
      <c r="H19" s="77"/>
      <c r="I19" s="771"/>
      <c r="J19" s="773"/>
      <c r="K19" s="2952"/>
      <c r="L19" s="2952"/>
      <c r="O19" s="405"/>
      <c r="P19" s="405"/>
      <c r="Q19" s="283"/>
      <c r="R19" s="283"/>
      <c r="S19" s="283"/>
    </row>
    <row r="20" spans="1:21" ht="20.25" x14ac:dyDescent="0.3">
      <c r="A20" s="1757">
        <f t="shared" si="1"/>
        <v>44117</v>
      </c>
      <c r="B20" s="1758"/>
      <c r="C20" s="1758"/>
      <c r="D20" s="112">
        <f t="shared" si="0"/>
        <v>0</v>
      </c>
      <c r="E20" s="318"/>
      <c r="F20" s="285"/>
      <c r="G20" s="774"/>
      <c r="H20" s="77"/>
      <c r="I20" s="771"/>
      <c r="J20" s="773"/>
      <c r="K20" s="773"/>
      <c r="L20" s="773"/>
      <c r="O20" s="405"/>
      <c r="P20" s="405"/>
      <c r="Q20" s="283"/>
      <c r="R20" s="283"/>
      <c r="S20" s="283"/>
    </row>
    <row r="21" spans="1:21" ht="20.25" x14ac:dyDescent="0.3">
      <c r="A21" s="1757">
        <f t="shared" si="1"/>
        <v>44118</v>
      </c>
      <c r="B21" s="1758"/>
      <c r="C21" s="1758"/>
      <c r="D21" s="112">
        <f t="shared" si="0"/>
        <v>0</v>
      </c>
      <c r="E21" s="318"/>
      <c r="F21" s="285"/>
      <c r="G21" s="774"/>
      <c r="H21" s="77"/>
      <c r="I21" s="771"/>
      <c r="J21" s="773"/>
      <c r="K21" s="773"/>
      <c r="L21" s="773"/>
      <c r="O21" s="405"/>
      <c r="P21" s="283"/>
      <c r="Q21" s="283"/>
      <c r="R21" s="283"/>
      <c r="S21" s="283"/>
    </row>
    <row r="22" spans="1:21" ht="18.75" x14ac:dyDescent="0.3">
      <c r="A22" s="1757">
        <f t="shared" si="1"/>
        <v>44119</v>
      </c>
      <c r="B22" s="1758"/>
      <c r="C22" s="1762"/>
      <c r="D22" s="112">
        <f>C22-B22</f>
        <v>0</v>
      </c>
      <c r="E22" s="318"/>
      <c r="F22" s="285"/>
      <c r="G22" s="774"/>
      <c r="H22" s="77"/>
      <c r="I22" s="771"/>
      <c r="J22" s="773"/>
      <c r="K22" s="2952"/>
      <c r="L22" s="2952"/>
      <c r="O22" s="1849"/>
      <c r="P22" s="1849"/>
      <c r="Q22" s="283"/>
      <c r="R22" s="283"/>
      <c r="S22" s="283"/>
    </row>
    <row r="23" spans="1:21" ht="18.75" x14ac:dyDescent="0.3">
      <c r="A23" s="1757">
        <f t="shared" si="1"/>
        <v>44120</v>
      </c>
      <c r="B23" s="1758"/>
      <c r="C23" s="1762"/>
      <c r="D23" s="112">
        <f t="shared" si="0"/>
        <v>0</v>
      </c>
      <c r="E23" s="318"/>
      <c r="F23" s="285"/>
      <c r="G23" s="774"/>
      <c r="H23" s="77"/>
      <c r="I23" s="771"/>
      <c r="J23" s="773"/>
      <c r="K23" s="2952"/>
      <c r="L23" s="2952"/>
      <c r="O23" s="283"/>
      <c r="P23" s="283"/>
      <c r="Q23" s="283"/>
      <c r="R23" s="283"/>
      <c r="S23" s="283"/>
    </row>
    <row r="24" spans="1:21" ht="20.25" x14ac:dyDescent="0.3">
      <c r="A24" s="1757">
        <f t="shared" si="1"/>
        <v>44121</v>
      </c>
      <c r="B24" s="1758"/>
      <c r="C24" s="1762"/>
      <c r="D24" s="112">
        <f t="shared" si="0"/>
        <v>0</v>
      </c>
      <c r="E24" s="318"/>
      <c r="F24" s="285"/>
      <c r="G24" s="775"/>
      <c r="H24" s="405"/>
      <c r="I24" s="771"/>
      <c r="J24" s="773"/>
      <c r="K24" s="2952"/>
      <c r="L24" s="2952"/>
      <c r="O24" s="816"/>
      <c r="P24" s="816"/>
      <c r="Q24" s="283"/>
      <c r="R24" s="283"/>
      <c r="S24" s="283"/>
    </row>
    <row r="25" spans="1:21" ht="20.25" x14ac:dyDescent="0.3">
      <c r="A25" s="1757">
        <f t="shared" si="1"/>
        <v>44122</v>
      </c>
      <c r="B25" s="1758"/>
      <c r="C25" s="1762"/>
      <c r="D25" s="112">
        <f t="shared" si="0"/>
        <v>0</v>
      </c>
      <c r="E25" s="318"/>
      <c r="F25" s="285"/>
      <c r="G25" s="775"/>
      <c r="H25" s="405"/>
      <c r="I25" s="771"/>
      <c r="J25" s="773"/>
      <c r="K25" s="2952"/>
      <c r="L25" s="2952"/>
      <c r="N25" s="405"/>
      <c r="O25" s="283"/>
      <c r="P25" s="1943"/>
      <c r="Q25" s="1142"/>
    </row>
    <row r="26" spans="1:21" ht="20.25" x14ac:dyDescent="0.3">
      <c r="A26" s="1757">
        <f t="shared" si="1"/>
        <v>44123</v>
      </c>
      <c r="B26" s="1758"/>
      <c r="C26" s="1762"/>
      <c r="D26" s="112">
        <f t="shared" si="0"/>
        <v>0</v>
      </c>
      <c r="E26" s="318"/>
      <c r="F26" s="285"/>
      <c r="G26" s="774"/>
      <c r="H26" s="77"/>
      <c r="I26" s="771"/>
      <c r="J26" s="773"/>
      <c r="K26" s="773"/>
      <c r="L26" s="773"/>
      <c r="N26" s="405"/>
      <c r="O26" s="876"/>
      <c r="Q26" s="283"/>
    </row>
    <row r="27" spans="1:21" ht="18.75" x14ac:dyDescent="0.3">
      <c r="A27" s="1757">
        <f t="shared" si="1"/>
        <v>44124</v>
      </c>
      <c r="B27" s="1758"/>
      <c r="C27" s="1762"/>
      <c r="D27" s="112">
        <f t="shared" si="0"/>
        <v>0</v>
      </c>
      <c r="E27" s="318"/>
      <c r="F27" s="285"/>
      <c r="G27" s="774"/>
      <c r="H27" s="77"/>
      <c r="I27" s="771"/>
      <c r="J27" s="773"/>
      <c r="K27" s="2952"/>
      <c r="L27" s="2952"/>
      <c r="P27" s="876"/>
    </row>
    <row r="28" spans="1:21" ht="20.25" x14ac:dyDescent="0.3">
      <c r="A28" s="1757">
        <f t="shared" si="1"/>
        <v>44125</v>
      </c>
      <c r="B28" s="1758"/>
      <c r="C28" s="1762"/>
      <c r="D28" s="112">
        <f t="shared" si="0"/>
        <v>0</v>
      </c>
      <c r="E28" s="318"/>
      <c r="F28" s="285"/>
      <c r="G28" s="774"/>
      <c r="H28" s="77"/>
      <c r="I28" s="771"/>
      <c r="J28" s="773"/>
      <c r="K28" s="2952"/>
      <c r="L28" s="2952"/>
      <c r="O28" s="405"/>
      <c r="P28" s="283"/>
    </row>
    <row r="29" spans="1:21" ht="20.25" x14ac:dyDescent="0.3">
      <c r="A29" s="1757">
        <f t="shared" si="1"/>
        <v>44126</v>
      </c>
      <c r="B29" s="1758"/>
      <c r="C29" s="1758"/>
      <c r="D29" s="112">
        <f t="shared" si="0"/>
        <v>0</v>
      </c>
      <c r="E29" s="318"/>
      <c r="F29" s="285"/>
      <c r="H29" s="637"/>
      <c r="I29" s="2956"/>
      <c r="J29" s="2956"/>
      <c r="K29" s="2956"/>
      <c r="L29" s="2956"/>
      <c r="O29" s="405"/>
      <c r="P29" s="405"/>
    </row>
    <row r="30" spans="1:21" ht="20.25" x14ac:dyDescent="0.3">
      <c r="A30" s="1757">
        <f t="shared" si="1"/>
        <v>44127</v>
      </c>
      <c r="B30" s="1758"/>
      <c r="C30" s="1758"/>
      <c r="D30" s="112">
        <f t="shared" si="0"/>
        <v>0</v>
      </c>
      <c r="E30" s="318"/>
      <c r="F30" s="285"/>
      <c r="G30" s="775"/>
      <c r="H30" s="434"/>
      <c r="I30" s="771"/>
      <c r="J30" s="283"/>
      <c r="K30" s="2955"/>
      <c r="L30" s="2955"/>
      <c r="O30" s="149"/>
      <c r="P30" s="2705"/>
    </row>
    <row r="31" spans="1:21" ht="20.25" x14ac:dyDescent="0.3">
      <c r="A31" s="1757">
        <f t="shared" si="1"/>
        <v>44128</v>
      </c>
      <c r="B31" s="1758"/>
      <c r="C31" s="1758"/>
      <c r="D31" s="112">
        <f>C31-B31</f>
        <v>0</v>
      </c>
      <c r="E31" s="318"/>
      <c r="F31" s="285"/>
      <c r="G31" s="776"/>
      <c r="H31" s="434"/>
      <c r="I31" s="771"/>
      <c r="J31" s="283"/>
      <c r="K31" s="2955"/>
      <c r="L31" s="2955"/>
      <c r="N31" s="283"/>
      <c r="O31" s="149"/>
      <c r="P31" s="2705"/>
      <c r="Q31" s="218"/>
    </row>
    <row r="32" spans="1:21" ht="20.25" x14ac:dyDescent="0.3">
      <c r="A32" s="1757">
        <f t="shared" si="1"/>
        <v>44129</v>
      </c>
      <c r="B32" s="1758"/>
      <c r="C32" s="1758"/>
      <c r="D32" s="112">
        <f>C32-B32</f>
        <v>0</v>
      </c>
      <c r="E32" s="218"/>
      <c r="F32" s="285"/>
      <c r="G32" s="775"/>
      <c r="H32" s="434"/>
      <c r="I32" s="771"/>
      <c r="J32" s="283"/>
      <c r="K32" s="2955"/>
      <c r="L32" s="2955"/>
      <c r="N32" s="1798"/>
      <c r="O32" s="149"/>
      <c r="P32" s="2706"/>
      <c r="U32" s="318"/>
    </row>
    <row r="33" spans="1:17" ht="21" thickBot="1" x14ac:dyDescent="0.35">
      <c r="A33" s="1757">
        <f t="shared" si="1"/>
        <v>44130</v>
      </c>
      <c r="B33" s="1758"/>
      <c r="C33" s="1758"/>
      <c r="D33" s="112">
        <f t="shared" si="0"/>
        <v>0</v>
      </c>
      <c r="E33" s="318"/>
      <c r="F33" s="285"/>
      <c r="G33" s="775"/>
      <c r="H33" s="434"/>
      <c r="I33" s="771"/>
      <c r="J33" s="283"/>
      <c r="K33" s="2955"/>
      <c r="L33" s="2955"/>
      <c r="N33" s="405"/>
      <c r="O33" s="149"/>
      <c r="P33" s="149"/>
    </row>
    <row r="34" spans="1:17" ht="18.75" x14ac:dyDescent="0.3">
      <c r="A34" s="1757">
        <f t="shared" si="1"/>
        <v>44131</v>
      </c>
      <c r="B34" s="2510"/>
      <c r="C34" s="1758"/>
      <c r="D34" s="112">
        <f>C34-B34</f>
        <v>0</v>
      </c>
      <c r="E34" s="318"/>
      <c r="F34" s="285"/>
      <c r="G34" s="633"/>
      <c r="H34" s="434"/>
      <c r="I34" s="771"/>
      <c r="J34" s="283"/>
      <c r="K34" s="2955"/>
      <c r="L34" s="2955"/>
      <c r="N34" s="283"/>
      <c r="O34" s="149"/>
      <c r="P34" s="149"/>
    </row>
    <row r="35" spans="1:17" ht="20.25" x14ac:dyDescent="0.3">
      <c r="A35" s="1757">
        <f t="shared" si="1"/>
        <v>44132</v>
      </c>
      <c r="B35" s="1758"/>
      <c r="C35" s="1758"/>
      <c r="D35" s="112">
        <f t="shared" si="0"/>
        <v>0</v>
      </c>
      <c r="E35" s="318"/>
      <c r="F35" s="405"/>
      <c r="G35" s="633"/>
      <c r="H35" s="434"/>
      <c r="I35" s="777"/>
      <c r="J35" s="283"/>
      <c r="K35" s="2955"/>
      <c r="L35" s="2955"/>
      <c r="N35" s="1798"/>
      <c r="Q35" s="283"/>
    </row>
    <row r="36" spans="1:17" ht="20.25" x14ac:dyDescent="0.3">
      <c r="A36" s="1757">
        <f t="shared" si="1"/>
        <v>44133</v>
      </c>
      <c r="B36" s="1758"/>
      <c r="C36" s="1758"/>
      <c r="D36" s="112">
        <f t="shared" si="0"/>
        <v>0</v>
      </c>
      <c r="E36" s="318"/>
      <c r="F36" s="405"/>
      <c r="G36" s="633"/>
      <c r="N36" s="405"/>
      <c r="Q36" s="1798"/>
    </row>
    <row r="37" spans="1:17" ht="20.25" x14ac:dyDescent="0.3">
      <c r="A37" s="1757">
        <f t="shared" si="1"/>
        <v>44134</v>
      </c>
      <c r="B37" s="1758"/>
      <c r="C37" s="1758"/>
      <c r="D37" s="112">
        <f t="shared" si="0"/>
        <v>0</v>
      </c>
      <c r="E37" s="318"/>
      <c r="F37" s="285"/>
      <c r="G37" s="286"/>
      <c r="Q37" s="1798"/>
    </row>
    <row r="38" spans="1:17" ht="18.75" x14ac:dyDescent="0.3">
      <c r="A38" s="1757">
        <f t="shared" si="1"/>
        <v>44135</v>
      </c>
      <c r="B38" s="1758"/>
      <c r="C38" s="1758"/>
      <c r="D38" s="112">
        <f t="shared" si="0"/>
        <v>0</v>
      </c>
      <c r="E38" s="318"/>
      <c r="F38" s="285"/>
      <c r="G38" s="2954"/>
      <c r="H38" s="2954"/>
      <c r="I38" s="2954"/>
      <c r="J38" s="2954"/>
      <c r="K38" s="2954"/>
      <c r="L38" s="2954"/>
      <c r="Q38" s="283"/>
    </row>
    <row r="39" spans="1:17" ht="18.75" x14ac:dyDescent="0.3">
      <c r="A39" s="1757">
        <f t="shared" si="1"/>
        <v>44136</v>
      </c>
      <c r="B39" s="1763"/>
      <c r="C39" s="1758"/>
      <c r="D39" s="112">
        <f t="shared" si="0"/>
        <v>0</v>
      </c>
      <c r="E39" s="318"/>
      <c r="F39" s="285"/>
      <c r="G39" s="2954"/>
      <c r="H39" s="2954"/>
      <c r="I39" s="2954"/>
      <c r="J39" s="2954"/>
      <c r="K39" s="2954"/>
      <c r="L39" s="2954"/>
    </row>
    <row r="40" spans="1:17" ht="19.5" x14ac:dyDescent="0.35">
      <c r="A40" s="1757" t="s">
        <v>18</v>
      </c>
      <c r="B40" s="113">
        <f>SUM(B8:B39)</f>
        <v>37882</v>
      </c>
      <c r="C40" s="113">
        <f>SUM(C8:C39)</f>
        <v>17278</v>
      </c>
      <c r="D40" s="1764">
        <f>+SUM(D8:D39)</f>
        <v>-20604</v>
      </c>
      <c r="E40" s="318"/>
      <c r="F40" s="287"/>
      <c r="G40" s="2954"/>
      <c r="H40" s="2954"/>
      <c r="I40" s="2954"/>
      <c r="J40" s="2954"/>
      <c r="K40" s="2954"/>
      <c r="L40" s="2954"/>
    </row>
    <row r="41" spans="1:17" hidden="1" x14ac:dyDescent="0.25">
      <c r="A41" s="1757" t="e">
        <f>1+A40</f>
        <v>#VALUE!</v>
      </c>
      <c r="B41" s="1038"/>
      <c r="C41" s="1038"/>
      <c r="D41" s="1765">
        <v>-65330</v>
      </c>
      <c r="E41" s="318">
        <f>D41-'[4]Mqt +abs'!$AP$9</f>
        <v>-54507</v>
      </c>
      <c r="G41" s="2954"/>
      <c r="H41" s="2954"/>
      <c r="I41" s="2954"/>
      <c r="J41" s="2954"/>
      <c r="K41" s="2954"/>
      <c r="L41" s="2954"/>
    </row>
    <row r="42" spans="1:17" ht="27" hidden="1" customHeight="1" x14ac:dyDescent="0.25">
      <c r="A42" s="1757" t="e">
        <f>1+A41</f>
        <v>#VALUE!</v>
      </c>
      <c r="B42" s="1038"/>
      <c r="C42" s="1038"/>
      <c r="D42" s="1765">
        <f>+D40-D41</f>
        <v>44726</v>
      </c>
      <c r="E42" s="318">
        <f>D42-'[4]Mqt +abs'!$AP$9</f>
        <v>55549</v>
      </c>
      <c r="G42" s="2954"/>
      <c r="H42" s="2954"/>
      <c r="I42" s="2954"/>
      <c r="J42" s="2954"/>
      <c r="K42" s="2954"/>
      <c r="L42" s="2954"/>
    </row>
    <row r="43" spans="1:17" x14ac:dyDescent="0.25">
      <c r="A43" s="37"/>
      <c r="B43" s="37"/>
      <c r="C43" s="37"/>
      <c r="D43" s="37"/>
    </row>
    <row r="44" spans="1:17" x14ac:dyDescent="0.25">
      <c r="D44" s="218">
        <f>+O30</f>
        <v>0</v>
      </c>
    </row>
    <row r="45" spans="1:17" x14ac:dyDescent="0.25">
      <c r="E45" s="218"/>
      <c r="H45" s="638"/>
      <c r="O45" s="218"/>
    </row>
    <row r="46" spans="1:17" ht="20.25" x14ac:dyDescent="0.3">
      <c r="C46" s="405"/>
    </row>
    <row r="47" spans="1:17" ht="20.25" x14ac:dyDescent="0.3">
      <c r="C47" s="405"/>
      <c r="P47" s="218"/>
    </row>
    <row r="49" spans="2:16" ht="20.25" x14ac:dyDescent="0.3">
      <c r="C49" s="405"/>
    </row>
    <row r="50" spans="2:16" ht="21" thickBot="1" x14ac:dyDescent="0.35">
      <c r="C50" s="405"/>
    </row>
    <row r="51" spans="2:16" s="1499" customFormat="1" x14ac:dyDescent="0.25">
      <c r="B51" s="1518" t="s">
        <v>864</v>
      </c>
      <c r="C51" s="1519" t="s">
        <v>141</v>
      </c>
      <c r="D51" s="1519" t="s">
        <v>624</v>
      </c>
      <c r="E51" s="1519" t="s">
        <v>37</v>
      </c>
      <c r="F51" s="1519"/>
      <c r="G51" s="1519"/>
      <c r="H51" s="1514"/>
      <c r="I51" s="1520"/>
      <c r="J51" s="1519"/>
      <c r="K51" s="1519"/>
      <c r="L51" s="1519"/>
      <c r="M51" s="1519"/>
      <c r="N51" s="1519" t="s">
        <v>404</v>
      </c>
      <c r="O51" s="1519" t="s">
        <v>184</v>
      </c>
      <c r="P51" s="1521" t="s">
        <v>874</v>
      </c>
    </row>
    <row r="52" spans="2:16" x14ac:dyDescent="0.25">
      <c r="B52" s="1522" t="s">
        <v>876</v>
      </c>
      <c r="C52" s="73">
        <f>212100/606</f>
        <v>350</v>
      </c>
      <c r="D52" s="73">
        <v>606</v>
      </c>
      <c r="E52" s="73">
        <f>+C52*D52</f>
        <v>212100</v>
      </c>
      <c r="F52" s="72"/>
      <c r="G52" s="72"/>
      <c r="H52" s="97"/>
      <c r="I52" s="73"/>
      <c r="J52" s="72"/>
      <c r="K52" s="72"/>
      <c r="L52" s="72"/>
      <c r="M52" s="72"/>
      <c r="N52" s="72" t="s">
        <v>860</v>
      </c>
      <c r="O52" s="1517" t="s">
        <v>871</v>
      </c>
      <c r="P52" s="1523" t="s">
        <v>875</v>
      </c>
    </row>
    <row r="53" spans="2:16" x14ac:dyDescent="0.25">
      <c r="B53" s="1522" t="s">
        <v>873</v>
      </c>
      <c r="C53" s="73">
        <f>885948/597</f>
        <v>1484</v>
      </c>
      <c r="D53" s="73">
        <v>597</v>
      </c>
      <c r="E53" s="73">
        <v>885948</v>
      </c>
      <c r="F53" s="72"/>
      <c r="G53" s="72"/>
      <c r="H53" s="97"/>
      <c r="I53" s="73"/>
      <c r="J53" s="72"/>
      <c r="K53" s="72"/>
      <c r="L53" s="72"/>
      <c r="M53" s="72"/>
      <c r="N53" s="72" t="s">
        <v>855</v>
      </c>
      <c r="O53" s="1517" t="s">
        <v>872</v>
      </c>
      <c r="P53" s="1523" t="s">
        <v>310</v>
      </c>
    </row>
    <row r="54" spans="2:16" ht="18.75" thickBot="1" x14ac:dyDescent="0.3">
      <c r="B54" s="1524" t="s">
        <v>18</v>
      </c>
      <c r="C54" s="1525">
        <f>SUM(C52:C53)</f>
        <v>1834</v>
      </c>
      <c r="D54" s="1525"/>
      <c r="E54" s="1525">
        <f>SUM(E52:E53)</f>
        <v>1098048</v>
      </c>
      <c r="F54" s="1525"/>
      <c r="G54" s="1525"/>
      <c r="H54" s="1525"/>
      <c r="I54" s="1525"/>
      <c r="J54" s="1525"/>
      <c r="K54" s="1525"/>
      <c r="L54" s="1525"/>
      <c r="M54" s="1525"/>
      <c r="N54" s="1525"/>
      <c r="O54" s="1526"/>
      <c r="P54" s="1527"/>
    </row>
    <row r="55" spans="2:16" x14ac:dyDescent="0.25">
      <c r="C55" s="634"/>
      <c r="D55" s="634"/>
      <c r="E55" s="634"/>
      <c r="F55" s="771"/>
      <c r="G55" s="771"/>
      <c r="H55" s="673"/>
      <c r="J55" s="634"/>
      <c r="K55" s="634"/>
      <c r="L55" s="634"/>
      <c r="M55" s="634"/>
      <c r="N55" s="634"/>
      <c r="O55" s="1516"/>
    </row>
    <row r="56" spans="2:16" x14ac:dyDescent="0.25">
      <c r="O56" s="1516"/>
    </row>
    <row r="57" spans="2:16" x14ac:dyDescent="0.25">
      <c r="O57" s="1516"/>
    </row>
  </sheetData>
  <mergeCells count="24">
    <mergeCell ref="G38:L42"/>
    <mergeCell ref="K34:L34"/>
    <mergeCell ref="K35:L35"/>
    <mergeCell ref="I29:L29"/>
    <mergeCell ref="K30:L30"/>
    <mergeCell ref="K31:L31"/>
    <mergeCell ref="K32:L32"/>
    <mergeCell ref="K33:L33"/>
    <mergeCell ref="A4:D4"/>
    <mergeCell ref="K28:L28"/>
    <mergeCell ref="K15:L15"/>
    <mergeCell ref="K16:L16"/>
    <mergeCell ref="K17:L17"/>
    <mergeCell ref="K19:L19"/>
    <mergeCell ref="K22:L22"/>
    <mergeCell ref="K23:L23"/>
    <mergeCell ref="K24:L24"/>
    <mergeCell ref="K25:L25"/>
    <mergeCell ref="K27:L27"/>
    <mergeCell ref="I7:L7"/>
    <mergeCell ref="K10:L10"/>
    <mergeCell ref="K11:L11"/>
    <mergeCell ref="K13:L13"/>
    <mergeCell ref="K14:L14"/>
  </mergeCells>
  <printOptions horizontalCentered="1"/>
  <pageMargins left="0.39370078740157483" right="0.39370078740157483" top="0.39370078740157483" bottom="0.74803149606299213" header="0.31496062992125984" footer="0.31496062992125984"/>
  <pageSetup paperSize="9" scale="10" orientation="landscape"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7">
    <pageSetUpPr fitToPage="1"/>
  </sheetPr>
  <dimension ref="A1:XEZ158"/>
  <sheetViews>
    <sheetView tabSelected="1" zoomScaleNormal="100" workbookViewId="0">
      <selection activeCell="AS14" sqref="AS14"/>
    </sheetView>
  </sheetViews>
  <sheetFormatPr baseColWidth="10" defaultRowHeight="18" x14ac:dyDescent="0.25"/>
  <cols>
    <col min="1" max="1" width="19.28515625" style="38" customWidth="1"/>
    <col min="2" max="2" width="22.7109375" style="38" customWidth="1"/>
    <col min="3" max="3" width="20.140625" style="38" customWidth="1"/>
    <col min="4" max="4" width="19.28515625" style="38" customWidth="1"/>
    <col min="5" max="5" width="19.7109375" style="139" customWidth="1"/>
    <col min="6" max="6" width="0.7109375" style="139" customWidth="1"/>
    <col min="7" max="7" width="20.7109375" style="38" hidden="1" customWidth="1"/>
    <col min="8" max="8" width="31.42578125" style="38" hidden="1" customWidth="1"/>
    <col min="9" max="9" width="17.5703125" style="38" hidden="1" customWidth="1"/>
    <col min="10" max="10" width="6.28515625" style="139" hidden="1" customWidth="1"/>
    <col min="11" max="12" width="13.5703125" style="139" hidden="1" customWidth="1"/>
    <col min="13" max="13" width="6.28515625" style="139" hidden="1" customWidth="1"/>
    <col min="14" max="14" width="14.140625" style="38" hidden="1" customWidth="1"/>
    <col min="15" max="15" width="17.7109375" style="38" hidden="1" customWidth="1"/>
    <col min="16" max="16" width="19.42578125" style="38" hidden="1" customWidth="1"/>
    <col min="17" max="17" width="20.7109375" style="38" hidden="1" customWidth="1"/>
    <col min="18" max="18" width="13.7109375" style="38" hidden="1" customWidth="1"/>
    <col min="19" max="19" width="30.28515625" style="38" hidden="1" customWidth="1"/>
    <col min="20" max="20" width="16.7109375" style="38" hidden="1" customWidth="1"/>
    <col min="21" max="21" width="11.42578125" style="38" hidden="1" customWidth="1"/>
    <col min="22" max="22" width="15.5703125" style="38" hidden="1" customWidth="1"/>
    <col min="23" max="42" width="0" style="38" hidden="1" customWidth="1"/>
    <col min="43" max="16384" width="11.42578125" style="38"/>
  </cols>
  <sheetData>
    <row r="1" spans="1:20" s="139" customFormat="1" ht="18.75" x14ac:dyDescent="0.25">
      <c r="A1" s="314" t="s">
        <v>170</v>
      </c>
      <c r="B1" s="237"/>
      <c r="C1" s="237"/>
      <c r="E1" s="139">
        <v>6511575</v>
      </c>
      <c r="G1" s="314" t="s">
        <v>170</v>
      </c>
      <c r="H1" s="237"/>
      <c r="N1" s="314" t="s">
        <v>170</v>
      </c>
      <c r="O1" s="32"/>
      <c r="P1" s="237"/>
      <c r="Q1" s="237"/>
      <c r="R1" s="237"/>
      <c r="S1" s="237"/>
    </row>
    <row r="2" spans="1:20" s="139" customFormat="1" ht="21" customHeight="1" x14ac:dyDescent="0.3">
      <c r="A2" s="330" t="s">
        <v>212</v>
      </c>
      <c r="B2" s="237"/>
      <c r="C2" s="237"/>
      <c r="G2" s="330" t="s">
        <v>212</v>
      </c>
      <c r="H2" s="747"/>
      <c r="I2" s="139">
        <f>5*24</f>
        <v>120</v>
      </c>
      <c r="N2" s="330" t="s">
        <v>212</v>
      </c>
      <c r="O2" s="32"/>
      <c r="P2" s="747"/>
      <c r="Q2" s="747"/>
      <c r="R2" s="237"/>
      <c r="S2" s="237"/>
    </row>
    <row r="3" spans="1:20" ht="11.25" customHeight="1" x14ac:dyDescent="0.25">
      <c r="B3" s="50"/>
      <c r="C3" s="50"/>
      <c r="D3" s="50">
        <v>5494450</v>
      </c>
      <c r="E3" s="50">
        <v>6215735</v>
      </c>
      <c r="F3" s="50"/>
    </row>
    <row r="4" spans="1:20" ht="19.5" thickBot="1" x14ac:dyDescent="0.3">
      <c r="B4" s="50"/>
      <c r="C4" s="50"/>
      <c r="D4" s="50"/>
      <c r="E4" s="50"/>
      <c r="F4" s="50"/>
      <c r="I4" s="392"/>
      <c r="T4" s="392" t="s">
        <v>190</v>
      </c>
    </row>
    <row r="5" spans="1:20" s="18" customFormat="1" ht="20.25" customHeight="1" thickBot="1" x14ac:dyDescent="0.4">
      <c r="A5" s="2968" t="s">
        <v>159</v>
      </c>
      <c r="B5" s="2969"/>
      <c r="C5" s="2969"/>
      <c r="D5" s="2970"/>
      <c r="E5" s="998">
        <v>10564775</v>
      </c>
      <c r="F5" s="140"/>
      <c r="G5" s="2957" t="s">
        <v>358</v>
      </c>
      <c r="H5" s="2958"/>
      <c r="I5" s="2959"/>
      <c r="J5" s="49"/>
      <c r="K5" s="2957" t="s">
        <v>1158</v>
      </c>
      <c r="L5" s="2959"/>
      <c r="M5" s="49"/>
      <c r="N5" s="2957" t="s">
        <v>358</v>
      </c>
      <c r="O5" s="2958"/>
      <c r="P5" s="2958"/>
      <c r="Q5" s="2958"/>
      <c r="R5" s="2958"/>
      <c r="S5" s="2958"/>
      <c r="T5" s="2959"/>
    </row>
    <row r="6" spans="1:20" ht="19.5" x14ac:dyDescent="0.35">
      <c r="B6" s="140"/>
      <c r="C6" s="790"/>
      <c r="D6" s="71"/>
      <c r="E6" s="140"/>
      <c r="F6" s="140"/>
      <c r="H6" s="19"/>
      <c r="I6" s="19"/>
      <c r="P6" s="19"/>
      <c r="Q6" s="19"/>
      <c r="R6" s="19"/>
    </row>
    <row r="7" spans="1:20" ht="19.5" x14ac:dyDescent="0.35">
      <c r="A7" s="141" t="s">
        <v>19</v>
      </c>
      <c r="B7" s="268">
        <f>+'ecart pp'!B5</f>
        <v>43221</v>
      </c>
      <c r="C7" s="352"/>
      <c r="G7" s="141" t="s">
        <v>19</v>
      </c>
      <c r="H7" s="268">
        <f>+B7</f>
        <v>43221</v>
      </c>
      <c r="I7" s="19"/>
      <c r="N7" s="749" t="s">
        <v>19</v>
      </c>
      <c r="O7" s="750">
        <f>+H7</f>
        <v>43221</v>
      </c>
      <c r="P7" s="143"/>
      <c r="Q7" s="143"/>
      <c r="R7" s="19"/>
    </row>
    <row r="8" spans="1:20" ht="19.5" x14ac:dyDescent="0.35">
      <c r="A8" s="36" t="s">
        <v>153</v>
      </c>
      <c r="B8" s="51"/>
      <c r="C8" s="2585"/>
      <c r="D8" s="1299"/>
      <c r="E8" s="2586"/>
      <c r="G8" s="36" t="s">
        <v>153</v>
      </c>
      <c r="H8" s="51" t="s">
        <v>1167</v>
      </c>
      <c r="I8" s="19"/>
      <c r="N8" s="748" t="s">
        <v>153</v>
      </c>
      <c r="O8" s="51" t="s">
        <v>1045</v>
      </c>
      <c r="P8" s="142"/>
      <c r="Q8" s="142"/>
      <c r="R8" s="19"/>
    </row>
    <row r="9" spans="1:20" ht="20.25" thickBot="1" x14ac:dyDescent="0.4">
      <c r="A9" s="141" t="s">
        <v>51</v>
      </c>
      <c r="D9" s="218"/>
      <c r="E9" s="2584"/>
      <c r="F9" s="49"/>
      <c r="G9" s="36" t="s">
        <v>128</v>
      </c>
      <c r="H9" s="36"/>
      <c r="N9" s="36" t="s">
        <v>128</v>
      </c>
      <c r="O9" s="36"/>
    </row>
    <row r="10" spans="1:20" ht="17.25" customHeight="1" thickBot="1" x14ac:dyDescent="0.4">
      <c r="A10" s="144" t="s">
        <v>3</v>
      </c>
      <c r="B10" s="391" t="s">
        <v>242</v>
      </c>
      <c r="C10" s="391" t="s">
        <v>232</v>
      </c>
      <c r="D10" s="339" t="s">
        <v>37</v>
      </c>
      <c r="E10" s="353" t="s">
        <v>151</v>
      </c>
      <c r="F10" s="49"/>
      <c r="G10" s="2962" t="s">
        <v>1826</v>
      </c>
      <c r="H10" s="2963"/>
      <c r="I10" s="2964"/>
      <c r="J10" s="49"/>
      <c r="K10" s="2971" t="s">
        <v>1827</v>
      </c>
      <c r="L10" s="2972"/>
      <c r="M10" s="49"/>
      <c r="N10" s="2983" t="s">
        <v>388</v>
      </c>
      <c r="O10" s="2984"/>
      <c r="P10" s="2984"/>
      <c r="Q10" s="2984"/>
      <c r="R10" s="2984"/>
      <c r="S10" s="2984"/>
      <c r="T10" s="2985"/>
    </row>
    <row r="11" spans="1:20" ht="15.75" customHeight="1" thickBot="1" x14ac:dyDescent="0.4">
      <c r="A11" s="379">
        <v>44104</v>
      </c>
      <c r="B11" s="1335"/>
      <c r="C11" s="1744"/>
      <c r="D11" s="2481">
        <v>1890050</v>
      </c>
      <c r="E11" s="1261">
        <f>+D11</f>
        <v>1890050</v>
      </c>
      <c r="F11" s="49"/>
      <c r="G11" s="2005" t="s">
        <v>164</v>
      </c>
      <c r="H11" s="2005" t="s">
        <v>385</v>
      </c>
      <c r="I11" s="2005" t="s">
        <v>37</v>
      </c>
      <c r="J11" s="49"/>
      <c r="K11" s="2127" t="s">
        <v>164</v>
      </c>
      <c r="L11" s="2127" t="s">
        <v>37</v>
      </c>
      <c r="M11" s="49"/>
      <c r="N11" s="751" t="s">
        <v>164</v>
      </c>
      <c r="O11" s="752" t="s">
        <v>42</v>
      </c>
      <c r="P11" s="752" t="s">
        <v>141</v>
      </c>
      <c r="Q11" s="752"/>
      <c r="R11" s="752" t="s">
        <v>37</v>
      </c>
      <c r="S11" s="752" t="s">
        <v>387</v>
      </c>
      <c r="T11" s="752" t="s">
        <v>55</v>
      </c>
    </row>
    <row r="12" spans="1:20" ht="15.75" customHeight="1" thickBot="1" x14ac:dyDescent="0.4">
      <c r="A12" s="379">
        <v>44105</v>
      </c>
      <c r="B12" s="1335"/>
      <c r="C12" s="1744"/>
      <c r="D12" s="2482">
        <v>3039000</v>
      </c>
      <c r="E12" s="1261">
        <f t="shared" ref="E12:E41" si="0">+D12</f>
        <v>3039000</v>
      </c>
      <c r="F12" s="49"/>
      <c r="G12" s="2006"/>
      <c r="H12" s="2007" t="s">
        <v>2116</v>
      </c>
      <c r="I12" s="2154">
        <v>50000</v>
      </c>
      <c r="J12" s="49"/>
      <c r="K12" s="2128">
        <v>43525</v>
      </c>
      <c r="L12" s="2129"/>
      <c r="M12" s="49"/>
      <c r="N12" s="1003"/>
      <c r="O12" s="1438"/>
      <c r="P12" s="743"/>
      <c r="Q12" s="1584"/>
      <c r="R12" s="1793"/>
      <c r="S12" s="743"/>
      <c r="T12" s="746">
        <v>972108</v>
      </c>
    </row>
    <row r="13" spans="1:20" ht="15.75" customHeight="1" thickBot="1" x14ac:dyDescent="0.4">
      <c r="A13" s="379">
        <v>44106</v>
      </c>
      <c r="B13" s="1335"/>
      <c r="C13" s="1744"/>
      <c r="D13" s="2482">
        <v>702475</v>
      </c>
      <c r="E13" s="1261">
        <f t="shared" si="0"/>
        <v>702475</v>
      </c>
      <c r="F13" s="49"/>
      <c r="G13" s="2006"/>
      <c r="H13" s="2007"/>
      <c r="I13" s="2154"/>
      <c r="J13" s="49"/>
      <c r="K13" s="2128">
        <f>+K12+1</f>
        <v>43526</v>
      </c>
      <c r="L13" s="2130"/>
      <c r="M13" s="49"/>
      <c r="N13" s="1003"/>
      <c r="O13" s="1443"/>
      <c r="P13" s="66"/>
      <c r="Q13" s="66"/>
      <c r="R13" s="66"/>
      <c r="S13" s="66"/>
      <c r="T13" s="670">
        <f>T12+R13-S13</f>
        <v>972108</v>
      </c>
    </row>
    <row r="14" spans="1:20" ht="15.75" customHeight="1" thickBot="1" x14ac:dyDescent="0.4">
      <c r="A14" s="379">
        <v>44107</v>
      </c>
      <c r="B14" s="1336"/>
      <c r="C14" s="1744"/>
      <c r="D14" s="2483">
        <v>1362450</v>
      </c>
      <c r="E14" s="1261">
        <f t="shared" si="0"/>
        <v>1362450</v>
      </c>
      <c r="F14" s="49"/>
      <c r="G14" s="2006"/>
      <c r="H14" s="2007"/>
      <c r="I14" s="2156"/>
      <c r="J14" s="49">
        <v>503700</v>
      </c>
      <c r="K14" s="2128">
        <f t="shared" ref="K14:K42" si="1">+K13+1</f>
        <v>43527</v>
      </c>
      <c r="L14" s="2131"/>
      <c r="M14" s="49"/>
      <c r="N14" s="1003"/>
      <c r="O14" s="1443"/>
      <c r="P14" s="66"/>
      <c r="Q14" s="66"/>
      <c r="R14" s="66"/>
      <c r="S14" s="66"/>
      <c r="T14" s="670">
        <f t="shared" ref="T14:T23" si="2">T13+R14-S14</f>
        <v>972108</v>
      </c>
    </row>
    <row r="15" spans="1:20" ht="15.75" customHeight="1" thickBot="1" x14ac:dyDescent="0.4">
      <c r="A15" s="379">
        <v>44108</v>
      </c>
      <c r="B15" s="1336"/>
      <c r="C15" s="1744"/>
      <c r="D15" s="2483">
        <v>965475</v>
      </c>
      <c r="E15" s="1261">
        <f t="shared" si="0"/>
        <v>965475</v>
      </c>
      <c r="F15" s="49"/>
      <c r="G15" s="2006"/>
      <c r="H15" s="2007"/>
      <c r="I15" s="2156"/>
      <c r="J15" s="49"/>
      <c r="K15" s="2128">
        <f t="shared" si="1"/>
        <v>43528</v>
      </c>
      <c r="L15" s="2131"/>
      <c r="M15" s="49"/>
      <c r="N15" s="1003"/>
      <c r="O15" s="1443"/>
      <c r="P15" s="66"/>
      <c r="Q15" s="66"/>
      <c r="R15" s="66"/>
      <c r="S15" s="66"/>
      <c r="T15" s="670">
        <f t="shared" si="2"/>
        <v>972108</v>
      </c>
    </row>
    <row r="16" spans="1:20" ht="15.75" customHeight="1" thickBot="1" x14ac:dyDescent="0.4">
      <c r="A16" s="379">
        <v>44109</v>
      </c>
      <c r="B16" s="1336"/>
      <c r="C16" s="1744"/>
      <c r="D16" s="2483">
        <v>1712200</v>
      </c>
      <c r="E16" s="1261">
        <f t="shared" si="0"/>
        <v>1712200</v>
      </c>
      <c r="F16" s="49"/>
      <c r="G16" s="2006"/>
      <c r="H16" s="2007"/>
      <c r="I16" s="2156"/>
      <c r="J16" s="49"/>
      <c r="K16" s="2128">
        <f t="shared" si="1"/>
        <v>43529</v>
      </c>
      <c r="L16" s="2130"/>
      <c r="M16" s="49"/>
      <c r="N16" s="1003"/>
      <c r="O16" s="66"/>
      <c r="P16" s="66"/>
      <c r="Q16" s="66"/>
      <c r="R16" s="66"/>
      <c r="S16" s="66"/>
      <c r="T16" s="670">
        <f t="shared" si="2"/>
        <v>972108</v>
      </c>
    </row>
    <row r="17" spans="1:22" ht="15.75" customHeight="1" thickBot="1" x14ac:dyDescent="0.4">
      <c r="A17" s="379">
        <v>44110</v>
      </c>
      <c r="B17" s="1336"/>
      <c r="C17" s="1744"/>
      <c r="D17" s="2483">
        <v>905100</v>
      </c>
      <c r="E17" s="1261">
        <f t="shared" si="0"/>
        <v>905100</v>
      </c>
      <c r="F17" s="145"/>
      <c r="G17" s="2006"/>
      <c r="H17" s="2007"/>
      <c r="I17" s="2157"/>
      <c r="J17" s="49"/>
      <c r="K17" s="2128">
        <f t="shared" si="1"/>
        <v>43530</v>
      </c>
      <c r="L17" s="2131"/>
      <c r="M17" s="49"/>
      <c r="N17" s="745"/>
      <c r="O17" s="66"/>
      <c r="P17" s="66"/>
      <c r="Q17" s="66"/>
      <c r="R17" s="66"/>
      <c r="S17" s="66"/>
      <c r="T17" s="670">
        <f t="shared" si="2"/>
        <v>972108</v>
      </c>
      <c r="V17" s="218"/>
    </row>
    <row r="18" spans="1:22" ht="15.75" customHeight="1" thickBot="1" x14ac:dyDescent="0.4">
      <c r="A18" s="379">
        <v>44111</v>
      </c>
      <c r="B18" s="1334"/>
      <c r="C18" s="2756"/>
      <c r="D18" s="2483">
        <v>2202475</v>
      </c>
      <c r="E18" s="1261">
        <f t="shared" si="0"/>
        <v>2202475</v>
      </c>
      <c r="F18" s="49"/>
      <c r="G18" s="2006"/>
      <c r="H18" s="2007"/>
      <c r="I18" s="2155"/>
      <c r="J18" s="49"/>
      <c r="K18" s="2128">
        <f t="shared" si="1"/>
        <v>43531</v>
      </c>
      <c r="L18" s="2132"/>
      <c r="M18" s="49"/>
      <c r="N18" s="745"/>
      <c r="O18" s="66"/>
      <c r="P18" s="66"/>
      <c r="Q18" s="66"/>
      <c r="R18" s="66"/>
      <c r="S18" s="66"/>
      <c r="T18" s="670">
        <f t="shared" si="2"/>
        <v>972108</v>
      </c>
    </row>
    <row r="19" spans="1:22" ht="15.75" customHeight="1" thickBot="1" x14ac:dyDescent="0.4">
      <c r="A19" s="379">
        <v>44112</v>
      </c>
      <c r="B19" s="1334"/>
      <c r="C19" s="2756"/>
      <c r="D19" s="2483">
        <v>668700</v>
      </c>
      <c r="E19" s="1261">
        <f t="shared" si="0"/>
        <v>668700</v>
      </c>
      <c r="F19" s="49"/>
      <c r="G19" s="2006"/>
      <c r="H19" s="2007"/>
      <c r="I19" s="2155"/>
      <c r="J19" s="49"/>
      <c r="K19" s="2128">
        <f t="shared" si="1"/>
        <v>43532</v>
      </c>
      <c r="L19" s="2133"/>
      <c r="M19" s="49"/>
      <c r="N19" s="745"/>
      <c r="O19" s="66"/>
      <c r="P19" s="66"/>
      <c r="Q19" s="66"/>
      <c r="R19" s="66"/>
      <c r="S19" s="66"/>
      <c r="T19" s="670">
        <f t="shared" si="2"/>
        <v>972108</v>
      </c>
    </row>
    <row r="20" spans="1:22" ht="15.75" customHeight="1" thickBot="1" x14ac:dyDescent="0.4">
      <c r="A20" s="379">
        <v>44113</v>
      </c>
      <c r="B20" s="1334"/>
      <c r="C20" s="2757"/>
      <c r="D20" s="2483">
        <v>1253050</v>
      </c>
      <c r="E20" s="1261">
        <f t="shared" si="0"/>
        <v>1253050</v>
      </c>
      <c r="F20" s="49"/>
      <c r="G20" s="2006"/>
      <c r="H20" s="2007"/>
      <c r="I20" s="2155"/>
      <c r="J20" s="49"/>
      <c r="K20" s="2128">
        <f t="shared" si="1"/>
        <v>43533</v>
      </c>
      <c r="L20" s="2134"/>
      <c r="M20" s="49"/>
      <c r="N20" s="745"/>
      <c r="O20" s="66"/>
      <c r="P20" s="66"/>
      <c r="Q20" s="66"/>
      <c r="R20" s="66"/>
      <c r="S20" s="66"/>
      <c r="T20" s="670">
        <f>T19+R20-S20</f>
        <v>972108</v>
      </c>
    </row>
    <row r="21" spans="1:22" ht="15.75" customHeight="1" thickBot="1" x14ac:dyDescent="0.4">
      <c r="A21" s="379">
        <v>44114</v>
      </c>
      <c r="B21" s="1334"/>
      <c r="C21" s="2756"/>
      <c r="D21" s="2483"/>
      <c r="E21" s="1261">
        <f t="shared" si="0"/>
        <v>0</v>
      </c>
      <c r="F21" s="49"/>
      <c r="G21" s="2008"/>
      <c r="H21" s="2007"/>
      <c r="I21" s="2155"/>
      <c r="J21" s="49"/>
      <c r="K21" s="2128">
        <f t="shared" si="1"/>
        <v>43534</v>
      </c>
      <c r="L21" s="2152"/>
      <c r="M21" s="49"/>
      <c r="N21" s="745"/>
      <c r="O21" s="66"/>
      <c r="P21" s="66"/>
      <c r="Q21" s="66"/>
      <c r="R21" s="66"/>
      <c r="S21" s="66"/>
      <c r="T21" s="670">
        <f t="shared" si="2"/>
        <v>972108</v>
      </c>
    </row>
    <row r="22" spans="1:22" ht="15.75" customHeight="1" thickBot="1" x14ac:dyDescent="0.4">
      <c r="A22" s="379">
        <v>44115</v>
      </c>
      <c r="B22" s="1334"/>
      <c r="C22" s="2756"/>
      <c r="D22" s="2483"/>
      <c r="E22" s="1261">
        <f t="shared" si="0"/>
        <v>0</v>
      </c>
      <c r="F22" s="49"/>
      <c r="G22" s="2008"/>
      <c r="H22" s="2007"/>
      <c r="I22" s="2155"/>
      <c r="J22" s="49"/>
      <c r="K22" s="2128">
        <f t="shared" si="1"/>
        <v>43535</v>
      </c>
      <c r="L22" s="2135"/>
      <c r="M22" s="49"/>
      <c r="N22" s="745"/>
      <c r="O22" s="66"/>
      <c r="P22" s="66"/>
      <c r="Q22" s="66"/>
      <c r="R22" s="66"/>
      <c r="S22" s="66"/>
      <c r="T22" s="670">
        <f t="shared" si="2"/>
        <v>972108</v>
      </c>
    </row>
    <row r="23" spans="1:22" ht="15.75" customHeight="1" thickBot="1" x14ac:dyDescent="0.4">
      <c r="A23" s="379">
        <v>44116</v>
      </c>
      <c r="B23" s="1334"/>
      <c r="C23" s="2756"/>
      <c r="D23" s="2483"/>
      <c r="E23" s="1261">
        <f t="shared" si="0"/>
        <v>0</v>
      </c>
      <c r="F23" s="49"/>
      <c r="G23" s="2008"/>
      <c r="H23" s="2007"/>
      <c r="I23" s="2155"/>
      <c r="J23" s="49"/>
      <c r="K23" s="2128">
        <f t="shared" si="1"/>
        <v>43536</v>
      </c>
      <c r="L23" s="2135"/>
      <c r="M23" s="49"/>
      <c r="N23" s="425"/>
      <c r="O23" s="66"/>
      <c r="P23" s="66"/>
      <c r="Q23" s="66"/>
      <c r="R23" s="66"/>
      <c r="S23" s="66"/>
      <c r="T23" s="670">
        <f t="shared" si="2"/>
        <v>972108</v>
      </c>
    </row>
    <row r="24" spans="1:22" ht="15.75" customHeight="1" thickBot="1" x14ac:dyDescent="0.4">
      <c r="A24" s="379">
        <v>44117</v>
      </c>
      <c r="B24" s="1337"/>
      <c r="C24" s="2756"/>
      <c r="D24" s="2483"/>
      <c r="E24" s="1261">
        <f t="shared" si="0"/>
        <v>0</v>
      </c>
      <c r="F24" s="1261">
        <f>+E24</f>
        <v>0</v>
      </c>
      <c r="G24" s="2008"/>
      <c r="H24" s="2007"/>
      <c r="I24" s="2155"/>
      <c r="J24" s="49"/>
      <c r="K24" s="2128">
        <f t="shared" si="1"/>
        <v>43537</v>
      </c>
      <c r="L24" s="2135"/>
      <c r="M24" s="49"/>
      <c r="N24" s="753" t="s">
        <v>390</v>
      </c>
      <c r="O24" s="754"/>
      <c r="P24" s="754">
        <f>SUM(P12:P23)</f>
        <v>0</v>
      </c>
      <c r="Q24" s="754"/>
      <c r="R24" s="755">
        <f>SUM(R12:R23)</f>
        <v>0</v>
      </c>
      <c r="S24" s="754">
        <f>SUM(S12:S23)</f>
        <v>0</v>
      </c>
      <c r="T24" s="741">
        <f>+T12+R24-S24</f>
        <v>972108</v>
      </c>
    </row>
    <row r="25" spans="1:22" ht="15.75" customHeight="1" thickBot="1" x14ac:dyDescent="0.4">
      <c r="A25" s="379">
        <v>44118</v>
      </c>
      <c r="B25" s="1337"/>
      <c r="C25" s="1744"/>
      <c r="D25" s="2480"/>
      <c r="E25" s="1261">
        <f t="shared" si="0"/>
        <v>0</v>
      </c>
      <c r="F25" s="49"/>
      <c r="G25" s="2008"/>
      <c r="H25" s="2007"/>
      <c r="I25" s="2155"/>
      <c r="J25" s="49"/>
      <c r="K25" s="2128">
        <f t="shared" si="1"/>
        <v>43538</v>
      </c>
      <c r="L25" s="2135"/>
      <c r="M25" s="49"/>
    </row>
    <row r="26" spans="1:22" ht="15.75" customHeight="1" thickBot="1" x14ac:dyDescent="0.4">
      <c r="A26" s="379">
        <v>44119</v>
      </c>
      <c r="B26" s="1337"/>
      <c r="C26" s="1356"/>
      <c r="D26" s="2480"/>
      <c r="E26" s="1261">
        <f t="shared" si="0"/>
        <v>0</v>
      </c>
      <c r="F26" s="49"/>
      <c r="G26" s="2008"/>
      <c r="H26" s="2007"/>
      <c r="I26" s="2155"/>
      <c r="J26" s="49"/>
      <c r="K26" s="2128">
        <f t="shared" si="1"/>
        <v>43539</v>
      </c>
      <c r="L26" s="2135"/>
      <c r="M26" s="49"/>
    </row>
    <row r="27" spans="1:22" ht="15.75" customHeight="1" thickBot="1" x14ac:dyDescent="0.4">
      <c r="A27" s="379">
        <v>44120</v>
      </c>
      <c r="B27" s="1337"/>
      <c r="C27" s="1355"/>
      <c r="D27" s="2480"/>
      <c r="E27" s="1261">
        <f t="shared" si="0"/>
        <v>0</v>
      </c>
      <c r="F27" s="49"/>
      <c r="G27" s="2008"/>
      <c r="H27" s="2007"/>
      <c r="I27" s="2155"/>
      <c r="J27" s="49"/>
      <c r="K27" s="2128">
        <f t="shared" si="1"/>
        <v>43540</v>
      </c>
      <c r="L27" s="2135"/>
      <c r="M27" s="49"/>
      <c r="O27" s="318">
        <f>+R24+I89</f>
        <v>50000</v>
      </c>
      <c r="R27" s="318"/>
    </row>
    <row r="28" spans="1:22" ht="15.75" customHeight="1" thickBot="1" x14ac:dyDescent="0.4">
      <c r="A28" s="379">
        <v>44121</v>
      </c>
      <c r="B28" s="1338"/>
      <c r="C28" s="1355"/>
      <c r="D28" s="2480"/>
      <c r="E28" s="1261">
        <f t="shared" si="0"/>
        <v>0</v>
      </c>
      <c r="F28" s="49"/>
      <c r="G28" s="2008"/>
      <c r="H28" s="2007"/>
      <c r="I28" s="2009"/>
      <c r="J28" s="49"/>
      <c r="K28" s="2128">
        <f t="shared" si="1"/>
        <v>43541</v>
      </c>
      <c r="L28" s="2135"/>
      <c r="M28" s="49"/>
      <c r="N28" s="318"/>
    </row>
    <row r="29" spans="1:22" ht="15.75" customHeight="1" thickBot="1" x14ac:dyDescent="0.4">
      <c r="A29" s="379">
        <v>44122</v>
      </c>
      <c r="B29" s="1339"/>
      <c r="C29" s="1355"/>
      <c r="D29" s="2480"/>
      <c r="E29" s="1261">
        <f t="shared" si="0"/>
        <v>0</v>
      </c>
      <c r="F29" s="49"/>
      <c r="G29" s="2008"/>
      <c r="H29" s="2007"/>
      <c r="I29" s="2009"/>
      <c r="J29" s="49"/>
      <c r="K29" s="2128">
        <f t="shared" si="1"/>
        <v>43542</v>
      </c>
      <c r="L29" s="2135"/>
      <c r="M29" s="49"/>
      <c r="N29" s="489"/>
    </row>
    <row r="30" spans="1:22" ht="15.75" customHeight="1" thickBot="1" x14ac:dyDescent="0.4">
      <c r="A30" s="379">
        <v>44123</v>
      </c>
      <c r="B30" s="1401"/>
      <c r="C30" s="1355"/>
      <c r="D30" s="998"/>
      <c r="E30" s="1261">
        <f t="shared" si="0"/>
        <v>0</v>
      </c>
      <c r="F30" s="49"/>
      <c r="G30" s="2008"/>
      <c r="H30" s="2007"/>
      <c r="I30" s="2009"/>
      <c r="J30" s="49"/>
      <c r="K30" s="2128">
        <f t="shared" si="1"/>
        <v>43543</v>
      </c>
      <c r="L30" s="2135"/>
      <c r="M30" s="49"/>
    </row>
    <row r="31" spans="1:22" ht="15.75" customHeight="1" thickBot="1" x14ac:dyDescent="0.4">
      <c r="A31" s="379">
        <v>44124</v>
      </c>
      <c r="B31" s="1400"/>
      <c r="C31" s="1355"/>
      <c r="D31" s="998"/>
      <c r="E31" s="1261">
        <f t="shared" si="0"/>
        <v>0</v>
      </c>
      <c r="F31" s="49"/>
      <c r="G31" s="2008"/>
      <c r="H31" s="2007"/>
      <c r="I31" s="2009"/>
      <c r="J31" s="49"/>
      <c r="K31" s="2128">
        <f t="shared" si="1"/>
        <v>43544</v>
      </c>
      <c r="L31" s="2135"/>
      <c r="M31" s="49"/>
      <c r="N31" s="318"/>
      <c r="O31" s="318"/>
    </row>
    <row r="32" spans="1:22" ht="15.75" customHeight="1" thickBot="1" x14ac:dyDescent="0.4">
      <c r="A32" s="379">
        <v>44125</v>
      </c>
      <c r="B32" s="1340"/>
      <c r="C32" s="1354"/>
      <c r="D32" s="2630"/>
      <c r="E32" s="1261">
        <f t="shared" si="0"/>
        <v>0</v>
      </c>
      <c r="F32" s="49"/>
      <c r="G32" s="2008"/>
      <c r="H32" s="2007"/>
      <c r="I32" s="2009"/>
      <c r="J32" s="49"/>
      <c r="K32" s="2128">
        <f t="shared" si="1"/>
        <v>43545</v>
      </c>
      <c r="L32" s="2133"/>
      <c r="M32" s="49"/>
    </row>
    <row r="33" spans="1:15" ht="15.75" customHeight="1" thickBot="1" x14ac:dyDescent="0.4">
      <c r="A33" s="379">
        <v>44126</v>
      </c>
      <c r="B33" s="1340"/>
      <c r="C33" s="1355"/>
      <c r="D33" s="998"/>
      <c r="E33" s="1261">
        <f t="shared" si="0"/>
        <v>0</v>
      </c>
      <c r="F33" s="49"/>
      <c r="G33" s="2008"/>
      <c r="H33" s="2007"/>
      <c r="I33" s="2009"/>
      <c r="J33" s="140"/>
      <c r="K33" s="2128">
        <f t="shared" si="1"/>
        <v>43546</v>
      </c>
      <c r="L33" s="2135"/>
      <c r="M33" s="140"/>
    </row>
    <row r="34" spans="1:15" ht="15.75" customHeight="1" thickBot="1" x14ac:dyDescent="0.4">
      <c r="A34" s="379">
        <v>44127</v>
      </c>
      <c r="B34" s="1089"/>
      <c r="C34" s="1355"/>
      <c r="D34" s="998"/>
      <c r="E34" s="1261">
        <f t="shared" si="0"/>
        <v>0</v>
      </c>
      <c r="F34" s="49"/>
      <c r="G34" s="2008"/>
      <c r="H34" s="2007"/>
      <c r="I34" s="2009"/>
      <c r="J34" s="140"/>
      <c r="K34" s="2128">
        <f t="shared" si="1"/>
        <v>43547</v>
      </c>
      <c r="L34" s="2135"/>
      <c r="M34" s="140"/>
    </row>
    <row r="35" spans="1:15" ht="15.75" customHeight="1" thickBot="1" x14ac:dyDescent="0.4">
      <c r="A35" s="379">
        <v>44128</v>
      </c>
      <c r="B35" s="1089"/>
      <c r="C35" s="1355"/>
      <c r="D35" s="2480"/>
      <c r="E35" s="1261">
        <f t="shared" si="0"/>
        <v>0</v>
      </c>
      <c r="F35" s="49"/>
      <c r="G35" s="2008"/>
      <c r="H35" s="2007"/>
      <c r="I35" s="2009"/>
      <c r="K35" s="2128">
        <f t="shared" si="1"/>
        <v>43548</v>
      </c>
      <c r="L35" s="2135"/>
    </row>
    <row r="36" spans="1:15" ht="15.75" customHeight="1" thickBot="1" x14ac:dyDescent="0.4">
      <c r="A36" s="379">
        <v>44129</v>
      </c>
      <c r="B36" s="138"/>
      <c r="C36" s="1355"/>
      <c r="D36" s="2480"/>
      <c r="E36" s="1261">
        <f t="shared" si="0"/>
        <v>0</v>
      </c>
      <c r="F36" s="49"/>
      <c r="G36" s="2008"/>
      <c r="H36" s="2007"/>
      <c r="I36" s="2009"/>
      <c r="K36" s="2128">
        <f t="shared" si="1"/>
        <v>43549</v>
      </c>
      <c r="L36" s="2135"/>
    </row>
    <row r="37" spans="1:15" ht="15.75" customHeight="1" thickBot="1" x14ac:dyDescent="0.4">
      <c r="A37" s="379">
        <v>44130</v>
      </c>
      <c r="B37" s="138"/>
      <c r="C37" s="1355"/>
      <c r="D37" s="2480"/>
      <c r="E37" s="1261">
        <f t="shared" si="0"/>
        <v>0</v>
      </c>
      <c r="F37" s="146"/>
      <c r="G37" s="2008"/>
      <c r="H37" s="2007"/>
      <c r="I37" s="2009"/>
      <c r="J37" s="38"/>
      <c r="K37" s="2128">
        <f t="shared" si="1"/>
        <v>43550</v>
      </c>
      <c r="L37" s="2135"/>
      <c r="M37" s="38"/>
    </row>
    <row r="38" spans="1:15" ht="15.75" customHeight="1" thickBot="1" x14ac:dyDescent="0.4">
      <c r="A38" s="379">
        <v>44131</v>
      </c>
      <c r="B38" s="138"/>
      <c r="C38" s="138"/>
      <c r="D38" s="2480"/>
      <c r="E38" s="1261">
        <f t="shared" si="0"/>
        <v>0</v>
      </c>
      <c r="F38" s="146"/>
      <c r="G38" s="2008"/>
      <c r="H38" s="2007"/>
      <c r="I38" s="2009"/>
      <c r="J38" s="38"/>
      <c r="K38" s="2128">
        <f t="shared" si="1"/>
        <v>43551</v>
      </c>
      <c r="L38" s="2135"/>
      <c r="M38" s="38"/>
    </row>
    <row r="39" spans="1:15" ht="20.25" thickBot="1" x14ac:dyDescent="0.4">
      <c r="A39" s="379">
        <v>44132</v>
      </c>
      <c r="B39" s="138"/>
      <c r="C39" s="138"/>
      <c r="D39" s="2480"/>
      <c r="E39" s="1261">
        <f t="shared" si="0"/>
        <v>0</v>
      </c>
      <c r="F39" s="49"/>
      <c r="G39" s="2008"/>
      <c r="H39" s="2007"/>
      <c r="I39" s="2009"/>
      <c r="J39" s="49"/>
      <c r="K39" s="2128">
        <f t="shared" si="1"/>
        <v>43552</v>
      </c>
      <c r="L39" s="2135"/>
      <c r="M39" s="49"/>
      <c r="O39" s="148"/>
    </row>
    <row r="40" spans="1:15" s="149" customFormat="1" ht="20.25" thickBot="1" x14ac:dyDescent="0.4">
      <c r="A40" s="379">
        <v>44133</v>
      </c>
      <c r="B40" s="1920"/>
      <c r="C40" s="1920"/>
      <c r="D40" s="2480"/>
      <c r="E40" s="1261">
        <f t="shared" si="0"/>
        <v>0</v>
      </c>
      <c r="F40" s="140"/>
      <c r="G40" s="2008"/>
      <c r="H40" s="2007"/>
      <c r="I40" s="2009"/>
      <c r="J40" s="49"/>
      <c r="K40" s="2128">
        <f t="shared" si="1"/>
        <v>43553</v>
      </c>
      <c r="L40" s="2135"/>
      <c r="M40" s="49"/>
      <c r="O40" s="150"/>
    </row>
    <row r="41" spans="1:15" s="149" customFormat="1" ht="20.25" thickBot="1" x14ac:dyDescent="0.4">
      <c r="A41" s="379">
        <v>44134</v>
      </c>
      <c r="B41" s="1920"/>
      <c r="C41" s="1920"/>
      <c r="D41" s="1921"/>
      <c r="E41" s="1261">
        <f t="shared" si="0"/>
        <v>0</v>
      </c>
      <c r="F41" s="140"/>
      <c r="G41" s="2008"/>
      <c r="H41" s="2007"/>
      <c r="I41" s="2009"/>
      <c r="J41" s="49"/>
      <c r="K41" s="2128">
        <f t="shared" si="1"/>
        <v>43554</v>
      </c>
      <c r="L41" s="2135"/>
      <c r="M41" s="49"/>
      <c r="O41" s="150"/>
    </row>
    <row r="42" spans="1:15" s="149" customFormat="1" ht="19.5" x14ac:dyDescent="0.35">
      <c r="A42" s="379">
        <v>44135</v>
      </c>
      <c r="B42" s="1922"/>
      <c r="C42" s="1923"/>
      <c r="D42" s="1921"/>
      <c r="E42" s="1261">
        <f t="shared" ref="E42:E57" si="3">+D42</f>
        <v>0</v>
      </c>
      <c r="F42" s="140"/>
      <c r="G42" s="1261">
        <f>+F24</f>
        <v>0</v>
      </c>
      <c r="H42" s="1261"/>
      <c r="I42" s="1261">
        <f>SUM(I12:I41)</f>
        <v>50000</v>
      </c>
      <c r="J42" s="49"/>
      <c r="K42" s="2128">
        <f t="shared" si="1"/>
        <v>43555</v>
      </c>
      <c r="L42" s="2135"/>
      <c r="M42" s="49"/>
      <c r="O42" s="150"/>
    </row>
    <row r="43" spans="1:15" s="149" customFormat="1" ht="20.25" thickBot="1" x14ac:dyDescent="0.4">
      <c r="A43" s="379">
        <v>44136</v>
      </c>
      <c r="B43" s="1922"/>
      <c r="C43" s="1923"/>
      <c r="D43" s="1921"/>
      <c r="E43" s="1261">
        <f t="shared" si="3"/>
        <v>0</v>
      </c>
      <c r="F43" s="140"/>
      <c r="G43" s="2965" t="s">
        <v>697</v>
      </c>
      <c r="H43" s="2966"/>
      <c r="I43" s="2967"/>
      <c r="J43" s="49"/>
      <c r="K43" s="2136" t="s">
        <v>18</v>
      </c>
      <c r="L43" s="2137">
        <f>SUM(L12:L42)</f>
        <v>0</v>
      </c>
      <c r="M43" s="49"/>
    </row>
    <row r="44" spans="1:15" s="149" customFormat="1" ht="21.75" customHeight="1" x14ac:dyDescent="0.35">
      <c r="A44" s="379">
        <v>44137</v>
      </c>
      <c r="B44" s="1922"/>
      <c r="C44" s="1923"/>
      <c r="D44" s="1921"/>
      <c r="E44" s="1261">
        <f t="shared" si="3"/>
        <v>0</v>
      </c>
      <c r="F44" s="140"/>
      <c r="G44" s="2010"/>
      <c r="H44" s="2011" t="s">
        <v>954</v>
      </c>
      <c r="I44" s="2012"/>
      <c r="J44" s="49"/>
      <c r="K44" s="49"/>
      <c r="L44" s="49"/>
      <c r="M44" s="49"/>
    </row>
    <row r="45" spans="1:15" s="149" customFormat="1" ht="19.5" x14ac:dyDescent="0.35">
      <c r="A45" s="379">
        <v>44138</v>
      </c>
      <c r="B45" s="1922"/>
      <c r="C45" s="1923"/>
      <c r="D45" s="1921"/>
      <c r="E45" s="1261">
        <f t="shared" si="3"/>
        <v>0</v>
      </c>
      <c r="F45" s="140"/>
      <c r="G45" s="2013" t="s">
        <v>47</v>
      </c>
      <c r="H45" s="2013" t="s">
        <v>48</v>
      </c>
      <c r="I45" s="2014" t="s">
        <v>37</v>
      </c>
      <c r="J45" s="49"/>
      <c r="K45" s="49"/>
      <c r="L45" s="49"/>
      <c r="M45" s="49"/>
    </row>
    <row r="46" spans="1:15" s="149" customFormat="1" ht="19.5" x14ac:dyDescent="0.35">
      <c r="A46" s="379">
        <v>44139</v>
      </c>
      <c r="B46" s="1922"/>
      <c r="C46" s="1923"/>
      <c r="D46" s="1921"/>
      <c r="E46" s="1261">
        <f t="shared" si="3"/>
        <v>0</v>
      </c>
      <c r="F46" s="140"/>
      <c r="G46" s="2015"/>
      <c r="H46" s="2016"/>
      <c r="I46" s="2017"/>
      <c r="J46" s="49"/>
      <c r="K46" s="49">
        <f>300*575</f>
        <v>172500</v>
      </c>
      <c r="L46" s="49">
        <f>1050*575</f>
        <v>603750</v>
      </c>
      <c r="M46" s="49"/>
    </row>
    <row r="47" spans="1:15" s="149" customFormat="1" ht="19.5" x14ac:dyDescent="0.35">
      <c r="A47" s="379">
        <v>44140</v>
      </c>
      <c r="B47" s="1922"/>
      <c r="C47" s="1923"/>
      <c r="D47" s="1921"/>
      <c r="E47" s="1261">
        <f t="shared" si="3"/>
        <v>0</v>
      </c>
      <c r="F47" s="140"/>
      <c r="G47" s="2015"/>
      <c r="H47" s="2016"/>
      <c r="I47" s="2017"/>
      <c r="J47" s="49"/>
      <c r="K47" s="49">
        <f>1050*5</f>
        <v>5250</v>
      </c>
      <c r="L47" s="49">
        <f>+K47*575</f>
        <v>3018750</v>
      </c>
      <c r="M47" s="49"/>
    </row>
    <row r="48" spans="1:15" s="149" customFormat="1" ht="19.5" x14ac:dyDescent="0.35">
      <c r="A48" s="379">
        <v>44141</v>
      </c>
      <c r="B48" s="1922"/>
      <c r="C48" s="1923"/>
      <c r="D48" s="1921"/>
      <c r="E48" s="1261">
        <f t="shared" si="3"/>
        <v>0</v>
      </c>
      <c r="F48" s="140"/>
      <c r="G48" s="2015"/>
      <c r="H48" s="2016"/>
      <c r="I48" s="2017"/>
      <c r="J48" s="49"/>
      <c r="K48" s="49">
        <f>340-210</f>
        <v>130</v>
      </c>
      <c r="L48" s="49"/>
      <c r="M48" s="49"/>
    </row>
    <row r="49" spans="1:14" s="149" customFormat="1" ht="19.5" x14ac:dyDescent="0.35">
      <c r="A49" s="379">
        <v>44142</v>
      </c>
      <c r="B49" s="1922"/>
      <c r="C49" s="1923"/>
      <c r="D49" s="1921"/>
      <c r="E49" s="1261">
        <f t="shared" si="3"/>
        <v>0</v>
      </c>
      <c r="F49" s="140"/>
      <c r="G49" s="2015"/>
      <c r="H49" s="2016"/>
      <c r="I49" s="2017"/>
      <c r="J49" s="49"/>
      <c r="K49" s="49"/>
      <c r="L49" s="49"/>
      <c r="M49" s="49"/>
    </row>
    <row r="50" spans="1:14" s="149" customFormat="1" ht="19.5" x14ac:dyDescent="0.35">
      <c r="A50" s="379">
        <v>44143</v>
      </c>
      <c r="B50" s="1922"/>
      <c r="C50" s="1923"/>
      <c r="D50" s="1921"/>
      <c r="E50" s="1261">
        <f t="shared" si="3"/>
        <v>0</v>
      </c>
      <c r="F50" s="140"/>
      <c r="G50" s="2015"/>
      <c r="H50" s="2016"/>
      <c r="I50" s="2017"/>
      <c r="J50" s="49"/>
      <c r="K50" s="49"/>
      <c r="L50" s="49"/>
      <c r="M50" s="49"/>
    </row>
    <row r="51" spans="1:14" s="149" customFormat="1" ht="19.5" x14ac:dyDescent="0.35">
      <c r="A51" s="379">
        <v>44144</v>
      </c>
      <c r="B51" s="1922"/>
      <c r="C51" s="1923"/>
      <c r="D51" s="1921"/>
      <c r="E51" s="1261">
        <f t="shared" si="3"/>
        <v>0</v>
      </c>
      <c r="F51" s="140"/>
      <c r="G51" s="2015"/>
      <c r="H51" s="2016"/>
      <c r="I51" s="2017"/>
      <c r="J51" s="49"/>
      <c r="K51" s="49"/>
      <c r="L51" s="49"/>
      <c r="M51" s="49"/>
    </row>
    <row r="52" spans="1:14" s="149" customFormat="1" ht="19.5" x14ac:dyDescent="0.35">
      <c r="A52" s="379">
        <v>44145</v>
      </c>
      <c r="B52" s="1922"/>
      <c r="C52" s="1923"/>
      <c r="D52" s="1921"/>
      <c r="E52" s="1261">
        <f t="shared" si="3"/>
        <v>0</v>
      </c>
      <c r="F52" s="140"/>
      <c r="G52" s="2015"/>
      <c r="H52" s="2016"/>
      <c r="I52" s="2017"/>
      <c r="J52" s="49"/>
      <c r="K52" s="49"/>
      <c r="L52" s="49"/>
      <c r="M52" s="49"/>
    </row>
    <row r="53" spans="1:14" s="149" customFormat="1" ht="19.5" x14ac:dyDescent="0.35">
      <c r="A53" s="379">
        <v>44146</v>
      </c>
      <c r="B53" s="1922"/>
      <c r="C53" s="1923"/>
      <c r="D53" s="1921"/>
      <c r="E53" s="1261">
        <f t="shared" si="3"/>
        <v>0</v>
      </c>
      <c r="F53" s="140"/>
      <c r="G53" s="2015"/>
      <c r="H53" s="2016"/>
      <c r="I53" s="2017"/>
      <c r="J53" s="49"/>
      <c r="K53" s="49"/>
      <c r="L53" s="49"/>
      <c r="M53" s="49"/>
    </row>
    <row r="54" spans="1:14" s="149" customFormat="1" ht="19.5" x14ac:dyDescent="0.35">
      <c r="A54" s="379">
        <v>44147</v>
      </c>
      <c r="B54" s="1922"/>
      <c r="C54" s="1923"/>
      <c r="D54" s="1921"/>
      <c r="E54" s="1261">
        <f t="shared" si="3"/>
        <v>0</v>
      </c>
      <c r="F54" s="140"/>
      <c r="G54" s="2015"/>
      <c r="H54" s="2016"/>
      <c r="I54" s="1264"/>
      <c r="J54" s="49"/>
      <c r="K54" s="49"/>
      <c r="L54" s="49"/>
      <c r="M54" s="49"/>
    </row>
    <row r="55" spans="1:14" s="149" customFormat="1" ht="21" customHeight="1" x14ac:dyDescent="0.35">
      <c r="A55" s="379">
        <v>44148</v>
      </c>
      <c r="B55" s="1924"/>
      <c r="C55" s="1923"/>
      <c r="D55" s="1921"/>
      <c r="E55" s="1261">
        <f t="shared" si="3"/>
        <v>0</v>
      </c>
      <c r="F55" s="140"/>
      <c r="G55" s="2015"/>
      <c r="H55" s="2016"/>
      <c r="I55" s="1264"/>
      <c r="J55" s="49"/>
      <c r="K55" s="49"/>
      <c r="L55" s="49"/>
      <c r="M55" s="49"/>
    </row>
    <row r="56" spans="1:14" s="149" customFormat="1" ht="17.25" customHeight="1" x14ac:dyDescent="0.35">
      <c r="A56" s="379">
        <v>44149</v>
      </c>
      <c r="B56" s="1924"/>
      <c r="C56" s="1923"/>
      <c r="D56" s="1921"/>
      <c r="E56" s="1261">
        <f t="shared" si="3"/>
        <v>0</v>
      </c>
      <c r="F56" s="140"/>
      <c r="G56" s="2015"/>
      <c r="H56" s="2016"/>
      <c r="I56" s="1264"/>
      <c r="J56" s="49"/>
      <c r="K56" s="49"/>
      <c r="L56" s="49"/>
      <c r="M56" s="49"/>
    </row>
    <row r="57" spans="1:14" s="149" customFormat="1" ht="17.25" customHeight="1" x14ac:dyDescent="0.35">
      <c r="A57" s="379">
        <v>44150</v>
      </c>
      <c r="B57" s="1924"/>
      <c r="C57" s="1923"/>
      <c r="D57" s="1921"/>
      <c r="E57" s="1261">
        <f t="shared" si="3"/>
        <v>0</v>
      </c>
      <c r="F57" s="140"/>
      <c r="G57" s="2015"/>
      <c r="H57" s="2016"/>
      <c r="I57" s="1264"/>
      <c r="J57" s="49"/>
      <c r="K57" s="49"/>
      <c r="L57" s="49"/>
      <c r="M57" s="49"/>
    </row>
    <row r="58" spans="1:14" s="149" customFormat="1" ht="24.75" customHeight="1" x14ac:dyDescent="0.35">
      <c r="A58" s="2960" t="s">
        <v>158</v>
      </c>
      <c r="B58" s="2961"/>
      <c r="C58" s="1357"/>
      <c r="D58" s="231">
        <f>SUM(D11:D42)</f>
        <v>14700975</v>
      </c>
      <c r="E58" s="231">
        <f>SUM(E11:E57)</f>
        <v>14700975</v>
      </c>
      <c r="F58" s="140"/>
      <c r="G58" s="2015"/>
      <c r="H58" s="2016"/>
      <c r="I58" s="1264"/>
      <c r="J58" s="49"/>
      <c r="K58" s="49"/>
      <c r="L58" s="49"/>
      <c r="M58" s="49"/>
    </row>
    <row r="59" spans="1:14" s="139" customFormat="1" ht="19.5" x14ac:dyDescent="0.35">
      <c r="A59" s="71" t="s">
        <v>340</v>
      </c>
      <c r="B59" s="71"/>
      <c r="C59" s="71"/>
      <c r="D59" s="91"/>
      <c r="E59" s="49"/>
      <c r="G59" s="2015"/>
      <c r="H59" s="2016"/>
      <c r="I59" s="1264"/>
      <c r="K59" s="624"/>
    </row>
    <row r="60" spans="1:14" ht="19.5" x14ac:dyDescent="0.35">
      <c r="A60" s="71"/>
      <c r="B60" s="71"/>
      <c r="C60" s="71"/>
      <c r="D60" s="91"/>
      <c r="E60" s="49"/>
      <c r="G60" s="2015"/>
      <c r="H60" s="2016"/>
      <c r="I60" s="1264"/>
      <c r="J60" s="785"/>
      <c r="K60" s="785"/>
      <c r="L60" s="785"/>
      <c r="M60" s="785"/>
    </row>
    <row r="61" spans="1:14" ht="16.5" customHeight="1" x14ac:dyDescent="0.35">
      <c r="A61" s="2977" t="s">
        <v>398</v>
      </c>
      <c r="B61" s="2978"/>
      <c r="C61" s="2978"/>
      <c r="D61" s="2978"/>
      <c r="E61" s="2979"/>
      <c r="F61" s="49"/>
      <c r="G61" s="2015"/>
      <c r="H61" s="2016"/>
      <c r="I61" s="1264"/>
      <c r="J61" s="785"/>
      <c r="K61" s="785"/>
      <c r="L61" s="785">
        <f>++L63</f>
        <v>0</v>
      </c>
      <c r="M61" s="785"/>
      <c r="N61" s="49"/>
    </row>
    <row r="62" spans="1:14" ht="16.5" customHeight="1" x14ac:dyDescent="0.35">
      <c r="A62" s="986"/>
      <c r="B62" s="987"/>
      <c r="C62" s="987"/>
      <c r="D62" s="987"/>
      <c r="E62" s="988"/>
      <c r="F62" s="49"/>
      <c r="G62" s="2015"/>
      <c r="H62" s="2016"/>
      <c r="I62" s="1264"/>
      <c r="J62" s="785"/>
      <c r="K62" s="785">
        <v>4</v>
      </c>
      <c r="L62" s="785"/>
      <c r="M62" s="785"/>
      <c r="N62" s="49"/>
    </row>
    <row r="63" spans="1:14" ht="16.5" customHeight="1" x14ac:dyDescent="0.35">
      <c r="A63" s="986"/>
      <c r="B63" s="987"/>
      <c r="C63" s="987"/>
      <c r="D63" s="987"/>
      <c r="E63" s="988"/>
      <c r="F63" s="49"/>
      <c r="G63" s="2015"/>
      <c r="H63" s="2016"/>
      <c r="I63" s="1264"/>
      <c r="J63" s="785"/>
      <c r="K63" s="785"/>
      <c r="L63" s="2257">
        <f>+K65</f>
        <v>0</v>
      </c>
      <c r="M63" s="785"/>
      <c r="N63" s="49"/>
    </row>
    <row r="64" spans="1:14" ht="38.25" customHeight="1" x14ac:dyDescent="0.35">
      <c r="A64" s="2980" t="s">
        <v>140</v>
      </c>
      <c r="B64" s="2981"/>
      <c r="C64" s="2981"/>
      <c r="D64" s="2981"/>
      <c r="E64" s="2982"/>
      <c r="F64" s="49"/>
      <c r="G64" s="2015"/>
      <c r="H64" s="2016"/>
      <c r="I64" s="1264"/>
      <c r="J64" s="783"/>
      <c r="K64" s="783"/>
      <c r="L64" s="783"/>
      <c r="M64" s="783"/>
      <c r="N64" s="49"/>
    </row>
    <row r="65" spans="1:17" ht="34.5" customHeight="1" x14ac:dyDescent="0.35">
      <c r="A65" s="144" t="s">
        <v>3</v>
      </c>
      <c r="B65" s="782" t="s">
        <v>126</v>
      </c>
      <c r="C65" s="327" t="s">
        <v>231</v>
      </c>
      <c r="D65" s="781" t="s">
        <v>399</v>
      </c>
      <c r="E65" s="152" t="s">
        <v>39</v>
      </c>
      <c r="F65" s="49"/>
      <c r="G65" s="2015"/>
      <c r="H65" s="2016"/>
      <c r="I65" s="1264"/>
      <c r="J65" s="783"/>
      <c r="K65" s="783"/>
      <c r="L65" s="783"/>
      <c r="M65" s="783"/>
      <c r="N65" s="49"/>
    </row>
    <row r="66" spans="1:17" ht="18.75" customHeight="1" x14ac:dyDescent="0.3">
      <c r="A66" s="789">
        <v>42617</v>
      </c>
      <c r="B66" s="1542"/>
      <c r="C66" s="1543"/>
      <c r="D66" s="950"/>
      <c r="E66" s="1850"/>
      <c r="F66" s="369"/>
      <c r="G66" s="2015"/>
      <c r="H66" s="2016"/>
      <c r="I66" s="1264"/>
      <c r="J66" s="785"/>
      <c r="K66" s="2258">
        <f>+I88+202851+L43</f>
        <v>202851</v>
      </c>
      <c r="L66" s="785"/>
      <c r="M66" s="785"/>
      <c r="N66" s="623"/>
      <c r="O66" s="623"/>
    </row>
    <row r="67" spans="1:17" ht="18.75" customHeight="1" x14ac:dyDescent="0.3">
      <c r="A67" s="789">
        <v>42618</v>
      </c>
      <c r="B67" s="1542" t="s">
        <v>405</v>
      </c>
      <c r="C67" s="1543"/>
      <c r="D67" s="1825"/>
      <c r="E67" s="1561"/>
      <c r="F67" s="369"/>
      <c r="G67" s="2015"/>
      <c r="H67" s="2016"/>
      <c r="I67" s="1264"/>
      <c r="J67" s="835"/>
      <c r="K67" s="2648">
        <f>5897-K65</f>
        <v>5897</v>
      </c>
      <c r="L67" s="835"/>
      <c r="M67" s="835"/>
      <c r="N67" s="623"/>
      <c r="O67" s="623"/>
    </row>
    <row r="68" spans="1:17" ht="18.75" customHeight="1" x14ac:dyDescent="0.3">
      <c r="A68" s="789">
        <v>42525</v>
      </c>
      <c r="B68" s="1542" t="s">
        <v>396</v>
      </c>
      <c r="C68" s="1543"/>
      <c r="D68" s="1826"/>
      <c r="E68" s="1562"/>
      <c r="F68" s="369"/>
      <c r="G68" s="2015"/>
      <c r="H68" s="2016"/>
      <c r="I68" s="1264"/>
      <c r="J68" s="835"/>
      <c r="K68" s="835"/>
      <c r="L68" s="835"/>
      <c r="M68" s="835"/>
      <c r="N68" s="623"/>
      <c r="O68" s="623"/>
    </row>
    <row r="69" spans="1:17" ht="18.75" customHeight="1" x14ac:dyDescent="0.3">
      <c r="A69" s="789">
        <v>42551</v>
      </c>
      <c r="B69" s="1542"/>
      <c r="C69" s="1543"/>
      <c r="D69" s="1826"/>
      <c r="E69" s="1718"/>
      <c r="F69" s="369"/>
      <c r="G69" s="2015"/>
      <c r="H69" s="2016"/>
      <c r="I69" s="1264"/>
      <c r="J69" s="835"/>
      <c r="K69" s="835"/>
      <c r="L69" s="835"/>
      <c r="M69" s="835"/>
      <c r="N69" s="623"/>
      <c r="O69" s="623"/>
    </row>
    <row r="70" spans="1:17" ht="18.75" customHeight="1" x14ac:dyDescent="0.3">
      <c r="A70" s="789">
        <v>42551</v>
      </c>
      <c r="B70" s="1542"/>
      <c r="C70" s="1543"/>
      <c r="D70" s="1826"/>
      <c r="E70" s="1718"/>
      <c r="F70" s="369"/>
      <c r="G70" s="2015"/>
      <c r="H70" s="2016"/>
      <c r="I70" s="1264"/>
      <c r="J70" s="835"/>
      <c r="K70" s="835"/>
      <c r="L70" s="835"/>
      <c r="M70" s="835"/>
      <c r="N70" s="623"/>
      <c r="O70" s="623"/>
    </row>
    <row r="71" spans="1:17" s="74" customFormat="1" ht="18.75" customHeight="1" x14ac:dyDescent="0.35">
      <c r="A71" s="789">
        <v>42551</v>
      </c>
      <c r="B71" s="1530"/>
      <c r="C71" s="1533"/>
      <c r="D71" s="1544"/>
      <c r="E71" s="1563"/>
      <c r="F71" s="49"/>
      <c r="G71" s="2015"/>
      <c r="H71" s="2016"/>
      <c r="I71" s="1264"/>
      <c r="J71" s="835"/>
      <c r="K71" s="835"/>
      <c r="L71" s="835"/>
      <c r="M71" s="835"/>
      <c r="N71" s="623"/>
      <c r="O71" s="623"/>
    </row>
    <row r="72" spans="1:17" ht="18.75" customHeight="1" x14ac:dyDescent="0.3">
      <c r="A72" s="789">
        <v>42551</v>
      </c>
      <c r="B72" s="1530"/>
      <c r="C72" s="1531"/>
      <c r="D72" s="1535"/>
      <c r="E72" s="1532"/>
      <c r="F72" s="369"/>
      <c r="G72" s="2015"/>
      <c r="H72" s="2016"/>
      <c r="I72" s="1264"/>
      <c r="J72" s="835"/>
      <c r="K72" s="835"/>
      <c r="L72" s="835"/>
      <c r="M72" s="835"/>
      <c r="N72" s="623"/>
      <c r="O72" s="623"/>
    </row>
    <row r="73" spans="1:17" ht="23.25" x14ac:dyDescent="0.35">
      <c r="A73" s="789">
        <v>42551</v>
      </c>
      <c r="B73" s="1530"/>
      <c r="C73" s="1531"/>
      <c r="D73" s="1535"/>
      <c r="E73" s="1532"/>
      <c r="F73" s="49"/>
      <c r="G73" s="2015"/>
      <c r="H73" s="2016"/>
      <c r="I73" s="1264"/>
      <c r="J73" s="832"/>
      <c r="K73" s="832"/>
      <c r="L73" s="832"/>
      <c r="M73" s="832"/>
      <c r="N73" s="139"/>
      <c r="P73" s="154"/>
      <c r="Q73" s="154"/>
    </row>
    <row r="74" spans="1:17" ht="18.75" customHeight="1" x14ac:dyDescent="0.3">
      <c r="A74" s="789">
        <v>42551</v>
      </c>
      <c r="B74" s="1530"/>
      <c r="C74" s="1531"/>
      <c r="D74" s="1535"/>
      <c r="E74" s="1532"/>
      <c r="F74" s="369"/>
      <c r="G74" s="2015"/>
      <c r="H74" s="2016"/>
      <c r="I74" s="1264"/>
      <c r="J74" s="835"/>
      <c r="K74" s="835"/>
      <c r="L74" s="835"/>
      <c r="M74" s="835"/>
      <c r="N74" s="623"/>
      <c r="O74" s="623"/>
    </row>
    <row r="75" spans="1:17" ht="18.75" customHeight="1" x14ac:dyDescent="0.3">
      <c r="A75" s="789">
        <v>42551</v>
      </c>
      <c r="B75" s="1530"/>
      <c r="C75" s="1531"/>
      <c r="D75" s="1535"/>
      <c r="E75" s="1532"/>
      <c r="F75" s="369"/>
      <c r="G75" s="2015"/>
      <c r="H75" s="2016"/>
      <c r="I75" s="1264"/>
      <c r="J75" s="835"/>
      <c r="K75" s="835"/>
      <c r="L75" s="835"/>
      <c r="M75" s="835"/>
      <c r="N75" s="623"/>
      <c r="O75" s="623"/>
    </row>
    <row r="76" spans="1:17" ht="18.75" customHeight="1" x14ac:dyDescent="0.3">
      <c r="A76" s="789">
        <v>42551</v>
      </c>
      <c r="B76" s="1530"/>
      <c r="C76" s="1531"/>
      <c r="D76" s="430"/>
      <c r="E76" s="1532"/>
      <c r="F76" s="369"/>
      <c r="G76" s="2015"/>
      <c r="H76" s="2016"/>
      <c r="I76" s="1264"/>
      <c r="J76" s="835"/>
      <c r="K76" s="835"/>
      <c r="L76" s="835"/>
      <c r="M76" s="835"/>
      <c r="N76" s="623"/>
      <c r="O76" s="623"/>
    </row>
    <row r="77" spans="1:17" ht="18.75" customHeight="1" x14ac:dyDescent="0.3">
      <c r="A77" s="789">
        <v>42551</v>
      </c>
      <c r="B77" s="1530"/>
      <c r="C77" s="1531"/>
      <c r="D77" s="1536"/>
      <c r="E77" s="1532"/>
      <c r="F77" s="369"/>
      <c r="G77" s="1265"/>
      <c r="H77" s="1263"/>
      <c r="I77" s="1264"/>
      <c r="J77" s="835"/>
      <c r="K77" s="835"/>
      <c r="L77" s="835"/>
      <c r="M77" s="835"/>
      <c r="N77" s="623"/>
      <c r="O77" s="623"/>
    </row>
    <row r="78" spans="1:17" ht="18.75" customHeight="1" x14ac:dyDescent="0.3">
      <c r="A78" s="789">
        <v>42551</v>
      </c>
      <c r="B78" s="1530"/>
      <c r="C78" s="1531"/>
      <c r="D78" s="1532"/>
      <c r="E78" s="1532"/>
      <c r="F78" s="369"/>
      <c r="G78" s="1265"/>
      <c r="H78" s="1263"/>
      <c r="I78" s="1264"/>
      <c r="J78" s="835"/>
      <c r="K78" s="835"/>
      <c r="L78" s="835"/>
      <c r="M78" s="835"/>
      <c r="N78" s="623"/>
      <c r="O78" s="623"/>
    </row>
    <row r="79" spans="1:17" ht="18.75" customHeight="1" x14ac:dyDescent="0.3">
      <c r="A79" s="789">
        <v>42551</v>
      </c>
      <c r="B79" s="1530"/>
      <c r="C79" s="1531"/>
      <c r="D79" s="1537"/>
      <c r="E79" s="189"/>
      <c r="F79" s="369"/>
      <c r="G79" s="1265"/>
      <c r="H79" s="1263"/>
      <c r="I79" s="1264"/>
      <c r="J79" s="835"/>
      <c r="K79" s="835"/>
      <c r="L79" s="835"/>
      <c r="M79" s="835"/>
      <c r="N79" s="623"/>
      <c r="O79" s="623"/>
    </row>
    <row r="80" spans="1:17" ht="18.75" customHeight="1" x14ac:dyDescent="0.3">
      <c r="A80" s="789">
        <v>42551</v>
      </c>
      <c r="B80" s="1530"/>
      <c r="C80" s="1531"/>
      <c r="D80" s="1538"/>
      <c r="E80" s="810"/>
      <c r="F80" s="369"/>
      <c r="G80" s="1265"/>
      <c r="H80" s="1263"/>
      <c r="I80" s="1264"/>
      <c r="J80" s="835"/>
      <c r="K80" s="835"/>
      <c r="L80" s="835"/>
      <c r="M80" s="835"/>
      <c r="N80" s="623"/>
      <c r="O80" s="623"/>
    </row>
    <row r="81" spans="1:16380" ht="23.25" x14ac:dyDescent="0.35">
      <c r="A81" s="789">
        <v>42551</v>
      </c>
      <c r="B81" s="1530"/>
      <c r="C81" s="1531"/>
      <c r="D81" s="1538"/>
      <c r="E81" s="175"/>
      <c r="F81" s="49"/>
      <c r="G81" s="1265"/>
      <c r="H81" s="1263"/>
      <c r="I81" s="1264"/>
      <c r="J81" s="832"/>
      <c r="K81" s="832"/>
      <c r="L81" s="832"/>
      <c r="M81" s="832"/>
      <c r="N81" s="139"/>
      <c r="P81" s="154"/>
      <c r="Q81" s="154"/>
    </row>
    <row r="82" spans="1:16380" ht="23.25" x14ac:dyDescent="0.35">
      <c r="A82" s="789">
        <v>42551</v>
      </c>
      <c r="B82" s="1530"/>
      <c r="C82" s="1531"/>
      <c r="D82" s="1538"/>
      <c r="E82" s="175"/>
      <c r="F82" s="49"/>
      <c r="G82" s="1265"/>
      <c r="H82" s="1263"/>
      <c r="I82" s="1264"/>
      <c r="J82" s="832"/>
      <c r="K82" s="832"/>
      <c r="L82" s="832"/>
      <c r="M82" s="832"/>
      <c r="N82" s="139"/>
      <c r="P82" s="154"/>
      <c r="Q82" s="154"/>
    </row>
    <row r="83" spans="1:16380" ht="23.25" x14ac:dyDescent="0.35">
      <c r="A83" s="789">
        <v>42552</v>
      </c>
      <c r="B83" s="1530"/>
      <c r="C83" s="1135"/>
      <c r="D83" s="1538"/>
      <c r="E83" s="86"/>
      <c r="F83" s="49"/>
      <c r="G83" s="1265"/>
      <c r="H83" s="1263"/>
      <c r="I83" s="1264"/>
      <c r="J83" s="832"/>
      <c r="K83" s="832"/>
      <c r="L83" s="832"/>
      <c r="M83" s="832"/>
      <c r="N83" s="139"/>
      <c r="P83" s="154"/>
      <c r="Q83" s="154"/>
    </row>
    <row r="84" spans="1:16380" ht="23.25" x14ac:dyDescent="0.35">
      <c r="A84" s="789">
        <v>42553</v>
      </c>
      <c r="B84" s="1530"/>
      <c r="C84" s="1135"/>
      <c r="D84" s="1135"/>
      <c r="E84" s="171"/>
      <c r="F84" s="49"/>
      <c r="G84" s="1265"/>
      <c r="H84" s="1263"/>
      <c r="I84" s="1264"/>
      <c r="J84" s="832"/>
      <c r="K84" s="832"/>
      <c r="L84" s="832"/>
      <c r="M84" s="832"/>
      <c r="N84" s="139"/>
      <c r="P84" s="154"/>
      <c r="Q84" s="154"/>
    </row>
    <row r="85" spans="1:16380" ht="23.25" x14ac:dyDescent="0.35">
      <c r="A85" s="910"/>
      <c r="B85" s="1530"/>
      <c r="C85" s="1135"/>
      <c r="D85" s="1538"/>
      <c r="E85" s="171"/>
      <c r="F85" s="49"/>
      <c r="G85" s="1265"/>
      <c r="H85" s="1263"/>
      <c r="I85" s="1264"/>
      <c r="J85" s="832"/>
      <c r="K85" s="832"/>
      <c r="L85" s="832"/>
      <c r="M85" s="832"/>
      <c r="N85" s="139"/>
      <c r="P85" s="154"/>
      <c r="Q85" s="154"/>
    </row>
    <row r="86" spans="1:16380" ht="23.25" x14ac:dyDescent="0.35">
      <c r="A86" s="910"/>
      <c r="B86" s="1530"/>
      <c r="C86" s="1135"/>
      <c r="D86" s="1538"/>
      <c r="E86" s="86"/>
      <c r="F86" s="49"/>
      <c r="G86" s="1265"/>
      <c r="H86" s="1263"/>
      <c r="I86" s="1264"/>
      <c r="J86" s="832"/>
      <c r="K86" s="832"/>
      <c r="L86" s="832"/>
      <c r="M86" s="832"/>
      <c r="N86" s="139"/>
      <c r="P86" s="154"/>
      <c r="Q86" s="154"/>
    </row>
    <row r="87" spans="1:16380" ht="23.25" x14ac:dyDescent="0.35">
      <c r="A87" s="910"/>
      <c r="B87" s="1530"/>
      <c r="C87" s="1135"/>
      <c r="D87" s="1538"/>
      <c r="E87" s="86"/>
      <c r="F87" s="49"/>
      <c r="G87" s="1265"/>
      <c r="H87" s="1801"/>
      <c r="I87" s="1264"/>
      <c r="J87" s="832"/>
      <c r="K87" s="832"/>
      <c r="L87" s="832"/>
      <c r="M87" s="832"/>
      <c r="N87" s="139"/>
      <c r="P87" s="154"/>
      <c r="Q87" s="154"/>
    </row>
    <row r="88" spans="1:16380" ht="23.25" x14ac:dyDescent="0.35">
      <c r="A88" s="910"/>
      <c r="B88" s="1530"/>
      <c r="C88" s="1137"/>
      <c r="D88" s="1539"/>
      <c r="E88" s="86"/>
      <c r="F88" s="49"/>
      <c r="G88" s="1266" t="s">
        <v>18</v>
      </c>
      <c r="H88" s="1267"/>
      <c r="I88" s="1264">
        <f>SUM(I46:I86)</f>
        <v>0</v>
      </c>
      <c r="J88" s="832"/>
      <c r="K88" s="832"/>
      <c r="L88" s="832"/>
      <c r="M88" s="832"/>
      <c r="N88" s="139"/>
      <c r="P88" s="154"/>
      <c r="Q88" s="154"/>
    </row>
    <row r="89" spans="1:16380" s="283" customFormat="1" ht="18.75" x14ac:dyDescent="0.3">
      <c r="A89" s="910"/>
      <c r="B89" s="1530"/>
      <c r="C89" s="1138"/>
      <c r="D89" s="1540"/>
      <c r="E89" s="86"/>
      <c r="F89" s="99"/>
      <c r="G89" s="1268" t="s">
        <v>389</v>
      </c>
      <c r="H89" s="1268"/>
      <c r="I89" s="1269">
        <f>I42+I88+R24+L43</f>
        <v>50000</v>
      </c>
      <c r="J89" s="99"/>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c r="AP89" s="99"/>
      <c r="AQ89" s="99"/>
      <c r="AR89" s="99"/>
      <c r="AS89" s="99"/>
      <c r="AT89" s="99"/>
      <c r="AU89" s="99"/>
      <c r="AV89" s="99"/>
      <c r="AW89" s="99"/>
      <c r="AX89" s="99"/>
      <c r="AY89" s="99"/>
      <c r="AZ89" s="99"/>
      <c r="BA89" s="99"/>
      <c r="BB89" s="99"/>
      <c r="BC89" s="99"/>
      <c r="BD89" s="99"/>
      <c r="BE89" s="99"/>
      <c r="BF89" s="99"/>
      <c r="BG89" s="99"/>
      <c r="BH89" s="99"/>
      <c r="BI89" s="99"/>
      <c r="BJ89" s="99"/>
      <c r="BK89" s="99"/>
      <c r="BL89" s="99"/>
      <c r="BM89" s="99"/>
      <c r="BN89" s="99"/>
      <c r="BO89" s="99"/>
      <c r="BP89" s="99"/>
      <c r="BQ89" s="99"/>
      <c r="BR89" s="99"/>
      <c r="BS89" s="99"/>
      <c r="BT89" s="99"/>
      <c r="BU89" s="99"/>
      <c r="BV89" s="99"/>
      <c r="BW89" s="99"/>
      <c r="BX89" s="99"/>
      <c r="BY89" s="99"/>
      <c r="BZ89" s="99"/>
      <c r="CA89" s="99"/>
      <c r="CB89" s="99"/>
      <c r="CC89" s="99"/>
      <c r="CD89" s="99"/>
      <c r="CE89" s="99"/>
      <c r="CF89" s="99"/>
      <c r="CG89" s="99"/>
      <c r="CH89" s="99"/>
      <c r="CI89" s="99"/>
      <c r="CJ89" s="99"/>
      <c r="CK89" s="99"/>
      <c r="CL89" s="99"/>
      <c r="CM89" s="99"/>
      <c r="CN89" s="99"/>
      <c r="CO89" s="99"/>
      <c r="CP89" s="99"/>
      <c r="CQ89" s="99"/>
      <c r="CR89" s="99"/>
      <c r="CS89" s="99"/>
      <c r="CT89" s="99"/>
      <c r="CU89" s="99"/>
      <c r="CV89" s="99"/>
      <c r="CW89" s="99"/>
      <c r="CX89" s="99"/>
      <c r="CY89" s="99"/>
      <c r="CZ89" s="99"/>
      <c r="DA89" s="99"/>
      <c r="DB89" s="99"/>
      <c r="DC89" s="99"/>
      <c r="DD89" s="99"/>
      <c r="DE89" s="99"/>
      <c r="DF89" s="99"/>
      <c r="DG89" s="99"/>
      <c r="DH89" s="99"/>
      <c r="DI89" s="99"/>
      <c r="DJ89" s="99"/>
      <c r="DK89" s="99"/>
      <c r="DL89" s="99"/>
      <c r="DM89" s="99"/>
      <c r="DN89" s="99"/>
      <c r="DO89" s="99"/>
      <c r="DP89" s="99"/>
      <c r="DQ89" s="99"/>
      <c r="DR89" s="99"/>
      <c r="DS89" s="99"/>
      <c r="DT89" s="99"/>
      <c r="DU89" s="99"/>
      <c r="DV89" s="99"/>
      <c r="DW89" s="99"/>
      <c r="DX89" s="99"/>
      <c r="DY89" s="99"/>
      <c r="DZ89" s="99"/>
      <c r="EA89" s="99"/>
      <c r="EB89" s="99"/>
      <c r="EC89" s="99"/>
      <c r="ED89" s="99"/>
      <c r="EE89" s="99"/>
      <c r="EF89" s="99"/>
      <c r="EG89" s="99"/>
      <c r="EH89" s="99"/>
      <c r="EI89" s="99"/>
      <c r="EJ89" s="99"/>
      <c r="EK89" s="99"/>
      <c r="EL89" s="99"/>
      <c r="EM89" s="99"/>
      <c r="EN89" s="99"/>
      <c r="EO89" s="99"/>
      <c r="EP89" s="99"/>
      <c r="EQ89" s="99"/>
      <c r="ER89" s="99"/>
      <c r="ES89" s="99"/>
      <c r="ET89" s="99"/>
      <c r="EU89" s="99"/>
      <c r="EV89" s="99"/>
      <c r="EW89" s="99"/>
      <c r="EX89" s="99"/>
      <c r="EY89" s="99"/>
      <c r="EZ89" s="99"/>
      <c r="FA89" s="99"/>
      <c r="FB89" s="99"/>
      <c r="FC89" s="99"/>
      <c r="FD89" s="99"/>
      <c r="FE89" s="99"/>
      <c r="FF89" s="99"/>
      <c r="FG89" s="99"/>
      <c r="FH89" s="99"/>
      <c r="FI89" s="99"/>
      <c r="FJ89" s="99"/>
      <c r="FK89" s="99"/>
      <c r="FL89" s="99"/>
      <c r="FM89" s="99"/>
      <c r="FN89" s="99"/>
      <c r="FO89" s="99"/>
      <c r="FP89" s="99"/>
      <c r="FQ89" s="99"/>
      <c r="FR89" s="99"/>
      <c r="FS89" s="99"/>
      <c r="FT89" s="99"/>
      <c r="FU89" s="99"/>
      <c r="FV89" s="99"/>
      <c r="FW89" s="99"/>
      <c r="FX89" s="99"/>
      <c r="FY89" s="99"/>
      <c r="FZ89" s="99"/>
      <c r="GA89" s="99"/>
      <c r="GB89" s="99"/>
      <c r="GC89" s="99"/>
      <c r="GD89" s="99"/>
      <c r="GE89" s="99"/>
      <c r="GF89" s="99"/>
      <c r="GG89" s="99"/>
      <c r="GH89" s="99"/>
      <c r="GI89" s="99"/>
      <c r="GJ89" s="99"/>
      <c r="GK89" s="99"/>
      <c r="GL89" s="99"/>
      <c r="GM89" s="99"/>
      <c r="GN89" s="99"/>
      <c r="GO89" s="99"/>
      <c r="GP89" s="99"/>
      <c r="GQ89" s="99"/>
      <c r="GR89" s="99"/>
      <c r="GS89" s="99"/>
      <c r="GT89" s="99"/>
      <c r="GU89" s="99"/>
      <c r="GV89" s="99"/>
      <c r="GW89" s="99"/>
      <c r="GX89" s="99"/>
      <c r="GY89" s="99"/>
      <c r="GZ89" s="99"/>
      <c r="HA89" s="99"/>
      <c r="HB89" s="99"/>
      <c r="HC89" s="99"/>
      <c r="HD89" s="99"/>
      <c r="HE89" s="99"/>
      <c r="HF89" s="99"/>
      <c r="HG89" s="99"/>
      <c r="HH89" s="99"/>
      <c r="HI89" s="99"/>
      <c r="HJ89" s="99"/>
      <c r="HK89" s="99"/>
      <c r="HL89" s="99"/>
      <c r="HM89" s="99"/>
      <c r="HN89" s="99"/>
      <c r="HO89" s="99"/>
      <c r="HP89" s="99"/>
      <c r="HQ89" s="99"/>
      <c r="HR89" s="99"/>
      <c r="HS89" s="99"/>
      <c r="HT89" s="99"/>
      <c r="HU89" s="99"/>
      <c r="HV89" s="99"/>
      <c r="HW89" s="99"/>
      <c r="HX89" s="99"/>
      <c r="HY89" s="99"/>
      <c r="HZ89" s="99"/>
      <c r="IA89" s="99"/>
      <c r="IB89" s="99"/>
      <c r="IC89" s="99"/>
      <c r="ID89" s="99"/>
      <c r="IE89" s="99"/>
      <c r="IF89" s="99"/>
      <c r="IG89" s="99"/>
      <c r="IH89" s="99"/>
      <c r="II89" s="99"/>
      <c r="IJ89" s="99"/>
      <c r="IK89" s="99"/>
      <c r="IL89" s="99"/>
      <c r="IM89" s="99"/>
      <c r="IN89" s="99"/>
      <c r="IO89" s="99"/>
      <c r="IP89" s="99"/>
      <c r="IQ89" s="99"/>
      <c r="IR89" s="99"/>
      <c r="IS89" s="99"/>
      <c r="IT89" s="99"/>
      <c r="IU89" s="99"/>
      <c r="IV89" s="99"/>
      <c r="IW89" s="99"/>
      <c r="IX89" s="99"/>
      <c r="IY89" s="99"/>
      <c r="IZ89" s="99"/>
      <c r="JA89" s="99"/>
      <c r="JB89" s="99"/>
      <c r="JC89" s="99"/>
      <c r="JD89" s="99"/>
      <c r="JE89" s="99"/>
      <c r="JF89" s="99"/>
      <c r="JG89" s="99"/>
      <c r="JH89" s="99"/>
      <c r="JI89" s="99"/>
      <c r="JJ89" s="99"/>
      <c r="JK89" s="99"/>
      <c r="JL89" s="99"/>
      <c r="JM89" s="99"/>
      <c r="JN89" s="99"/>
      <c r="JO89" s="99"/>
      <c r="JP89" s="99"/>
      <c r="JQ89" s="99"/>
      <c r="JR89" s="99"/>
      <c r="JS89" s="99"/>
      <c r="JT89" s="99"/>
      <c r="JU89" s="99"/>
      <c r="JV89" s="99"/>
      <c r="JW89" s="99"/>
      <c r="JX89" s="99"/>
      <c r="JY89" s="99"/>
      <c r="JZ89" s="99"/>
      <c r="KA89" s="99"/>
      <c r="KB89" s="99"/>
      <c r="KC89" s="99"/>
      <c r="KD89" s="99"/>
      <c r="KE89" s="99"/>
      <c r="KF89" s="99"/>
      <c r="KG89" s="99"/>
      <c r="KH89" s="99"/>
      <c r="KI89" s="99"/>
      <c r="KJ89" s="99"/>
      <c r="KK89" s="99"/>
      <c r="KL89" s="99"/>
      <c r="KM89" s="99"/>
      <c r="KN89" s="99"/>
      <c r="KO89" s="99"/>
      <c r="KP89" s="99"/>
      <c r="KQ89" s="99"/>
      <c r="KR89" s="99"/>
      <c r="KS89" s="99"/>
      <c r="KT89" s="99"/>
      <c r="KU89" s="99"/>
      <c r="KV89" s="99"/>
      <c r="KW89" s="99"/>
      <c r="KX89" s="99"/>
      <c r="KY89" s="99"/>
      <c r="KZ89" s="99"/>
      <c r="LA89" s="99"/>
      <c r="LB89" s="99"/>
      <c r="LC89" s="99"/>
      <c r="LD89" s="99"/>
      <c r="LE89" s="99"/>
      <c r="LF89" s="99"/>
      <c r="LG89" s="99"/>
      <c r="LH89" s="99"/>
      <c r="LI89" s="99"/>
      <c r="LJ89" s="99"/>
      <c r="LK89" s="99"/>
      <c r="LL89" s="99"/>
      <c r="LM89" s="99"/>
      <c r="LN89" s="99"/>
      <c r="LO89" s="99"/>
      <c r="LP89" s="99"/>
      <c r="LQ89" s="99"/>
      <c r="LR89" s="99"/>
      <c r="LS89" s="99"/>
      <c r="LT89" s="99"/>
      <c r="LU89" s="99"/>
      <c r="LV89" s="99"/>
      <c r="LW89" s="99"/>
      <c r="LX89" s="99"/>
      <c r="LY89" s="99"/>
      <c r="LZ89" s="99"/>
      <c r="MA89" s="99"/>
      <c r="MB89" s="99"/>
      <c r="MC89" s="99"/>
      <c r="MD89" s="99"/>
      <c r="ME89" s="99"/>
      <c r="MF89" s="99"/>
      <c r="MG89" s="99"/>
      <c r="MH89" s="99"/>
      <c r="MI89" s="99"/>
      <c r="MJ89" s="99"/>
      <c r="MK89" s="99"/>
      <c r="ML89" s="99"/>
      <c r="MM89" s="99"/>
      <c r="MN89" s="99"/>
      <c r="MO89" s="99"/>
      <c r="MP89" s="99"/>
      <c r="MQ89" s="99"/>
      <c r="MR89" s="99"/>
      <c r="MS89" s="99"/>
      <c r="MT89" s="99"/>
      <c r="MU89" s="99"/>
      <c r="MV89" s="99"/>
      <c r="MW89" s="99"/>
      <c r="MX89" s="99"/>
      <c r="MY89" s="99"/>
      <c r="MZ89" s="99"/>
      <c r="NA89" s="99"/>
      <c r="NB89" s="99"/>
      <c r="NC89" s="99"/>
      <c r="ND89" s="99"/>
      <c r="NE89" s="99"/>
      <c r="NF89" s="99"/>
      <c r="NG89" s="99"/>
      <c r="NH89" s="99"/>
      <c r="NI89" s="99"/>
      <c r="NJ89" s="99"/>
      <c r="NK89" s="99"/>
      <c r="NL89" s="99"/>
      <c r="NM89" s="99"/>
      <c r="NN89" s="99"/>
      <c r="NO89" s="99"/>
      <c r="NP89" s="99"/>
      <c r="NQ89" s="99"/>
      <c r="NR89" s="99"/>
      <c r="NS89" s="99"/>
      <c r="NT89" s="99"/>
      <c r="NU89" s="99"/>
      <c r="NV89" s="99"/>
      <c r="NW89" s="99"/>
      <c r="NX89" s="99"/>
      <c r="NY89" s="99"/>
      <c r="NZ89" s="99"/>
      <c r="OA89" s="99"/>
      <c r="OB89" s="99"/>
      <c r="OC89" s="99"/>
      <c r="OD89" s="99"/>
      <c r="OE89" s="99"/>
      <c r="OF89" s="99"/>
      <c r="OG89" s="99"/>
      <c r="OH89" s="99"/>
      <c r="OI89" s="99"/>
      <c r="OJ89" s="99"/>
      <c r="OK89" s="99"/>
      <c r="OL89" s="99"/>
      <c r="OM89" s="99"/>
      <c r="ON89" s="99"/>
      <c r="OO89" s="99"/>
      <c r="OP89" s="99"/>
      <c r="OQ89" s="99"/>
      <c r="OR89" s="99"/>
      <c r="OS89" s="99"/>
      <c r="OT89" s="99"/>
      <c r="OU89" s="99"/>
      <c r="OV89" s="99"/>
      <c r="OW89" s="99"/>
      <c r="OX89" s="99"/>
      <c r="OY89" s="99"/>
      <c r="OZ89" s="99"/>
      <c r="PA89" s="99"/>
      <c r="PB89" s="99"/>
      <c r="PC89" s="99"/>
      <c r="PD89" s="99"/>
      <c r="PE89" s="99"/>
      <c r="PF89" s="99"/>
      <c r="PG89" s="99"/>
      <c r="PH89" s="99"/>
      <c r="PI89" s="99"/>
      <c r="PJ89" s="99"/>
      <c r="PK89" s="99"/>
      <c r="PL89" s="99"/>
      <c r="PM89" s="99"/>
      <c r="PN89" s="99"/>
      <c r="PO89" s="99"/>
      <c r="PP89" s="99"/>
      <c r="PQ89" s="99"/>
      <c r="PR89" s="99"/>
      <c r="PS89" s="99"/>
      <c r="PT89" s="99"/>
      <c r="PU89" s="99"/>
      <c r="PV89" s="99"/>
      <c r="PW89" s="99"/>
      <c r="PX89" s="99"/>
      <c r="PY89" s="99"/>
      <c r="PZ89" s="99"/>
      <c r="QA89" s="99"/>
      <c r="QB89" s="99"/>
      <c r="QC89" s="99"/>
      <c r="QD89" s="99"/>
      <c r="QE89" s="99"/>
      <c r="QF89" s="99"/>
      <c r="QG89" s="99"/>
      <c r="QH89" s="99"/>
      <c r="QI89" s="99"/>
      <c r="QJ89" s="99"/>
      <c r="QK89" s="99"/>
      <c r="QL89" s="99"/>
      <c r="QM89" s="99"/>
      <c r="QN89" s="99"/>
      <c r="QO89" s="99"/>
      <c r="QP89" s="99"/>
      <c r="QQ89" s="99"/>
      <c r="QR89" s="99"/>
      <c r="QS89" s="99"/>
      <c r="QT89" s="99"/>
      <c r="QU89" s="99"/>
      <c r="QV89" s="99"/>
      <c r="QW89" s="99"/>
      <c r="QX89" s="99"/>
      <c r="QY89" s="99"/>
      <c r="QZ89" s="99"/>
      <c r="RA89" s="99"/>
      <c r="RB89" s="99"/>
      <c r="RC89" s="99"/>
      <c r="RD89" s="99"/>
      <c r="RE89" s="99"/>
      <c r="RF89" s="99"/>
      <c r="RG89" s="99"/>
      <c r="RH89" s="99"/>
      <c r="RI89" s="99"/>
      <c r="RJ89" s="99"/>
      <c r="RK89" s="99"/>
      <c r="RL89" s="99"/>
      <c r="RM89" s="99"/>
      <c r="RN89" s="99"/>
      <c r="RO89" s="99"/>
      <c r="RP89" s="99"/>
      <c r="RQ89" s="99"/>
      <c r="RR89" s="99"/>
      <c r="RS89" s="99"/>
      <c r="RT89" s="99"/>
      <c r="RU89" s="99"/>
      <c r="RV89" s="99"/>
      <c r="RW89" s="99"/>
      <c r="RX89" s="99"/>
      <c r="RY89" s="99"/>
      <c r="RZ89" s="99"/>
      <c r="SA89" s="99"/>
      <c r="SB89" s="99"/>
      <c r="SC89" s="99"/>
      <c r="SD89" s="99"/>
      <c r="SE89" s="99"/>
      <c r="SF89" s="99"/>
      <c r="SG89" s="99"/>
      <c r="SH89" s="99"/>
      <c r="SI89" s="99"/>
      <c r="SJ89" s="99"/>
      <c r="SK89" s="99"/>
      <c r="SL89" s="99"/>
      <c r="SM89" s="99"/>
      <c r="SN89" s="99"/>
      <c r="SO89" s="99"/>
      <c r="SP89" s="99"/>
      <c r="SQ89" s="99"/>
      <c r="SR89" s="99"/>
      <c r="SS89" s="99"/>
      <c r="ST89" s="99"/>
      <c r="SU89" s="99"/>
      <c r="SV89" s="99"/>
      <c r="SW89" s="99"/>
      <c r="SX89" s="99"/>
      <c r="SY89" s="99"/>
      <c r="SZ89" s="99"/>
      <c r="TA89" s="99"/>
      <c r="TB89" s="99"/>
      <c r="TC89" s="99"/>
      <c r="TD89" s="99"/>
      <c r="TE89" s="99"/>
      <c r="TF89" s="99"/>
      <c r="TG89" s="99"/>
      <c r="TH89" s="99"/>
      <c r="TI89" s="99"/>
      <c r="TJ89" s="99"/>
      <c r="TK89" s="99"/>
      <c r="TL89" s="99"/>
      <c r="TM89" s="99"/>
      <c r="TN89" s="99"/>
      <c r="TO89" s="99"/>
      <c r="TP89" s="99"/>
      <c r="TQ89" s="99"/>
      <c r="TR89" s="99"/>
      <c r="TS89" s="99"/>
      <c r="TT89" s="99"/>
      <c r="TU89" s="99"/>
      <c r="TV89" s="99"/>
      <c r="TW89" s="99"/>
      <c r="TX89" s="99"/>
      <c r="TY89" s="99"/>
      <c r="TZ89" s="99"/>
      <c r="UA89" s="99"/>
      <c r="UB89" s="99"/>
      <c r="UC89" s="99"/>
      <c r="UD89" s="99"/>
      <c r="UE89" s="99"/>
      <c r="UF89" s="99"/>
      <c r="UG89" s="99"/>
      <c r="UH89" s="99"/>
      <c r="UI89" s="99"/>
      <c r="UJ89" s="99"/>
      <c r="UK89" s="99"/>
      <c r="UL89" s="99"/>
      <c r="UM89" s="99"/>
      <c r="UN89" s="99"/>
      <c r="UO89" s="99"/>
      <c r="UP89" s="99"/>
      <c r="UQ89" s="99"/>
      <c r="UR89" s="99"/>
      <c r="US89" s="99"/>
      <c r="UT89" s="99"/>
      <c r="UU89" s="99"/>
      <c r="UV89" s="99"/>
      <c r="UW89" s="99"/>
      <c r="UX89" s="99"/>
      <c r="UY89" s="99"/>
      <c r="UZ89" s="99"/>
      <c r="VA89" s="99"/>
      <c r="VB89" s="99"/>
      <c r="VC89" s="99"/>
      <c r="VD89" s="99"/>
      <c r="VE89" s="99"/>
      <c r="VF89" s="99"/>
      <c r="VG89" s="99"/>
      <c r="VH89" s="99"/>
      <c r="VI89" s="99"/>
      <c r="VJ89" s="99"/>
      <c r="VK89" s="99"/>
      <c r="VL89" s="99"/>
      <c r="VM89" s="99"/>
      <c r="VN89" s="99"/>
      <c r="VO89" s="99"/>
      <c r="VP89" s="99"/>
      <c r="VQ89" s="99"/>
      <c r="VR89" s="99"/>
      <c r="VS89" s="99"/>
      <c r="VT89" s="99"/>
      <c r="VU89" s="99"/>
      <c r="VV89" s="99"/>
      <c r="VW89" s="99"/>
      <c r="VX89" s="99"/>
      <c r="VY89" s="99"/>
      <c r="VZ89" s="99"/>
      <c r="WA89" s="99"/>
      <c r="WB89" s="99"/>
      <c r="WC89" s="99"/>
      <c r="WD89" s="99"/>
      <c r="WE89" s="99"/>
      <c r="WF89" s="99"/>
      <c r="WG89" s="99"/>
      <c r="WH89" s="99"/>
      <c r="WI89" s="99"/>
      <c r="WJ89" s="99"/>
      <c r="WK89" s="99"/>
      <c r="WL89" s="99"/>
      <c r="WM89" s="99"/>
      <c r="WN89" s="99"/>
      <c r="WO89" s="99"/>
      <c r="WP89" s="99"/>
      <c r="WQ89" s="99"/>
      <c r="WR89" s="99"/>
      <c r="WS89" s="99"/>
      <c r="WT89" s="99"/>
      <c r="WU89" s="99"/>
      <c r="WV89" s="99"/>
      <c r="WW89" s="99"/>
      <c r="WX89" s="99"/>
      <c r="WY89" s="99"/>
      <c r="WZ89" s="99"/>
      <c r="XA89" s="99"/>
      <c r="XB89" s="99"/>
      <c r="XC89" s="99"/>
      <c r="XD89" s="99"/>
      <c r="XE89" s="99"/>
      <c r="XF89" s="99"/>
      <c r="XG89" s="99"/>
      <c r="XH89" s="99"/>
      <c r="XI89" s="99"/>
      <c r="XJ89" s="99"/>
      <c r="XK89" s="99"/>
      <c r="XL89" s="99"/>
      <c r="XM89" s="99"/>
      <c r="XN89" s="99"/>
      <c r="XO89" s="99"/>
      <c r="XP89" s="99"/>
      <c r="XQ89" s="99"/>
      <c r="XR89" s="99"/>
      <c r="XS89" s="99"/>
      <c r="XT89" s="99"/>
      <c r="XU89" s="99"/>
      <c r="XV89" s="99"/>
      <c r="XW89" s="99"/>
      <c r="XX89" s="99"/>
      <c r="XY89" s="99"/>
      <c r="XZ89" s="99"/>
      <c r="YA89" s="99"/>
      <c r="YB89" s="99"/>
      <c r="YC89" s="99"/>
      <c r="YD89" s="99"/>
      <c r="YE89" s="99"/>
      <c r="YF89" s="99"/>
      <c r="YG89" s="99"/>
      <c r="YH89" s="99"/>
      <c r="YI89" s="99"/>
      <c r="YJ89" s="99"/>
      <c r="YK89" s="99"/>
      <c r="YL89" s="99"/>
      <c r="YM89" s="99"/>
      <c r="YN89" s="99"/>
      <c r="YO89" s="99"/>
      <c r="YP89" s="99"/>
      <c r="YQ89" s="99"/>
      <c r="YR89" s="99"/>
      <c r="YS89" s="99"/>
      <c r="YT89" s="99"/>
      <c r="YU89" s="99"/>
      <c r="YV89" s="99"/>
      <c r="YW89" s="99"/>
      <c r="YX89" s="99"/>
      <c r="YY89" s="99"/>
      <c r="YZ89" s="99"/>
      <c r="ZA89" s="99"/>
      <c r="ZB89" s="99"/>
      <c r="ZC89" s="99"/>
      <c r="ZD89" s="99"/>
      <c r="ZE89" s="99"/>
      <c r="ZF89" s="99"/>
      <c r="ZG89" s="99"/>
      <c r="ZH89" s="99"/>
      <c r="ZI89" s="99"/>
      <c r="ZJ89" s="99"/>
      <c r="ZK89" s="99"/>
      <c r="ZL89" s="99"/>
      <c r="ZM89" s="99"/>
      <c r="ZN89" s="99"/>
      <c r="ZO89" s="99"/>
      <c r="ZP89" s="99"/>
      <c r="ZQ89" s="99"/>
      <c r="ZR89" s="99"/>
      <c r="ZS89" s="99"/>
      <c r="ZT89" s="99"/>
      <c r="ZU89" s="99"/>
      <c r="ZV89" s="99"/>
      <c r="ZW89" s="99"/>
      <c r="ZX89" s="99"/>
      <c r="ZY89" s="99"/>
      <c r="ZZ89" s="99"/>
      <c r="AAA89" s="99"/>
      <c r="AAB89" s="99"/>
      <c r="AAC89" s="99"/>
      <c r="AAD89" s="99"/>
      <c r="AAE89" s="99"/>
      <c r="AAF89" s="99"/>
      <c r="AAG89" s="99"/>
      <c r="AAH89" s="99"/>
      <c r="AAI89" s="99"/>
      <c r="AAJ89" s="99"/>
      <c r="AAK89" s="99"/>
      <c r="AAL89" s="99"/>
      <c r="AAM89" s="99"/>
      <c r="AAN89" s="99"/>
      <c r="AAO89" s="99"/>
      <c r="AAP89" s="99"/>
      <c r="AAQ89" s="99"/>
      <c r="AAR89" s="99"/>
      <c r="AAS89" s="99"/>
      <c r="AAT89" s="99"/>
      <c r="AAU89" s="99"/>
      <c r="AAV89" s="99"/>
      <c r="AAW89" s="99"/>
      <c r="AAX89" s="99"/>
      <c r="AAY89" s="99"/>
      <c r="AAZ89" s="99"/>
      <c r="ABA89" s="99"/>
      <c r="ABB89" s="99"/>
      <c r="ABC89" s="99"/>
      <c r="ABD89" s="99"/>
      <c r="ABE89" s="99"/>
      <c r="ABF89" s="99"/>
      <c r="ABG89" s="99"/>
      <c r="ABH89" s="99"/>
      <c r="ABI89" s="99"/>
      <c r="ABJ89" s="99"/>
      <c r="ABK89" s="99"/>
      <c r="ABL89" s="99"/>
      <c r="ABM89" s="99"/>
      <c r="ABN89" s="99"/>
      <c r="ABO89" s="99"/>
      <c r="ABP89" s="99"/>
      <c r="ABQ89" s="99"/>
      <c r="ABR89" s="99"/>
      <c r="ABS89" s="99"/>
      <c r="ABT89" s="99"/>
      <c r="ABU89" s="99"/>
      <c r="ABV89" s="99"/>
      <c r="ABW89" s="99"/>
      <c r="ABX89" s="99"/>
      <c r="ABY89" s="99"/>
      <c r="ABZ89" s="99"/>
      <c r="ACA89" s="99"/>
      <c r="ACB89" s="99"/>
      <c r="ACC89" s="99"/>
      <c r="ACD89" s="99"/>
      <c r="ACE89" s="99"/>
      <c r="ACF89" s="99"/>
      <c r="ACG89" s="99"/>
      <c r="ACH89" s="99"/>
      <c r="ACI89" s="99"/>
      <c r="ACJ89" s="99"/>
      <c r="ACK89" s="99"/>
      <c r="ACL89" s="99"/>
      <c r="ACM89" s="99"/>
      <c r="ACN89" s="99"/>
      <c r="ACO89" s="99"/>
      <c r="ACP89" s="99"/>
      <c r="ACQ89" s="99"/>
      <c r="ACR89" s="99"/>
      <c r="ACS89" s="99"/>
      <c r="ACT89" s="99"/>
      <c r="ACU89" s="99"/>
      <c r="ACV89" s="99"/>
      <c r="ACW89" s="99"/>
      <c r="ACX89" s="99"/>
      <c r="ACY89" s="99"/>
      <c r="ACZ89" s="99"/>
      <c r="ADA89" s="99"/>
      <c r="ADB89" s="99"/>
      <c r="ADC89" s="99"/>
      <c r="ADD89" s="99"/>
      <c r="ADE89" s="99"/>
      <c r="ADF89" s="99"/>
      <c r="ADG89" s="99"/>
      <c r="ADH89" s="99"/>
      <c r="ADI89" s="99"/>
      <c r="ADJ89" s="99"/>
      <c r="ADK89" s="99"/>
      <c r="ADL89" s="99"/>
      <c r="ADM89" s="99"/>
      <c r="ADN89" s="99"/>
      <c r="ADO89" s="99"/>
      <c r="ADP89" s="99"/>
      <c r="ADQ89" s="99"/>
      <c r="ADR89" s="99"/>
      <c r="ADS89" s="99"/>
      <c r="ADT89" s="99"/>
      <c r="ADU89" s="99"/>
      <c r="ADV89" s="99"/>
      <c r="ADW89" s="99"/>
      <c r="ADX89" s="99"/>
      <c r="ADY89" s="99"/>
      <c r="ADZ89" s="99"/>
      <c r="AEA89" s="99"/>
      <c r="AEB89" s="99"/>
      <c r="AEC89" s="99"/>
      <c r="AED89" s="99"/>
      <c r="AEE89" s="99"/>
      <c r="AEF89" s="99"/>
      <c r="AEG89" s="99"/>
      <c r="AEH89" s="99"/>
      <c r="AEI89" s="99"/>
      <c r="AEJ89" s="99"/>
      <c r="AEK89" s="99"/>
      <c r="AEL89" s="99"/>
      <c r="AEM89" s="99"/>
      <c r="AEN89" s="99"/>
      <c r="AEO89" s="99"/>
      <c r="AEP89" s="99"/>
      <c r="AEQ89" s="99"/>
      <c r="AER89" s="99"/>
      <c r="AES89" s="99"/>
      <c r="AET89" s="99"/>
      <c r="AEU89" s="99"/>
      <c r="AEV89" s="99"/>
      <c r="AEW89" s="99"/>
      <c r="AEX89" s="99"/>
      <c r="AEY89" s="99"/>
      <c r="AEZ89" s="99"/>
      <c r="AFA89" s="99"/>
      <c r="AFB89" s="99"/>
      <c r="AFC89" s="99"/>
      <c r="AFD89" s="99"/>
      <c r="AFE89" s="99"/>
      <c r="AFF89" s="99"/>
      <c r="AFG89" s="99"/>
      <c r="AFH89" s="99"/>
      <c r="AFI89" s="99"/>
      <c r="AFJ89" s="99"/>
      <c r="AFK89" s="99"/>
      <c r="AFL89" s="99"/>
      <c r="AFM89" s="99"/>
      <c r="AFN89" s="99"/>
      <c r="AFO89" s="99"/>
      <c r="AFP89" s="99"/>
      <c r="AFQ89" s="99"/>
      <c r="AFR89" s="99"/>
      <c r="AFS89" s="99"/>
      <c r="AFT89" s="99"/>
      <c r="AFU89" s="99"/>
      <c r="AFV89" s="99"/>
      <c r="AFW89" s="99"/>
      <c r="AFX89" s="99"/>
      <c r="AFY89" s="99"/>
      <c r="AFZ89" s="99"/>
      <c r="AGA89" s="99"/>
      <c r="AGB89" s="99"/>
      <c r="AGC89" s="99"/>
      <c r="AGD89" s="99"/>
      <c r="AGE89" s="99"/>
      <c r="AGF89" s="99"/>
      <c r="AGG89" s="99"/>
      <c r="AGH89" s="99"/>
      <c r="AGI89" s="99"/>
      <c r="AGJ89" s="99"/>
      <c r="AGK89" s="99"/>
      <c r="AGL89" s="99"/>
      <c r="AGM89" s="99"/>
      <c r="AGN89" s="99"/>
      <c r="AGO89" s="99"/>
      <c r="AGP89" s="99"/>
      <c r="AGQ89" s="99"/>
      <c r="AGR89" s="99"/>
      <c r="AGS89" s="99"/>
      <c r="AGT89" s="99"/>
      <c r="AGU89" s="99"/>
      <c r="AGV89" s="99"/>
      <c r="AGW89" s="99"/>
      <c r="AGX89" s="99"/>
      <c r="AGY89" s="99"/>
      <c r="AGZ89" s="99"/>
      <c r="AHA89" s="99"/>
      <c r="AHB89" s="99"/>
      <c r="AHC89" s="99"/>
      <c r="AHD89" s="99"/>
      <c r="AHE89" s="99"/>
      <c r="AHF89" s="99"/>
      <c r="AHG89" s="99"/>
      <c r="AHH89" s="99"/>
      <c r="AHI89" s="99"/>
      <c r="AHJ89" s="99"/>
      <c r="AHK89" s="99"/>
      <c r="AHL89" s="99"/>
      <c r="AHM89" s="99"/>
      <c r="AHN89" s="99"/>
      <c r="AHO89" s="99"/>
      <c r="AHP89" s="99"/>
      <c r="AHQ89" s="99"/>
      <c r="AHR89" s="99"/>
      <c r="AHS89" s="99"/>
      <c r="AHT89" s="99"/>
      <c r="AHU89" s="99"/>
      <c r="AHV89" s="99"/>
      <c r="AHW89" s="99"/>
      <c r="AHX89" s="99"/>
      <c r="AHY89" s="99"/>
      <c r="AHZ89" s="99"/>
      <c r="AIA89" s="99"/>
      <c r="AIB89" s="99"/>
      <c r="AIC89" s="99"/>
      <c r="AID89" s="99"/>
      <c r="AIE89" s="99"/>
      <c r="AIF89" s="99"/>
      <c r="AIG89" s="99"/>
      <c r="AIH89" s="99"/>
      <c r="AII89" s="99"/>
      <c r="AIJ89" s="99"/>
      <c r="AIK89" s="99"/>
      <c r="AIL89" s="99"/>
      <c r="AIM89" s="99"/>
      <c r="AIN89" s="99"/>
      <c r="AIO89" s="99"/>
      <c r="AIP89" s="99"/>
      <c r="AIQ89" s="99"/>
      <c r="AIR89" s="99"/>
      <c r="AIS89" s="99"/>
      <c r="AIT89" s="99"/>
      <c r="AIU89" s="99"/>
      <c r="AIV89" s="99"/>
      <c r="AIW89" s="99"/>
      <c r="AIX89" s="99"/>
      <c r="AIY89" s="99"/>
      <c r="AIZ89" s="99"/>
      <c r="AJA89" s="99"/>
      <c r="AJB89" s="99"/>
      <c r="AJC89" s="99"/>
      <c r="AJD89" s="99"/>
      <c r="AJE89" s="99"/>
      <c r="AJF89" s="99"/>
      <c r="AJG89" s="99"/>
      <c r="AJH89" s="99"/>
      <c r="AJI89" s="99"/>
      <c r="AJJ89" s="99"/>
      <c r="AJK89" s="99"/>
      <c r="AJL89" s="99"/>
      <c r="AJM89" s="99"/>
      <c r="AJN89" s="99"/>
      <c r="AJO89" s="99"/>
      <c r="AJP89" s="99"/>
      <c r="AJQ89" s="99"/>
      <c r="AJR89" s="99"/>
      <c r="AJS89" s="99"/>
      <c r="AJT89" s="99"/>
      <c r="AJU89" s="99"/>
      <c r="AJV89" s="99"/>
      <c r="AJW89" s="99"/>
      <c r="AJX89" s="99"/>
      <c r="AJY89" s="99"/>
      <c r="AJZ89" s="99"/>
      <c r="AKA89" s="99"/>
      <c r="AKB89" s="99"/>
      <c r="AKC89" s="99"/>
      <c r="AKD89" s="99"/>
      <c r="AKE89" s="99"/>
      <c r="AKF89" s="99"/>
      <c r="AKG89" s="99"/>
      <c r="AKH89" s="99"/>
      <c r="AKI89" s="99"/>
      <c r="AKJ89" s="99"/>
      <c r="AKK89" s="99"/>
      <c r="AKL89" s="99"/>
      <c r="AKM89" s="99"/>
      <c r="AKN89" s="99"/>
      <c r="AKO89" s="99"/>
      <c r="AKP89" s="99"/>
      <c r="AKQ89" s="99"/>
      <c r="AKR89" s="99"/>
      <c r="AKS89" s="99"/>
      <c r="AKT89" s="99"/>
      <c r="AKU89" s="99"/>
      <c r="AKV89" s="99"/>
      <c r="AKW89" s="99"/>
      <c r="AKX89" s="99"/>
      <c r="AKY89" s="99"/>
      <c r="AKZ89" s="99"/>
      <c r="ALA89" s="99"/>
      <c r="ALB89" s="99"/>
      <c r="ALC89" s="99"/>
      <c r="ALD89" s="99"/>
      <c r="ALE89" s="99"/>
      <c r="ALF89" s="99"/>
      <c r="ALG89" s="99"/>
      <c r="ALH89" s="99"/>
      <c r="ALI89" s="99"/>
      <c r="ALJ89" s="99"/>
      <c r="ALK89" s="99"/>
      <c r="ALL89" s="99"/>
      <c r="ALM89" s="99"/>
      <c r="ALN89" s="99"/>
      <c r="ALO89" s="99"/>
      <c r="ALP89" s="99"/>
      <c r="ALQ89" s="99"/>
      <c r="ALR89" s="99"/>
      <c r="ALS89" s="99"/>
      <c r="ALT89" s="99"/>
      <c r="ALU89" s="99"/>
      <c r="ALV89" s="99"/>
      <c r="ALW89" s="99"/>
      <c r="ALX89" s="99"/>
      <c r="ALY89" s="99"/>
      <c r="ALZ89" s="99"/>
      <c r="AMA89" s="99"/>
      <c r="AMB89" s="99"/>
      <c r="AMC89" s="99"/>
      <c r="AMD89" s="99"/>
      <c r="AME89" s="99"/>
      <c r="AMF89" s="99"/>
      <c r="AMG89" s="99"/>
      <c r="AMH89" s="99"/>
      <c r="AMI89" s="99"/>
      <c r="AMJ89" s="99"/>
      <c r="AMK89" s="99"/>
      <c r="AML89" s="99"/>
      <c r="AMM89" s="99"/>
      <c r="AMN89" s="99"/>
      <c r="AMO89" s="99"/>
      <c r="AMP89" s="99"/>
      <c r="AMQ89" s="99"/>
      <c r="AMR89" s="99"/>
      <c r="AMS89" s="99"/>
      <c r="AMT89" s="99"/>
      <c r="AMU89" s="99"/>
      <c r="AMV89" s="99"/>
      <c r="AMW89" s="99"/>
      <c r="AMX89" s="99"/>
      <c r="AMY89" s="99"/>
      <c r="AMZ89" s="99"/>
      <c r="ANA89" s="99"/>
      <c r="ANB89" s="99"/>
      <c r="ANC89" s="99"/>
      <c r="AND89" s="99"/>
      <c r="ANE89" s="99"/>
      <c r="ANF89" s="99"/>
      <c r="ANG89" s="99"/>
      <c r="ANH89" s="99"/>
      <c r="ANI89" s="99"/>
      <c r="ANJ89" s="99"/>
      <c r="ANK89" s="99"/>
      <c r="ANL89" s="99"/>
      <c r="ANM89" s="99"/>
      <c r="ANN89" s="99"/>
      <c r="ANO89" s="99"/>
      <c r="ANP89" s="99"/>
      <c r="ANQ89" s="99"/>
      <c r="ANR89" s="99"/>
      <c r="ANS89" s="99"/>
      <c r="ANT89" s="99"/>
      <c r="ANU89" s="99"/>
      <c r="ANV89" s="99"/>
      <c r="ANW89" s="99"/>
      <c r="ANX89" s="99"/>
      <c r="ANY89" s="99"/>
      <c r="ANZ89" s="99"/>
      <c r="AOA89" s="99"/>
      <c r="AOB89" s="99"/>
      <c r="AOC89" s="99"/>
      <c r="AOD89" s="99"/>
      <c r="AOE89" s="99"/>
      <c r="AOF89" s="99"/>
      <c r="AOG89" s="99"/>
      <c r="AOH89" s="99"/>
      <c r="AOI89" s="99"/>
      <c r="AOJ89" s="99"/>
      <c r="AOK89" s="99"/>
      <c r="AOL89" s="99"/>
      <c r="AOM89" s="99"/>
      <c r="AON89" s="99"/>
      <c r="AOO89" s="99"/>
      <c r="AOP89" s="99"/>
      <c r="AOQ89" s="99"/>
      <c r="AOR89" s="99"/>
      <c r="AOS89" s="99"/>
      <c r="AOT89" s="99"/>
      <c r="AOU89" s="99"/>
      <c r="AOV89" s="99"/>
      <c r="AOW89" s="99"/>
      <c r="AOX89" s="99"/>
      <c r="AOY89" s="99"/>
      <c r="AOZ89" s="99"/>
      <c r="APA89" s="99"/>
      <c r="APB89" s="99"/>
      <c r="APC89" s="99"/>
      <c r="APD89" s="99"/>
      <c r="APE89" s="99"/>
      <c r="APF89" s="99"/>
      <c r="APG89" s="99"/>
      <c r="APH89" s="99"/>
      <c r="API89" s="99"/>
      <c r="APJ89" s="99"/>
      <c r="APK89" s="99"/>
      <c r="APL89" s="99"/>
      <c r="APM89" s="99"/>
      <c r="APN89" s="99"/>
      <c r="APO89" s="99"/>
      <c r="APP89" s="99"/>
      <c r="APQ89" s="99"/>
      <c r="APR89" s="99"/>
      <c r="APS89" s="99"/>
      <c r="APT89" s="99"/>
      <c r="APU89" s="99"/>
      <c r="APV89" s="99"/>
      <c r="APW89" s="99"/>
      <c r="APX89" s="99"/>
      <c r="APY89" s="99"/>
      <c r="APZ89" s="99"/>
      <c r="AQA89" s="99"/>
      <c r="AQB89" s="99"/>
      <c r="AQC89" s="99"/>
      <c r="AQD89" s="99"/>
      <c r="AQE89" s="99"/>
      <c r="AQF89" s="99"/>
      <c r="AQG89" s="99"/>
      <c r="AQH89" s="99"/>
      <c r="AQI89" s="99"/>
      <c r="AQJ89" s="99"/>
      <c r="AQK89" s="99"/>
      <c r="AQL89" s="99"/>
      <c r="AQM89" s="99"/>
      <c r="AQN89" s="99"/>
      <c r="AQO89" s="99"/>
      <c r="AQP89" s="99"/>
      <c r="AQQ89" s="99"/>
      <c r="AQR89" s="99"/>
      <c r="AQS89" s="99"/>
      <c r="AQT89" s="99"/>
      <c r="AQU89" s="99"/>
      <c r="AQV89" s="99"/>
      <c r="AQW89" s="99"/>
      <c r="AQX89" s="99"/>
      <c r="AQY89" s="99"/>
      <c r="AQZ89" s="99"/>
      <c r="ARA89" s="99"/>
      <c r="ARB89" s="99"/>
      <c r="ARC89" s="99"/>
      <c r="ARD89" s="99"/>
      <c r="ARE89" s="99"/>
      <c r="ARF89" s="99"/>
      <c r="ARG89" s="99"/>
      <c r="ARH89" s="99"/>
      <c r="ARI89" s="99"/>
      <c r="ARJ89" s="99"/>
      <c r="ARK89" s="99"/>
      <c r="ARL89" s="99"/>
      <c r="ARM89" s="99"/>
      <c r="ARN89" s="99"/>
      <c r="ARO89" s="99"/>
      <c r="ARP89" s="99"/>
      <c r="ARQ89" s="99"/>
      <c r="ARR89" s="99"/>
      <c r="ARS89" s="99"/>
      <c r="ART89" s="99"/>
      <c r="ARU89" s="99"/>
      <c r="ARV89" s="99"/>
      <c r="ARW89" s="99"/>
      <c r="ARX89" s="99"/>
      <c r="ARY89" s="99"/>
      <c r="ARZ89" s="99"/>
      <c r="ASA89" s="99"/>
      <c r="ASB89" s="99"/>
      <c r="ASC89" s="99"/>
      <c r="ASD89" s="99"/>
      <c r="ASE89" s="99"/>
      <c r="ASF89" s="99"/>
      <c r="ASG89" s="99"/>
      <c r="ASH89" s="99"/>
      <c r="ASI89" s="99"/>
      <c r="ASJ89" s="99"/>
      <c r="ASK89" s="99"/>
      <c r="ASL89" s="99"/>
      <c r="ASM89" s="99"/>
      <c r="ASN89" s="99"/>
      <c r="ASO89" s="99"/>
      <c r="ASP89" s="99"/>
      <c r="ASQ89" s="99"/>
      <c r="ASR89" s="99"/>
      <c r="ASS89" s="99"/>
      <c r="AST89" s="99"/>
      <c r="ASU89" s="99"/>
      <c r="ASV89" s="99"/>
      <c r="ASW89" s="99"/>
      <c r="ASX89" s="99"/>
      <c r="ASY89" s="99"/>
      <c r="ASZ89" s="99"/>
      <c r="ATA89" s="99"/>
      <c r="ATB89" s="99"/>
      <c r="ATC89" s="99"/>
      <c r="ATD89" s="99"/>
      <c r="ATE89" s="99"/>
      <c r="ATF89" s="99"/>
      <c r="ATG89" s="99"/>
      <c r="ATH89" s="99"/>
      <c r="ATI89" s="99"/>
      <c r="ATJ89" s="99"/>
      <c r="ATK89" s="99"/>
      <c r="ATL89" s="99"/>
      <c r="ATM89" s="99"/>
      <c r="ATN89" s="99"/>
      <c r="ATO89" s="99"/>
      <c r="ATP89" s="99"/>
      <c r="ATQ89" s="99"/>
      <c r="ATR89" s="99"/>
      <c r="ATS89" s="99"/>
      <c r="ATT89" s="99"/>
      <c r="ATU89" s="99"/>
      <c r="ATV89" s="99"/>
      <c r="ATW89" s="99"/>
      <c r="ATX89" s="99"/>
      <c r="ATY89" s="99"/>
      <c r="ATZ89" s="99"/>
      <c r="AUA89" s="99"/>
      <c r="AUB89" s="99"/>
      <c r="AUC89" s="99"/>
      <c r="AUD89" s="99"/>
      <c r="AUE89" s="99"/>
      <c r="AUF89" s="99"/>
      <c r="AUG89" s="99"/>
      <c r="AUH89" s="99"/>
      <c r="AUI89" s="99"/>
      <c r="AUJ89" s="99"/>
      <c r="AUK89" s="99"/>
      <c r="AUL89" s="99"/>
      <c r="AUM89" s="99"/>
      <c r="AUN89" s="99"/>
      <c r="AUO89" s="99"/>
      <c r="AUP89" s="99"/>
      <c r="AUQ89" s="99"/>
      <c r="AUR89" s="99"/>
      <c r="AUS89" s="99"/>
      <c r="AUT89" s="99"/>
      <c r="AUU89" s="99"/>
      <c r="AUV89" s="99"/>
      <c r="AUW89" s="99"/>
      <c r="AUX89" s="99"/>
      <c r="AUY89" s="99"/>
      <c r="AUZ89" s="99"/>
      <c r="AVA89" s="99"/>
      <c r="AVB89" s="99"/>
      <c r="AVC89" s="99"/>
      <c r="AVD89" s="99"/>
      <c r="AVE89" s="99"/>
      <c r="AVF89" s="99"/>
      <c r="AVG89" s="99"/>
      <c r="AVH89" s="99"/>
      <c r="AVI89" s="99"/>
      <c r="AVJ89" s="99"/>
      <c r="AVK89" s="99"/>
      <c r="AVL89" s="99"/>
      <c r="AVM89" s="99"/>
      <c r="AVN89" s="99"/>
      <c r="AVO89" s="99"/>
      <c r="AVP89" s="99"/>
      <c r="AVQ89" s="99"/>
      <c r="AVR89" s="99"/>
      <c r="AVS89" s="99"/>
      <c r="AVT89" s="99"/>
      <c r="AVU89" s="99"/>
      <c r="AVV89" s="99"/>
      <c r="AVW89" s="99"/>
      <c r="AVX89" s="99"/>
      <c r="AVY89" s="99"/>
      <c r="AVZ89" s="99"/>
      <c r="AWA89" s="99"/>
      <c r="AWB89" s="99"/>
      <c r="AWC89" s="99"/>
      <c r="AWD89" s="99"/>
      <c r="AWE89" s="99"/>
      <c r="AWF89" s="99"/>
      <c r="AWG89" s="99"/>
      <c r="AWH89" s="99"/>
      <c r="AWI89" s="99"/>
      <c r="AWJ89" s="99"/>
      <c r="AWK89" s="99"/>
      <c r="AWL89" s="99"/>
      <c r="AWM89" s="99"/>
      <c r="AWN89" s="99"/>
      <c r="AWO89" s="99"/>
      <c r="AWP89" s="99"/>
      <c r="AWQ89" s="99"/>
      <c r="AWR89" s="99"/>
      <c r="AWS89" s="99"/>
      <c r="AWT89" s="99"/>
      <c r="AWU89" s="99"/>
      <c r="AWV89" s="99"/>
      <c r="AWW89" s="99"/>
      <c r="AWX89" s="99"/>
      <c r="AWY89" s="99"/>
      <c r="AWZ89" s="99"/>
      <c r="AXA89" s="99"/>
      <c r="AXB89" s="99"/>
      <c r="AXC89" s="99"/>
      <c r="AXD89" s="99"/>
      <c r="AXE89" s="99"/>
      <c r="AXF89" s="99"/>
      <c r="AXG89" s="99"/>
      <c r="AXH89" s="99"/>
      <c r="AXI89" s="99"/>
      <c r="AXJ89" s="99"/>
      <c r="AXK89" s="99"/>
      <c r="AXL89" s="99"/>
      <c r="AXM89" s="99"/>
      <c r="AXN89" s="99"/>
      <c r="AXO89" s="99"/>
      <c r="AXP89" s="99"/>
      <c r="AXQ89" s="99"/>
      <c r="AXR89" s="99"/>
      <c r="AXS89" s="99"/>
      <c r="AXT89" s="99"/>
      <c r="AXU89" s="99"/>
      <c r="AXV89" s="99"/>
      <c r="AXW89" s="99"/>
      <c r="AXX89" s="99"/>
      <c r="AXY89" s="99"/>
      <c r="AXZ89" s="99"/>
      <c r="AYA89" s="99"/>
      <c r="AYB89" s="99"/>
      <c r="AYC89" s="99"/>
      <c r="AYD89" s="99"/>
      <c r="AYE89" s="99"/>
      <c r="AYF89" s="99"/>
      <c r="AYG89" s="99"/>
      <c r="AYH89" s="99"/>
      <c r="AYI89" s="99"/>
      <c r="AYJ89" s="99"/>
      <c r="AYK89" s="99"/>
      <c r="AYL89" s="99"/>
      <c r="AYM89" s="99"/>
      <c r="AYN89" s="99"/>
      <c r="AYO89" s="99"/>
      <c r="AYP89" s="99"/>
      <c r="AYQ89" s="99"/>
      <c r="AYR89" s="99"/>
      <c r="AYS89" s="99"/>
      <c r="AYT89" s="99"/>
      <c r="AYU89" s="99"/>
      <c r="AYV89" s="99"/>
      <c r="AYW89" s="99"/>
      <c r="AYX89" s="99"/>
      <c r="AYY89" s="99"/>
      <c r="AYZ89" s="99"/>
      <c r="AZA89" s="99"/>
      <c r="AZB89" s="99"/>
      <c r="AZC89" s="99"/>
      <c r="AZD89" s="99"/>
      <c r="AZE89" s="99"/>
      <c r="AZF89" s="99"/>
      <c r="AZG89" s="99"/>
      <c r="AZH89" s="99"/>
      <c r="AZI89" s="99"/>
      <c r="AZJ89" s="99"/>
      <c r="AZK89" s="99"/>
      <c r="AZL89" s="99"/>
      <c r="AZM89" s="99"/>
      <c r="AZN89" s="99"/>
      <c r="AZO89" s="99"/>
      <c r="AZP89" s="99"/>
      <c r="AZQ89" s="99"/>
      <c r="AZR89" s="99"/>
      <c r="AZS89" s="99"/>
      <c r="AZT89" s="99"/>
      <c r="AZU89" s="99"/>
      <c r="AZV89" s="99"/>
      <c r="AZW89" s="99"/>
      <c r="AZX89" s="99"/>
      <c r="AZY89" s="99"/>
      <c r="AZZ89" s="99"/>
      <c r="BAA89" s="99"/>
      <c r="BAB89" s="99"/>
      <c r="BAC89" s="99"/>
      <c r="BAD89" s="99"/>
      <c r="BAE89" s="99"/>
      <c r="BAF89" s="99"/>
      <c r="BAG89" s="99"/>
      <c r="BAH89" s="99"/>
      <c r="BAI89" s="99"/>
      <c r="BAJ89" s="99"/>
      <c r="BAK89" s="99"/>
      <c r="BAL89" s="99"/>
      <c r="BAM89" s="99"/>
      <c r="BAN89" s="99"/>
      <c r="BAO89" s="99"/>
      <c r="BAP89" s="99"/>
      <c r="BAQ89" s="99"/>
      <c r="BAR89" s="99"/>
      <c r="BAS89" s="99"/>
      <c r="BAT89" s="99"/>
      <c r="BAU89" s="99"/>
      <c r="BAV89" s="99"/>
      <c r="BAW89" s="99"/>
      <c r="BAX89" s="99"/>
      <c r="BAY89" s="99"/>
      <c r="BAZ89" s="99"/>
      <c r="BBA89" s="99"/>
      <c r="BBB89" s="99"/>
      <c r="BBC89" s="99"/>
      <c r="BBD89" s="99"/>
      <c r="BBE89" s="99"/>
      <c r="BBF89" s="99"/>
      <c r="BBG89" s="99"/>
      <c r="BBH89" s="99"/>
      <c r="BBI89" s="99"/>
      <c r="BBJ89" s="99"/>
      <c r="BBK89" s="99"/>
      <c r="BBL89" s="99"/>
      <c r="BBM89" s="99"/>
      <c r="BBN89" s="99"/>
      <c r="BBO89" s="99"/>
      <c r="BBP89" s="99"/>
      <c r="BBQ89" s="99"/>
      <c r="BBR89" s="99"/>
      <c r="BBS89" s="99"/>
      <c r="BBT89" s="99"/>
      <c r="BBU89" s="99"/>
      <c r="BBV89" s="99"/>
      <c r="BBW89" s="99"/>
      <c r="BBX89" s="99"/>
      <c r="BBY89" s="99"/>
      <c r="BBZ89" s="99"/>
      <c r="BCA89" s="99"/>
      <c r="BCB89" s="99"/>
      <c r="BCC89" s="99"/>
      <c r="BCD89" s="99"/>
      <c r="BCE89" s="99"/>
      <c r="BCF89" s="99"/>
      <c r="BCG89" s="99"/>
      <c r="BCH89" s="99"/>
      <c r="BCI89" s="99"/>
      <c r="BCJ89" s="99"/>
      <c r="BCK89" s="99"/>
      <c r="BCL89" s="99"/>
      <c r="BCM89" s="99"/>
      <c r="BCN89" s="99"/>
      <c r="BCO89" s="99"/>
      <c r="BCP89" s="99"/>
      <c r="BCQ89" s="99"/>
      <c r="BCR89" s="99"/>
      <c r="BCS89" s="99"/>
      <c r="BCT89" s="99"/>
      <c r="BCU89" s="99"/>
      <c r="BCV89" s="99"/>
      <c r="BCW89" s="99"/>
      <c r="BCX89" s="99"/>
      <c r="BCY89" s="99"/>
      <c r="BCZ89" s="99"/>
      <c r="BDA89" s="99"/>
      <c r="BDB89" s="99"/>
      <c r="BDC89" s="99"/>
      <c r="BDD89" s="99"/>
      <c r="BDE89" s="99"/>
      <c r="BDF89" s="99"/>
      <c r="BDG89" s="99"/>
      <c r="BDH89" s="99"/>
      <c r="BDI89" s="99"/>
      <c r="BDJ89" s="99"/>
      <c r="BDK89" s="99"/>
      <c r="BDL89" s="99"/>
      <c r="BDM89" s="99"/>
      <c r="BDN89" s="99"/>
      <c r="BDO89" s="99"/>
      <c r="BDP89" s="99"/>
      <c r="BDQ89" s="99"/>
      <c r="BDR89" s="99"/>
      <c r="BDS89" s="99"/>
      <c r="BDT89" s="99"/>
      <c r="BDU89" s="99"/>
      <c r="BDV89" s="99"/>
      <c r="BDW89" s="99"/>
      <c r="BDX89" s="99"/>
      <c r="BDY89" s="99"/>
      <c r="BDZ89" s="99"/>
      <c r="BEA89" s="99"/>
      <c r="BEB89" s="99"/>
      <c r="BEC89" s="99"/>
      <c r="BED89" s="99"/>
      <c r="BEE89" s="99"/>
      <c r="BEF89" s="99"/>
      <c r="BEG89" s="99"/>
      <c r="BEH89" s="99"/>
      <c r="BEI89" s="99"/>
      <c r="BEJ89" s="99"/>
      <c r="BEK89" s="99"/>
      <c r="BEL89" s="99"/>
      <c r="BEM89" s="99"/>
      <c r="BEN89" s="99"/>
      <c r="BEO89" s="99"/>
      <c r="BEP89" s="99"/>
      <c r="BEQ89" s="99"/>
      <c r="BER89" s="99"/>
      <c r="BES89" s="99"/>
      <c r="BET89" s="99"/>
      <c r="BEU89" s="99"/>
      <c r="BEV89" s="99"/>
      <c r="BEW89" s="99"/>
      <c r="BEX89" s="99"/>
      <c r="BEY89" s="99"/>
      <c r="BEZ89" s="99"/>
      <c r="BFA89" s="99"/>
      <c r="BFB89" s="99"/>
      <c r="BFC89" s="99"/>
      <c r="BFD89" s="99"/>
      <c r="BFE89" s="99"/>
      <c r="BFF89" s="99"/>
      <c r="BFG89" s="99"/>
      <c r="BFH89" s="99"/>
      <c r="BFI89" s="99"/>
      <c r="BFJ89" s="99"/>
      <c r="BFK89" s="99"/>
      <c r="BFL89" s="99"/>
      <c r="BFM89" s="99"/>
      <c r="BFN89" s="99"/>
      <c r="BFO89" s="99"/>
      <c r="BFP89" s="99"/>
      <c r="BFQ89" s="99"/>
      <c r="BFR89" s="99"/>
      <c r="BFS89" s="99"/>
      <c r="BFT89" s="99"/>
      <c r="BFU89" s="99"/>
      <c r="BFV89" s="99"/>
      <c r="BFW89" s="99"/>
      <c r="BFX89" s="99"/>
      <c r="BFY89" s="99"/>
      <c r="BFZ89" s="99"/>
      <c r="BGA89" s="99"/>
      <c r="BGB89" s="99"/>
      <c r="BGC89" s="99"/>
      <c r="BGD89" s="99"/>
      <c r="BGE89" s="99"/>
      <c r="BGF89" s="99"/>
      <c r="BGG89" s="99"/>
      <c r="BGH89" s="99"/>
      <c r="BGI89" s="99"/>
      <c r="BGJ89" s="99"/>
      <c r="BGK89" s="99"/>
      <c r="BGL89" s="99"/>
      <c r="BGM89" s="99"/>
      <c r="BGN89" s="99"/>
      <c r="BGO89" s="99"/>
      <c r="BGP89" s="99"/>
      <c r="BGQ89" s="99"/>
      <c r="BGR89" s="99"/>
      <c r="BGS89" s="99"/>
      <c r="BGT89" s="99"/>
      <c r="BGU89" s="99"/>
      <c r="BGV89" s="99"/>
      <c r="BGW89" s="99"/>
      <c r="BGX89" s="99"/>
      <c r="BGY89" s="99"/>
      <c r="BGZ89" s="99"/>
      <c r="BHA89" s="99"/>
      <c r="BHB89" s="99"/>
      <c r="BHC89" s="99"/>
      <c r="BHD89" s="99"/>
      <c r="BHE89" s="99"/>
      <c r="BHF89" s="99"/>
      <c r="BHG89" s="99"/>
      <c r="BHH89" s="99"/>
      <c r="BHI89" s="99"/>
      <c r="BHJ89" s="99"/>
      <c r="BHK89" s="99"/>
      <c r="BHL89" s="99"/>
      <c r="BHM89" s="99"/>
      <c r="BHN89" s="99"/>
      <c r="BHO89" s="99"/>
      <c r="BHP89" s="99"/>
      <c r="BHQ89" s="99"/>
      <c r="BHR89" s="99"/>
      <c r="BHS89" s="99"/>
      <c r="BHT89" s="99"/>
      <c r="BHU89" s="99"/>
      <c r="BHV89" s="99"/>
      <c r="BHW89" s="99"/>
      <c r="BHX89" s="99"/>
      <c r="BHY89" s="99"/>
      <c r="BHZ89" s="99"/>
      <c r="BIA89" s="99"/>
      <c r="BIB89" s="99"/>
      <c r="BIC89" s="99"/>
      <c r="BID89" s="99"/>
      <c r="BIE89" s="99"/>
      <c r="BIF89" s="99"/>
      <c r="BIG89" s="99"/>
      <c r="BIH89" s="99"/>
      <c r="BII89" s="99"/>
      <c r="BIJ89" s="99"/>
      <c r="BIK89" s="99"/>
      <c r="BIL89" s="99"/>
      <c r="BIM89" s="99"/>
      <c r="BIN89" s="99"/>
      <c r="BIO89" s="99"/>
      <c r="BIP89" s="99"/>
      <c r="BIQ89" s="99"/>
      <c r="BIR89" s="99"/>
      <c r="BIS89" s="99"/>
      <c r="BIT89" s="99"/>
      <c r="BIU89" s="99"/>
      <c r="BIV89" s="99"/>
      <c r="BIW89" s="99"/>
      <c r="BIX89" s="99"/>
      <c r="BIY89" s="99"/>
      <c r="BIZ89" s="99"/>
      <c r="BJA89" s="99"/>
      <c r="BJB89" s="99"/>
      <c r="BJC89" s="99"/>
      <c r="BJD89" s="99"/>
      <c r="BJE89" s="99"/>
      <c r="BJF89" s="99"/>
      <c r="BJG89" s="99"/>
      <c r="BJH89" s="99"/>
      <c r="BJI89" s="99"/>
      <c r="BJJ89" s="99"/>
      <c r="BJK89" s="99"/>
      <c r="BJL89" s="99"/>
      <c r="BJM89" s="99"/>
      <c r="BJN89" s="99"/>
      <c r="BJO89" s="99"/>
      <c r="BJP89" s="99"/>
      <c r="BJQ89" s="99"/>
      <c r="BJR89" s="99"/>
      <c r="BJS89" s="99"/>
      <c r="BJT89" s="99"/>
      <c r="BJU89" s="99"/>
      <c r="BJV89" s="99"/>
      <c r="BJW89" s="99"/>
      <c r="BJX89" s="99"/>
      <c r="BJY89" s="99"/>
      <c r="BJZ89" s="99"/>
      <c r="BKA89" s="99"/>
      <c r="BKB89" s="99"/>
      <c r="BKC89" s="99"/>
      <c r="BKD89" s="99"/>
      <c r="BKE89" s="99"/>
      <c r="BKF89" s="99"/>
      <c r="BKG89" s="99"/>
      <c r="BKH89" s="99"/>
      <c r="BKI89" s="99"/>
      <c r="BKJ89" s="99"/>
      <c r="BKK89" s="99"/>
      <c r="BKL89" s="99"/>
      <c r="BKM89" s="99"/>
      <c r="BKN89" s="99"/>
      <c r="BKO89" s="99"/>
      <c r="BKP89" s="99"/>
      <c r="BKQ89" s="99"/>
      <c r="BKR89" s="99"/>
      <c r="BKS89" s="99"/>
      <c r="BKT89" s="99"/>
      <c r="BKU89" s="99"/>
      <c r="BKV89" s="99"/>
      <c r="BKW89" s="99"/>
      <c r="BKX89" s="99"/>
      <c r="BKY89" s="99"/>
      <c r="BKZ89" s="99"/>
      <c r="BLA89" s="99"/>
      <c r="BLB89" s="99"/>
      <c r="BLC89" s="99"/>
      <c r="BLD89" s="99"/>
      <c r="BLE89" s="99"/>
      <c r="BLF89" s="99"/>
      <c r="BLG89" s="99"/>
      <c r="BLH89" s="99"/>
      <c r="BLI89" s="99"/>
      <c r="BLJ89" s="99"/>
      <c r="BLK89" s="99"/>
      <c r="BLL89" s="99"/>
      <c r="BLM89" s="99"/>
      <c r="BLN89" s="99"/>
      <c r="BLO89" s="99"/>
      <c r="BLP89" s="99"/>
      <c r="BLQ89" s="99"/>
      <c r="BLR89" s="99"/>
      <c r="BLS89" s="99"/>
      <c r="BLT89" s="99"/>
      <c r="BLU89" s="99"/>
      <c r="BLV89" s="99"/>
      <c r="BLW89" s="99"/>
      <c r="BLX89" s="99"/>
      <c r="BLY89" s="99"/>
      <c r="BLZ89" s="99"/>
      <c r="BMA89" s="99"/>
      <c r="BMB89" s="99"/>
      <c r="BMC89" s="99"/>
      <c r="BMD89" s="99"/>
      <c r="BME89" s="99"/>
      <c r="BMF89" s="99"/>
      <c r="BMG89" s="99"/>
      <c r="BMH89" s="99"/>
      <c r="BMI89" s="99"/>
      <c r="BMJ89" s="99"/>
      <c r="BMK89" s="99"/>
      <c r="BML89" s="99"/>
      <c r="BMM89" s="99"/>
      <c r="BMN89" s="99"/>
      <c r="BMO89" s="99"/>
      <c r="BMP89" s="99"/>
      <c r="BMQ89" s="99"/>
      <c r="BMR89" s="99"/>
      <c r="BMS89" s="99"/>
      <c r="BMT89" s="99"/>
      <c r="BMU89" s="99"/>
      <c r="BMV89" s="99"/>
      <c r="BMW89" s="99"/>
      <c r="BMX89" s="99"/>
      <c r="BMY89" s="99"/>
      <c r="BMZ89" s="99"/>
      <c r="BNA89" s="99"/>
      <c r="BNB89" s="99"/>
      <c r="BNC89" s="99"/>
      <c r="BND89" s="99"/>
      <c r="BNE89" s="99"/>
      <c r="BNF89" s="99"/>
      <c r="BNG89" s="99"/>
      <c r="BNH89" s="99"/>
      <c r="BNI89" s="99"/>
      <c r="BNJ89" s="99"/>
      <c r="BNK89" s="99"/>
      <c r="BNL89" s="99"/>
      <c r="BNM89" s="99"/>
      <c r="BNN89" s="99"/>
      <c r="BNO89" s="99"/>
      <c r="BNP89" s="99"/>
      <c r="BNQ89" s="99"/>
      <c r="BNR89" s="99"/>
      <c r="BNS89" s="99"/>
      <c r="BNT89" s="99"/>
      <c r="BNU89" s="99"/>
      <c r="BNV89" s="99"/>
      <c r="BNW89" s="99"/>
      <c r="BNX89" s="99"/>
      <c r="BNY89" s="99"/>
      <c r="BNZ89" s="99"/>
      <c r="BOA89" s="99"/>
      <c r="BOB89" s="99"/>
      <c r="BOC89" s="99"/>
      <c r="BOD89" s="99"/>
      <c r="BOE89" s="99"/>
      <c r="BOF89" s="99"/>
      <c r="BOG89" s="99"/>
      <c r="BOH89" s="99"/>
      <c r="BOI89" s="99"/>
      <c r="BOJ89" s="99"/>
      <c r="BOK89" s="99"/>
      <c r="BOL89" s="99"/>
      <c r="BOM89" s="99"/>
      <c r="BON89" s="99"/>
      <c r="BOO89" s="99"/>
      <c r="BOP89" s="99"/>
      <c r="BOQ89" s="99"/>
      <c r="BOR89" s="99"/>
      <c r="BOS89" s="99"/>
      <c r="BOT89" s="99"/>
      <c r="BOU89" s="99"/>
      <c r="BOV89" s="99"/>
      <c r="BOW89" s="99"/>
      <c r="BOX89" s="99"/>
      <c r="BOY89" s="99"/>
      <c r="BOZ89" s="99"/>
      <c r="BPA89" s="99"/>
      <c r="BPB89" s="99"/>
      <c r="BPC89" s="99"/>
      <c r="BPD89" s="99"/>
      <c r="BPE89" s="99"/>
      <c r="BPF89" s="99"/>
      <c r="BPG89" s="99"/>
      <c r="BPH89" s="99"/>
      <c r="BPI89" s="99"/>
      <c r="BPJ89" s="99"/>
      <c r="BPK89" s="99"/>
      <c r="BPL89" s="99"/>
      <c r="BPM89" s="99"/>
      <c r="BPN89" s="99"/>
      <c r="BPO89" s="99"/>
      <c r="BPP89" s="99"/>
      <c r="BPQ89" s="99"/>
      <c r="BPR89" s="99"/>
      <c r="BPS89" s="99"/>
      <c r="BPT89" s="99"/>
      <c r="BPU89" s="99"/>
      <c r="BPV89" s="99"/>
      <c r="BPW89" s="99"/>
      <c r="BPX89" s="99"/>
      <c r="BPY89" s="99"/>
      <c r="BPZ89" s="99"/>
      <c r="BQA89" s="99"/>
      <c r="BQB89" s="99"/>
      <c r="BQC89" s="99"/>
      <c r="BQD89" s="99"/>
      <c r="BQE89" s="99"/>
      <c r="BQF89" s="99"/>
      <c r="BQG89" s="99"/>
      <c r="BQH89" s="99"/>
      <c r="BQI89" s="99"/>
      <c r="BQJ89" s="99"/>
      <c r="BQK89" s="99"/>
      <c r="BQL89" s="99"/>
      <c r="BQM89" s="99"/>
      <c r="BQN89" s="99"/>
      <c r="BQO89" s="99"/>
      <c r="BQP89" s="99"/>
      <c r="BQQ89" s="99"/>
      <c r="BQR89" s="99"/>
      <c r="BQS89" s="99"/>
      <c r="BQT89" s="99"/>
      <c r="BQU89" s="99"/>
      <c r="BQV89" s="99"/>
      <c r="BQW89" s="99"/>
      <c r="BQX89" s="99"/>
      <c r="BQY89" s="99"/>
      <c r="BQZ89" s="99"/>
      <c r="BRA89" s="99"/>
      <c r="BRB89" s="99"/>
      <c r="BRC89" s="99"/>
      <c r="BRD89" s="99"/>
      <c r="BRE89" s="99"/>
      <c r="BRF89" s="99"/>
      <c r="BRG89" s="99"/>
      <c r="BRH89" s="99"/>
      <c r="BRI89" s="99"/>
      <c r="BRJ89" s="99"/>
      <c r="BRK89" s="99"/>
      <c r="BRL89" s="99"/>
      <c r="BRM89" s="99"/>
      <c r="BRN89" s="99"/>
      <c r="BRO89" s="99"/>
      <c r="BRP89" s="99"/>
      <c r="BRQ89" s="99"/>
      <c r="BRR89" s="99"/>
      <c r="BRS89" s="99"/>
      <c r="BRT89" s="99"/>
      <c r="BRU89" s="99"/>
      <c r="BRV89" s="99"/>
      <c r="BRW89" s="99"/>
      <c r="BRX89" s="99"/>
      <c r="BRY89" s="99"/>
      <c r="BRZ89" s="99"/>
      <c r="BSA89" s="99"/>
      <c r="BSB89" s="99"/>
      <c r="BSC89" s="99"/>
      <c r="BSD89" s="99"/>
      <c r="BSE89" s="99"/>
      <c r="BSF89" s="99"/>
      <c r="BSG89" s="99"/>
      <c r="BSH89" s="99"/>
      <c r="BSI89" s="99"/>
      <c r="BSJ89" s="99"/>
      <c r="BSK89" s="99"/>
      <c r="BSL89" s="99"/>
      <c r="BSM89" s="99"/>
      <c r="BSN89" s="99"/>
      <c r="BSO89" s="99"/>
      <c r="BSP89" s="99"/>
      <c r="BSQ89" s="99"/>
      <c r="BSR89" s="99"/>
      <c r="BSS89" s="99"/>
      <c r="BST89" s="99"/>
      <c r="BSU89" s="99"/>
      <c r="BSV89" s="99"/>
      <c r="BSW89" s="99"/>
      <c r="BSX89" s="99"/>
      <c r="BSY89" s="99"/>
      <c r="BSZ89" s="99"/>
      <c r="BTA89" s="99"/>
      <c r="BTB89" s="99"/>
      <c r="BTC89" s="99"/>
      <c r="BTD89" s="99"/>
      <c r="BTE89" s="99"/>
      <c r="BTF89" s="99"/>
      <c r="BTG89" s="99"/>
      <c r="BTH89" s="99"/>
      <c r="BTI89" s="99"/>
      <c r="BTJ89" s="99"/>
      <c r="BTK89" s="99"/>
      <c r="BTL89" s="99"/>
      <c r="BTM89" s="99"/>
      <c r="BTN89" s="99"/>
      <c r="BTO89" s="99"/>
      <c r="BTP89" s="99"/>
      <c r="BTQ89" s="99"/>
      <c r="BTR89" s="99"/>
      <c r="BTS89" s="99"/>
      <c r="BTT89" s="99"/>
      <c r="BTU89" s="99"/>
      <c r="BTV89" s="99"/>
      <c r="BTW89" s="99"/>
      <c r="BTX89" s="99"/>
      <c r="BTY89" s="99"/>
      <c r="BTZ89" s="99"/>
      <c r="BUA89" s="99"/>
      <c r="BUB89" s="99"/>
      <c r="BUC89" s="99"/>
      <c r="BUD89" s="99"/>
      <c r="BUE89" s="99"/>
      <c r="BUF89" s="99"/>
      <c r="BUG89" s="99"/>
      <c r="BUH89" s="99"/>
      <c r="BUI89" s="99"/>
      <c r="BUJ89" s="99"/>
      <c r="BUK89" s="99"/>
      <c r="BUL89" s="99"/>
      <c r="BUM89" s="99"/>
      <c r="BUN89" s="99"/>
      <c r="BUO89" s="99"/>
      <c r="BUP89" s="99"/>
      <c r="BUQ89" s="99"/>
      <c r="BUR89" s="99"/>
      <c r="BUS89" s="99"/>
      <c r="BUT89" s="99"/>
      <c r="BUU89" s="99"/>
      <c r="BUV89" s="99"/>
      <c r="BUW89" s="99"/>
      <c r="BUX89" s="99"/>
      <c r="BUY89" s="99"/>
      <c r="BUZ89" s="99"/>
      <c r="BVA89" s="99"/>
      <c r="BVB89" s="99"/>
      <c r="BVC89" s="99"/>
      <c r="BVD89" s="99"/>
      <c r="BVE89" s="99"/>
      <c r="BVF89" s="99"/>
      <c r="BVG89" s="99"/>
      <c r="BVH89" s="99"/>
      <c r="BVI89" s="99"/>
      <c r="BVJ89" s="99"/>
      <c r="BVK89" s="99"/>
      <c r="BVL89" s="99"/>
      <c r="BVM89" s="99"/>
      <c r="BVN89" s="99"/>
      <c r="BVO89" s="99"/>
      <c r="BVP89" s="99"/>
      <c r="BVQ89" s="99"/>
      <c r="BVR89" s="99"/>
      <c r="BVS89" s="99"/>
      <c r="BVT89" s="99"/>
      <c r="BVU89" s="99"/>
      <c r="BVV89" s="99"/>
      <c r="BVW89" s="99"/>
      <c r="BVX89" s="99"/>
      <c r="BVY89" s="99"/>
      <c r="BVZ89" s="99"/>
      <c r="BWA89" s="99"/>
      <c r="BWB89" s="99"/>
      <c r="BWC89" s="99"/>
      <c r="BWD89" s="99"/>
      <c r="BWE89" s="99"/>
      <c r="BWF89" s="99"/>
      <c r="BWG89" s="99"/>
      <c r="BWH89" s="99"/>
      <c r="BWI89" s="99"/>
      <c r="BWJ89" s="99"/>
      <c r="BWK89" s="99"/>
      <c r="BWL89" s="99"/>
      <c r="BWM89" s="99"/>
      <c r="BWN89" s="99"/>
      <c r="BWO89" s="99"/>
      <c r="BWP89" s="99"/>
      <c r="BWQ89" s="99"/>
      <c r="BWR89" s="99"/>
      <c r="BWS89" s="99"/>
      <c r="BWT89" s="99"/>
      <c r="BWU89" s="99"/>
      <c r="BWV89" s="99"/>
      <c r="BWW89" s="99"/>
      <c r="BWX89" s="99"/>
      <c r="BWY89" s="99"/>
      <c r="BWZ89" s="99"/>
      <c r="BXA89" s="99"/>
      <c r="BXB89" s="99"/>
      <c r="BXC89" s="99"/>
      <c r="BXD89" s="99"/>
      <c r="BXE89" s="99"/>
      <c r="BXF89" s="99"/>
      <c r="BXG89" s="99"/>
      <c r="BXH89" s="99"/>
      <c r="BXI89" s="99"/>
      <c r="BXJ89" s="99"/>
      <c r="BXK89" s="99"/>
      <c r="BXL89" s="99"/>
      <c r="BXM89" s="99"/>
      <c r="BXN89" s="99"/>
      <c r="BXO89" s="99"/>
      <c r="BXP89" s="99"/>
      <c r="BXQ89" s="99"/>
      <c r="BXR89" s="99"/>
      <c r="BXS89" s="99"/>
      <c r="BXT89" s="99"/>
      <c r="BXU89" s="99"/>
      <c r="BXV89" s="99"/>
      <c r="BXW89" s="99"/>
      <c r="BXX89" s="99"/>
      <c r="BXY89" s="99"/>
      <c r="BXZ89" s="99"/>
      <c r="BYA89" s="99"/>
      <c r="BYB89" s="99"/>
      <c r="BYC89" s="99"/>
      <c r="BYD89" s="99"/>
      <c r="BYE89" s="99"/>
      <c r="BYF89" s="99"/>
      <c r="BYG89" s="99"/>
      <c r="BYH89" s="99"/>
      <c r="BYI89" s="99"/>
      <c r="BYJ89" s="99"/>
      <c r="BYK89" s="99"/>
      <c r="BYL89" s="99"/>
      <c r="BYM89" s="99"/>
      <c r="BYN89" s="99"/>
      <c r="BYO89" s="99"/>
      <c r="BYP89" s="99"/>
      <c r="BYQ89" s="99"/>
      <c r="BYR89" s="99"/>
      <c r="BYS89" s="99"/>
      <c r="BYT89" s="99"/>
      <c r="BYU89" s="99"/>
      <c r="BYV89" s="99"/>
      <c r="BYW89" s="99"/>
      <c r="BYX89" s="99"/>
      <c r="BYY89" s="99"/>
      <c r="BYZ89" s="99"/>
      <c r="BZA89" s="99"/>
      <c r="BZB89" s="99"/>
      <c r="BZC89" s="99"/>
      <c r="BZD89" s="99"/>
      <c r="BZE89" s="99"/>
      <c r="BZF89" s="99"/>
      <c r="BZG89" s="99"/>
      <c r="BZH89" s="99"/>
      <c r="BZI89" s="99"/>
      <c r="BZJ89" s="99"/>
      <c r="BZK89" s="99"/>
      <c r="BZL89" s="99"/>
      <c r="BZM89" s="99"/>
      <c r="BZN89" s="99"/>
      <c r="BZO89" s="99"/>
      <c r="BZP89" s="99"/>
      <c r="BZQ89" s="99"/>
      <c r="BZR89" s="99"/>
      <c r="BZS89" s="99"/>
      <c r="BZT89" s="99"/>
      <c r="BZU89" s="99"/>
      <c r="BZV89" s="99"/>
      <c r="BZW89" s="99"/>
      <c r="BZX89" s="99"/>
      <c r="BZY89" s="99"/>
      <c r="BZZ89" s="99"/>
      <c r="CAA89" s="99"/>
      <c r="CAB89" s="99"/>
      <c r="CAC89" s="99"/>
      <c r="CAD89" s="99"/>
      <c r="CAE89" s="99"/>
      <c r="CAF89" s="99"/>
      <c r="CAG89" s="99"/>
      <c r="CAH89" s="99"/>
      <c r="CAI89" s="99"/>
      <c r="CAJ89" s="99"/>
      <c r="CAK89" s="99"/>
      <c r="CAL89" s="99"/>
      <c r="CAM89" s="99"/>
      <c r="CAN89" s="99"/>
      <c r="CAO89" s="99"/>
      <c r="CAP89" s="99"/>
      <c r="CAQ89" s="99"/>
      <c r="CAR89" s="99"/>
      <c r="CAS89" s="99"/>
      <c r="CAT89" s="99"/>
      <c r="CAU89" s="99"/>
      <c r="CAV89" s="99"/>
      <c r="CAW89" s="99"/>
      <c r="CAX89" s="99"/>
      <c r="CAY89" s="99"/>
      <c r="CAZ89" s="99"/>
      <c r="CBA89" s="99"/>
      <c r="CBB89" s="99"/>
      <c r="CBC89" s="99"/>
      <c r="CBD89" s="99"/>
      <c r="CBE89" s="99"/>
      <c r="CBF89" s="99"/>
      <c r="CBG89" s="99"/>
      <c r="CBH89" s="99"/>
      <c r="CBI89" s="99"/>
      <c r="CBJ89" s="99"/>
      <c r="CBK89" s="99"/>
      <c r="CBL89" s="99"/>
      <c r="CBM89" s="99"/>
      <c r="CBN89" s="99"/>
      <c r="CBO89" s="99"/>
      <c r="CBP89" s="99"/>
      <c r="CBQ89" s="99"/>
      <c r="CBR89" s="99"/>
      <c r="CBS89" s="99"/>
      <c r="CBT89" s="99"/>
      <c r="CBU89" s="99"/>
      <c r="CBV89" s="99"/>
      <c r="CBW89" s="99"/>
      <c r="CBX89" s="99"/>
      <c r="CBY89" s="99"/>
      <c r="CBZ89" s="99"/>
      <c r="CCA89" s="99"/>
      <c r="CCB89" s="99"/>
      <c r="CCC89" s="99"/>
      <c r="CCD89" s="99"/>
      <c r="CCE89" s="99"/>
      <c r="CCF89" s="99"/>
      <c r="CCG89" s="99"/>
      <c r="CCH89" s="99"/>
      <c r="CCI89" s="99"/>
      <c r="CCJ89" s="99"/>
      <c r="CCK89" s="99"/>
      <c r="CCL89" s="99"/>
      <c r="CCM89" s="99"/>
      <c r="CCN89" s="99"/>
      <c r="CCO89" s="99"/>
      <c r="CCP89" s="99"/>
      <c r="CCQ89" s="99"/>
      <c r="CCR89" s="99"/>
      <c r="CCS89" s="99"/>
      <c r="CCT89" s="99"/>
      <c r="CCU89" s="99"/>
      <c r="CCV89" s="99"/>
      <c r="CCW89" s="99"/>
      <c r="CCX89" s="99"/>
      <c r="CCY89" s="99"/>
      <c r="CCZ89" s="99"/>
      <c r="CDA89" s="99"/>
      <c r="CDB89" s="99"/>
      <c r="CDC89" s="99"/>
      <c r="CDD89" s="99"/>
      <c r="CDE89" s="99"/>
      <c r="CDF89" s="99"/>
      <c r="CDG89" s="99"/>
      <c r="CDH89" s="99"/>
      <c r="CDI89" s="99"/>
      <c r="CDJ89" s="99"/>
      <c r="CDK89" s="99"/>
      <c r="CDL89" s="99"/>
      <c r="CDM89" s="99"/>
      <c r="CDN89" s="99"/>
      <c r="CDO89" s="99"/>
      <c r="CDP89" s="99"/>
      <c r="CDQ89" s="99"/>
      <c r="CDR89" s="99"/>
      <c r="CDS89" s="99"/>
      <c r="CDT89" s="99"/>
      <c r="CDU89" s="99"/>
      <c r="CDV89" s="99"/>
      <c r="CDW89" s="99"/>
      <c r="CDX89" s="99"/>
      <c r="CDY89" s="99"/>
      <c r="CDZ89" s="99"/>
      <c r="CEA89" s="99"/>
      <c r="CEB89" s="99"/>
      <c r="CEC89" s="99"/>
      <c r="CED89" s="99"/>
      <c r="CEE89" s="99"/>
      <c r="CEF89" s="99"/>
      <c r="CEG89" s="99"/>
      <c r="CEH89" s="99"/>
      <c r="CEI89" s="99"/>
      <c r="CEJ89" s="99"/>
      <c r="CEK89" s="99"/>
      <c r="CEL89" s="99"/>
      <c r="CEM89" s="99"/>
      <c r="CEN89" s="99"/>
      <c r="CEO89" s="99"/>
      <c r="CEP89" s="99"/>
      <c r="CEQ89" s="99"/>
      <c r="CER89" s="99"/>
      <c r="CES89" s="99"/>
      <c r="CET89" s="99"/>
      <c r="CEU89" s="99"/>
      <c r="CEV89" s="99"/>
      <c r="CEW89" s="99"/>
      <c r="CEX89" s="99"/>
      <c r="CEY89" s="99"/>
      <c r="CEZ89" s="99"/>
      <c r="CFA89" s="99"/>
      <c r="CFB89" s="99"/>
      <c r="CFC89" s="99"/>
      <c r="CFD89" s="99"/>
      <c r="CFE89" s="99"/>
      <c r="CFF89" s="99"/>
      <c r="CFG89" s="99"/>
      <c r="CFH89" s="99"/>
      <c r="CFI89" s="99"/>
      <c r="CFJ89" s="99"/>
      <c r="CFK89" s="99"/>
      <c r="CFL89" s="99"/>
      <c r="CFM89" s="99"/>
      <c r="CFN89" s="99"/>
      <c r="CFO89" s="99"/>
      <c r="CFP89" s="99"/>
      <c r="CFQ89" s="99"/>
      <c r="CFR89" s="99"/>
      <c r="CFS89" s="99"/>
      <c r="CFT89" s="99"/>
      <c r="CFU89" s="99"/>
      <c r="CFV89" s="99"/>
      <c r="CFW89" s="99"/>
      <c r="CFX89" s="99"/>
      <c r="CFY89" s="99"/>
      <c r="CFZ89" s="99"/>
      <c r="CGA89" s="99"/>
      <c r="CGB89" s="99"/>
      <c r="CGC89" s="99"/>
      <c r="CGD89" s="99"/>
      <c r="CGE89" s="99"/>
      <c r="CGF89" s="99"/>
      <c r="CGG89" s="99"/>
      <c r="CGH89" s="99"/>
      <c r="CGI89" s="99"/>
      <c r="CGJ89" s="99"/>
      <c r="CGK89" s="99"/>
      <c r="CGL89" s="99"/>
      <c r="CGM89" s="99"/>
      <c r="CGN89" s="99"/>
      <c r="CGO89" s="99"/>
      <c r="CGP89" s="99"/>
      <c r="CGQ89" s="99"/>
      <c r="CGR89" s="99"/>
      <c r="CGS89" s="99"/>
      <c r="CGT89" s="99"/>
      <c r="CGU89" s="99"/>
      <c r="CGV89" s="99"/>
      <c r="CGW89" s="99"/>
      <c r="CGX89" s="99"/>
      <c r="CGY89" s="99"/>
      <c r="CGZ89" s="99"/>
      <c r="CHA89" s="99"/>
      <c r="CHB89" s="99"/>
      <c r="CHC89" s="99"/>
      <c r="CHD89" s="99"/>
      <c r="CHE89" s="99"/>
      <c r="CHF89" s="99"/>
      <c r="CHG89" s="99"/>
      <c r="CHH89" s="99"/>
      <c r="CHI89" s="99"/>
      <c r="CHJ89" s="99"/>
      <c r="CHK89" s="99"/>
      <c r="CHL89" s="99"/>
      <c r="CHM89" s="99"/>
      <c r="CHN89" s="99"/>
      <c r="CHO89" s="99"/>
      <c r="CHP89" s="99"/>
      <c r="CHQ89" s="99"/>
      <c r="CHR89" s="99"/>
      <c r="CHS89" s="99"/>
      <c r="CHT89" s="99"/>
      <c r="CHU89" s="99"/>
      <c r="CHV89" s="99"/>
      <c r="CHW89" s="99"/>
      <c r="CHX89" s="99"/>
      <c r="CHY89" s="99"/>
      <c r="CHZ89" s="99"/>
      <c r="CIA89" s="99"/>
      <c r="CIB89" s="99"/>
      <c r="CIC89" s="99"/>
      <c r="CID89" s="99"/>
      <c r="CIE89" s="99"/>
      <c r="CIF89" s="99"/>
      <c r="CIG89" s="99"/>
      <c r="CIH89" s="99"/>
      <c r="CII89" s="99"/>
      <c r="CIJ89" s="99"/>
      <c r="CIK89" s="99"/>
      <c r="CIL89" s="99"/>
      <c r="CIM89" s="99"/>
      <c r="CIN89" s="99"/>
      <c r="CIO89" s="99"/>
      <c r="CIP89" s="99"/>
      <c r="CIQ89" s="99"/>
      <c r="CIR89" s="99"/>
      <c r="CIS89" s="99"/>
      <c r="CIT89" s="99"/>
      <c r="CIU89" s="99"/>
      <c r="CIV89" s="99"/>
      <c r="CIW89" s="99"/>
      <c r="CIX89" s="99"/>
      <c r="CIY89" s="99"/>
      <c r="CIZ89" s="99"/>
      <c r="CJA89" s="99"/>
      <c r="CJB89" s="99"/>
      <c r="CJC89" s="99"/>
      <c r="CJD89" s="99"/>
      <c r="CJE89" s="99"/>
      <c r="CJF89" s="99"/>
      <c r="CJG89" s="99"/>
      <c r="CJH89" s="99"/>
      <c r="CJI89" s="99"/>
      <c r="CJJ89" s="99"/>
      <c r="CJK89" s="99"/>
      <c r="CJL89" s="99"/>
      <c r="CJM89" s="99"/>
      <c r="CJN89" s="99"/>
      <c r="CJO89" s="99"/>
      <c r="CJP89" s="99"/>
      <c r="CJQ89" s="99"/>
      <c r="CJR89" s="99"/>
      <c r="CJS89" s="99"/>
      <c r="CJT89" s="99"/>
      <c r="CJU89" s="99"/>
      <c r="CJV89" s="99"/>
      <c r="CJW89" s="99"/>
      <c r="CJX89" s="99"/>
      <c r="CJY89" s="99"/>
      <c r="CJZ89" s="99"/>
      <c r="CKA89" s="99"/>
      <c r="CKB89" s="99"/>
      <c r="CKC89" s="99"/>
      <c r="CKD89" s="99"/>
      <c r="CKE89" s="99"/>
      <c r="CKF89" s="99"/>
      <c r="CKG89" s="99"/>
      <c r="CKH89" s="99"/>
      <c r="CKI89" s="99"/>
      <c r="CKJ89" s="99"/>
      <c r="CKK89" s="99"/>
      <c r="CKL89" s="99"/>
      <c r="CKM89" s="99"/>
      <c r="CKN89" s="99"/>
      <c r="CKO89" s="99"/>
      <c r="CKP89" s="99"/>
      <c r="CKQ89" s="99"/>
      <c r="CKR89" s="99"/>
      <c r="CKS89" s="99"/>
      <c r="CKT89" s="99"/>
      <c r="CKU89" s="99"/>
      <c r="CKV89" s="99"/>
      <c r="CKW89" s="99"/>
      <c r="CKX89" s="99"/>
      <c r="CKY89" s="99"/>
      <c r="CKZ89" s="99"/>
      <c r="CLA89" s="99"/>
      <c r="CLB89" s="99"/>
      <c r="CLC89" s="99"/>
      <c r="CLD89" s="99"/>
      <c r="CLE89" s="99"/>
      <c r="CLF89" s="99"/>
      <c r="CLG89" s="99"/>
      <c r="CLH89" s="99"/>
      <c r="CLI89" s="99"/>
      <c r="CLJ89" s="99"/>
      <c r="CLK89" s="99"/>
      <c r="CLL89" s="99"/>
      <c r="CLM89" s="99"/>
      <c r="CLN89" s="99"/>
      <c r="CLO89" s="99"/>
      <c r="CLP89" s="99"/>
      <c r="CLQ89" s="99"/>
      <c r="CLR89" s="99"/>
      <c r="CLS89" s="99"/>
      <c r="CLT89" s="99"/>
      <c r="CLU89" s="99"/>
      <c r="CLV89" s="99"/>
      <c r="CLW89" s="99"/>
      <c r="CLX89" s="99"/>
      <c r="CLY89" s="99"/>
      <c r="CLZ89" s="99"/>
      <c r="CMA89" s="99"/>
      <c r="CMB89" s="99"/>
      <c r="CMC89" s="99"/>
      <c r="CMD89" s="99"/>
      <c r="CME89" s="99"/>
      <c r="CMF89" s="99"/>
      <c r="CMG89" s="99"/>
      <c r="CMH89" s="99"/>
      <c r="CMI89" s="99"/>
      <c r="CMJ89" s="99"/>
      <c r="CMK89" s="99"/>
      <c r="CML89" s="99"/>
      <c r="CMM89" s="99"/>
      <c r="CMN89" s="99"/>
      <c r="CMO89" s="99"/>
      <c r="CMP89" s="99"/>
      <c r="CMQ89" s="99"/>
      <c r="CMR89" s="99"/>
      <c r="CMS89" s="99"/>
      <c r="CMT89" s="99"/>
      <c r="CMU89" s="99"/>
      <c r="CMV89" s="99"/>
      <c r="CMW89" s="99"/>
      <c r="CMX89" s="99"/>
      <c r="CMY89" s="99"/>
      <c r="CMZ89" s="99"/>
      <c r="CNA89" s="99"/>
      <c r="CNB89" s="99"/>
      <c r="CNC89" s="99"/>
      <c r="CND89" s="99"/>
      <c r="CNE89" s="99"/>
      <c r="CNF89" s="99"/>
      <c r="CNG89" s="99"/>
      <c r="CNH89" s="99"/>
      <c r="CNI89" s="99"/>
      <c r="CNJ89" s="99"/>
      <c r="CNK89" s="99"/>
      <c r="CNL89" s="99"/>
      <c r="CNM89" s="99"/>
      <c r="CNN89" s="99"/>
      <c r="CNO89" s="99"/>
      <c r="CNP89" s="99"/>
      <c r="CNQ89" s="99"/>
      <c r="CNR89" s="99"/>
      <c r="CNS89" s="99"/>
      <c r="CNT89" s="99"/>
      <c r="CNU89" s="99"/>
      <c r="CNV89" s="99"/>
      <c r="CNW89" s="99"/>
      <c r="CNX89" s="99"/>
      <c r="CNY89" s="99"/>
      <c r="CNZ89" s="99"/>
      <c r="COA89" s="99"/>
      <c r="COB89" s="99"/>
      <c r="COC89" s="99"/>
      <c r="COD89" s="99"/>
      <c r="COE89" s="99"/>
      <c r="COF89" s="99"/>
      <c r="COG89" s="99"/>
      <c r="COH89" s="99"/>
      <c r="COI89" s="99"/>
      <c r="COJ89" s="99"/>
      <c r="COK89" s="99"/>
      <c r="COL89" s="99"/>
      <c r="COM89" s="99"/>
      <c r="CON89" s="99"/>
      <c r="COO89" s="99"/>
      <c r="COP89" s="99"/>
      <c r="COQ89" s="99"/>
      <c r="COR89" s="99"/>
      <c r="COS89" s="99"/>
      <c r="COT89" s="99"/>
      <c r="COU89" s="99"/>
      <c r="COV89" s="99"/>
      <c r="COW89" s="99"/>
      <c r="COX89" s="99"/>
      <c r="COY89" s="99"/>
      <c r="COZ89" s="99"/>
      <c r="CPA89" s="99"/>
      <c r="CPB89" s="99"/>
      <c r="CPC89" s="99"/>
      <c r="CPD89" s="99"/>
      <c r="CPE89" s="99"/>
      <c r="CPF89" s="99"/>
      <c r="CPG89" s="99"/>
      <c r="CPH89" s="99"/>
      <c r="CPI89" s="99"/>
      <c r="CPJ89" s="99"/>
      <c r="CPK89" s="99"/>
      <c r="CPL89" s="99"/>
      <c r="CPM89" s="99"/>
      <c r="CPN89" s="99"/>
      <c r="CPO89" s="99"/>
      <c r="CPP89" s="99"/>
      <c r="CPQ89" s="99"/>
      <c r="CPR89" s="99"/>
      <c r="CPS89" s="99"/>
      <c r="CPT89" s="99"/>
      <c r="CPU89" s="99"/>
      <c r="CPV89" s="99"/>
      <c r="CPW89" s="99"/>
      <c r="CPX89" s="99"/>
      <c r="CPY89" s="99"/>
      <c r="CPZ89" s="99"/>
      <c r="CQA89" s="99"/>
      <c r="CQB89" s="99"/>
      <c r="CQC89" s="99"/>
      <c r="CQD89" s="99"/>
      <c r="CQE89" s="99"/>
      <c r="CQF89" s="99"/>
      <c r="CQG89" s="99"/>
      <c r="CQH89" s="99"/>
      <c r="CQI89" s="99"/>
      <c r="CQJ89" s="99"/>
      <c r="CQK89" s="99"/>
      <c r="CQL89" s="99"/>
      <c r="CQM89" s="99"/>
      <c r="CQN89" s="99"/>
      <c r="CQO89" s="99"/>
      <c r="CQP89" s="99"/>
      <c r="CQQ89" s="99"/>
      <c r="CQR89" s="99"/>
      <c r="CQS89" s="99"/>
      <c r="CQT89" s="99"/>
      <c r="CQU89" s="99"/>
      <c r="CQV89" s="99"/>
      <c r="CQW89" s="99"/>
      <c r="CQX89" s="99"/>
      <c r="CQY89" s="99"/>
      <c r="CQZ89" s="99"/>
      <c r="CRA89" s="99"/>
      <c r="CRB89" s="99"/>
      <c r="CRC89" s="99"/>
      <c r="CRD89" s="99"/>
      <c r="CRE89" s="99"/>
      <c r="CRF89" s="99"/>
      <c r="CRG89" s="99"/>
      <c r="CRH89" s="99"/>
      <c r="CRI89" s="99"/>
      <c r="CRJ89" s="99"/>
      <c r="CRK89" s="99"/>
      <c r="CRL89" s="99"/>
      <c r="CRM89" s="99"/>
      <c r="CRN89" s="99"/>
      <c r="CRO89" s="99"/>
      <c r="CRP89" s="99"/>
      <c r="CRQ89" s="99"/>
      <c r="CRR89" s="99"/>
      <c r="CRS89" s="99"/>
      <c r="CRT89" s="99"/>
      <c r="CRU89" s="99"/>
      <c r="CRV89" s="99"/>
      <c r="CRW89" s="99"/>
      <c r="CRX89" s="99"/>
      <c r="CRY89" s="99"/>
      <c r="CRZ89" s="99"/>
      <c r="CSA89" s="99"/>
      <c r="CSB89" s="99"/>
      <c r="CSC89" s="99"/>
      <c r="CSD89" s="99"/>
      <c r="CSE89" s="99"/>
      <c r="CSF89" s="99"/>
      <c r="CSG89" s="99"/>
      <c r="CSH89" s="99"/>
      <c r="CSI89" s="99"/>
      <c r="CSJ89" s="99"/>
      <c r="CSK89" s="99"/>
      <c r="CSL89" s="99"/>
      <c r="CSM89" s="99"/>
      <c r="CSN89" s="99"/>
      <c r="CSO89" s="99"/>
      <c r="CSP89" s="99"/>
      <c r="CSQ89" s="99"/>
      <c r="CSR89" s="99"/>
      <c r="CSS89" s="99"/>
      <c r="CST89" s="99"/>
      <c r="CSU89" s="99"/>
      <c r="CSV89" s="99"/>
      <c r="CSW89" s="99"/>
      <c r="CSX89" s="99"/>
      <c r="CSY89" s="99"/>
      <c r="CSZ89" s="99"/>
      <c r="CTA89" s="99"/>
      <c r="CTB89" s="99"/>
      <c r="CTC89" s="99"/>
      <c r="CTD89" s="99"/>
      <c r="CTE89" s="99"/>
      <c r="CTF89" s="99"/>
      <c r="CTG89" s="99"/>
      <c r="CTH89" s="99"/>
      <c r="CTI89" s="99"/>
      <c r="CTJ89" s="99"/>
      <c r="CTK89" s="99"/>
      <c r="CTL89" s="99"/>
      <c r="CTM89" s="99"/>
      <c r="CTN89" s="99"/>
      <c r="CTO89" s="99"/>
      <c r="CTP89" s="99"/>
      <c r="CTQ89" s="99"/>
      <c r="CTR89" s="99"/>
      <c r="CTS89" s="99"/>
      <c r="CTT89" s="99"/>
      <c r="CTU89" s="99"/>
      <c r="CTV89" s="99"/>
      <c r="CTW89" s="99"/>
      <c r="CTX89" s="99"/>
      <c r="CTY89" s="99"/>
      <c r="CTZ89" s="99"/>
      <c r="CUA89" s="99"/>
      <c r="CUB89" s="99"/>
      <c r="CUC89" s="99"/>
      <c r="CUD89" s="99"/>
      <c r="CUE89" s="99"/>
      <c r="CUF89" s="99"/>
      <c r="CUG89" s="99"/>
      <c r="CUH89" s="99"/>
      <c r="CUI89" s="99"/>
      <c r="CUJ89" s="99"/>
      <c r="CUK89" s="99"/>
      <c r="CUL89" s="99"/>
      <c r="CUM89" s="99"/>
      <c r="CUN89" s="99"/>
      <c r="CUO89" s="99"/>
      <c r="CUP89" s="99"/>
      <c r="CUQ89" s="99"/>
      <c r="CUR89" s="99"/>
      <c r="CUS89" s="99"/>
      <c r="CUT89" s="99"/>
      <c r="CUU89" s="99"/>
      <c r="CUV89" s="99"/>
      <c r="CUW89" s="99"/>
      <c r="CUX89" s="99"/>
      <c r="CUY89" s="99"/>
      <c r="CUZ89" s="99"/>
      <c r="CVA89" s="99"/>
      <c r="CVB89" s="99"/>
      <c r="CVC89" s="99"/>
      <c r="CVD89" s="99"/>
      <c r="CVE89" s="99"/>
      <c r="CVF89" s="99"/>
      <c r="CVG89" s="99"/>
      <c r="CVH89" s="99"/>
      <c r="CVI89" s="99"/>
      <c r="CVJ89" s="99"/>
      <c r="CVK89" s="99"/>
      <c r="CVL89" s="99"/>
      <c r="CVM89" s="99"/>
      <c r="CVN89" s="99"/>
      <c r="CVO89" s="99"/>
      <c r="CVP89" s="99"/>
      <c r="CVQ89" s="99"/>
      <c r="CVR89" s="99"/>
      <c r="CVS89" s="99"/>
      <c r="CVT89" s="99"/>
      <c r="CVU89" s="99"/>
      <c r="CVV89" s="99"/>
      <c r="CVW89" s="99"/>
      <c r="CVX89" s="99"/>
      <c r="CVY89" s="99"/>
      <c r="CVZ89" s="99"/>
      <c r="CWA89" s="99"/>
      <c r="CWB89" s="99"/>
      <c r="CWC89" s="99"/>
      <c r="CWD89" s="99"/>
      <c r="CWE89" s="99"/>
      <c r="CWF89" s="99"/>
      <c r="CWG89" s="99"/>
      <c r="CWH89" s="99"/>
      <c r="CWI89" s="99"/>
      <c r="CWJ89" s="99"/>
      <c r="CWK89" s="99"/>
      <c r="CWL89" s="99"/>
      <c r="CWM89" s="99"/>
      <c r="CWN89" s="99"/>
      <c r="CWO89" s="99"/>
      <c r="CWP89" s="99"/>
      <c r="CWQ89" s="99"/>
      <c r="CWR89" s="99"/>
      <c r="CWS89" s="99"/>
      <c r="CWT89" s="99"/>
      <c r="CWU89" s="99"/>
      <c r="CWV89" s="99"/>
      <c r="CWW89" s="99"/>
      <c r="CWX89" s="99"/>
      <c r="CWY89" s="99"/>
      <c r="CWZ89" s="99"/>
      <c r="CXA89" s="99"/>
      <c r="CXB89" s="99"/>
      <c r="CXC89" s="99"/>
      <c r="CXD89" s="99"/>
      <c r="CXE89" s="99"/>
      <c r="CXF89" s="99"/>
      <c r="CXG89" s="99"/>
      <c r="CXH89" s="99"/>
      <c r="CXI89" s="99"/>
      <c r="CXJ89" s="99"/>
      <c r="CXK89" s="99"/>
      <c r="CXL89" s="99"/>
      <c r="CXM89" s="99"/>
      <c r="CXN89" s="99"/>
      <c r="CXO89" s="99"/>
      <c r="CXP89" s="99"/>
      <c r="CXQ89" s="99"/>
      <c r="CXR89" s="99"/>
      <c r="CXS89" s="99"/>
      <c r="CXT89" s="99"/>
      <c r="CXU89" s="99"/>
      <c r="CXV89" s="99"/>
      <c r="CXW89" s="99"/>
      <c r="CXX89" s="99"/>
      <c r="CXY89" s="99"/>
      <c r="CXZ89" s="99"/>
      <c r="CYA89" s="99"/>
      <c r="CYB89" s="99"/>
      <c r="CYC89" s="99"/>
      <c r="CYD89" s="99"/>
      <c r="CYE89" s="99"/>
      <c r="CYF89" s="99"/>
      <c r="CYG89" s="99"/>
      <c r="CYH89" s="99"/>
      <c r="CYI89" s="99"/>
      <c r="CYJ89" s="99"/>
      <c r="CYK89" s="99"/>
      <c r="CYL89" s="99"/>
      <c r="CYM89" s="99"/>
      <c r="CYN89" s="99"/>
      <c r="CYO89" s="99"/>
      <c r="CYP89" s="99"/>
      <c r="CYQ89" s="99"/>
      <c r="CYR89" s="99"/>
      <c r="CYS89" s="99"/>
      <c r="CYT89" s="99"/>
      <c r="CYU89" s="99"/>
      <c r="CYV89" s="99"/>
      <c r="CYW89" s="99"/>
      <c r="CYX89" s="99"/>
      <c r="CYY89" s="99"/>
      <c r="CYZ89" s="99"/>
      <c r="CZA89" s="99"/>
      <c r="CZB89" s="99"/>
      <c r="CZC89" s="99"/>
      <c r="CZD89" s="99"/>
      <c r="CZE89" s="99"/>
      <c r="CZF89" s="99"/>
      <c r="CZG89" s="99"/>
      <c r="CZH89" s="99"/>
      <c r="CZI89" s="99"/>
      <c r="CZJ89" s="99"/>
      <c r="CZK89" s="99"/>
      <c r="CZL89" s="99"/>
      <c r="CZM89" s="99"/>
      <c r="CZN89" s="99"/>
      <c r="CZO89" s="99"/>
      <c r="CZP89" s="99"/>
      <c r="CZQ89" s="99"/>
      <c r="CZR89" s="99"/>
      <c r="CZS89" s="99"/>
      <c r="CZT89" s="99"/>
      <c r="CZU89" s="99"/>
      <c r="CZV89" s="99"/>
      <c r="CZW89" s="99"/>
      <c r="CZX89" s="99"/>
      <c r="CZY89" s="99"/>
      <c r="CZZ89" s="99"/>
      <c r="DAA89" s="99"/>
      <c r="DAB89" s="99"/>
      <c r="DAC89" s="99"/>
      <c r="DAD89" s="99"/>
      <c r="DAE89" s="99"/>
      <c r="DAF89" s="99"/>
      <c r="DAG89" s="99"/>
      <c r="DAH89" s="99"/>
      <c r="DAI89" s="99"/>
      <c r="DAJ89" s="99"/>
      <c r="DAK89" s="99"/>
      <c r="DAL89" s="99"/>
      <c r="DAM89" s="99"/>
      <c r="DAN89" s="99"/>
      <c r="DAO89" s="99"/>
      <c r="DAP89" s="99"/>
      <c r="DAQ89" s="99"/>
      <c r="DAR89" s="99"/>
      <c r="DAS89" s="99"/>
      <c r="DAT89" s="99"/>
      <c r="DAU89" s="99"/>
      <c r="DAV89" s="99"/>
      <c r="DAW89" s="99"/>
      <c r="DAX89" s="99"/>
      <c r="DAY89" s="99"/>
      <c r="DAZ89" s="99"/>
      <c r="DBA89" s="99"/>
      <c r="DBB89" s="99"/>
      <c r="DBC89" s="99"/>
      <c r="DBD89" s="99"/>
      <c r="DBE89" s="99"/>
      <c r="DBF89" s="99"/>
      <c r="DBG89" s="99"/>
      <c r="DBH89" s="99"/>
      <c r="DBI89" s="99"/>
      <c r="DBJ89" s="99"/>
      <c r="DBK89" s="99"/>
      <c r="DBL89" s="99"/>
      <c r="DBM89" s="99"/>
      <c r="DBN89" s="99"/>
      <c r="DBO89" s="99"/>
      <c r="DBP89" s="99"/>
      <c r="DBQ89" s="99"/>
      <c r="DBR89" s="99"/>
      <c r="DBS89" s="99"/>
      <c r="DBT89" s="99"/>
      <c r="DBU89" s="99"/>
      <c r="DBV89" s="99"/>
      <c r="DBW89" s="99"/>
      <c r="DBX89" s="99"/>
      <c r="DBY89" s="99"/>
      <c r="DBZ89" s="99"/>
      <c r="DCA89" s="99"/>
      <c r="DCB89" s="99"/>
      <c r="DCC89" s="99"/>
      <c r="DCD89" s="99"/>
      <c r="DCE89" s="99"/>
      <c r="DCF89" s="99"/>
      <c r="DCG89" s="99"/>
      <c r="DCH89" s="99"/>
      <c r="DCI89" s="99"/>
      <c r="DCJ89" s="99"/>
      <c r="DCK89" s="99"/>
      <c r="DCL89" s="99"/>
      <c r="DCM89" s="99"/>
      <c r="DCN89" s="99"/>
      <c r="DCO89" s="99"/>
      <c r="DCP89" s="99"/>
      <c r="DCQ89" s="99"/>
      <c r="DCR89" s="99"/>
      <c r="DCS89" s="99"/>
      <c r="DCT89" s="99"/>
      <c r="DCU89" s="99"/>
      <c r="DCV89" s="99"/>
      <c r="DCW89" s="99"/>
      <c r="DCX89" s="99"/>
      <c r="DCY89" s="99"/>
      <c r="DCZ89" s="99"/>
      <c r="DDA89" s="99"/>
      <c r="DDB89" s="99"/>
      <c r="DDC89" s="99"/>
      <c r="DDD89" s="99"/>
      <c r="DDE89" s="99"/>
      <c r="DDF89" s="99"/>
      <c r="DDG89" s="99"/>
      <c r="DDH89" s="99"/>
      <c r="DDI89" s="99"/>
      <c r="DDJ89" s="99"/>
      <c r="DDK89" s="99"/>
      <c r="DDL89" s="99"/>
      <c r="DDM89" s="99"/>
      <c r="DDN89" s="99"/>
      <c r="DDO89" s="99"/>
      <c r="DDP89" s="99"/>
      <c r="DDQ89" s="99"/>
      <c r="DDR89" s="99"/>
      <c r="DDS89" s="99"/>
      <c r="DDT89" s="99"/>
      <c r="DDU89" s="99"/>
      <c r="DDV89" s="99"/>
      <c r="DDW89" s="99"/>
      <c r="DDX89" s="99"/>
      <c r="DDY89" s="99"/>
      <c r="DDZ89" s="99"/>
      <c r="DEA89" s="99"/>
      <c r="DEB89" s="99"/>
      <c r="DEC89" s="99"/>
      <c r="DED89" s="99"/>
      <c r="DEE89" s="99"/>
      <c r="DEF89" s="99"/>
      <c r="DEG89" s="99"/>
      <c r="DEH89" s="99"/>
      <c r="DEI89" s="99"/>
      <c r="DEJ89" s="99"/>
      <c r="DEK89" s="99"/>
      <c r="DEL89" s="99"/>
      <c r="DEM89" s="99"/>
      <c r="DEN89" s="99"/>
      <c r="DEO89" s="99"/>
      <c r="DEP89" s="99"/>
      <c r="DEQ89" s="99"/>
      <c r="DER89" s="99"/>
      <c r="DES89" s="99"/>
      <c r="DET89" s="99"/>
      <c r="DEU89" s="99"/>
      <c r="DEV89" s="99"/>
      <c r="DEW89" s="99"/>
      <c r="DEX89" s="99"/>
      <c r="DEY89" s="99"/>
      <c r="DEZ89" s="99"/>
      <c r="DFA89" s="99"/>
      <c r="DFB89" s="99"/>
      <c r="DFC89" s="99"/>
      <c r="DFD89" s="99"/>
      <c r="DFE89" s="99"/>
      <c r="DFF89" s="99"/>
      <c r="DFG89" s="99"/>
      <c r="DFH89" s="99"/>
      <c r="DFI89" s="99"/>
      <c r="DFJ89" s="99"/>
      <c r="DFK89" s="99"/>
      <c r="DFL89" s="99"/>
      <c r="DFM89" s="99"/>
      <c r="DFN89" s="99"/>
      <c r="DFO89" s="99"/>
      <c r="DFP89" s="99"/>
      <c r="DFQ89" s="99"/>
      <c r="DFR89" s="99"/>
      <c r="DFS89" s="99"/>
      <c r="DFT89" s="99"/>
      <c r="DFU89" s="99"/>
      <c r="DFV89" s="99"/>
      <c r="DFW89" s="99"/>
      <c r="DFX89" s="99"/>
      <c r="DFY89" s="99"/>
      <c r="DFZ89" s="99"/>
      <c r="DGA89" s="99"/>
      <c r="DGB89" s="99"/>
      <c r="DGC89" s="99"/>
      <c r="DGD89" s="99"/>
      <c r="DGE89" s="99"/>
      <c r="DGF89" s="99"/>
      <c r="DGG89" s="99"/>
      <c r="DGH89" s="99"/>
      <c r="DGI89" s="99"/>
      <c r="DGJ89" s="99"/>
      <c r="DGK89" s="99"/>
      <c r="DGL89" s="99"/>
      <c r="DGM89" s="99"/>
      <c r="DGN89" s="99"/>
      <c r="DGO89" s="99"/>
      <c r="DGP89" s="99"/>
      <c r="DGQ89" s="99"/>
      <c r="DGR89" s="99"/>
      <c r="DGS89" s="99"/>
      <c r="DGT89" s="99"/>
      <c r="DGU89" s="99"/>
      <c r="DGV89" s="99"/>
      <c r="DGW89" s="99"/>
      <c r="DGX89" s="99"/>
      <c r="DGY89" s="99"/>
      <c r="DGZ89" s="99"/>
      <c r="DHA89" s="99"/>
      <c r="DHB89" s="99"/>
      <c r="DHC89" s="99"/>
      <c r="DHD89" s="99"/>
      <c r="DHE89" s="99"/>
      <c r="DHF89" s="99"/>
      <c r="DHG89" s="99"/>
      <c r="DHH89" s="99"/>
      <c r="DHI89" s="99"/>
      <c r="DHJ89" s="99"/>
      <c r="DHK89" s="99"/>
      <c r="DHL89" s="99"/>
      <c r="DHM89" s="99"/>
      <c r="DHN89" s="99"/>
      <c r="DHO89" s="99"/>
      <c r="DHP89" s="99"/>
      <c r="DHQ89" s="99"/>
      <c r="DHR89" s="99"/>
      <c r="DHS89" s="99"/>
      <c r="DHT89" s="99"/>
      <c r="DHU89" s="99"/>
      <c r="DHV89" s="99"/>
      <c r="DHW89" s="99"/>
      <c r="DHX89" s="99"/>
      <c r="DHY89" s="99"/>
      <c r="DHZ89" s="99"/>
      <c r="DIA89" s="99"/>
      <c r="DIB89" s="99"/>
      <c r="DIC89" s="99"/>
      <c r="DID89" s="99"/>
      <c r="DIE89" s="99"/>
      <c r="DIF89" s="99"/>
      <c r="DIG89" s="99"/>
      <c r="DIH89" s="99"/>
      <c r="DII89" s="99"/>
      <c r="DIJ89" s="99"/>
      <c r="DIK89" s="99"/>
      <c r="DIL89" s="99"/>
      <c r="DIM89" s="99"/>
      <c r="DIN89" s="99"/>
      <c r="DIO89" s="99"/>
      <c r="DIP89" s="99"/>
      <c r="DIQ89" s="99"/>
      <c r="DIR89" s="99"/>
      <c r="DIS89" s="99"/>
      <c r="DIT89" s="99"/>
      <c r="DIU89" s="99"/>
      <c r="DIV89" s="99"/>
      <c r="DIW89" s="99"/>
      <c r="DIX89" s="99"/>
      <c r="DIY89" s="99"/>
      <c r="DIZ89" s="99"/>
      <c r="DJA89" s="99"/>
      <c r="DJB89" s="99"/>
      <c r="DJC89" s="99"/>
      <c r="DJD89" s="99"/>
      <c r="DJE89" s="99"/>
      <c r="DJF89" s="99"/>
      <c r="DJG89" s="99"/>
      <c r="DJH89" s="99"/>
      <c r="DJI89" s="99"/>
      <c r="DJJ89" s="99"/>
      <c r="DJK89" s="99"/>
      <c r="DJL89" s="99"/>
      <c r="DJM89" s="99"/>
      <c r="DJN89" s="99"/>
      <c r="DJO89" s="99"/>
      <c r="DJP89" s="99"/>
      <c r="DJQ89" s="99"/>
      <c r="DJR89" s="99"/>
      <c r="DJS89" s="99"/>
      <c r="DJT89" s="99"/>
      <c r="DJU89" s="99"/>
      <c r="DJV89" s="99"/>
      <c r="DJW89" s="99"/>
      <c r="DJX89" s="99"/>
      <c r="DJY89" s="99"/>
      <c r="DJZ89" s="99"/>
      <c r="DKA89" s="99"/>
      <c r="DKB89" s="99"/>
      <c r="DKC89" s="99"/>
      <c r="DKD89" s="99"/>
      <c r="DKE89" s="99"/>
      <c r="DKF89" s="99"/>
      <c r="DKG89" s="99"/>
      <c r="DKH89" s="99"/>
      <c r="DKI89" s="99"/>
      <c r="DKJ89" s="99"/>
      <c r="DKK89" s="99"/>
      <c r="DKL89" s="99"/>
      <c r="DKM89" s="99"/>
      <c r="DKN89" s="99"/>
      <c r="DKO89" s="99"/>
      <c r="DKP89" s="99"/>
      <c r="DKQ89" s="99"/>
      <c r="DKR89" s="99"/>
      <c r="DKS89" s="99"/>
      <c r="DKT89" s="99"/>
      <c r="DKU89" s="99"/>
      <c r="DKV89" s="99"/>
      <c r="DKW89" s="99"/>
      <c r="DKX89" s="99"/>
      <c r="DKY89" s="99"/>
      <c r="DKZ89" s="99"/>
      <c r="DLA89" s="99"/>
      <c r="DLB89" s="99"/>
      <c r="DLC89" s="99"/>
      <c r="DLD89" s="99"/>
      <c r="DLE89" s="99"/>
      <c r="DLF89" s="99"/>
      <c r="DLG89" s="99"/>
      <c r="DLH89" s="99"/>
      <c r="DLI89" s="99"/>
      <c r="DLJ89" s="99"/>
      <c r="DLK89" s="99"/>
      <c r="DLL89" s="99"/>
      <c r="DLM89" s="99"/>
      <c r="DLN89" s="99"/>
      <c r="DLO89" s="99"/>
      <c r="DLP89" s="99"/>
      <c r="DLQ89" s="99"/>
      <c r="DLR89" s="99"/>
      <c r="DLS89" s="99"/>
      <c r="DLT89" s="99"/>
      <c r="DLU89" s="99"/>
      <c r="DLV89" s="99"/>
      <c r="DLW89" s="99"/>
      <c r="DLX89" s="99"/>
      <c r="DLY89" s="99"/>
      <c r="DLZ89" s="99"/>
      <c r="DMA89" s="99"/>
      <c r="DMB89" s="99"/>
      <c r="DMC89" s="99"/>
      <c r="DMD89" s="99"/>
      <c r="DME89" s="99"/>
      <c r="DMF89" s="99"/>
      <c r="DMG89" s="99"/>
      <c r="DMH89" s="99"/>
      <c r="DMI89" s="99"/>
      <c r="DMJ89" s="99"/>
      <c r="DMK89" s="99"/>
      <c r="DML89" s="99"/>
      <c r="DMM89" s="99"/>
      <c r="DMN89" s="99"/>
      <c r="DMO89" s="99"/>
      <c r="DMP89" s="99"/>
      <c r="DMQ89" s="99"/>
      <c r="DMR89" s="99"/>
      <c r="DMS89" s="99"/>
      <c r="DMT89" s="99"/>
      <c r="DMU89" s="99"/>
      <c r="DMV89" s="99"/>
      <c r="DMW89" s="99"/>
      <c r="DMX89" s="99"/>
      <c r="DMY89" s="99"/>
      <c r="DMZ89" s="99"/>
      <c r="DNA89" s="99"/>
      <c r="DNB89" s="99"/>
      <c r="DNC89" s="99"/>
      <c r="DND89" s="99"/>
      <c r="DNE89" s="99"/>
      <c r="DNF89" s="99"/>
      <c r="DNG89" s="99"/>
      <c r="DNH89" s="99"/>
      <c r="DNI89" s="99"/>
      <c r="DNJ89" s="99"/>
      <c r="DNK89" s="99"/>
      <c r="DNL89" s="99"/>
      <c r="DNM89" s="99"/>
      <c r="DNN89" s="99"/>
      <c r="DNO89" s="99"/>
      <c r="DNP89" s="99"/>
      <c r="DNQ89" s="99"/>
      <c r="DNR89" s="99"/>
      <c r="DNS89" s="99"/>
      <c r="DNT89" s="99"/>
      <c r="DNU89" s="99"/>
      <c r="DNV89" s="99"/>
      <c r="DNW89" s="99"/>
      <c r="DNX89" s="99"/>
      <c r="DNY89" s="99"/>
      <c r="DNZ89" s="99"/>
      <c r="DOA89" s="99"/>
      <c r="DOB89" s="99"/>
      <c r="DOC89" s="99"/>
      <c r="DOD89" s="99"/>
      <c r="DOE89" s="99"/>
      <c r="DOF89" s="99"/>
      <c r="DOG89" s="99"/>
      <c r="DOH89" s="99"/>
      <c r="DOI89" s="99"/>
      <c r="DOJ89" s="99"/>
      <c r="DOK89" s="99"/>
      <c r="DOL89" s="99"/>
      <c r="DOM89" s="99"/>
      <c r="DON89" s="99"/>
      <c r="DOO89" s="99"/>
      <c r="DOP89" s="99"/>
      <c r="DOQ89" s="99"/>
      <c r="DOR89" s="99"/>
      <c r="DOS89" s="99"/>
      <c r="DOT89" s="99"/>
      <c r="DOU89" s="99"/>
      <c r="DOV89" s="99"/>
      <c r="DOW89" s="99"/>
      <c r="DOX89" s="99"/>
      <c r="DOY89" s="99"/>
      <c r="DOZ89" s="99"/>
      <c r="DPA89" s="99"/>
      <c r="DPB89" s="99"/>
      <c r="DPC89" s="99"/>
      <c r="DPD89" s="99"/>
      <c r="DPE89" s="99"/>
      <c r="DPF89" s="99"/>
      <c r="DPG89" s="99"/>
      <c r="DPH89" s="99"/>
      <c r="DPI89" s="99"/>
      <c r="DPJ89" s="99"/>
      <c r="DPK89" s="99"/>
      <c r="DPL89" s="99"/>
      <c r="DPM89" s="99"/>
      <c r="DPN89" s="99"/>
      <c r="DPO89" s="99"/>
      <c r="DPP89" s="99"/>
      <c r="DPQ89" s="99"/>
      <c r="DPR89" s="99"/>
      <c r="DPS89" s="99"/>
      <c r="DPT89" s="99"/>
      <c r="DPU89" s="99"/>
      <c r="DPV89" s="99"/>
      <c r="DPW89" s="99"/>
      <c r="DPX89" s="99"/>
      <c r="DPY89" s="99"/>
      <c r="DPZ89" s="99"/>
      <c r="DQA89" s="99"/>
      <c r="DQB89" s="99"/>
      <c r="DQC89" s="99"/>
      <c r="DQD89" s="99"/>
      <c r="DQE89" s="99"/>
      <c r="DQF89" s="99"/>
      <c r="DQG89" s="99"/>
      <c r="DQH89" s="99"/>
      <c r="DQI89" s="99"/>
      <c r="DQJ89" s="99"/>
      <c r="DQK89" s="99"/>
      <c r="DQL89" s="99"/>
      <c r="DQM89" s="99"/>
      <c r="DQN89" s="99"/>
      <c r="DQO89" s="99"/>
      <c r="DQP89" s="99"/>
      <c r="DQQ89" s="99"/>
      <c r="DQR89" s="99"/>
      <c r="DQS89" s="99"/>
      <c r="DQT89" s="99"/>
      <c r="DQU89" s="99"/>
      <c r="DQV89" s="99"/>
      <c r="DQW89" s="99"/>
      <c r="DQX89" s="99"/>
      <c r="DQY89" s="99"/>
      <c r="DQZ89" s="99"/>
      <c r="DRA89" s="99"/>
      <c r="DRB89" s="99"/>
      <c r="DRC89" s="99"/>
      <c r="DRD89" s="99"/>
      <c r="DRE89" s="99"/>
      <c r="DRF89" s="99"/>
      <c r="DRG89" s="99"/>
      <c r="DRH89" s="99"/>
      <c r="DRI89" s="99"/>
      <c r="DRJ89" s="99"/>
      <c r="DRK89" s="99"/>
      <c r="DRL89" s="99"/>
      <c r="DRM89" s="99"/>
      <c r="DRN89" s="99"/>
      <c r="DRO89" s="99"/>
      <c r="DRP89" s="99"/>
      <c r="DRQ89" s="99"/>
      <c r="DRR89" s="99"/>
      <c r="DRS89" s="99"/>
      <c r="DRT89" s="99"/>
      <c r="DRU89" s="99"/>
      <c r="DRV89" s="99"/>
      <c r="DRW89" s="99"/>
      <c r="DRX89" s="99"/>
      <c r="DRY89" s="99"/>
      <c r="DRZ89" s="99"/>
      <c r="DSA89" s="99"/>
      <c r="DSB89" s="99"/>
      <c r="DSC89" s="99"/>
      <c r="DSD89" s="99"/>
      <c r="DSE89" s="99"/>
      <c r="DSF89" s="99"/>
      <c r="DSG89" s="99"/>
      <c r="DSH89" s="99"/>
      <c r="DSI89" s="99"/>
      <c r="DSJ89" s="99"/>
      <c r="DSK89" s="99"/>
      <c r="DSL89" s="99"/>
      <c r="DSM89" s="99"/>
      <c r="DSN89" s="99"/>
      <c r="DSO89" s="99"/>
      <c r="DSP89" s="99"/>
      <c r="DSQ89" s="99"/>
      <c r="DSR89" s="99"/>
      <c r="DSS89" s="99"/>
      <c r="DST89" s="99"/>
      <c r="DSU89" s="99"/>
      <c r="DSV89" s="99"/>
      <c r="DSW89" s="99"/>
      <c r="DSX89" s="99"/>
      <c r="DSY89" s="99"/>
      <c r="DSZ89" s="99"/>
      <c r="DTA89" s="99"/>
      <c r="DTB89" s="99"/>
      <c r="DTC89" s="99"/>
      <c r="DTD89" s="99"/>
      <c r="DTE89" s="99"/>
      <c r="DTF89" s="99"/>
      <c r="DTG89" s="99"/>
      <c r="DTH89" s="99"/>
      <c r="DTI89" s="99"/>
      <c r="DTJ89" s="99"/>
      <c r="DTK89" s="99"/>
      <c r="DTL89" s="99"/>
      <c r="DTM89" s="99"/>
      <c r="DTN89" s="99"/>
      <c r="DTO89" s="99"/>
      <c r="DTP89" s="99"/>
      <c r="DTQ89" s="99"/>
      <c r="DTR89" s="99"/>
      <c r="DTS89" s="99"/>
      <c r="DTT89" s="99"/>
      <c r="DTU89" s="99"/>
      <c r="DTV89" s="99"/>
      <c r="DTW89" s="99"/>
      <c r="DTX89" s="99"/>
      <c r="DTY89" s="99"/>
      <c r="DTZ89" s="99"/>
      <c r="DUA89" s="99"/>
      <c r="DUB89" s="99"/>
      <c r="DUC89" s="99"/>
      <c r="DUD89" s="99"/>
      <c r="DUE89" s="99"/>
      <c r="DUF89" s="99"/>
      <c r="DUG89" s="99"/>
      <c r="DUH89" s="99"/>
      <c r="DUI89" s="99"/>
      <c r="DUJ89" s="99"/>
      <c r="DUK89" s="99"/>
      <c r="DUL89" s="99"/>
      <c r="DUM89" s="99"/>
      <c r="DUN89" s="99"/>
      <c r="DUO89" s="99"/>
      <c r="DUP89" s="99"/>
      <c r="DUQ89" s="99"/>
      <c r="DUR89" s="99"/>
      <c r="DUS89" s="99"/>
      <c r="DUT89" s="99"/>
      <c r="DUU89" s="99"/>
      <c r="DUV89" s="99"/>
      <c r="DUW89" s="99"/>
      <c r="DUX89" s="99"/>
      <c r="DUY89" s="99"/>
      <c r="DUZ89" s="99"/>
      <c r="DVA89" s="99"/>
      <c r="DVB89" s="99"/>
      <c r="DVC89" s="99"/>
      <c r="DVD89" s="99"/>
      <c r="DVE89" s="99"/>
      <c r="DVF89" s="99"/>
      <c r="DVG89" s="99"/>
      <c r="DVH89" s="99"/>
      <c r="DVI89" s="99"/>
      <c r="DVJ89" s="99"/>
      <c r="DVK89" s="99"/>
      <c r="DVL89" s="99"/>
      <c r="DVM89" s="99"/>
      <c r="DVN89" s="99"/>
      <c r="DVO89" s="99"/>
      <c r="DVP89" s="99"/>
      <c r="DVQ89" s="99"/>
      <c r="DVR89" s="99"/>
      <c r="DVS89" s="99"/>
      <c r="DVT89" s="99"/>
      <c r="DVU89" s="99"/>
      <c r="DVV89" s="99"/>
      <c r="DVW89" s="99"/>
      <c r="DVX89" s="99"/>
      <c r="DVY89" s="99"/>
      <c r="DVZ89" s="99"/>
      <c r="DWA89" s="99"/>
      <c r="DWB89" s="99"/>
      <c r="DWC89" s="99"/>
      <c r="DWD89" s="99"/>
      <c r="DWE89" s="99"/>
      <c r="DWF89" s="99"/>
      <c r="DWG89" s="99"/>
      <c r="DWH89" s="99"/>
      <c r="DWI89" s="99"/>
      <c r="DWJ89" s="99"/>
      <c r="DWK89" s="99"/>
      <c r="DWL89" s="99"/>
      <c r="DWM89" s="99"/>
      <c r="DWN89" s="99"/>
      <c r="DWO89" s="99"/>
      <c r="DWP89" s="99"/>
      <c r="DWQ89" s="99"/>
      <c r="DWR89" s="99"/>
      <c r="DWS89" s="99"/>
      <c r="DWT89" s="99"/>
      <c r="DWU89" s="99"/>
      <c r="DWV89" s="99"/>
      <c r="DWW89" s="99"/>
      <c r="DWX89" s="99"/>
      <c r="DWY89" s="99"/>
      <c r="DWZ89" s="99"/>
      <c r="DXA89" s="99"/>
      <c r="DXB89" s="99"/>
      <c r="DXC89" s="99"/>
      <c r="DXD89" s="99"/>
      <c r="DXE89" s="99"/>
      <c r="DXF89" s="99"/>
      <c r="DXG89" s="99"/>
      <c r="DXH89" s="99"/>
      <c r="DXI89" s="99"/>
      <c r="DXJ89" s="99"/>
      <c r="DXK89" s="99"/>
      <c r="DXL89" s="99"/>
      <c r="DXM89" s="99"/>
      <c r="DXN89" s="99"/>
      <c r="DXO89" s="99"/>
      <c r="DXP89" s="99"/>
      <c r="DXQ89" s="99"/>
      <c r="DXR89" s="99"/>
      <c r="DXS89" s="99"/>
      <c r="DXT89" s="99"/>
      <c r="DXU89" s="99"/>
      <c r="DXV89" s="99"/>
      <c r="DXW89" s="99"/>
      <c r="DXX89" s="99"/>
      <c r="DXY89" s="99"/>
      <c r="DXZ89" s="99"/>
      <c r="DYA89" s="99"/>
      <c r="DYB89" s="99"/>
      <c r="DYC89" s="99"/>
      <c r="DYD89" s="99"/>
      <c r="DYE89" s="99"/>
      <c r="DYF89" s="99"/>
      <c r="DYG89" s="99"/>
      <c r="DYH89" s="99"/>
      <c r="DYI89" s="99"/>
      <c r="DYJ89" s="99"/>
      <c r="DYK89" s="99"/>
      <c r="DYL89" s="99"/>
      <c r="DYM89" s="99"/>
      <c r="DYN89" s="99"/>
      <c r="DYO89" s="99"/>
      <c r="DYP89" s="99"/>
      <c r="DYQ89" s="99"/>
      <c r="DYR89" s="99"/>
      <c r="DYS89" s="99"/>
      <c r="DYT89" s="99"/>
      <c r="DYU89" s="99"/>
      <c r="DYV89" s="99"/>
      <c r="DYW89" s="99"/>
      <c r="DYX89" s="99"/>
      <c r="DYY89" s="99"/>
      <c r="DYZ89" s="99"/>
      <c r="DZA89" s="99"/>
      <c r="DZB89" s="99"/>
      <c r="DZC89" s="99"/>
      <c r="DZD89" s="99"/>
      <c r="DZE89" s="99"/>
      <c r="DZF89" s="99"/>
      <c r="DZG89" s="99"/>
      <c r="DZH89" s="99"/>
      <c r="DZI89" s="99"/>
      <c r="DZJ89" s="99"/>
      <c r="DZK89" s="99"/>
      <c r="DZL89" s="99"/>
      <c r="DZM89" s="99"/>
      <c r="DZN89" s="99"/>
      <c r="DZO89" s="99"/>
      <c r="DZP89" s="99"/>
      <c r="DZQ89" s="99"/>
      <c r="DZR89" s="99"/>
      <c r="DZS89" s="99"/>
      <c r="DZT89" s="99"/>
      <c r="DZU89" s="99"/>
      <c r="DZV89" s="99"/>
      <c r="DZW89" s="99"/>
      <c r="DZX89" s="99"/>
      <c r="DZY89" s="99"/>
      <c r="DZZ89" s="99"/>
      <c r="EAA89" s="99"/>
      <c r="EAB89" s="99"/>
      <c r="EAC89" s="99"/>
      <c r="EAD89" s="99"/>
      <c r="EAE89" s="99"/>
      <c r="EAF89" s="99"/>
      <c r="EAG89" s="99"/>
      <c r="EAH89" s="99"/>
      <c r="EAI89" s="99"/>
      <c r="EAJ89" s="99"/>
      <c r="EAK89" s="99"/>
      <c r="EAL89" s="99"/>
      <c r="EAM89" s="99"/>
      <c r="EAN89" s="99"/>
      <c r="EAO89" s="99"/>
      <c r="EAP89" s="99"/>
      <c r="EAQ89" s="99"/>
      <c r="EAR89" s="99"/>
      <c r="EAS89" s="99"/>
      <c r="EAT89" s="99"/>
      <c r="EAU89" s="99"/>
      <c r="EAV89" s="99"/>
      <c r="EAW89" s="99"/>
      <c r="EAX89" s="99"/>
      <c r="EAY89" s="99"/>
      <c r="EAZ89" s="99"/>
      <c r="EBA89" s="99"/>
      <c r="EBB89" s="99"/>
      <c r="EBC89" s="99"/>
      <c r="EBD89" s="99"/>
      <c r="EBE89" s="99"/>
      <c r="EBF89" s="99"/>
      <c r="EBG89" s="99"/>
      <c r="EBH89" s="99"/>
      <c r="EBI89" s="99"/>
      <c r="EBJ89" s="99"/>
      <c r="EBK89" s="99"/>
      <c r="EBL89" s="99"/>
      <c r="EBM89" s="99"/>
      <c r="EBN89" s="99"/>
      <c r="EBO89" s="99"/>
      <c r="EBP89" s="99"/>
      <c r="EBQ89" s="99"/>
      <c r="EBR89" s="99"/>
      <c r="EBS89" s="99"/>
      <c r="EBT89" s="99"/>
      <c r="EBU89" s="99"/>
      <c r="EBV89" s="99"/>
      <c r="EBW89" s="99"/>
      <c r="EBX89" s="99"/>
      <c r="EBY89" s="99"/>
      <c r="EBZ89" s="99"/>
      <c r="ECA89" s="99"/>
      <c r="ECB89" s="99"/>
      <c r="ECC89" s="99"/>
      <c r="ECD89" s="99"/>
      <c r="ECE89" s="99"/>
      <c r="ECF89" s="99"/>
      <c r="ECG89" s="99"/>
      <c r="ECH89" s="99"/>
      <c r="ECI89" s="99"/>
      <c r="ECJ89" s="99"/>
      <c r="ECK89" s="99"/>
      <c r="ECL89" s="99"/>
      <c r="ECM89" s="99"/>
      <c r="ECN89" s="99"/>
      <c r="ECO89" s="99"/>
      <c r="ECP89" s="99"/>
      <c r="ECQ89" s="99"/>
      <c r="ECR89" s="99"/>
      <c r="ECS89" s="99"/>
      <c r="ECT89" s="99"/>
      <c r="ECU89" s="99"/>
      <c r="ECV89" s="99"/>
      <c r="ECW89" s="99"/>
      <c r="ECX89" s="99"/>
      <c r="ECY89" s="99"/>
      <c r="ECZ89" s="99"/>
      <c r="EDA89" s="99"/>
      <c r="EDB89" s="99"/>
      <c r="EDC89" s="99"/>
      <c r="EDD89" s="99"/>
      <c r="EDE89" s="99"/>
      <c r="EDF89" s="99"/>
      <c r="EDG89" s="99"/>
      <c r="EDH89" s="99"/>
      <c r="EDI89" s="99"/>
      <c r="EDJ89" s="99"/>
      <c r="EDK89" s="99"/>
      <c r="EDL89" s="99"/>
      <c r="EDM89" s="99"/>
      <c r="EDN89" s="99"/>
      <c r="EDO89" s="99"/>
      <c r="EDP89" s="99"/>
      <c r="EDQ89" s="99"/>
      <c r="EDR89" s="99"/>
      <c r="EDS89" s="99"/>
      <c r="EDT89" s="99"/>
      <c r="EDU89" s="99"/>
      <c r="EDV89" s="99"/>
      <c r="EDW89" s="99"/>
      <c r="EDX89" s="99"/>
      <c r="EDY89" s="99"/>
      <c r="EDZ89" s="99"/>
      <c r="EEA89" s="99"/>
      <c r="EEB89" s="99"/>
      <c r="EEC89" s="99"/>
      <c r="EED89" s="99"/>
      <c r="EEE89" s="99"/>
      <c r="EEF89" s="99"/>
      <c r="EEG89" s="99"/>
      <c r="EEH89" s="99"/>
      <c r="EEI89" s="99"/>
      <c r="EEJ89" s="99"/>
      <c r="EEK89" s="99"/>
      <c r="EEL89" s="99"/>
      <c r="EEM89" s="99"/>
      <c r="EEN89" s="99"/>
      <c r="EEO89" s="99"/>
      <c r="EEP89" s="99"/>
      <c r="EEQ89" s="99"/>
      <c r="EER89" s="99"/>
      <c r="EES89" s="99"/>
      <c r="EET89" s="99"/>
      <c r="EEU89" s="99"/>
      <c r="EEV89" s="99"/>
      <c r="EEW89" s="99"/>
      <c r="EEX89" s="99"/>
      <c r="EEY89" s="99"/>
      <c r="EEZ89" s="99"/>
      <c r="EFA89" s="99"/>
      <c r="EFB89" s="99"/>
      <c r="EFC89" s="99"/>
      <c r="EFD89" s="99"/>
      <c r="EFE89" s="99"/>
      <c r="EFF89" s="99"/>
      <c r="EFG89" s="99"/>
      <c r="EFH89" s="99"/>
      <c r="EFI89" s="99"/>
      <c r="EFJ89" s="99"/>
      <c r="EFK89" s="99"/>
      <c r="EFL89" s="99"/>
      <c r="EFM89" s="99"/>
      <c r="EFN89" s="99"/>
      <c r="EFO89" s="99"/>
      <c r="EFP89" s="99"/>
      <c r="EFQ89" s="99"/>
      <c r="EFR89" s="99"/>
      <c r="EFS89" s="99"/>
      <c r="EFT89" s="99"/>
      <c r="EFU89" s="99"/>
      <c r="EFV89" s="99"/>
      <c r="EFW89" s="99"/>
      <c r="EFX89" s="99"/>
      <c r="EFY89" s="99"/>
      <c r="EFZ89" s="99"/>
      <c r="EGA89" s="99"/>
      <c r="EGB89" s="99"/>
      <c r="EGC89" s="99"/>
      <c r="EGD89" s="99"/>
      <c r="EGE89" s="99"/>
      <c r="EGF89" s="99"/>
      <c r="EGG89" s="99"/>
      <c r="EGH89" s="99"/>
      <c r="EGI89" s="99"/>
      <c r="EGJ89" s="99"/>
      <c r="EGK89" s="99"/>
      <c r="EGL89" s="99"/>
      <c r="EGM89" s="99"/>
      <c r="EGN89" s="99"/>
      <c r="EGO89" s="99"/>
      <c r="EGP89" s="99"/>
      <c r="EGQ89" s="99"/>
      <c r="EGR89" s="99"/>
      <c r="EGS89" s="99"/>
      <c r="EGT89" s="99"/>
      <c r="EGU89" s="99"/>
      <c r="EGV89" s="99"/>
      <c r="EGW89" s="99"/>
      <c r="EGX89" s="99"/>
      <c r="EGY89" s="99"/>
      <c r="EGZ89" s="99"/>
      <c r="EHA89" s="99"/>
      <c r="EHB89" s="99"/>
      <c r="EHC89" s="99"/>
      <c r="EHD89" s="99"/>
      <c r="EHE89" s="99"/>
      <c r="EHF89" s="99"/>
      <c r="EHG89" s="99"/>
      <c r="EHH89" s="99"/>
      <c r="EHI89" s="99"/>
      <c r="EHJ89" s="99"/>
      <c r="EHK89" s="99"/>
      <c r="EHL89" s="99"/>
      <c r="EHM89" s="99"/>
      <c r="EHN89" s="99"/>
      <c r="EHO89" s="99"/>
      <c r="EHP89" s="99"/>
      <c r="EHQ89" s="99"/>
      <c r="EHR89" s="99"/>
      <c r="EHS89" s="99"/>
      <c r="EHT89" s="99"/>
      <c r="EHU89" s="99"/>
      <c r="EHV89" s="99"/>
      <c r="EHW89" s="99"/>
      <c r="EHX89" s="99"/>
      <c r="EHY89" s="99"/>
      <c r="EHZ89" s="99"/>
      <c r="EIA89" s="99"/>
      <c r="EIB89" s="99"/>
      <c r="EIC89" s="99"/>
      <c r="EID89" s="99"/>
      <c r="EIE89" s="99"/>
      <c r="EIF89" s="99"/>
      <c r="EIG89" s="99"/>
      <c r="EIH89" s="99"/>
      <c r="EII89" s="99"/>
      <c r="EIJ89" s="99"/>
      <c r="EIK89" s="99"/>
      <c r="EIL89" s="99"/>
      <c r="EIM89" s="99"/>
      <c r="EIN89" s="99"/>
      <c r="EIO89" s="99"/>
      <c r="EIP89" s="99"/>
      <c r="EIQ89" s="99"/>
      <c r="EIR89" s="99"/>
      <c r="EIS89" s="99"/>
      <c r="EIT89" s="99"/>
      <c r="EIU89" s="99"/>
      <c r="EIV89" s="99"/>
      <c r="EIW89" s="99"/>
      <c r="EIX89" s="99"/>
      <c r="EIY89" s="99"/>
      <c r="EIZ89" s="99"/>
      <c r="EJA89" s="99"/>
      <c r="EJB89" s="99"/>
      <c r="EJC89" s="99"/>
      <c r="EJD89" s="99"/>
      <c r="EJE89" s="99"/>
      <c r="EJF89" s="99"/>
      <c r="EJG89" s="99"/>
      <c r="EJH89" s="99"/>
      <c r="EJI89" s="99"/>
      <c r="EJJ89" s="99"/>
      <c r="EJK89" s="99"/>
      <c r="EJL89" s="99"/>
      <c r="EJM89" s="99"/>
      <c r="EJN89" s="99"/>
      <c r="EJO89" s="99"/>
      <c r="EJP89" s="99"/>
      <c r="EJQ89" s="99"/>
      <c r="EJR89" s="99"/>
      <c r="EJS89" s="99"/>
      <c r="EJT89" s="99"/>
      <c r="EJU89" s="99"/>
      <c r="EJV89" s="99"/>
      <c r="EJW89" s="99"/>
      <c r="EJX89" s="99"/>
      <c r="EJY89" s="99"/>
      <c r="EJZ89" s="99"/>
      <c r="EKA89" s="99"/>
      <c r="EKB89" s="99"/>
      <c r="EKC89" s="99"/>
      <c r="EKD89" s="99"/>
      <c r="EKE89" s="99"/>
      <c r="EKF89" s="99"/>
      <c r="EKG89" s="99"/>
      <c r="EKH89" s="99"/>
      <c r="EKI89" s="99"/>
      <c r="EKJ89" s="99"/>
      <c r="EKK89" s="99"/>
      <c r="EKL89" s="99"/>
      <c r="EKM89" s="99"/>
      <c r="EKN89" s="99"/>
      <c r="EKO89" s="99"/>
      <c r="EKP89" s="99"/>
      <c r="EKQ89" s="99"/>
      <c r="EKR89" s="99"/>
      <c r="EKS89" s="99"/>
      <c r="EKT89" s="99"/>
      <c r="EKU89" s="99"/>
      <c r="EKV89" s="99"/>
      <c r="EKW89" s="99"/>
      <c r="EKX89" s="99"/>
      <c r="EKY89" s="99"/>
      <c r="EKZ89" s="99"/>
      <c r="ELA89" s="99"/>
      <c r="ELB89" s="99"/>
      <c r="ELC89" s="99"/>
      <c r="ELD89" s="99"/>
      <c r="ELE89" s="99"/>
      <c r="ELF89" s="99"/>
      <c r="ELG89" s="99"/>
      <c r="ELH89" s="99"/>
      <c r="ELI89" s="99"/>
      <c r="ELJ89" s="99"/>
      <c r="ELK89" s="99"/>
      <c r="ELL89" s="99"/>
      <c r="ELM89" s="99"/>
      <c r="ELN89" s="99"/>
      <c r="ELO89" s="99"/>
      <c r="ELP89" s="99"/>
      <c r="ELQ89" s="99"/>
      <c r="ELR89" s="99"/>
      <c r="ELS89" s="99"/>
      <c r="ELT89" s="99"/>
      <c r="ELU89" s="99"/>
      <c r="ELV89" s="99"/>
      <c r="ELW89" s="99"/>
      <c r="ELX89" s="99"/>
      <c r="ELY89" s="99"/>
      <c r="ELZ89" s="99"/>
      <c r="EMA89" s="99"/>
      <c r="EMB89" s="99"/>
      <c r="EMC89" s="99"/>
      <c r="EMD89" s="99"/>
      <c r="EME89" s="99"/>
      <c r="EMF89" s="99"/>
      <c r="EMG89" s="99"/>
      <c r="EMH89" s="99"/>
      <c r="EMI89" s="99"/>
      <c r="EMJ89" s="99"/>
      <c r="EMK89" s="99"/>
      <c r="EML89" s="99"/>
      <c r="EMM89" s="99"/>
      <c r="EMN89" s="99"/>
      <c r="EMO89" s="99"/>
      <c r="EMP89" s="99"/>
      <c r="EMQ89" s="99"/>
      <c r="EMR89" s="99"/>
      <c r="EMS89" s="99"/>
      <c r="EMT89" s="99"/>
      <c r="EMU89" s="99"/>
      <c r="EMV89" s="99"/>
      <c r="EMW89" s="99"/>
      <c r="EMX89" s="99"/>
      <c r="EMY89" s="99"/>
      <c r="EMZ89" s="99"/>
      <c r="ENA89" s="99"/>
      <c r="ENB89" s="99"/>
      <c r="ENC89" s="99"/>
      <c r="END89" s="99"/>
      <c r="ENE89" s="99"/>
      <c r="ENF89" s="99"/>
      <c r="ENG89" s="99"/>
      <c r="ENH89" s="99"/>
      <c r="ENI89" s="99"/>
      <c r="ENJ89" s="99"/>
      <c r="ENK89" s="99"/>
      <c r="ENL89" s="99"/>
      <c r="ENM89" s="99"/>
      <c r="ENN89" s="99"/>
      <c r="ENO89" s="99"/>
      <c r="ENP89" s="99"/>
      <c r="ENQ89" s="99"/>
      <c r="ENR89" s="99"/>
      <c r="ENS89" s="99"/>
      <c r="ENT89" s="99"/>
      <c r="ENU89" s="99"/>
      <c r="ENV89" s="99"/>
      <c r="ENW89" s="99"/>
      <c r="ENX89" s="99"/>
      <c r="ENY89" s="99"/>
      <c r="ENZ89" s="99"/>
      <c r="EOA89" s="99"/>
      <c r="EOB89" s="99"/>
      <c r="EOC89" s="99"/>
      <c r="EOD89" s="99"/>
      <c r="EOE89" s="99"/>
      <c r="EOF89" s="99"/>
      <c r="EOG89" s="99"/>
      <c r="EOH89" s="99"/>
      <c r="EOI89" s="99"/>
      <c r="EOJ89" s="99"/>
      <c r="EOK89" s="99"/>
      <c r="EOL89" s="99"/>
      <c r="EOM89" s="99"/>
      <c r="EON89" s="99"/>
      <c r="EOO89" s="99"/>
      <c r="EOP89" s="99"/>
      <c r="EOQ89" s="99"/>
      <c r="EOR89" s="99"/>
      <c r="EOS89" s="99"/>
      <c r="EOT89" s="99"/>
      <c r="EOU89" s="99"/>
      <c r="EOV89" s="99"/>
      <c r="EOW89" s="99"/>
      <c r="EOX89" s="99"/>
      <c r="EOY89" s="99"/>
      <c r="EOZ89" s="99"/>
      <c r="EPA89" s="99"/>
      <c r="EPB89" s="99"/>
      <c r="EPC89" s="99"/>
      <c r="EPD89" s="99"/>
      <c r="EPE89" s="99"/>
      <c r="EPF89" s="99"/>
      <c r="EPG89" s="99"/>
      <c r="EPH89" s="99"/>
      <c r="EPI89" s="99"/>
      <c r="EPJ89" s="99"/>
      <c r="EPK89" s="99"/>
      <c r="EPL89" s="99"/>
      <c r="EPM89" s="99"/>
      <c r="EPN89" s="99"/>
      <c r="EPO89" s="99"/>
      <c r="EPP89" s="99"/>
      <c r="EPQ89" s="99"/>
      <c r="EPR89" s="99"/>
      <c r="EPS89" s="99"/>
      <c r="EPT89" s="99"/>
      <c r="EPU89" s="99"/>
      <c r="EPV89" s="99"/>
      <c r="EPW89" s="99"/>
      <c r="EPX89" s="99"/>
      <c r="EPY89" s="99"/>
      <c r="EPZ89" s="99"/>
      <c r="EQA89" s="99"/>
      <c r="EQB89" s="99"/>
      <c r="EQC89" s="99"/>
      <c r="EQD89" s="99"/>
      <c r="EQE89" s="99"/>
      <c r="EQF89" s="99"/>
      <c r="EQG89" s="99"/>
      <c r="EQH89" s="99"/>
      <c r="EQI89" s="99"/>
      <c r="EQJ89" s="99"/>
      <c r="EQK89" s="99"/>
      <c r="EQL89" s="99"/>
      <c r="EQM89" s="99"/>
      <c r="EQN89" s="99"/>
      <c r="EQO89" s="99"/>
      <c r="EQP89" s="99"/>
      <c r="EQQ89" s="99"/>
      <c r="EQR89" s="99"/>
      <c r="EQS89" s="99"/>
      <c r="EQT89" s="99"/>
      <c r="EQU89" s="99"/>
      <c r="EQV89" s="99"/>
      <c r="EQW89" s="99"/>
      <c r="EQX89" s="99"/>
      <c r="EQY89" s="99"/>
      <c r="EQZ89" s="99"/>
      <c r="ERA89" s="99"/>
      <c r="ERB89" s="99"/>
      <c r="ERC89" s="99"/>
      <c r="ERD89" s="99"/>
      <c r="ERE89" s="99"/>
      <c r="ERF89" s="99"/>
      <c r="ERG89" s="99"/>
      <c r="ERH89" s="99"/>
      <c r="ERI89" s="99"/>
      <c r="ERJ89" s="99"/>
      <c r="ERK89" s="99"/>
      <c r="ERL89" s="99"/>
      <c r="ERM89" s="99"/>
      <c r="ERN89" s="99"/>
      <c r="ERO89" s="99"/>
      <c r="ERP89" s="99"/>
      <c r="ERQ89" s="99"/>
      <c r="ERR89" s="99"/>
      <c r="ERS89" s="99"/>
      <c r="ERT89" s="99"/>
      <c r="ERU89" s="99"/>
      <c r="ERV89" s="99"/>
      <c r="ERW89" s="99"/>
      <c r="ERX89" s="99"/>
      <c r="ERY89" s="99"/>
      <c r="ERZ89" s="99"/>
      <c r="ESA89" s="99"/>
      <c r="ESB89" s="99"/>
      <c r="ESC89" s="99"/>
      <c r="ESD89" s="99"/>
      <c r="ESE89" s="99"/>
      <c r="ESF89" s="99"/>
      <c r="ESG89" s="99"/>
      <c r="ESH89" s="99"/>
      <c r="ESI89" s="99"/>
      <c r="ESJ89" s="99"/>
      <c r="ESK89" s="99"/>
      <c r="ESL89" s="99"/>
      <c r="ESM89" s="99"/>
      <c r="ESN89" s="99"/>
      <c r="ESO89" s="99"/>
      <c r="ESP89" s="99"/>
      <c r="ESQ89" s="99"/>
      <c r="ESR89" s="99"/>
      <c r="ESS89" s="99"/>
      <c r="EST89" s="99"/>
      <c r="ESU89" s="99"/>
      <c r="ESV89" s="99"/>
      <c r="ESW89" s="99"/>
      <c r="ESX89" s="99"/>
      <c r="ESY89" s="99"/>
      <c r="ESZ89" s="99"/>
      <c r="ETA89" s="99"/>
      <c r="ETB89" s="99"/>
      <c r="ETC89" s="99"/>
      <c r="ETD89" s="99"/>
      <c r="ETE89" s="99"/>
      <c r="ETF89" s="99"/>
      <c r="ETG89" s="99"/>
      <c r="ETH89" s="99"/>
      <c r="ETI89" s="99"/>
      <c r="ETJ89" s="99"/>
      <c r="ETK89" s="99"/>
      <c r="ETL89" s="99"/>
      <c r="ETM89" s="99"/>
      <c r="ETN89" s="99"/>
      <c r="ETO89" s="99"/>
      <c r="ETP89" s="99"/>
      <c r="ETQ89" s="99"/>
      <c r="ETR89" s="99"/>
      <c r="ETS89" s="99"/>
      <c r="ETT89" s="99"/>
      <c r="ETU89" s="99"/>
      <c r="ETV89" s="99"/>
      <c r="ETW89" s="99"/>
      <c r="ETX89" s="99"/>
      <c r="ETY89" s="99"/>
      <c r="ETZ89" s="99"/>
      <c r="EUA89" s="99"/>
      <c r="EUB89" s="99"/>
      <c r="EUC89" s="99"/>
      <c r="EUD89" s="99"/>
      <c r="EUE89" s="99"/>
      <c r="EUF89" s="99"/>
      <c r="EUG89" s="99"/>
      <c r="EUH89" s="99"/>
      <c r="EUI89" s="99"/>
      <c r="EUJ89" s="99"/>
      <c r="EUK89" s="99"/>
      <c r="EUL89" s="99"/>
      <c r="EUM89" s="99"/>
      <c r="EUN89" s="99"/>
      <c r="EUO89" s="99"/>
      <c r="EUP89" s="99"/>
      <c r="EUQ89" s="99"/>
      <c r="EUR89" s="99"/>
      <c r="EUS89" s="99"/>
      <c r="EUT89" s="99"/>
      <c r="EUU89" s="99"/>
      <c r="EUV89" s="99"/>
      <c r="EUW89" s="99"/>
      <c r="EUX89" s="99"/>
      <c r="EUY89" s="99"/>
      <c r="EUZ89" s="99"/>
      <c r="EVA89" s="99"/>
      <c r="EVB89" s="99"/>
      <c r="EVC89" s="99"/>
      <c r="EVD89" s="99"/>
      <c r="EVE89" s="99"/>
      <c r="EVF89" s="99"/>
      <c r="EVG89" s="99"/>
      <c r="EVH89" s="99"/>
      <c r="EVI89" s="99"/>
      <c r="EVJ89" s="99"/>
      <c r="EVK89" s="99"/>
      <c r="EVL89" s="99"/>
      <c r="EVM89" s="99"/>
      <c r="EVN89" s="99"/>
      <c r="EVO89" s="99"/>
      <c r="EVP89" s="99"/>
      <c r="EVQ89" s="99"/>
      <c r="EVR89" s="99"/>
      <c r="EVS89" s="99"/>
      <c r="EVT89" s="99"/>
      <c r="EVU89" s="99"/>
      <c r="EVV89" s="99"/>
      <c r="EVW89" s="99"/>
      <c r="EVX89" s="99"/>
      <c r="EVY89" s="99"/>
      <c r="EVZ89" s="99"/>
      <c r="EWA89" s="99"/>
      <c r="EWB89" s="99"/>
      <c r="EWC89" s="99"/>
      <c r="EWD89" s="99"/>
      <c r="EWE89" s="99"/>
      <c r="EWF89" s="99"/>
      <c r="EWG89" s="99"/>
      <c r="EWH89" s="99"/>
      <c r="EWI89" s="99"/>
      <c r="EWJ89" s="99"/>
      <c r="EWK89" s="99"/>
      <c r="EWL89" s="99"/>
      <c r="EWM89" s="99"/>
      <c r="EWN89" s="99"/>
      <c r="EWO89" s="99"/>
      <c r="EWP89" s="99"/>
      <c r="EWQ89" s="99"/>
      <c r="EWR89" s="99"/>
      <c r="EWS89" s="99"/>
      <c r="EWT89" s="99"/>
      <c r="EWU89" s="99"/>
      <c r="EWV89" s="99"/>
      <c r="EWW89" s="99"/>
      <c r="EWX89" s="99"/>
      <c r="EWY89" s="99"/>
      <c r="EWZ89" s="99"/>
      <c r="EXA89" s="99"/>
      <c r="EXB89" s="99"/>
      <c r="EXC89" s="99"/>
      <c r="EXD89" s="99"/>
      <c r="EXE89" s="99"/>
      <c r="EXF89" s="99"/>
      <c r="EXG89" s="99"/>
      <c r="EXH89" s="99"/>
      <c r="EXI89" s="99"/>
      <c r="EXJ89" s="99"/>
      <c r="EXK89" s="99"/>
      <c r="EXL89" s="99"/>
      <c r="EXM89" s="99"/>
      <c r="EXN89" s="99"/>
      <c r="EXO89" s="99"/>
      <c r="EXP89" s="99"/>
      <c r="EXQ89" s="99"/>
      <c r="EXR89" s="99"/>
      <c r="EXS89" s="99"/>
      <c r="EXT89" s="99"/>
      <c r="EXU89" s="99"/>
      <c r="EXV89" s="99"/>
      <c r="EXW89" s="99"/>
      <c r="EXX89" s="99"/>
      <c r="EXY89" s="99"/>
      <c r="EXZ89" s="99"/>
      <c r="EYA89" s="99"/>
      <c r="EYB89" s="99"/>
      <c r="EYC89" s="99"/>
      <c r="EYD89" s="99"/>
      <c r="EYE89" s="99"/>
      <c r="EYF89" s="99"/>
      <c r="EYG89" s="99"/>
      <c r="EYH89" s="99"/>
      <c r="EYI89" s="99"/>
      <c r="EYJ89" s="99"/>
      <c r="EYK89" s="99"/>
      <c r="EYL89" s="99"/>
      <c r="EYM89" s="99"/>
      <c r="EYN89" s="99"/>
      <c r="EYO89" s="99"/>
      <c r="EYP89" s="99"/>
      <c r="EYQ89" s="99"/>
      <c r="EYR89" s="99"/>
      <c r="EYS89" s="99"/>
      <c r="EYT89" s="99"/>
      <c r="EYU89" s="99"/>
      <c r="EYV89" s="99"/>
      <c r="EYW89" s="99"/>
      <c r="EYX89" s="99"/>
      <c r="EYY89" s="99"/>
      <c r="EYZ89" s="99"/>
      <c r="EZA89" s="99"/>
      <c r="EZB89" s="99"/>
      <c r="EZC89" s="99"/>
      <c r="EZD89" s="99"/>
      <c r="EZE89" s="99"/>
      <c r="EZF89" s="99"/>
      <c r="EZG89" s="99"/>
      <c r="EZH89" s="99"/>
      <c r="EZI89" s="99"/>
      <c r="EZJ89" s="99"/>
      <c r="EZK89" s="99"/>
      <c r="EZL89" s="99"/>
      <c r="EZM89" s="99"/>
      <c r="EZN89" s="99"/>
      <c r="EZO89" s="99"/>
      <c r="EZP89" s="99"/>
      <c r="EZQ89" s="99"/>
      <c r="EZR89" s="99"/>
      <c r="EZS89" s="99"/>
      <c r="EZT89" s="99"/>
      <c r="EZU89" s="99"/>
      <c r="EZV89" s="99"/>
      <c r="EZW89" s="99"/>
      <c r="EZX89" s="99"/>
      <c r="EZY89" s="99"/>
      <c r="EZZ89" s="99"/>
      <c r="FAA89" s="99"/>
      <c r="FAB89" s="99"/>
      <c r="FAC89" s="99"/>
      <c r="FAD89" s="99"/>
      <c r="FAE89" s="99"/>
      <c r="FAF89" s="99"/>
      <c r="FAG89" s="99"/>
      <c r="FAH89" s="99"/>
      <c r="FAI89" s="99"/>
      <c r="FAJ89" s="99"/>
      <c r="FAK89" s="99"/>
      <c r="FAL89" s="99"/>
      <c r="FAM89" s="99"/>
      <c r="FAN89" s="99"/>
      <c r="FAO89" s="99"/>
      <c r="FAP89" s="99"/>
      <c r="FAQ89" s="99"/>
      <c r="FAR89" s="99"/>
      <c r="FAS89" s="99"/>
      <c r="FAT89" s="99"/>
      <c r="FAU89" s="99"/>
      <c r="FAV89" s="99"/>
      <c r="FAW89" s="99"/>
      <c r="FAX89" s="99"/>
      <c r="FAY89" s="99"/>
      <c r="FAZ89" s="99"/>
      <c r="FBA89" s="99"/>
      <c r="FBB89" s="99"/>
      <c r="FBC89" s="99"/>
      <c r="FBD89" s="99"/>
      <c r="FBE89" s="99"/>
      <c r="FBF89" s="99"/>
      <c r="FBG89" s="99"/>
      <c r="FBH89" s="99"/>
      <c r="FBI89" s="99"/>
      <c r="FBJ89" s="99"/>
      <c r="FBK89" s="99"/>
      <c r="FBL89" s="99"/>
      <c r="FBM89" s="99"/>
      <c r="FBN89" s="99"/>
      <c r="FBO89" s="99"/>
      <c r="FBP89" s="99"/>
      <c r="FBQ89" s="99"/>
      <c r="FBR89" s="99"/>
      <c r="FBS89" s="99"/>
      <c r="FBT89" s="99"/>
      <c r="FBU89" s="99"/>
      <c r="FBV89" s="99"/>
      <c r="FBW89" s="99"/>
      <c r="FBX89" s="99"/>
      <c r="FBY89" s="99"/>
      <c r="FBZ89" s="99"/>
      <c r="FCA89" s="99"/>
      <c r="FCB89" s="99"/>
      <c r="FCC89" s="99"/>
      <c r="FCD89" s="99"/>
      <c r="FCE89" s="99"/>
      <c r="FCF89" s="99"/>
      <c r="FCG89" s="99"/>
      <c r="FCH89" s="99"/>
      <c r="FCI89" s="99"/>
      <c r="FCJ89" s="99"/>
      <c r="FCK89" s="99"/>
      <c r="FCL89" s="99"/>
      <c r="FCM89" s="99"/>
      <c r="FCN89" s="99"/>
      <c r="FCO89" s="99"/>
      <c r="FCP89" s="99"/>
      <c r="FCQ89" s="99"/>
      <c r="FCR89" s="99"/>
      <c r="FCS89" s="99"/>
      <c r="FCT89" s="99"/>
      <c r="FCU89" s="99"/>
      <c r="FCV89" s="99"/>
      <c r="FCW89" s="99"/>
      <c r="FCX89" s="99"/>
      <c r="FCY89" s="99"/>
      <c r="FCZ89" s="99"/>
      <c r="FDA89" s="99"/>
      <c r="FDB89" s="99"/>
      <c r="FDC89" s="99"/>
      <c r="FDD89" s="99"/>
      <c r="FDE89" s="99"/>
      <c r="FDF89" s="99"/>
      <c r="FDG89" s="99"/>
      <c r="FDH89" s="99"/>
      <c r="FDI89" s="99"/>
      <c r="FDJ89" s="99"/>
      <c r="FDK89" s="99"/>
      <c r="FDL89" s="99"/>
      <c r="FDM89" s="99"/>
      <c r="FDN89" s="99"/>
      <c r="FDO89" s="99"/>
      <c r="FDP89" s="99"/>
      <c r="FDQ89" s="99"/>
      <c r="FDR89" s="99"/>
      <c r="FDS89" s="99"/>
      <c r="FDT89" s="99"/>
      <c r="FDU89" s="99"/>
      <c r="FDV89" s="99"/>
      <c r="FDW89" s="99"/>
      <c r="FDX89" s="99"/>
      <c r="FDY89" s="99"/>
      <c r="FDZ89" s="99"/>
      <c r="FEA89" s="99"/>
      <c r="FEB89" s="99"/>
      <c r="FEC89" s="99"/>
      <c r="FED89" s="99"/>
      <c r="FEE89" s="99"/>
      <c r="FEF89" s="99"/>
      <c r="FEG89" s="99"/>
      <c r="FEH89" s="99"/>
      <c r="FEI89" s="99"/>
      <c r="FEJ89" s="99"/>
      <c r="FEK89" s="99"/>
      <c r="FEL89" s="99"/>
      <c r="FEM89" s="99"/>
      <c r="FEN89" s="99"/>
      <c r="FEO89" s="99"/>
      <c r="FEP89" s="99"/>
      <c r="FEQ89" s="99"/>
      <c r="FER89" s="99"/>
      <c r="FES89" s="99"/>
      <c r="FET89" s="99"/>
      <c r="FEU89" s="99"/>
      <c r="FEV89" s="99"/>
      <c r="FEW89" s="99"/>
      <c r="FEX89" s="99"/>
      <c r="FEY89" s="99"/>
      <c r="FEZ89" s="99"/>
      <c r="FFA89" s="99"/>
      <c r="FFB89" s="99"/>
      <c r="FFC89" s="99"/>
      <c r="FFD89" s="99"/>
      <c r="FFE89" s="99"/>
      <c r="FFF89" s="99"/>
      <c r="FFG89" s="99"/>
      <c r="FFH89" s="99"/>
      <c r="FFI89" s="99"/>
      <c r="FFJ89" s="99"/>
      <c r="FFK89" s="99"/>
      <c r="FFL89" s="99"/>
      <c r="FFM89" s="99"/>
      <c r="FFN89" s="99"/>
      <c r="FFO89" s="99"/>
      <c r="FFP89" s="99"/>
      <c r="FFQ89" s="99"/>
      <c r="FFR89" s="99"/>
      <c r="FFS89" s="99"/>
      <c r="FFT89" s="99"/>
      <c r="FFU89" s="99"/>
      <c r="FFV89" s="99"/>
      <c r="FFW89" s="99"/>
      <c r="FFX89" s="99"/>
      <c r="FFY89" s="99"/>
      <c r="FFZ89" s="99"/>
      <c r="FGA89" s="99"/>
      <c r="FGB89" s="99"/>
      <c r="FGC89" s="99"/>
      <c r="FGD89" s="99"/>
      <c r="FGE89" s="99"/>
      <c r="FGF89" s="99"/>
      <c r="FGG89" s="99"/>
      <c r="FGH89" s="99"/>
      <c r="FGI89" s="99"/>
      <c r="FGJ89" s="99"/>
      <c r="FGK89" s="99"/>
      <c r="FGL89" s="99"/>
      <c r="FGM89" s="99"/>
      <c r="FGN89" s="99"/>
      <c r="FGO89" s="99"/>
      <c r="FGP89" s="99"/>
      <c r="FGQ89" s="99"/>
      <c r="FGR89" s="99"/>
      <c r="FGS89" s="99"/>
      <c r="FGT89" s="99"/>
      <c r="FGU89" s="99"/>
      <c r="FGV89" s="99"/>
      <c r="FGW89" s="99"/>
      <c r="FGX89" s="99"/>
      <c r="FGY89" s="99"/>
      <c r="FGZ89" s="99"/>
      <c r="FHA89" s="99"/>
      <c r="FHB89" s="99"/>
      <c r="FHC89" s="99"/>
      <c r="FHD89" s="99"/>
      <c r="FHE89" s="99"/>
      <c r="FHF89" s="99"/>
      <c r="FHG89" s="99"/>
      <c r="FHH89" s="99"/>
      <c r="FHI89" s="99"/>
      <c r="FHJ89" s="99"/>
      <c r="FHK89" s="99"/>
      <c r="FHL89" s="99"/>
      <c r="FHM89" s="99"/>
      <c r="FHN89" s="99"/>
      <c r="FHO89" s="99"/>
      <c r="FHP89" s="99"/>
      <c r="FHQ89" s="99"/>
      <c r="FHR89" s="99"/>
      <c r="FHS89" s="99"/>
      <c r="FHT89" s="99"/>
      <c r="FHU89" s="99"/>
      <c r="FHV89" s="99"/>
      <c r="FHW89" s="99"/>
      <c r="FHX89" s="99"/>
      <c r="FHY89" s="99"/>
      <c r="FHZ89" s="99"/>
      <c r="FIA89" s="99"/>
      <c r="FIB89" s="99"/>
      <c r="FIC89" s="99"/>
      <c r="FID89" s="99"/>
      <c r="FIE89" s="99"/>
      <c r="FIF89" s="99"/>
      <c r="FIG89" s="99"/>
      <c r="FIH89" s="99"/>
      <c r="FII89" s="99"/>
      <c r="FIJ89" s="99"/>
      <c r="FIK89" s="99"/>
      <c r="FIL89" s="99"/>
      <c r="FIM89" s="99"/>
      <c r="FIN89" s="99"/>
      <c r="FIO89" s="99"/>
      <c r="FIP89" s="99"/>
      <c r="FIQ89" s="99"/>
      <c r="FIR89" s="99"/>
      <c r="FIS89" s="99"/>
      <c r="FIT89" s="99"/>
      <c r="FIU89" s="99"/>
      <c r="FIV89" s="99"/>
      <c r="FIW89" s="99"/>
      <c r="FIX89" s="99"/>
      <c r="FIY89" s="99"/>
      <c r="FIZ89" s="99"/>
      <c r="FJA89" s="99"/>
      <c r="FJB89" s="99"/>
      <c r="FJC89" s="99"/>
      <c r="FJD89" s="99"/>
      <c r="FJE89" s="99"/>
      <c r="FJF89" s="99"/>
      <c r="FJG89" s="99"/>
      <c r="FJH89" s="99"/>
      <c r="FJI89" s="99"/>
      <c r="FJJ89" s="99"/>
      <c r="FJK89" s="99"/>
      <c r="FJL89" s="99"/>
      <c r="FJM89" s="99"/>
      <c r="FJN89" s="99"/>
      <c r="FJO89" s="99"/>
      <c r="FJP89" s="99"/>
      <c r="FJQ89" s="99"/>
      <c r="FJR89" s="99"/>
      <c r="FJS89" s="99"/>
      <c r="FJT89" s="99"/>
      <c r="FJU89" s="99"/>
      <c r="FJV89" s="99"/>
      <c r="FJW89" s="99"/>
      <c r="FJX89" s="99"/>
      <c r="FJY89" s="99"/>
      <c r="FJZ89" s="99"/>
      <c r="FKA89" s="99"/>
      <c r="FKB89" s="99"/>
      <c r="FKC89" s="99"/>
      <c r="FKD89" s="99"/>
      <c r="FKE89" s="99"/>
      <c r="FKF89" s="99"/>
      <c r="FKG89" s="99"/>
      <c r="FKH89" s="99"/>
      <c r="FKI89" s="99"/>
      <c r="FKJ89" s="99"/>
      <c r="FKK89" s="99"/>
      <c r="FKL89" s="99"/>
      <c r="FKM89" s="99"/>
      <c r="FKN89" s="99"/>
      <c r="FKO89" s="99"/>
      <c r="FKP89" s="99"/>
      <c r="FKQ89" s="99"/>
      <c r="FKR89" s="99"/>
      <c r="FKS89" s="99"/>
      <c r="FKT89" s="99"/>
      <c r="FKU89" s="99"/>
      <c r="FKV89" s="99"/>
      <c r="FKW89" s="99"/>
      <c r="FKX89" s="99"/>
      <c r="FKY89" s="99"/>
      <c r="FKZ89" s="99"/>
      <c r="FLA89" s="99"/>
      <c r="FLB89" s="99"/>
      <c r="FLC89" s="99"/>
      <c r="FLD89" s="99"/>
      <c r="FLE89" s="99"/>
      <c r="FLF89" s="99"/>
      <c r="FLG89" s="99"/>
      <c r="FLH89" s="99"/>
      <c r="FLI89" s="99"/>
      <c r="FLJ89" s="99"/>
      <c r="FLK89" s="99"/>
      <c r="FLL89" s="99"/>
      <c r="FLM89" s="99"/>
      <c r="FLN89" s="99"/>
      <c r="FLO89" s="99"/>
      <c r="FLP89" s="99"/>
      <c r="FLQ89" s="99"/>
      <c r="FLR89" s="99"/>
      <c r="FLS89" s="99"/>
      <c r="FLT89" s="99"/>
      <c r="FLU89" s="99"/>
      <c r="FLV89" s="99"/>
      <c r="FLW89" s="99"/>
      <c r="FLX89" s="99"/>
      <c r="FLY89" s="99"/>
      <c r="FLZ89" s="99"/>
      <c r="FMA89" s="99"/>
      <c r="FMB89" s="99"/>
      <c r="FMC89" s="99"/>
      <c r="FMD89" s="99"/>
      <c r="FME89" s="99"/>
      <c r="FMF89" s="99"/>
      <c r="FMG89" s="99"/>
      <c r="FMH89" s="99"/>
      <c r="FMI89" s="99"/>
      <c r="FMJ89" s="99"/>
      <c r="FMK89" s="99"/>
      <c r="FML89" s="99"/>
      <c r="FMM89" s="99"/>
      <c r="FMN89" s="99"/>
      <c r="FMO89" s="99"/>
      <c r="FMP89" s="99"/>
      <c r="FMQ89" s="99"/>
      <c r="FMR89" s="99"/>
      <c r="FMS89" s="99"/>
      <c r="FMT89" s="99"/>
      <c r="FMU89" s="99"/>
      <c r="FMV89" s="99"/>
      <c r="FMW89" s="99"/>
      <c r="FMX89" s="99"/>
      <c r="FMY89" s="99"/>
      <c r="FMZ89" s="99"/>
      <c r="FNA89" s="99"/>
      <c r="FNB89" s="99"/>
      <c r="FNC89" s="99"/>
      <c r="FND89" s="99"/>
      <c r="FNE89" s="99"/>
      <c r="FNF89" s="99"/>
      <c r="FNG89" s="99"/>
      <c r="FNH89" s="99"/>
      <c r="FNI89" s="99"/>
      <c r="FNJ89" s="99"/>
      <c r="FNK89" s="99"/>
      <c r="FNL89" s="99"/>
      <c r="FNM89" s="99"/>
      <c r="FNN89" s="99"/>
      <c r="FNO89" s="99"/>
      <c r="FNP89" s="99"/>
      <c r="FNQ89" s="99"/>
      <c r="FNR89" s="99"/>
      <c r="FNS89" s="99"/>
      <c r="FNT89" s="99"/>
      <c r="FNU89" s="99"/>
      <c r="FNV89" s="99"/>
      <c r="FNW89" s="99"/>
      <c r="FNX89" s="99"/>
      <c r="FNY89" s="99"/>
      <c r="FNZ89" s="99"/>
      <c r="FOA89" s="99"/>
      <c r="FOB89" s="99"/>
      <c r="FOC89" s="99"/>
      <c r="FOD89" s="99"/>
      <c r="FOE89" s="99"/>
      <c r="FOF89" s="99"/>
      <c r="FOG89" s="99"/>
      <c r="FOH89" s="99"/>
      <c r="FOI89" s="99"/>
      <c r="FOJ89" s="99"/>
      <c r="FOK89" s="99"/>
      <c r="FOL89" s="99"/>
      <c r="FOM89" s="99"/>
      <c r="FON89" s="99"/>
      <c r="FOO89" s="99"/>
      <c r="FOP89" s="99"/>
      <c r="FOQ89" s="99"/>
      <c r="FOR89" s="99"/>
      <c r="FOS89" s="99"/>
      <c r="FOT89" s="99"/>
      <c r="FOU89" s="99"/>
      <c r="FOV89" s="99"/>
      <c r="FOW89" s="99"/>
      <c r="FOX89" s="99"/>
      <c r="FOY89" s="99"/>
      <c r="FOZ89" s="99"/>
      <c r="FPA89" s="99"/>
      <c r="FPB89" s="99"/>
      <c r="FPC89" s="99"/>
      <c r="FPD89" s="99"/>
      <c r="FPE89" s="99"/>
      <c r="FPF89" s="99"/>
      <c r="FPG89" s="99"/>
      <c r="FPH89" s="99"/>
      <c r="FPI89" s="99"/>
      <c r="FPJ89" s="99"/>
      <c r="FPK89" s="99"/>
      <c r="FPL89" s="99"/>
      <c r="FPM89" s="99"/>
      <c r="FPN89" s="99"/>
      <c r="FPO89" s="99"/>
      <c r="FPP89" s="99"/>
      <c r="FPQ89" s="99"/>
      <c r="FPR89" s="99"/>
      <c r="FPS89" s="99"/>
      <c r="FPT89" s="99"/>
      <c r="FPU89" s="99"/>
      <c r="FPV89" s="99"/>
      <c r="FPW89" s="99"/>
      <c r="FPX89" s="99"/>
      <c r="FPY89" s="99"/>
      <c r="FPZ89" s="99"/>
      <c r="FQA89" s="99"/>
      <c r="FQB89" s="99"/>
      <c r="FQC89" s="99"/>
      <c r="FQD89" s="99"/>
      <c r="FQE89" s="99"/>
      <c r="FQF89" s="99"/>
      <c r="FQG89" s="99"/>
      <c r="FQH89" s="99"/>
      <c r="FQI89" s="99"/>
      <c r="FQJ89" s="99"/>
      <c r="FQK89" s="99"/>
      <c r="FQL89" s="99"/>
      <c r="FQM89" s="99"/>
      <c r="FQN89" s="99"/>
      <c r="FQO89" s="99"/>
      <c r="FQP89" s="99"/>
      <c r="FQQ89" s="99"/>
      <c r="FQR89" s="99"/>
      <c r="FQS89" s="99"/>
      <c r="FQT89" s="99"/>
      <c r="FQU89" s="99"/>
      <c r="FQV89" s="99"/>
      <c r="FQW89" s="99"/>
      <c r="FQX89" s="99"/>
      <c r="FQY89" s="99"/>
      <c r="FQZ89" s="99"/>
      <c r="FRA89" s="99"/>
      <c r="FRB89" s="99"/>
      <c r="FRC89" s="99"/>
      <c r="FRD89" s="99"/>
      <c r="FRE89" s="99"/>
      <c r="FRF89" s="99"/>
      <c r="FRG89" s="99"/>
      <c r="FRH89" s="99"/>
      <c r="FRI89" s="99"/>
      <c r="FRJ89" s="99"/>
      <c r="FRK89" s="99"/>
      <c r="FRL89" s="99"/>
      <c r="FRM89" s="99"/>
      <c r="FRN89" s="99"/>
      <c r="FRO89" s="99"/>
      <c r="FRP89" s="99"/>
      <c r="FRQ89" s="99"/>
      <c r="FRR89" s="99"/>
      <c r="FRS89" s="99"/>
      <c r="FRT89" s="99"/>
      <c r="FRU89" s="99"/>
      <c r="FRV89" s="99"/>
      <c r="FRW89" s="99"/>
      <c r="FRX89" s="99"/>
      <c r="FRY89" s="99"/>
      <c r="FRZ89" s="99"/>
      <c r="FSA89" s="99"/>
      <c r="FSB89" s="99"/>
      <c r="FSC89" s="99"/>
      <c r="FSD89" s="99"/>
      <c r="FSE89" s="99"/>
      <c r="FSF89" s="99"/>
      <c r="FSG89" s="99"/>
      <c r="FSH89" s="99"/>
      <c r="FSI89" s="99"/>
      <c r="FSJ89" s="99"/>
      <c r="FSK89" s="99"/>
      <c r="FSL89" s="99"/>
      <c r="FSM89" s="99"/>
      <c r="FSN89" s="99"/>
      <c r="FSO89" s="99"/>
      <c r="FSP89" s="99"/>
      <c r="FSQ89" s="99"/>
      <c r="FSR89" s="99"/>
      <c r="FSS89" s="99"/>
      <c r="FST89" s="99"/>
      <c r="FSU89" s="99"/>
      <c r="FSV89" s="99"/>
      <c r="FSW89" s="99"/>
      <c r="FSX89" s="99"/>
      <c r="FSY89" s="99"/>
      <c r="FSZ89" s="99"/>
      <c r="FTA89" s="99"/>
      <c r="FTB89" s="99"/>
      <c r="FTC89" s="99"/>
      <c r="FTD89" s="99"/>
      <c r="FTE89" s="99"/>
      <c r="FTF89" s="99"/>
      <c r="FTG89" s="99"/>
      <c r="FTH89" s="99"/>
      <c r="FTI89" s="99"/>
      <c r="FTJ89" s="99"/>
      <c r="FTK89" s="99"/>
      <c r="FTL89" s="99"/>
      <c r="FTM89" s="99"/>
      <c r="FTN89" s="99"/>
      <c r="FTO89" s="99"/>
      <c r="FTP89" s="99"/>
      <c r="FTQ89" s="99"/>
      <c r="FTR89" s="99"/>
      <c r="FTS89" s="99"/>
      <c r="FTT89" s="99"/>
      <c r="FTU89" s="99"/>
      <c r="FTV89" s="99"/>
      <c r="FTW89" s="99"/>
      <c r="FTX89" s="99"/>
      <c r="FTY89" s="99"/>
      <c r="FTZ89" s="99"/>
      <c r="FUA89" s="99"/>
      <c r="FUB89" s="99"/>
      <c r="FUC89" s="99"/>
      <c r="FUD89" s="99"/>
      <c r="FUE89" s="99"/>
      <c r="FUF89" s="99"/>
      <c r="FUG89" s="99"/>
      <c r="FUH89" s="99"/>
      <c r="FUI89" s="99"/>
      <c r="FUJ89" s="99"/>
      <c r="FUK89" s="99"/>
      <c r="FUL89" s="99"/>
      <c r="FUM89" s="99"/>
      <c r="FUN89" s="99"/>
      <c r="FUO89" s="99"/>
      <c r="FUP89" s="99"/>
      <c r="FUQ89" s="99"/>
      <c r="FUR89" s="99"/>
      <c r="FUS89" s="99"/>
      <c r="FUT89" s="99"/>
      <c r="FUU89" s="99"/>
      <c r="FUV89" s="99"/>
      <c r="FUW89" s="99"/>
      <c r="FUX89" s="99"/>
      <c r="FUY89" s="99"/>
      <c r="FUZ89" s="99"/>
      <c r="FVA89" s="99"/>
      <c r="FVB89" s="99"/>
      <c r="FVC89" s="99"/>
      <c r="FVD89" s="99"/>
      <c r="FVE89" s="99"/>
      <c r="FVF89" s="99"/>
      <c r="FVG89" s="99"/>
      <c r="FVH89" s="99"/>
      <c r="FVI89" s="99"/>
      <c r="FVJ89" s="99"/>
      <c r="FVK89" s="99"/>
      <c r="FVL89" s="99"/>
      <c r="FVM89" s="99"/>
      <c r="FVN89" s="99"/>
      <c r="FVO89" s="99"/>
      <c r="FVP89" s="99"/>
      <c r="FVQ89" s="99"/>
      <c r="FVR89" s="99"/>
      <c r="FVS89" s="99"/>
      <c r="FVT89" s="99"/>
      <c r="FVU89" s="99"/>
      <c r="FVV89" s="99"/>
      <c r="FVW89" s="99"/>
      <c r="FVX89" s="99"/>
      <c r="FVY89" s="99"/>
      <c r="FVZ89" s="99"/>
      <c r="FWA89" s="99"/>
      <c r="FWB89" s="99"/>
      <c r="FWC89" s="99"/>
      <c r="FWD89" s="99"/>
      <c r="FWE89" s="99"/>
      <c r="FWF89" s="99"/>
      <c r="FWG89" s="99"/>
      <c r="FWH89" s="99"/>
      <c r="FWI89" s="99"/>
      <c r="FWJ89" s="99"/>
      <c r="FWK89" s="99"/>
      <c r="FWL89" s="99"/>
      <c r="FWM89" s="99"/>
      <c r="FWN89" s="99"/>
      <c r="FWO89" s="99"/>
      <c r="FWP89" s="99"/>
      <c r="FWQ89" s="99"/>
      <c r="FWR89" s="99"/>
      <c r="FWS89" s="99"/>
      <c r="FWT89" s="99"/>
      <c r="FWU89" s="99"/>
      <c r="FWV89" s="99"/>
      <c r="FWW89" s="99"/>
      <c r="FWX89" s="99"/>
      <c r="FWY89" s="99"/>
      <c r="FWZ89" s="99"/>
      <c r="FXA89" s="99"/>
      <c r="FXB89" s="99"/>
      <c r="FXC89" s="99"/>
      <c r="FXD89" s="99"/>
      <c r="FXE89" s="99"/>
      <c r="FXF89" s="99"/>
      <c r="FXG89" s="99"/>
      <c r="FXH89" s="99"/>
      <c r="FXI89" s="99"/>
      <c r="FXJ89" s="99"/>
      <c r="FXK89" s="99"/>
      <c r="FXL89" s="99"/>
      <c r="FXM89" s="99"/>
      <c r="FXN89" s="99"/>
      <c r="FXO89" s="99"/>
      <c r="FXP89" s="99"/>
      <c r="FXQ89" s="99"/>
      <c r="FXR89" s="99"/>
      <c r="FXS89" s="99"/>
      <c r="FXT89" s="99"/>
      <c r="FXU89" s="99"/>
      <c r="FXV89" s="99"/>
      <c r="FXW89" s="99"/>
      <c r="FXX89" s="99"/>
      <c r="FXY89" s="99"/>
      <c r="FXZ89" s="99"/>
      <c r="FYA89" s="99"/>
      <c r="FYB89" s="99"/>
      <c r="FYC89" s="99"/>
      <c r="FYD89" s="99"/>
      <c r="FYE89" s="99"/>
      <c r="FYF89" s="99"/>
      <c r="FYG89" s="99"/>
      <c r="FYH89" s="99"/>
      <c r="FYI89" s="99"/>
      <c r="FYJ89" s="99"/>
      <c r="FYK89" s="99"/>
      <c r="FYL89" s="99"/>
      <c r="FYM89" s="99"/>
      <c r="FYN89" s="99"/>
      <c r="FYO89" s="99"/>
      <c r="FYP89" s="99"/>
      <c r="FYQ89" s="99"/>
      <c r="FYR89" s="99"/>
      <c r="FYS89" s="99"/>
      <c r="FYT89" s="99"/>
      <c r="FYU89" s="99"/>
      <c r="FYV89" s="99"/>
      <c r="FYW89" s="99"/>
      <c r="FYX89" s="99"/>
      <c r="FYY89" s="99"/>
      <c r="FYZ89" s="99"/>
      <c r="FZA89" s="99"/>
      <c r="FZB89" s="99"/>
      <c r="FZC89" s="99"/>
      <c r="FZD89" s="99"/>
      <c r="FZE89" s="99"/>
      <c r="FZF89" s="99"/>
      <c r="FZG89" s="99"/>
      <c r="FZH89" s="99"/>
      <c r="FZI89" s="99"/>
      <c r="FZJ89" s="99"/>
      <c r="FZK89" s="99"/>
      <c r="FZL89" s="99"/>
      <c r="FZM89" s="99"/>
      <c r="FZN89" s="99"/>
      <c r="FZO89" s="99"/>
      <c r="FZP89" s="99"/>
      <c r="FZQ89" s="99"/>
      <c r="FZR89" s="99"/>
      <c r="FZS89" s="99"/>
      <c r="FZT89" s="99"/>
      <c r="FZU89" s="99"/>
      <c r="FZV89" s="99"/>
      <c r="FZW89" s="99"/>
      <c r="FZX89" s="99"/>
      <c r="FZY89" s="99"/>
      <c r="FZZ89" s="99"/>
      <c r="GAA89" s="99"/>
      <c r="GAB89" s="99"/>
      <c r="GAC89" s="99"/>
      <c r="GAD89" s="99"/>
      <c r="GAE89" s="99"/>
      <c r="GAF89" s="99"/>
      <c r="GAG89" s="99"/>
      <c r="GAH89" s="99"/>
      <c r="GAI89" s="99"/>
      <c r="GAJ89" s="99"/>
      <c r="GAK89" s="99"/>
      <c r="GAL89" s="99"/>
      <c r="GAM89" s="99"/>
      <c r="GAN89" s="99"/>
      <c r="GAO89" s="99"/>
      <c r="GAP89" s="99"/>
      <c r="GAQ89" s="99"/>
      <c r="GAR89" s="99"/>
      <c r="GAS89" s="99"/>
      <c r="GAT89" s="99"/>
      <c r="GAU89" s="99"/>
      <c r="GAV89" s="99"/>
      <c r="GAW89" s="99"/>
      <c r="GAX89" s="99"/>
      <c r="GAY89" s="99"/>
      <c r="GAZ89" s="99"/>
      <c r="GBA89" s="99"/>
      <c r="GBB89" s="99"/>
      <c r="GBC89" s="99"/>
      <c r="GBD89" s="99"/>
      <c r="GBE89" s="99"/>
      <c r="GBF89" s="99"/>
      <c r="GBG89" s="99"/>
      <c r="GBH89" s="99"/>
      <c r="GBI89" s="99"/>
      <c r="GBJ89" s="99"/>
      <c r="GBK89" s="99"/>
      <c r="GBL89" s="99"/>
      <c r="GBM89" s="99"/>
      <c r="GBN89" s="99"/>
      <c r="GBO89" s="99"/>
      <c r="GBP89" s="99"/>
      <c r="GBQ89" s="99"/>
      <c r="GBR89" s="99"/>
      <c r="GBS89" s="99"/>
      <c r="GBT89" s="99"/>
      <c r="GBU89" s="99"/>
      <c r="GBV89" s="99"/>
      <c r="GBW89" s="99"/>
      <c r="GBX89" s="99"/>
      <c r="GBY89" s="99"/>
      <c r="GBZ89" s="99"/>
      <c r="GCA89" s="99"/>
      <c r="GCB89" s="99"/>
      <c r="GCC89" s="99"/>
      <c r="GCD89" s="99"/>
      <c r="GCE89" s="99"/>
      <c r="GCF89" s="99"/>
      <c r="GCG89" s="99"/>
      <c r="GCH89" s="99"/>
      <c r="GCI89" s="99"/>
      <c r="GCJ89" s="99"/>
      <c r="GCK89" s="99"/>
      <c r="GCL89" s="99"/>
      <c r="GCM89" s="99"/>
      <c r="GCN89" s="99"/>
      <c r="GCO89" s="99"/>
      <c r="GCP89" s="99"/>
      <c r="GCQ89" s="99"/>
      <c r="GCR89" s="99"/>
      <c r="GCS89" s="99"/>
      <c r="GCT89" s="99"/>
      <c r="GCU89" s="99"/>
      <c r="GCV89" s="99"/>
      <c r="GCW89" s="99"/>
      <c r="GCX89" s="99"/>
      <c r="GCY89" s="99"/>
      <c r="GCZ89" s="99"/>
      <c r="GDA89" s="99"/>
      <c r="GDB89" s="99"/>
      <c r="GDC89" s="99"/>
      <c r="GDD89" s="99"/>
      <c r="GDE89" s="99"/>
      <c r="GDF89" s="99"/>
      <c r="GDG89" s="99"/>
      <c r="GDH89" s="99"/>
      <c r="GDI89" s="99"/>
      <c r="GDJ89" s="99"/>
      <c r="GDK89" s="99"/>
      <c r="GDL89" s="99"/>
      <c r="GDM89" s="99"/>
      <c r="GDN89" s="99"/>
      <c r="GDO89" s="99"/>
      <c r="GDP89" s="99"/>
      <c r="GDQ89" s="99"/>
      <c r="GDR89" s="99"/>
      <c r="GDS89" s="99"/>
      <c r="GDT89" s="99"/>
      <c r="GDU89" s="99"/>
      <c r="GDV89" s="99"/>
      <c r="GDW89" s="99"/>
      <c r="GDX89" s="99"/>
      <c r="GDY89" s="99"/>
      <c r="GDZ89" s="99"/>
      <c r="GEA89" s="99"/>
      <c r="GEB89" s="99"/>
      <c r="GEC89" s="99"/>
      <c r="GED89" s="99"/>
      <c r="GEE89" s="99"/>
      <c r="GEF89" s="99"/>
      <c r="GEG89" s="99"/>
      <c r="GEH89" s="99"/>
      <c r="GEI89" s="99"/>
      <c r="GEJ89" s="99"/>
      <c r="GEK89" s="99"/>
      <c r="GEL89" s="99"/>
      <c r="GEM89" s="99"/>
      <c r="GEN89" s="99"/>
      <c r="GEO89" s="99"/>
      <c r="GEP89" s="99"/>
      <c r="GEQ89" s="99"/>
      <c r="GER89" s="99"/>
      <c r="GES89" s="99"/>
      <c r="GET89" s="99"/>
      <c r="GEU89" s="99"/>
      <c r="GEV89" s="99"/>
      <c r="GEW89" s="99"/>
      <c r="GEX89" s="99"/>
      <c r="GEY89" s="99"/>
      <c r="GEZ89" s="99"/>
      <c r="GFA89" s="99"/>
      <c r="GFB89" s="99"/>
      <c r="GFC89" s="99"/>
      <c r="GFD89" s="99"/>
      <c r="GFE89" s="99"/>
      <c r="GFF89" s="99"/>
      <c r="GFG89" s="99"/>
      <c r="GFH89" s="99"/>
      <c r="GFI89" s="99"/>
      <c r="GFJ89" s="99"/>
      <c r="GFK89" s="99"/>
      <c r="GFL89" s="99"/>
      <c r="GFM89" s="99"/>
      <c r="GFN89" s="99"/>
      <c r="GFO89" s="99"/>
      <c r="GFP89" s="99"/>
      <c r="GFQ89" s="99"/>
      <c r="GFR89" s="99"/>
      <c r="GFS89" s="99"/>
      <c r="GFT89" s="99"/>
      <c r="GFU89" s="99"/>
      <c r="GFV89" s="99"/>
      <c r="GFW89" s="99"/>
      <c r="GFX89" s="99"/>
      <c r="GFY89" s="99"/>
      <c r="GFZ89" s="99"/>
      <c r="GGA89" s="99"/>
      <c r="GGB89" s="99"/>
      <c r="GGC89" s="99"/>
      <c r="GGD89" s="99"/>
      <c r="GGE89" s="99"/>
      <c r="GGF89" s="99"/>
      <c r="GGG89" s="99"/>
      <c r="GGH89" s="99"/>
      <c r="GGI89" s="99"/>
      <c r="GGJ89" s="99"/>
      <c r="GGK89" s="99"/>
      <c r="GGL89" s="99"/>
      <c r="GGM89" s="99"/>
      <c r="GGN89" s="99"/>
      <c r="GGO89" s="99"/>
      <c r="GGP89" s="99"/>
      <c r="GGQ89" s="99"/>
      <c r="GGR89" s="99"/>
      <c r="GGS89" s="99"/>
      <c r="GGT89" s="99"/>
      <c r="GGU89" s="99"/>
      <c r="GGV89" s="99"/>
      <c r="GGW89" s="99"/>
      <c r="GGX89" s="99"/>
      <c r="GGY89" s="99"/>
      <c r="GGZ89" s="99"/>
      <c r="GHA89" s="99"/>
      <c r="GHB89" s="99"/>
      <c r="GHC89" s="99"/>
      <c r="GHD89" s="99"/>
      <c r="GHE89" s="99"/>
      <c r="GHF89" s="99"/>
      <c r="GHG89" s="99"/>
      <c r="GHH89" s="99"/>
      <c r="GHI89" s="99"/>
      <c r="GHJ89" s="99"/>
      <c r="GHK89" s="99"/>
      <c r="GHL89" s="99"/>
      <c r="GHM89" s="99"/>
      <c r="GHN89" s="99"/>
      <c r="GHO89" s="99"/>
      <c r="GHP89" s="99"/>
      <c r="GHQ89" s="99"/>
      <c r="GHR89" s="99"/>
      <c r="GHS89" s="99"/>
      <c r="GHT89" s="99"/>
      <c r="GHU89" s="99"/>
      <c r="GHV89" s="99"/>
      <c r="GHW89" s="99"/>
      <c r="GHX89" s="99"/>
      <c r="GHY89" s="99"/>
      <c r="GHZ89" s="99"/>
      <c r="GIA89" s="99"/>
      <c r="GIB89" s="99"/>
      <c r="GIC89" s="99"/>
      <c r="GID89" s="99"/>
      <c r="GIE89" s="99"/>
      <c r="GIF89" s="99"/>
      <c r="GIG89" s="99"/>
      <c r="GIH89" s="99"/>
      <c r="GII89" s="99"/>
      <c r="GIJ89" s="99"/>
      <c r="GIK89" s="99"/>
      <c r="GIL89" s="99"/>
      <c r="GIM89" s="99"/>
      <c r="GIN89" s="99"/>
      <c r="GIO89" s="99"/>
      <c r="GIP89" s="99"/>
      <c r="GIQ89" s="99"/>
      <c r="GIR89" s="99"/>
      <c r="GIS89" s="99"/>
      <c r="GIT89" s="99"/>
      <c r="GIU89" s="99"/>
      <c r="GIV89" s="99"/>
      <c r="GIW89" s="99"/>
      <c r="GIX89" s="99"/>
      <c r="GIY89" s="99"/>
      <c r="GIZ89" s="99"/>
      <c r="GJA89" s="99"/>
      <c r="GJB89" s="99"/>
      <c r="GJC89" s="99"/>
      <c r="GJD89" s="99"/>
      <c r="GJE89" s="99"/>
      <c r="GJF89" s="99"/>
      <c r="GJG89" s="99"/>
      <c r="GJH89" s="99"/>
      <c r="GJI89" s="99"/>
      <c r="GJJ89" s="99"/>
      <c r="GJK89" s="99"/>
      <c r="GJL89" s="99"/>
      <c r="GJM89" s="99"/>
      <c r="GJN89" s="99"/>
      <c r="GJO89" s="99"/>
      <c r="GJP89" s="99"/>
      <c r="GJQ89" s="99"/>
      <c r="GJR89" s="99"/>
      <c r="GJS89" s="99"/>
      <c r="GJT89" s="99"/>
      <c r="GJU89" s="99"/>
      <c r="GJV89" s="99"/>
      <c r="GJW89" s="99"/>
      <c r="GJX89" s="99"/>
      <c r="GJY89" s="99"/>
      <c r="GJZ89" s="99"/>
      <c r="GKA89" s="99"/>
      <c r="GKB89" s="99"/>
      <c r="GKC89" s="99"/>
      <c r="GKD89" s="99"/>
      <c r="GKE89" s="99"/>
      <c r="GKF89" s="99"/>
      <c r="GKG89" s="99"/>
      <c r="GKH89" s="99"/>
      <c r="GKI89" s="99"/>
      <c r="GKJ89" s="99"/>
      <c r="GKK89" s="99"/>
      <c r="GKL89" s="99"/>
      <c r="GKM89" s="99"/>
      <c r="GKN89" s="99"/>
      <c r="GKO89" s="99"/>
      <c r="GKP89" s="99"/>
      <c r="GKQ89" s="99"/>
      <c r="GKR89" s="99"/>
      <c r="GKS89" s="99"/>
      <c r="GKT89" s="99"/>
      <c r="GKU89" s="99"/>
      <c r="GKV89" s="99"/>
      <c r="GKW89" s="99"/>
      <c r="GKX89" s="99"/>
      <c r="GKY89" s="99"/>
      <c r="GKZ89" s="99"/>
      <c r="GLA89" s="99"/>
      <c r="GLB89" s="99"/>
      <c r="GLC89" s="99"/>
      <c r="GLD89" s="99"/>
      <c r="GLE89" s="99"/>
      <c r="GLF89" s="99"/>
      <c r="GLG89" s="99"/>
      <c r="GLH89" s="99"/>
      <c r="GLI89" s="99"/>
      <c r="GLJ89" s="99"/>
      <c r="GLK89" s="99"/>
      <c r="GLL89" s="99"/>
      <c r="GLM89" s="99"/>
      <c r="GLN89" s="99"/>
      <c r="GLO89" s="99"/>
      <c r="GLP89" s="99"/>
      <c r="GLQ89" s="99"/>
      <c r="GLR89" s="99"/>
      <c r="GLS89" s="99"/>
      <c r="GLT89" s="99"/>
      <c r="GLU89" s="99"/>
      <c r="GLV89" s="99"/>
      <c r="GLW89" s="99"/>
      <c r="GLX89" s="99"/>
      <c r="GLY89" s="99"/>
      <c r="GLZ89" s="99"/>
      <c r="GMA89" s="99"/>
      <c r="GMB89" s="99"/>
      <c r="GMC89" s="99"/>
      <c r="GMD89" s="99"/>
      <c r="GME89" s="99"/>
      <c r="GMF89" s="99"/>
      <c r="GMG89" s="99"/>
      <c r="GMH89" s="99"/>
      <c r="GMI89" s="99"/>
      <c r="GMJ89" s="99"/>
      <c r="GMK89" s="99"/>
      <c r="GML89" s="99"/>
      <c r="GMM89" s="99"/>
      <c r="GMN89" s="99"/>
      <c r="GMO89" s="99"/>
      <c r="GMP89" s="99"/>
      <c r="GMQ89" s="99"/>
      <c r="GMR89" s="99"/>
      <c r="GMS89" s="99"/>
      <c r="GMT89" s="99"/>
      <c r="GMU89" s="99"/>
      <c r="GMV89" s="99"/>
      <c r="GMW89" s="99"/>
      <c r="GMX89" s="99"/>
      <c r="GMY89" s="99"/>
      <c r="GMZ89" s="99"/>
      <c r="GNA89" s="99"/>
      <c r="GNB89" s="99"/>
      <c r="GNC89" s="99"/>
      <c r="GND89" s="99"/>
      <c r="GNE89" s="99"/>
      <c r="GNF89" s="99"/>
      <c r="GNG89" s="99"/>
      <c r="GNH89" s="99"/>
      <c r="GNI89" s="99"/>
      <c r="GNJ89" s="99"/>
      <c r="GNK89" s="99"/>
      <c r="GNL89" s="99"/>
      <c r="GNM89" s="99"/>
      <c r="GNN89" s="99"/>
      <c r="GNO89" s="99"/>
      <c r="GNP89" s="99"/>
      <c r="GNQ89" s="99"/>
      <c r="GNR89" s="99"/>
      <c r="GNS89" s="99"/>
      <c r="GNT89" s="99"/>
      <c r="GNU89" s="99"/>
      <c r="GNV89" s="99"/>
      <c r="GNW89" s="99"/>
      <c r="GNX89" s="99"/>
      <c r="GNY89" s="99"/>
      <c r="GNZ89" s="99"/>
      <c r="GOA89" s="99"/>
      <c r="GOB89" s="99"/>
      <c r="GOC89" s="99"/>
      <c r="GOD89" s="99"/>
      <c r="GOE89" s="99"/>
      <c r="GOF89" s="99"/>
      <c r="GOG89" s="99"/>
      <c r="GOH89" s="99"/>
      <c r="GOI89" s="99"/>
      <c r="GOJ89" s="99"/>
      <c r="GOK89" s="99"/>
      <c r="GOL89" s="99"/>
      <c r="GOM89" s="99"/>
      <c r="GON89" s="99"/>
      <c r="GOO89" s="99"/>
      <c r="GOP89" s="99"/>
      <c r="GOQ89" s="99"/>
      <c r="GOR89" s="99"/>
      <c r="GOS89" s="99"/>
      <c r="GOT89" s="99"/>
      <c r="GOU89" s="99"/>
      <c r="GOV89" s="99"/>
      <c r="GOW89" s="99"/>
      <c r="GOX89" s="99"/>
      <c r="GOY89" s="99"/>
      <c r="GOZ89" s="99"/>
      <c r="GPA89" s="99"/>
      <c r="GPB89" s="99"/>
      <c r="GPC89" s="99"/>
      <c r="GPD89" s="99"/>
      <c r="GPE89" s="99"/>
      <c r="GPF89" s="99"/>
      <c r="GPG89" s="99"/>
      <c r="GPH89" s="99"/>
      <c r="GPI89" s="99"/>
      <c r="GPJ89" s="99"/>
      <c r="GPK89" s="99"/>
      <c r="GPL89" s="99"/>
      <c r="GPM89" s="99"/>
      <c r="GPN89" s="99"/>
      <c r="GPO89" s="99"/>
      <c r="GPP89" s="99"/>
      <c r="GPQ89" s="99"/>
      <c r="GPR89" s="99"/>
      <c r="GPS89" s="99"/>
      <c r="GPT89" s="99"/>
      <c r="GPU89" s="99"/>
      <c r="GPV89" s="99"/>
      <c r="GPW89" s="99"/>
      <c r="GPX89" s="99"/>
      <c r="GPY89" s="99"/>
      <c r="GPZ89" s="99"/>
      <c r="GQA89" s="99"/>
      <c r="GQB89" s="99"/>
      <c r="GQC89" s="99"/>
      <c r="GQD89" s="99"/>
      <c r="GQE89" s="99"/>
      <c r="GQF89" s="99"/>
      <c r="GQG89" s="99"/>
      <c r="GQH89" s="99"/>
      <c r="GQI89" s="99"/>
      <c r="GQJ89" s="99"/>
      <c r="GQK89" s="99"/>
      <c r="GQL89" s="99"/>
      <c r="GQM89" s="99"/>
      <c r="GQN89" s="99"/>
      <c r="GQO89" s="99"/>
      <c r="GQP89" s="99"/>
      <c r="GQQ89" s="99"/>
      <c r="GQR89" s="99"/>
      <c r="GQS89" s="99"/>
      <c r="GQT89" s="99"/>
      <c r="GQU89" s="99"/>
      <c r="GQV89" s="99"/>
      <c r="GQW89" s="99"/>
      <c r="GQX89" s="99"/>
      <c r="GQY89" s="99"/>
      <c r="GQZ89" s="99"/>
      <c r="GRA89" s="99"/>
      <c r="GRB89" s="99"/>
      <c r="GRC89" s="99"/>
      <c r="GRD89" s="99"/>
      <c r="GRE89" s="99"/>
      <c r="GRF89" s="99"/>
      <c r="GRG89" s="99"/>
      <c r="GRH89" s="99"/>
      <c r="GRI89" s="99"/>
      <c r="GRJ89" s="99"/>
      <c r="GRK89" s="99"/>
      <c r="GRL89" s="99"/>
      <c r="GRM89" s="99"/>
      <c r="GRN89" s="99"/>
      <c r="GRO89" s="99"/>
      <c r="GRP89" s="99"/>
      <c r="GRQ89" s="99"/>
      <c r="GRR89" s="99"/>
      <c r="GRS89" s="99"/>
      <c r="GRT89" s="99"/>
      <c r="GRU89" s="99"/>
      <c r="GRV89" s="99"/>
      <c r="GRW89" s="99"/>
      <c r="GRX89" s="99"/>
      <c r="GRY89" s="99"/>
      <c r="GRZ89" s="99"/>
      <c r="GSA89" s="99"/>
      <c r="GSB89" s="99"/>
      <c r="GSC89" s="99"/>
      <c r="GSD89" s="99"/>
      <c r="GSE89" s="99"/>
      <c r="GSF89" s="99"/>
      <c r="GSG89" s="99"/>
      <c r="GSH89" s="99"/>
      <c r="GSI89" s="99"/>
      <c r="GSJ89" s="99"/>
      <c r="GSK89" s="99"/>
      <c r="GSL89" s="99"/>
      <c r="GSM89" s="99"/>
      <c r="GSN89" s="99"/>
      <c r="GSO89" s="99"/>
      <c r="GSP89" s="99"/>
      <c r="GSQ89" s="99"/>
      <c r="GSR89" s="99"/>
      <c r="GSS89" s="99"/>
      <c r="GST89" s="99"/>
      <c r="GSU89" s="99"/>
      <c r="GSV89" s="99"/>
      <c r="GSW89" s="99"/>
      <c r="GSX89" s="99"/>
      <c r="GSY89" s="99"/>
      <c r="GSZ89" s="99"/>
      <c r="GTA89" s="99"/>
      <c r="GTB89" s="99"/>
      <c r="GTC89" s="99"/>
      <c r="GTD89" s="99"/>
      <c r="GTE89" s="99"/>
      <c r="GTF89" s="99"/>
      <c r="GTG89" s="99"/>
      <c r="GTH89" s="99"/>
      <c r="GTI89" s="99"/>
      <c r="GTJ89" s="99"/>
      <c r="GTK89" s="99"/>
      <c r="GTL89" s="99"/>
      <c r="GTM89" s="99"/>
      <c r="GTN89" s="99"/>
      <c r="GTO89" s="99"/>
      <c r="GTP89" s="99"/>
      <c r="GTQ89" s="99"/>
      <c r="GTR89" s="99"/>
      <c r="GTS89" s="99"/>
      <c r="GTT89" s="99"/>
      <c r="GTU89" s="99"/>
      <c r="GTV89" s="99"/>
      <c r="GTW89" s="99"/>
      <c r="GTX89" s="99"/>
      <c r="GTY89" s="99"/>
      <c r="GTZ89" s="99"/>
      <c r="GUA89" s="99"/>
      <c r="GUB89" s="99"/>
      <c r="GUC89" s="99"/>
      <c r="GUD89" s="99"/>
      <c r="GUE89" s="99"/>
      <c r="GUF89" s="99"/>
      <c r="GUG89" s="99"/>
      <c r="GUH89" s="99"/>
      <c r="GUI89" s="99"/>
      <c r="GUJ89" s="99"/>
      <c r="GUK89" s="99"/>
      <c r="GUL89" s="99"/>
      <c r="GUM89" s="99"/>
      <c r="GUN89" s="99"/>
      <c r="GUO89" s="99"/>
      <c r="GUP89" s="99"/>
      <c r="GUQ89" s="99"/>
      <c r="GUR89" s="99"/>
      <c r="GUS89" s="99"/>
      <c r="GUT89" s="99"/>
      <c r="GUU89" s="99"/>
      <c r="GUV89" s="99"/>
      <c r="GUW89" s="99"/>
      <c r="GUX89" s="99"/>
      <c r="GUY89" s="99"/>
      <c r="GUZ89" s="99"/>
      <c r="GVA89" s="99"/>
      <c r="GVB89" s="99"/>
      <c r="GVC89" s="99"/>
      <c r="GVD89" s="99"/>
      <c r="GVE89" s="99"/>
      <c r="GVF89" s="99"/>
      <c r="GVG89" s="99"/>
      <c r="GVH89" s="99"/>
      <c r="GVI89" s="99"/>
      <c r="GVJ89" s="99"/>
      <c r="GVK89" s="99"/>
      <c r="GVL89" s="99"/>
      <c r="GVM89" s="99"/>
      <c r="GVN89" s="99"/>
      <c r="GVO89" s="99"/>
      <c r="GVP89" s="99"/>
      <c r="GVQ89" s="99"/>
      <c r="GVR89" s="99"/>
      <c r="GVS89" s="99"/>
      <c r="GVT89" s="99"/>
      <c r="GVU89" s="99"/>
      <c r="GVV89" s="99"/>
      <c r="GVW89" s="99"/>
      <c r="GVX89" s="99"/>
      <c r="GVY89" s="99"/>
      <c r="GVZ89" s="99"/>
      <c r="GWA89" s="99"/>
      <c r="GWB89" s="99"/>
      <c r="GWC89" s="99"/>
      <c r="GWD89" s="99"/>
      <c r="GWE89" s="99"/>
      <c r="GWF89" s="99"/>
      <c r="GWG89" s="99"/>
      <c r="GWH89" s="99"/>
      <c r="GWI89" s="99"/>
      <c r="GWJ89" s="99"/>
      <c r="GWK89" s="99"/>
      <c r="GWL89" s="99"/>
      <c r="GWM89" s="99"/>
      <c r="GWN89" s="99"/>
      <c r="GWO89" s="99"/>
      <c r="GWP89" s="99"/>
      <c r="GWQ89" s="99"/>
      <c r="GWR89" s="99"/>
      <c r="GWS89" s="99"/>
      <c r="GWT89" s="99"/>
      <c r="GWU89" s="99"/>
      <c r="GWV89" s="99"/>
      <c r="GWW89" s="99"/>
      <c r="GWX89" s="99"/>
      <c r="GWY89" s="99"/>
      <c r="GWZ89" s="99"/>
      <c r="GXA89" s="99"/>
      <c r="GXB89" s="99"/>
      <c r="GXC89" s="99"/>
      <c r="GXD89" s="99"/>
      <c r="GXE89" s="99"/>
      <c r="GXF89" s="99"/>
      <c r="GXG89" s="99"/>
      <c r="GXH89" s="99"/>
      <c r="GXI89" s="99"/>
      <c r="GXJ89" s="99"/>
      <c r="GXK89" s="99"/>
      <c r="GXL89" s="99"/>
      <c r="GXM89" s="99"/>
      <c r="GXN89" s="99"/>
      <c r="GXO89" s="99"/>
      <c r="GXP89" s="99"/>
      <c r="GXQ89" s="99"/>
      <c r="GXR89" s="99"/>
      <c r="GXS89" s="99"/>
      <c r="GXT89" s="99"/>
      <c r="GXU89" s="99"/>
      <c r="GXV89" s="99"/>
      <c r="GXW89" s="99"/>
      <c r="GXX89" s="99"/>
      <c r="GXY89" s="99"/>
      <c r="GXZ89" s="99"/>
      <c r="GYA89" s="99"/>
      <c r="GYB89" s="99"/>
      <c r="GYC89" s="99"/>
      <c r="GYD89" s="99"/>
      <c r="GYE89" s="99"/>
      <c r="GYF89" s="99"/>
      <c r="GYG89" s="99"/>
      <c r="GYH89" s="99"/>
      <c r="GYI89" s="99"/>
      <c r="GYJ89" s="99"/>
      <c r="GYK89" s="99"/>
      <c r="GYL89" s="99"/>
      <c r="GYM89" s="99"/>
      <c r="GYN89" s="99"/>
      <c r="GYO89" s="99"/>
      <c r="GYP89" s="99"/>
      <c r="GYQ89" s="99"/>
      <c r="GYR89" s="99"/>
      <c r="GYS89" s="99"/>
      <c r="GYT89" s="99"/>
      <c r="GYU89" s="99"/>
      <c r="GYV89" s="99"/>
      <c r="GYW89" s="99"/>
      <c r="GYX89" s="99"/>
      <c r="GYY89" s="99"/>
      <c r="GYZ89" s="99"/>
      <c r="GZA89" s="99"/>
      <c r="GZB89" s="99"/>
      <c r="GZC89" s="99"/>
      <c r="GZD89" s="99"/>
      <c r="GZE89" s="99"/>
      <c r="GZF89" s="99"/>
      <c r="GZG89" s="99"/>
      <c r="GZH89" s="99"/>
      <c r="GZI89" s="99"/>
      <c r="GZJ89" s="99"/>
      <c r="GZK89" s="99"/>
      <c r="GZL89" s="99"/>
      <c r="GZM89" s="99"/>
      <c r="GZN89" s="99"/>
      <c r="GZO89" s="99"/>
      <c r="GZP89" s="99"/>
      <c r="GZQ89" s="99"/>
      <c r="GZR89" s="99"/>
      <c r="GZS89" s="99"/>
      <c r="GZT89" s="99"/>
      <c r="GZU89" s="99"/>
      <c r="GZV89" s="99"/>
      <c r="GZW89" s="99"/>
      <c r="GZX89" s="99"/>
      <c r="GZY89" s="99"/>
      <c r="GZZ89" s="99"/>
      <c r="HAA89" s="99"/>
      <c r="HAB89" s="99"/>
      <c r="HAC89" s="99"/>
      <c r="HAD89" s="99"/>
      <c r="HAE89" s="99"/>
      <c r="HAF89" s="99"/>
      <c r="HAG89" s="99"/>
      <c r="HAH89" s="99"/>
      <c r="HAI89" s="99"/>
      <c r="HAJ89" s="99"/>
      <c r="HAK89" s="99"/>
      <c r="HAL89" s="99"/>
      <c r="HAM89" s="99"/>
      <c r="HAN89" s="99"/>
      <c r="HAO89" s="99"/>
      <c r="HAP89" s="99"/>
      <c r="HAQ89" s="99"/>
      <c r="HAR89" s="99"/>
      <c r="HAS89" s="99"/>
      <c r="HAT89" s="99"/>
      <c r="HAU89" s="99"/>
      <c r="HAV89" s="99"/>
      <c r="HAW89" s="99"/>
      <c r="HAX89" s="99"/>
      <c r="HAY89" s="99"/>
      <c r="HAZ89" s="99"/>
      <c r="HBA89" s="99"/>
      <c r="HBB89" s="99"/>
      <c r="HBC89" s="99"/>
      <c r="HBD89" s="99"/>
      <c r="HBE89" s="99"/>
      <c r="HBF89" s="99"/>
      <c r="HBG89" s="99"/>
      <c r="HBH89" s="99"/>
      <c r="HBI89" s="99"/>
      <c r="HBJ89" s="99"/>
      <c r="HBK89" s="99"/>
      <c r="HBL89" s="99"/>
      <c r="HBM89" s="99"/>
      <c r="HBN89" s="99"/>
      <c r="HBO89" s="99"/>
      <c r="HBP89" s="99"/>
      <c r="HBQ89" s="99"/>
      <c r="HBR89" s="99"/>
      <c r="HBS89" s="99"/>
      <c r="HBT89" s="99"/>
      <c r="HBU89" s="99"/>
      <c r="HBV89" s="99"/>
      <c r="HBW89" s="99"/>
      <c r="HBX89" s="99"/>
      <c r="HBY89" s="99"/>
      <c r="HBZ89" s="99"/>
      <c r="HCA89" s="99"/>
      <c r="HCB89" s="99"/>
      <c r="HCC89" s="99"/>
      <c r="HCD89" s="99"/>
      <c r="HCE89" s="99"/>
      <c r="HCF89" s="99"/>
      <c r="HCG89" s="99"/>
      <c r="HCH89" s="99"/>
      <c r="HCI89" s="99"/>
      <c r="HCJ89" s="99"/>
      <c r="HCK89" s="99"/>
      <c r="HCL89" s="99"/>
      <c r="HCM89" s="99"/>
      <c r="HCN89" s="99"/>
      <c r="HCO89" s="99"/>
      <c r="HCP89" s="99"/>
      <c r="HCQ89" s="99"/>
      <c r="HCR89" s="99"/>
      <c r="HCS89" s="99"/>
      <c r="HCT89" s="99"/>
      <c r="HCU89" s="99"/>
      <c r="HCV89" s="99"/>
      <c r="HCW89" s="99"/>
      <c r="HCX89" s="99"/>
      <c r="HCY89" s="99"/>
      <c r="HCZ89" s="99"/>
      <c r="HDA89" s="99"/>
      <c r="HDB89" s="99"/>
      <c r="HDC89" s="99"/>
      <c r="HDD89" s="99"/>
      <c r="HDE89" s="99"/>
      <c r="HDF89" s="99"/>
      <c r="HDG89" s="99"/>
      <c r="HDH89" s="99"/>
      <c r="HDI89" s="99"/>
      <c r="HDJ89" s="99"/>
      <c r="HDK89" s="99"/>
      <c r="HDL89" s="99"/>
      <c r="HDM89" s="99"/>
      <c r="HDN89" s="99"/>
      <c r="HDO89" s="99"/>
      <c r="HDP89" s="99"/>
      <c r="HDQ89" s="99"/>
      <c r="HDR89" s="99"/>
      <c r="HDS89" s="99"/>
      <c r="HDT89" s="99"/>
      <c r="HDU89" s="99"/>
      <c r="HDV89" s="99"/>
      <c r="HDW89" s="99"/>
      <c r="HDX89" s="99"/>
      <c r="HDY89" s="99"/>
      <c r="HDZ89" s="99"/>
      <c r="HEA89" s="99"/>
      <c r="HEB89" s="99"/>
      <c r="HEC89" s="99"/>
      <c r="HED89" s="99"/>
      <c r="HEE89" s="99"/>
      <c r="HEF89" s="99"/>
      <c r="HEG89" s="99"/>
      <c r="HEH89" s="99"/>
      <c r="HEI89" s="99"/>
      <c r="HEJ89" s="99"/>
      <c r="HEK89" s="99"/>
      <c r="HEL89" s="99"/>
      <c r="HEM89" s="99"/>
      <c r="HEN89" s="99"/>
      <c r="HEO89" s="99"/>
      <c r="HEP89" s="99"/>
      <c r="HEQ89" s="99"/>
      <c r="HER89" s="99"/>
      <c r="HES89" s="99"/>
      <c r="HET89" s="99"/>
      <c r="HEU89" s="99"/>
      <c r="HEV89" s="99"/>
      <c r="HEW89" s="99"/>
      <c r="HEX89" s="99"/>
      <c r="HEY89" s="99"/>
      <c r="HEZ89" s="99"/>
      <c r="HFA89" s="99"/>
      <c r="HFB89" s="99"/>
      <c r="HFC89" s="99"/>
      <c r="HFD89" s="99"/>
      <c r="HFE89" s="99"/>
      <c r="HFF89" s="99"/>
      <c r="HFG89" s="99"/>
      <c r="HFH89" s="99"/>
      <c r="HFI89" s="99"/>
      <c r="HFJ89" s="99"/>
      <c r="HFK89" s="99"/>
      <c r="HFL89" s="99"/>
      <c r="HFM89" s="99"/>
      <c r="HFN89" s="99"/>
      <c r="HFO89" s="99"/>
      <c r="HFP89" s="99"/>
      <c r="HFQ89" s="99"/>
      <c r="HFR89" s="99"/>
      <c r="HFS89" s="99"/>
      <c r="HFT89" s="99"/>
      <c r="HFU89" s="99"/>
      <c r="HFV89" s="99"/>
      <c r="HFW89" s="99"/>
      <c r="HFX89" s="99"/>
      <c r="HFY89" s="99"/>
      <c r="HFZ89" s="99"/>
      <c r="HGA89" s="99"/>
      <c r="HGB89" s="99"/>
      <c r="HGC89" s="99"/>
      <c r="HGD89" s="99"/>
      <c r="HGE89" s="99"/>
      <c r="HGF89" s="99"/>
      <c r="HGG89" s="99"/>
      <c r="HGH89" s="99"/>
      <c r="HGI89" s="99"/>
      <c r="HGJ89" s="99"/>
      <c r="HGK89" s="99"/>
      <c r="HGL89" s="99"/>
      <c r="HGM89" s="99"/>
      <c r="HGN89" s="99"/>
      <c r="HGO89" s="99"/>
      <c r="HGP89" s="99"/>
      <c r="HGQ89" s="99"/>
      <c r="HGR89" s="99"/>
      <c r="HGS89" s="99"/>
      <c r="HGT89" s="99"/>
      <c r="HGU89" s="99"/>
      <c r="HGV89" s="99"/>
      <c r="HGW89" s="99"/>
      <c r="HGX89" s="99"/>
      <c r="HGY89" s="99"/>
      <c r="HGZ89" s="99"/>
      <c r="HHA89" s="99"/>
      <c r="HHB89" s="99"/>
      <c r="HHC89" s="99"/>
      <c r="HHD89" s="99"/>
      <c r="HHE89" s="99"/>
      <c r="HHF89" s="99"/>
      <c r="HHG89" s="99"/>
      <c r="HHH89" s="99"/>
      <c r="HHI89" s="99"/>
      <c r="HHJ89" s="99"/>
      <c r="HHK89" s="99"/>
      <c r="HHL89" s="99"/>
      <c r="HHM89" s="99"/>
      <c r="HHN89" s="99"/>
      <c r="HHO89" s="99"/>
      <c r="HHP89" s="99"/>
      <c r="HHQ89" s="99"/>
      <c r="HHR89" s="99"/>
      <c r="HHS89" s="99"/>
      <c r="HHT89" s="99"/>
      <c r="HHU89" s="99"/>
      <c r="HHV89" s="99"/>
      <c r="HHW89" s="99"/>
      <c r="HHX89" s="99"/>
      <c r="HHY89" s="99"/>
      <c r="HHZ89" s="99"/>
      <c r="HIA89" s="99"/>
      <c r="HIB89" s="99"/>
      <c r="HIC89" s="99"/>
      <c r="HID89" s="99"/>
      <c r="HIE89" s="99"/>
      <c r="HIF89" s="99"/>
      <c r="HIG89" s="99"/>
      <c r="HIH89" s="99"/>
      <c r="HII89" s="99"/>
      <c r="HIJ89" s="99"/>
      <c r="HIK89" s="99"/>
      <c r="HIL89" s="99"/>
      <c r="HIM89" s="99"/>
      <c r="HIN89" s="99"/>
      <c r="HIO89" s="99"/>
      <c r="HIP89" s="99"/>
      <c r="HIQ89" s="99"/>
      <c r="HIR89" s="99"/>
      <c r="HIS89" s="99"/>
      <c r="HIT89" s="99"/>
      <c r="HIU89" s="99"/>
      <c r="HIV89" s="99"/>
      <c r="HIW89" s="99"/>
      <c r="HIX89" s="99"/>
      <c r="HIY89" s="99"/>
      <c r="HIZ89" s="99"/>
      <c r="HJA89" s="99"/>
      <c r="HJB89" s="99"/>
      <c r="HJC89" s="99"/>
      <c r="HJD89" s="99"/>
      <c r="HJE89" s="99"/>
      <c r="HJF89" s="99"/>
      <c r="HJG89" s="99"/>
      <c r="HJH89" s="99"/>
      <c r="HJI89" s="99"/>
      <c r="HJJ89" s="99"/>
      <c r="HJK89" s="99"/>
      <c r="HJL89" s="99"/>
      <c r="HJM89" s="99"/>
      <c r="HJN89" s="99"/>
      <c r="HJO89" s="99"/>
      <c r="HJP89" s="99"/>
      <c r="HJQ89" s="99"/>
      <c r="HJR89" s="99"/>
      <c r="HJS89" s="99"/>
      <c r="HJT89" s="99"/>
      <c r="HJU89" s="99"/>
      <c r="HJV89" s="99"/>
      <c r="HJW89" s="99"/>
      <c r="HJX89" s="99"/>
      <c r="HJY89" s="99"/>
      <c r="HJZ89" s="99"/>
      <c r="HKA89" s="99"/>
      <c r="HKB89" s="99"/>
      <c r="HKC89" s="99"/>
      <c r="HKD89" s="99"/>
      <c r="HKE89" s="99"/>
      <c r="HKF89" s="99"/>
      <c r="HKG89" s="99"/>
      <c r="HKH89" s="99"/>
      <c r="HKI89" s="99"/>
      <c r="HKJ89" s="99"/>
      <c r="HKK89" s="99"/>
      <c r="HKL89" s="99"/>
      <c r="HKM89" s="99"/>
      <c r="HKN89" s="99"/>
      <c r="HKO89" s="99"/>
      <c r="HKP89" s="99"/>
      <c r="HKQ89" s="99"/>
      <c r="HKR89" s="99"/>
      <c r="HKS89" s="99"/>
      <c r="HKT89" s="99"/>
      <c r="HKU89" s="99"/>
      <c r="HKV89" s="99"/>
      <c r="HKW89" s="99"/>
      <c r="HKX89" s="99"/>
      <c r="HKY89" s="99"/>
      <c r="HKZ89" s="99"/>
      <c r="HLA89" s="99"/>
      <c r="HLB89" s="99"/>
      <c r="HLC89" s="99"/>
      <c r="HLD89" s="99"/>
      <c r="HLE89" s="99"/>
      <c r="HLF89" s="99"/>
      <c r="HLG89" s="99"/>
      <c r="HLH89" s="99"/>
      <c r="HLI89" s="99"/>
      <c r="HLJ89" s="99"/>
      <c r="HLK89" s="99"/>
      <c r="HLL89" s="99"/>
      <c r="HLM89" s="99"/>
      <c r="HLN89" s="99"/>
      <c r="HLO89" s="99"/>
      <c r="HLP89" s="99"/>
      <c r="HLQ89" s="99"/>
      <c r="HLR89" s="99"/>
      <c r="HLS89" s="99"/>
      <c r="HLT89" s="99"/>
      <c r="HLU89" s="99"/>
      <c r="HLV89" s="99"/>
      <c r="HLW89" s="99"/>
      <c r="HLX89" s="99"/>
      <c r="HLY89" s="99"/>
      <c r="HLZ89" s="99"/>
      <c r="HMA89" s="99"/>
      <c r="HMB89" s="99"/>
      <c r="HMC89" s="99"/>
      <c r="HMD89" s="99"/>
      <c r="HME89" s="99"/>
      <c r="HMF89" s="99"/>
      <c r="HMG89" s="99"/>
      <c r="HMH89" s="99"/>
      <c r="HMI89" s="99"/>
      <c r="HMJ89" s="99"/>
      <c r="HMK89" s="99"/>
      <c r="HML89" s="99"/>
      <c r="HMM89" s="99"/>
      <c r="HMN89" s="99"/>
      <c r="HMO89" s="99"/>
      <c r="HMP89" s="99"/>
      <c r="HMQ89" s="99"/>
      <c r="HMR89" s="99"/>
      <c r="HMS89" s="99"/>
      <c r="HMT89" s="99"/>
      <c r="HMU89" s="99"/>
      <c r="HMV89" s="99"/>
      <c r="HMW89" s="99"/>
      <c r="HMX89" s="99"/>
      <c r="HMY89" s="99"/>
      <c r="HMZ89" s="99"/>
      <c r="HNA89" s="99"/>
      <c r="HNB89" s="99"/>
      <c r="HNC89" s="99"/>
      <c r="HND89" s="99"/>
      <c r="HNE89" s="99"/>
      <c r="HNF89" s="99"/>
      <c r="HNG89" s="99"/>
      <c r="HNH89" s="99"/>
      <c r="HNI89" s="99"/>
      <c r="HNJ89" s="99"/>
      <c r="HNK89" s="99"/>
      <c r="HNL89" s="99"/>
      <c r="HNM89" s="99"/>
      <c r="HNN89" s="99"/>
      <c r="HNO89" s="99"/>
      <c r="HNP89" s="99"/>
      <c r="HNQ89" s="99"/>
      <c r="HNR89" s="99"/>
      <c r="HNS89" s="99"/>
      <c r="HNT89" s="99"/>
      <c r="HNU89" s="99"/>
      <c r="HNV89" s="99"/>
      <c r="HNW89" s="99"/>
      <c r="HNX89" s="99"/>
      <c r="HNY89" s="99"/>
      <c r="HNZ89" s="99"/>
      <c r="HOA89" s="99"/>
      <c r="HOB89" s="99"/>
      <c r="HOC89" s="99"/>
      <c r="HOD89" s="99"/>
      <c r="HOE89" s="99"/>
      <c r="HOF89" s="99"/>
      <c r="HOG89" s="99"/>
      <c r="HOH89" s="99"/>
      <c r="HOI89" s="99"/>
      <c r="HOJ89" s="99"/>
      <c r="HOK89" s="99"/>
      <c r="HOL89" s="99"/>
      <c r="HOM89" s="99"/>
      <c r="HON89" s="99"/>
      <c r="HOO89" s="99"/>
      <c r="HOP89" s="99"/>
      <c r="HOQ89" s="99"/>
      <c r="HOR89" s="99"/>
      <c r="HOS89" s="99"/>
      <c r="HOT89" s="99"/>
      <c r="HOU89" s="99"/>
      <c r="HOV89" s="99"/>
      <c r="HOW89" s="99"/>
      <c r="HOX89" s="99"/>
      <c r="HOY89" s="99"/>
      <c r="HOZ89" s="99"/>
      <c r="HPA89" s="99"/>
      <c r="HPB89" s="99"/>
      <c r="HPC89" s="99"/>
      <c r="HPD89" s="99"/>
      <c r="HPE89" s="99"/>
      <c r="HPF89" s="99"/>
      <c r="HPG89" s="99"/>
      <c r="HPH89" s="99"/>
      <c r="HPI89" s="99"/>
      <c r="HPJ89" s="99"/>
      <c r="HPK89" s="99"/>
      <c r="HPL89" s="99"/>
      <c r="HPM89" s="99"/>
      <c r="HPN89" s="99"/>
      <c r="HPO89" s="99"/>
      <c r="HPP89" s="99"/>
      <c r="HPQ89" s="99"/>
      <c r="HPR89" s="99"/>
      <c r="HPS89" s="99"/>
      <c r="HPT89" s="99"/>
      <c r="HPU89" s="99"/>
      <c r="HPV89" s="99"/>
      <c r="HPW89" s="99"/>
      <c r="HPX89" s="99"/>
      <c r="HPY89" s="99"/>
      <c r="HPZ89" s="99"/>
      <c r="HQA89" s="99"/>
      <c r="HQB89" s="99"/>
      <c r="HQC89" s="99"/>
      <c r="HQD89" s="99"/>
      <c r="HQE89" s="99"/>
      <c r="HQF89" s="99"/>
      <c r="HQG89" s="99"/>
      <c r="HQH89" s="99"/>
      <c r="HQI89" s="99"/>
      <c r="HQJ89" s="99"/>
      <c r="HQK89" s="99"/>
      <c r="HQL89" s="99"/>
      <c r="HQM89" s="99"/>
      <c r="HQN89" s="99"/>
      <c r="HQO89" s="99"/>
      <c r="HQP89" s="99"/>
      <c r="HQQ89" s="99"/>
      <c r="HQR89" s="99"/>
      <c r="HQS89" s="99"/>
      <c r="HQT89" s="99"/>
      <c r="HQU89" s="99"/>
      <c r="HQV89" s="99"/>
      <c r="HQW89" s="99"/>
      <c r="HQX89" s="99"/>
      <c r="HQY89" s="99"/>
      <c r="HQZ89" s="99"/>
      <c r="HRA89" s="99"/>
      <c r="HRB89" s="99"/>
      <c r="HRC89" s="99"/>
      <c r="HRD89" s="99"/>
      <c r="HRE89" s="99"/>
      <c r="HRF89" s="99"/>
      <c r="HRG89" s="99"/>
      <c r="HRH89" s="99"/>
      <c r="HRI89" s="99"/>
      <c r="HRJ89" s="99"/>
      <c r="HRK89" s="99"/>
      <c r="HRL89" s="99"/>
      <c r="HRM89" s="99"/>
      <c r="HRN89" s="99"/>
      <c r="HRO89" s="99"/>
      <c r="HRP89" s="99"/>
      <c r="HRQ89" s="99"/>
      <c r="HRR89" s="99"/>
      <c r="HRS89" s="99"/>
      <c r="HRT89" s="99"/>
      <c r="HRU89" s="99"/>
      <c r="HRV89" s="99"/>
      <c r="HRW89" s="99"/>
      <c r="HRX89" s="99"/>
      <c r="HRY89" s="99"/>
      <c r="HRZ89" s="99"/>
      <c r="HSA89" s="99"/>
      <c r="HSB89" s="99"/>
      <c r="HSC89" s="99"/>
      <c r="HSD89" s="99"/>
      <c r="HSE89" s="99"/>
      <c r="HSF89" s="99"/>
      <c r="HSG89" s="99"/>
      <c r="HSH89" s="99"/>
      <c r="HSI89" s="99"/>
      <c r="HSJ89" s="99"/>
      <c r="HSK89" s="99"/>
      <c r="HSL89" s="99"/>
      <c r="HSM89" s="99"/>
      <c r="HSN89" s="99"/>
      <c r="HSO89" s="99"/>
      <c r="HSP89" s="99"/>
      <c r="HSQ89" s="99"/>
      <c r="HSR89" s="99"/>
      <c r="HSS89" s="99"/>
      <c r="HST89" s="99"/>
      <c r="HSU89" s="99"/>
      <c r="HSV89" s="99"/>
      <c r="HSW89" s="99"/>
      <c r="HSX89" s="99"/>
      <c r="HSY89" s="99"/>
      <c r="HSZ89" s="99"/>
      <c r="HTA89" s="99"/>
      <c r="HTB89" s="99"/>
      <c r="HTC89" s="99"/>
      <c r="HTD89" s="99"/>
      <c r="HTE89" s="99"/>
      <c r="HTF89" s="99"/>
      <c r="HTG89" s="99"/>
      <c r="HTH89" s="99"/>
      <c r="HTI89" s="99"/>
      <c r="HTJ89" s="99"/>
      <c r="HTK89" s="99"/>
      <c r="HTL89" s="99"/>
      <c r="HTM89" s="99"/>
      <c r="HTN89" s="99"/>
      <c r="HTO89" s="99"/>
      <c r="HTP89" s="99"/>
      <c r="HTQ89" s="99"/>
      <c r="HTR89" s="99"/>
      <c r="HTS89" s="99"/>
      <c r="HTT89" s="99"/>
      <c r="HTU89" s="99"/>
      <c r="HTV89" s="99"/>
      <c r="HTW89" s="99"/>
      <c r="HTX89" s="99"/>
      <c r="HTY89" s="99"/>
      <c r="HTZ89" s="99"/>
      <c r="HUA89" s="99"/>
      <c r="HUB89" s="99"/>
      <c r="HUC89" s="99"/>
      <c r="HUD89" s="99"/>
      <c r="HUE89" s="99"/>
      <c r="HUF89" s="99"/>
      <c r="HUG89" s="99"/>
      <c r="HUH89" s="99"/>
      <c r="HUI89" s="99"/>
      <c r="HUJ89" s="99"/>
      <c r="HUK89" s="99"/>
      <c r="HUL89" s="99"/>
      <c r="HUM89" s="99"/>
      <c r="HUN89" s="99"/>
      <c r="HUO89" s="99"/>
      <c r="HUP89" s="99"/>
      <c r="HUQ89" s="99"/>
      <c r="HUR89" s="99"/>
      <c r="HUS89" s="99"/>
      <c r="HUT89" s="99"/>
      <c r="HUU89" s="99"/>
      <c r="HUV89" s="99"/>
      <c r="HUW89" s="99"/>
      <c r="HUX89" s="99"/>
      <c r="HUY89" s="99"/>
      <c r="HUZ89" s="99"/>
      <c r="HVA89" s="99"/>
      <c r="HVB89" s="99"/>
      <c r="HVC89" s="99"/>
      <c r="HVD89" s="99"/>
      <c r="HVE89" s="99"/>
      <c r="HVF89" s="99"/>
      <c r="HVG89" s="99"/>
      <c r="HVH89" s="99"/>
      <c r="HVI89" s="99"/>
      <c r="HVJ89" s="99"/>
      <c r="HVK89" s="99"/>
      <c r="HVL89" s="99"/>
      <c r="HVM89" s="99"/>
      <c r="HVN89" s="99"/>
      <c r="HVO89" s="99"/>
      <c r="HVP89" s="99"/>
      <c r="HVQ89" s="99"/>
      <c r="HVR89" s="99"/>
      <c r="HVS89" s="99"/>
      <c r="HVT89" s="99"/>
      <c r="HVU89" s="99"/>
      <c r="HVV89" s="99"/>
      <c r="HVW89" s="99"/>
      <c r="HVX89" s="99"/>
      <c r="HVY89" s="99"/>
      <c r="HVZ89" s="99"/>
      <c r="HWA89" s="99"/>
      <c r="HWB89" s="99"/>
      <c r="HWC89" s="99"/>
      <c r="HWD89" s="99"/>
      <c r="HWE89" s="99"/>
      <c r="HWF89" s="99"/>
      <c r="HWG89" s="99"/>
      <c r="HWH89" s="99"/>
      <c r="HWI89" s="99"/>
      <c r="HWJ89" s="99"/>
      <c r="HWK89" s="99"/>
      <c r="HWL89" s="99"/>
      <c r="HWM89" s="99"/>
      <c r="HWN89" s="99"/>
      <c r="HWO89" s="99"/>
      <c r="HWP89" s="99"/>
      <c r="HWQ89" s="99"/>
      <c r="HWR89" s="99"/>
      <c r="HWS89" s="99"/>
      <c r="HWT89" s="99"/>
      <c r="HWU89" s="99"/>
      <c r="HWV89" s="99"/>
      <c r="HWW89" s="99"/>
      <c r="HWX89" s="99"/>
      <c r="HWY89" s="99"/>
      <c r="HWZ89" s="99"/>
      <c r="HXA89" s="99"/>
      <c r="HXB89" s="99"/>
      <c r="HXC89" s="99"/>
      <c r="HXD89" s="99"/>
      <c r="HXE89" s="99"/>
      <c r="HXF89" s="99"/>
      <c r="HXG89" s="99"/>
      <c r="HXH89" s="99"/>
      <c r="HXI89" s="99"/>
      <c r="HXJ89" s="99"/>
      <c r="HXK89" s="99"/>
      <c r="HXL89" s="99"/>
      <c r="HXM89" s="99"/>
      <c r="HXN89" s="99"/>
      <c r="HXO89" s="99"/>
      <c r="HXP89" s="99"/>
      <c r="HXQ89" s="99"/>
      <c r="HXR89" s="99"/>
      <c r="HXS89" s="99"/>
      <c r="HXT89" s="99"/>
      <c r="HXU89" s="99"/>
      <c r="HXV89" s="99"/>
      <c r="HXW89" s="99"/>
      <c r="HXX89" s="99"/>
      <c r="HXY89" s="99"/>
      <c r="HXZ89" s="99"/>
      <c r="HYA89" s="99"/>
      <c r="HYB89" s="99"/>
      <c r="HYC89" s="99"/>
      <c r="HYD89" s="99"/>
      <c r="HYE89" s="99"/>
      <c r="HYF89" s="99"/>
      <c r="HYG89" s="99"/>
      <c r="HYH89" s="99"/>
      <c r="HYI89" s="99"/>
      <c r="HYJ89" s="99"/>
      <c r="HYK89" s="99"/>
      <c r="HYL89" s="99"/>
      <c r="HYM89" s="99"/>
      <c r="HYN89" s="99"/>
      <c r="HYO89" s="99"/>
      <c r="HYP89" s="99"/>
      <c r="HYQ89" s="99"/>
      <c r="HYR89" s="99"/>
      <c r="HYS89" s="99"/>
      <c r="HYT89" s="99"/>
      <c r="HYU89" s="99"/>
      <c r="HYV89" s="99"/>
      <c r="HYW89" s="99"/>
      <c r="HYX89" s="99"/>
      <c r="HYY89" s="99"/>
      <c r="HYZ89" s="99"/>
      <c r="HZA89" s="99"/>
      <c r="HZB89" s="99"/>
      <c r="HZC89" s="99"/>
      <c r="HZD89" s="99"/>
      <c r="HZE89" s="99"/>
      <c r="HZF89" s="99"/>
      <c r="HZG89" s="99"/>
      <c r="HZH89" s="99"/>
      <c r="HZI89" s="99"/>
      <c r="HZJ89" s="99"/>
      <c r="HZK89" s="99"/>
      <c r="HZL89" s="99"/>
      <c r="HZM89" s="99"/>
      <c r="HZN89" s="99"/>
      <c r="HZO89" s="99"/>
      <c r="HZP89" s="99"/>
      <c r="HZQ89" s="99"/>
      <c r="HZR89" s="99"/>
      <c r="HZS89" s="99"/>
      <c r="HZT89" s="99"/>
      <c r="HZU89" s="99"/>
      <c r="HZV89" s="99"/>
      <c r="HZW89" s="99"/>
      <c r="HZX89" s="99"/>
      <c r="HZY89" s="99"/>
      <c r="HZZ89" s="99"/>
      <c r="IAA89" s="99"/>
      <c r="IAB89" s="99"/>
      <c r="IAC89" s="99"/>
      <c r="IAD89" s="99"/>
      <c r="IAE89" s="99"/>
      <c r="IAF89" s="99"/>
      <c r="IAG89" s="99"/>
      <c r="IAH89" s="99"/>
      <c r="IAI89" s="99"/>
      <c r="IAJ89" s="99"/>
      <c r="IAK89" s="99"/>
      <c r="IAL89" s="99"/>
      <c r="IAM89" s="99"/>
      <c r="IAN89" s="99"/>
      <c r="IAO89" s="99"/>
      <c r="IAP89" s="99"/>
      <c r="IAQ89" s="99"/>
      <c r="IAR89" s="99"/>
      <c r="IAS89" s="99"/>
      <c r="IAT89" s="99"/>
      <c r="IAU89" s="99"/>
      <c r="IAV89" s="99"/>
      <c r="IAW89" s="99"/>
      <c r="IAX89" s="99"/>
      <c r="IAY89" s="99"/>
      <c r="IAZ89" s="99"/>
      <c r="IBA89" s="99"/>
      <c r="IBB89" s="99"/>
      <c r="IBC89" s="99"/>
      <c r="IBD89" s="99"/>
      <c r="IBE89" s="99"/>
      <c r="IBF89" s="99"/>
      <c r="IBG89" s="99"/>
      <c r="IBH89" s="99"/>
      <c r="IBI89" s="99"/>
      <c r="IBJ89" s="99"/>
      <c r="IBK89" s="99"/>
      <c r="IBL89" s="99"/>
      <c r="IBM89" s="99"/>
      <c r="IBN89" s="99"/>
      <c r="IBO89" s="99"/>
      <c r="IBP89" s="99"/>
      <c r="IBQ89" s="99"/>
      <c r="IBR89" s="99"/>
      <c r="IBS89" s="99"/>
      <c r="IBT89" s="99"/>
      <c r="IBU89" s="99"/>
      <c r="IBV89" s="99"/>
      <c r="IBW89" s="99"/>
      <c r="IBX89" s="99"/>
      <c r="IBY89" s="99"/>
      <c r="IBZ89" s="99"/>
      <c r="ICA89" s="99"/>
      <c r="ICB89" s="99"/>
      <c r="ICC89" s="99"/>
      <c r="ICD89" s="99"/>
      <c r="ICE89" s="99"/>
      <c r="ICF89" s="99"/>
      <c r="ICG89" s="99"/>
      <c r="ICH89" s="99"/>
      <c r="ICI89" s="99"/>
      <c r="ICJ89" s="99"/>
      <c r="ICK89" s="99"/>
      <c r="ICL89" s="99"/>
      <c r="ICM89" s="99"/>
      <c r="ICN89" s="99"/>
      <c r="ICO89" s="99"/>
      <c r="ICP89" s="99"/>
      <c r="ICQ89" s="99"/>
      <c r="ICR89" s="99"/>
      <c r="ICS89" s="99"/>
      <c r="ICT89" s="99"/>
      <c r="ICU89" s="99"/>
      <c r="ICV89" s="99"/>
      <c r="ICW89" s="99"/>
      <c r="ICX89" s="99"/>
      <c r="ICY89" s="99"/>
      <c r="ICZ89" s="99"/>
      <c r="IDA89" s="99"/>
      <c r="IDB89" s="99"/>
      <c r="IDC89" s="99"/>
      <c r="IDD89" s="99"/>
      <c r="IDE89" s="99"/>
      <c r="IDF89" s="99"/>
      <c r="IDG89" s="99"/>
      <c r="IDH89" s="99"/>
      <c r="IDI89" s="99"/>
      <c r="IDJ89" s="99"/>
      <c r="IDK89" s="99"/>
      <c r="IDL89" s="99"/>
      <c r="IDM89" s="99"/>
      <c r="IDN89" s="99"/>
      <c r="IDO89" s="99"/>
      <c r="IDP89" s="99"/>
      <c r="IDQ89" s="99"/>
      <c r="IDR89" s="99"/>
      <c r="IDS89" s="99"/>
      <c r="IDT89" s="99"/>
      <c r="IDU89" s="99"/>
      <c r="IDV89" s="99"/>
      <c r="IDW89" s="99"/>
      <c r="IDX89" s="99"/>
      <c r="IDY89" s="99"/>
      <c r="IDZ89" s="99"/>
      <c r="IEA89" s="99"/>
      <c r="IEB89" s="99"/>
      <c r="IEC89" s="99"/>
      <c r="IED89" s="99"/>
      <c r="IEE89" s="99"/>
      <c r="IEF89" s="99"/>
      <c r="IEG89" s="99"/>
      <c r="IEH89" s="99"/>
      <c r="IEI89" s="99"/>
      <c r="IEJ89" s="99"/>
      <c r="IEK89" s="99"/>
      <c r="IEL89" s="99"/>
      <c r="IEM89" s="99"/>
      <c r="IEN89" s="99"/>
      <c r="IEO89" s="99"/>
      <c r="IEP89" s="99"/>
      <c r="IEQ89" s="99"/>
      <c r="IER89" s="99"/>
      <c r="IES89" s="99"/>
      <c r="IET89" s="99"/>
      <c r="IEU89" s="99"/>
      <c r="IEV89" s="99"/>
      <c r="IEW89" s="99"/>
      <c r="IEX89" s="99"/>
      <c r="IEY89" s="99"/>
      <c r="IEZ89" s="99"/>
      <c r="IFA89" s="99"/>
      <c r="IFB89" s="99"/>
      <c r="IFC89" s="99"/>
      <c r="IFD89" s="99"/>
      <c r="IFE89" s="99"/>
      <c r="IFF89" s="99"/>
      <c r="IFG89" s="99"/>
      <c r="IFH89" s="99"/>
      <c r="IFI89" s="99"/>
      <c r="IFJ89" s="99"/>
      <c r="IFK89" s="99"/>
      <c r="IFL89" s="99"/>
      <c r="IFM89" s="99"/>
      <c r="IFN89" s="99"/>
      <c r="IFO89" s="99"/>
      <c r="IFP89" s="99"/>
      <c r="IFQ89" s="99"/>
      <c r="IFR89" s="99"/>
      <c r="IFS89" s="99"/>
      <c r="IFT89" s="99"/>
      <c r="IFU89" s="99"/>
      <c r="IFV89" s="99"/>
      <c r="IFW89" s="99"/>
      <c r="IFX89" s="99"/>
      <c r="IFY89" s="99"/>
      <c r="IFZ89" s="99"/>
      <c r="IGA89" s="99"/>
      <c r="IGB89" s="99"/>
      <c r="IGC89" s="99"/>
      <c r="IGD89" s="99"/>
      <c r="IGE89" s="99"/>
      <c r="IGF89" s="99"/>
      <c r="IGG89" s="99"/>
      <c r="IGH89" s="99"/>
      <c r="IGI89" s="99"/>
      <c r="IGJ89" s="99"/>
      <c r="IGK89" s="99"/>
      <c r="IGL89" s="99"/>
      <c r="IGM89" s="99"/>
      <c r="IGN89" s="99"/>
      <c r="IGO89" s="99"/>
      <c r="IGP89" s="99"/>
      <c r="IGQ89" s="99"/>
      <c r="IGR89" s="99"/>
      <c r="IGS89" s="99"/>
      <c r="IGT89" s="99"/>
      <c r="IGU89" s="99"/>
      <c r="IGV89" s="99"/>
      <c r="IGW89" s="99"/>
      <c r="IGX89" s="99"/>
      <c r="IGY89" s="99"/>
      <c r="IGZ89" s="99"/>
      <c r="IHA89" s="99"/>
      <c r="IHB89" s="99"/>
      <c r="IHC89" s="99"/>
      <c r="IHD89" s="99"/>
      <c r="IHE89" s="99"/>
      <c r="IHF89" s="99"/>
      <c r="IHG89" s="99"/>
      <c r="IHH89" s="99"/>
      <c r="IHI89" s="99"/>
      <c r="IHJ89" s="99"/>
      <c r="IHK89" s="99"/>
      <c r="IHL89" s="99"/>
      <c r="IHM89" s="99"/>
      <c r="IHN89" s="99"/>
      <c r="IHO89" s="99"/>
      <c r="IHP89" s="99"/>
      <c r="IHQ89" s="99"/>
      <c r="IHR89" s="99"/>
      <c r="IHS89" s="99"/>
      <c r="IHT89" s="99"/>
      <c r="IHU89" s="99"/>
      <c r="IHV89" s="99"/>
      <c r="IHW89" s="99"/>
      <c r="IHX89" s="99"/>
      <c r="IHY89" s="99"/>
      <c r="IHZ89" s="99"/>
      <c r="IIA89" s="99"/>
      <c r="IIB89" s="99"/>
      <c r="IIC89" s="99"/>
      <c r="IID89" s="99"/>
      <c r="IIE89" s="99"/>
      <c r="IIF89" s="99"/>
      <c r="IIG89" s="99"/>
      <c r="IIH89" s="99"/>
      <c r="III89" s="99"/>
      <c r="IIJ89" s="99"/>
      <c r="IIK89" s="99"/>
      <c r="IIL89" s="99"/>
      <c r="IIM89" s="99"/>
      <c r="IIN89" s="99"/>
      <c r="IIO89" s="99"/>
      <c r="IIP89" s="99"/>
      <c r="IIQ89" s="99"/>
      <c r="IIR89" s="99"/>
      <c r="IIS89" s="99"/>
      <c r="IIT89" s="99"/>
      <c r="IIU89" s="99"/>
      <c r="IIV89" s="99"/>
      <c r="IIW89" s="99"/>
      <c r="IIX89" s="99"/>
      <c r="IIY89" s="99"/>
      <c r="IIZ89" s="99"/>
      <c r="IJA89" s="99"/>
      <c r="IJB89" s="99"/>
      <c r="IJC89" s="99"/>
      <c r="IJD89" s="99"/>
      <c r="IJE89" s="99"/>
      <c r="IJF89" s="99"/>
      <c r="IJG89" s="99"/>
      <c r="IJH89" s="99"/>
      <c r="IJI89" s="99"/>
      <c r="IJJ89" s="99"/>
      <c r="IJK89" s="99"/>
      <c r="IJL89" s="99"/>
      <c r="IJM89" s="99"/>
      <c r="IJN89" s="99"/>
      <c r="IJO89" s="99"/>
      <c r="IJP89" s="99"/>
      <c r="IJQ89" s="99"/>
      <c r="IJR89" s="99"/>
      <c r="IJS89" s="99"/>
      <c r="IJT89" s="99"/>
      <c r="IJU89" s="99"/>
      <c r="IJV89" s="99"/>
      <c r="IJW89" s="99"/>
      <c r="IJX89" s="99"/>
      <c r="IJY89" s="99"/>
      <c r="IJZ89" s="99"/>
      <c r="IKA89" s="99"/>
      <c r="IKB89" s="99"/>
      <c r="IKC89" s="99"/>
      <c r="IKD89" s="99"/>
      <c r="IKE89" s="99"/>
      <c r="IKF89" s="99"/>
      <c r="IKG89" s="99"/>
      <c r="IKH89" s="99"/>
      <c r="IKI89" s="99"/>
      <c r="IKJ89" s="99"/>
      <c r="IKK89" s="99"/>
      <c r="IKL89" s="99"/>
      <c r="IKM89" s="99"/>
      <c r="IKN89" s="99"/>
      <c r="IKO89" s="99"/>
      <c r="IKP89" s="99"/>
      <c r="IKQ89" s="99"/>
      <c r="IKR89" s="99"/>
      <c r="IKS89" s="99"/>
      <c r="IKT89" s="99"/>
      <c r="IKU89" s="99"/>
      <c r="IKV89" s="99"/>
      <c r="IKW89" s="99"/>
      <c r="IKX89" s="99"/>
      <c r="IKY89" s="99"/>
      <c r="IKZ89" s="99"/>
      <c r="ILA89" s="99"/>
      <c r="ILB89" s="99"/>
      <c r="ILC89" s="99"/>
      <c r="ILD89" s="99"/>
      <c r="ILE89" s="99"/>
      <c r="ILF89" s="99"/>
      <c r="ILG89" s="99"/>
      <c r="ILH89" s="99"/>
      <c r="ILI89" s="99"/>
      <c r="ILJ89" s="99"/>
      <c r="ILK89" s="99"/>
      <c r="ILL89" s="99"/>
      <c r="ILM89" s="99"/>
      <c r="ILN89" s="99"/>
      <c r="ILO89" s="99"/>
      <c r="ILP89" s="99"/>
      <c r="ILQ89" s="99"/>
      <c r="ILR89" s="99"/>
      <c r="ILS89" s="99"/>
      <c r="ILT89" s="99"/>
      <c r="ILU89" s="99"/>
      <c r="ILV89" s="99"/>
      <c r="ILW89" s="99"/>
      <c r="ILX89" s="99"/>
      <c r="ILY89" s="99"/>
      <c r="ILZ89" s="99"/>
      <c r="IMA89" s="99"/>
      <c r="IMB89" s="99"/>
      <c r="IMC89" s="99"/>
      <c r="IMD89" s="99"/>
      <c r="IME89" s="99"/>
      <c r="IMF89" s="99"/>
      <c r="IMG89" s="99"/>
      <c r="IMH89" s="99"/>
      <c r="IMI89" s="99"/>
      <c r="IMJ89" s="99"/>
      <c r="IMK89" s="99"/>
      <c r="IML89" s="99"/>
      <c r="IMM89" s="99"/>
      <c r="IMN89" s="99"/>
      <c r="IMO89" s="99"/>
      <c r="IMP89" s="99"/>
      <c r="IMQ89" s="99"/>
      <c r="IMR89" s="99"/>
      <c r="IMS89" s="99"/>
      <c r="IMT89" s="99"/>
      <c r="IMU89" s="99"/>
      <c r="IMV89" s="99"/>
      <c r="IMW89" s="99"/>
      <c r="IMX89" s="99"/>
      <c r="IMY89" s="99"/>
      <c r="IMZ89" s="99"/>
      <c r="INA89" s="99"/>
      <c r="INB89" s="99"/>
      <c r="INC89" s="99"/>
      <c r="IND89" s="99"/>
      <c r="INE89" s="99"/>
      <c r="INF89" s="99"/>
      <c r="ING89" s="99"/>
      <c r="INH89" s="99"/>
      <c r="INI89" s="99"/>
      <c r="INJ89" s="99"/>
      <c r="INK89" s="99"/>
      <c r="INL89" s="99"/>
      <c r="INM89" s="99"/>
      <c r="INN89" s="99"/>
      <c r="INO89" s="99"/>
      <c r="INP89" s="99"/>
      <c r="INQ89" s="99"/>
      <c r="INR89" s="99"/>
      <c r="INS89" s="99"/>
      <c r="INT89" s="99"/>
      <c r="INU89" s="99"/>
      <c r="INV89" s="99"/>
      <c r="INW89" s="99"/>
      <c r="INX89" s="99"/>
      <c r="INY89" s="99"/>
      <c r="INZ89" s="99"/>
      <c r="IOA89" s="99"/>
      <c r="IOB89" s="99"/>
      <c r="IOC89" s="99"/>
      <c r="IOD89" s="99"/>
      <c r="IOE89" s="99"/>
      <c r="IOF89" s="99"/>
      <c r="IOG89" s="99"/>
      <c r="IOH89" s="99"/>
      <c r="IOI89" s="99"/>
      <c r="IOJ89" s="99"/>
      <c r="IOK89" s="99"/>
      <c r="IOL89" s="99"/>
      <c r="IOM89" s="99"/>
      <c r="ION89" s="99"/>
      <c r="IOO89" s="99"/>
      <c r="IOP89" s="99"/>
      <c r="IOQ89" s="99"/>
      <c r="IOR89" s="99"/>
      <c r="IOS89" s="99"/>
      <c r="IOT89" s="99"/>
      <c r="IOU89" s="99"/>
      <c r="IOV89" s="99"/>
      <c r="IOW89" s="99"/>
      <c r="IOX89" s="99"/>
      <c r="IOY89" s="99"/>
      <c r="IOZ89" s="99"/>
      <c r="IPA89" s="99"/>
      <c r="IPB89" s="99"/>
      <c r="IPC89" s="99"/>
      <c r="IPD89" s="99"/>
      <c r="IPE89" s="99"/>
      <c r="IPF89" s="99"/>
      <c r="IPG89" s="99"/>
      <c r="IPH89" s="99"/>
      <c r="IPI89" s="99"/>
      <c r="IPJ89" s="99"/>
      <c r="IPK89" s="99"/>
      <c r="IPL89" s="99"/>
      <c r="IPM89" s="99"/>
      <c r="IPN89" s="99"/>
      <c r="IPO89" s="99"/>
      <c r="IPP89" s="99"/>
      <c r="IPQ89" s="99"/>
      <c r="IPR89" s="99"/>
      <c r="IPS89" s="99"/>
      <c r="IPT89" s="99"/>
      <c r="IPU89" s="99"/>
      <c r="IPV89" s="99"/>
      <c r="IPW89" s="99"/>
      <c r="IPX89" s="99"/>
      <c r="IPY89" s="99"/>
      <c r="IPZ89" s="99"/>
      <c r="IQA89" s="99"/>
      <c r="IQB89" s="99"/>
      <c r="IQC89" s="99"/>
      <c r="IQD89" s="99"/>
      <c r="IQE89" s="99"/>
      <c r="IQF89" s="99"/>
      <c r="IQG89" s="99"/>
      <c r="IQH89" s="99"/>
      <c r="IQI89" s="99"/>
      <c r="IQJ89" s="99"/>
      <c r="IQK89" s="99"/>
      <c r="IQL89" s="99"/>
      <c r="IQM89" s="99"/>
      <c r="IQN89" s="99"/>
      <c r="IQO89" s="99"/>
      <c r="IQP89" s="99"/>
      <c r="IQQ89" s="99"/>
      <c r="IQR89" s="99"/>
      <c r="IQS89" s="99"/>
      <c r="IQT89" s="99"/>
      <c r="IQU89" s="99"/>
      <c r="IQV89" s="99"/>
      <c r="IQW89" s="99"/>
      <c r="IQX89" s="99"/>
      <c r="IQY89" s="99"/>
      <c r="IQZ89" s="99"/>
      <c r="IRA89" s="99"/>
      <c r="IRB89" s="99"/>
      <c r="IRC89" s="99"/>
      <c r="IRD89" s="99"/>
      <c r="IRE89" s="99"/>
      <c r="IRF89" s="99"/>
      <c r="IRG89" s="99"/>
      <c r="IRH89" s="99"/>
      <c r="IRI89" s="99"/>
      <c r="IRJ89" s="99"/>
      <c r="IRK89" s="99"/>
      <c r="IRL89" s="99"/>
      <c r="IRM89" s="99"/>
      <c r="IRN89" s="99"/>
      <c r="IRO89" s="99"/>
      <c r="IRP89" s="99"/>
      <c r="IRQ89" s="99"/>
      <c r="IRR89" s="99"/>
      <c r="IRS89" s="99"/>
      <c r="IRT89" s="99"/>
      <c r="IRU89" s="99"/>
      <c r="IRV89" s="99"/>
      <c r="IRW89" s="99"/>
      <c r="IRX89" s="99"/>
      <c r="IRY89" s="99"/>
      <c r="IRZ89" s="99"/>
      <c r="ISA89" s="99"/>
      <c r="ISB89" s="99"/>
      <c r="ISC89" s="99"/>
      <c r="ISD89" s="99"/>
      <c r="ISE89" s="99"/>
      <c r="ISF89" s="99"/>
      <c r="ISG89" s="99"/>
      <c r="ISH89" s="99"/>
      <c r="ISI89" s="99"/>
      <c r="ISJ89" s="99"/>
      <c r="ISK89" s="99"/>
      <c r="ISL89" s="99"/>
      <c r="ISM89" s="99"/>
      <c r="ISN89" s="99"/>
      <c r="ISO89" s="99"/>
      <c r="ISP89" s="99"/>
      <c r="ISQ89" s="99"/>
      <c r="ISR89" s="99"/>
      <c r="ISS89" s="99"/>
      <c r="IST89" s="99"/>
      <c r="ISU89" s="99"/>
      <c r="ISV89" s="99"/>
      <c r="ISW89" s="99"/>
      <c r="ISX89" s="99"/>
      <c r="ISY89" s="99"/>
      <c r="ISZ89" s="99"/>
      <c r="ITA89" s="99"/>
      <c r="ITB89" s="99"/>
      <c r="ITC89" s="99"/>
      <c r="ITD89" s="99"/>
      <c r="ITE89" s="99"/>
      <c r="ITF89" s="99"/>
      <c r="ITG89" s="99"/>
      <c r="ITH89" s="99"/>
      <c r="ITI89" s="99"/>
      <c r="ITJ89" s="99"/>
      <c r="ITK89" s="99"/>
      <c r="ITL89" s="99"/>
      <c r="ITM89" s="99"/>
      <c r="ITN89" s="99"/>
      <c r="ITO89" s="99"/>
      <c r="ITP89" s="99"/>
      <c r="ITQ89" s="99"/>
      <c r="ITR89" s="99"/>
      <c r="ITS89" s="99"/>
      <c r="ITT89" s="99"/>
      <c r="ITU89" s="99"/>
      <c r="ITV89" s="99"/>
      <c r="ITW89" s="99"/>
      <c r="ITX89" s="99"/>
      <c r="ITY89" s="99"/>
      <c r="ITZ89" s="99"/>
      <c r="IUA89" s="99"/>
      <c r="IUB89" s="99"/>
      <c r="IUC89" s="99"/>
      <c r="IUD89" s="99"/>
      <c r="IUE89" s="99"/>
      <c r="IUF89" s="99"/>
      <c r="IUG89" s="99"/>
      <c r="IUH89" s="99"/>
      <c r="IUI89" s="99"/>
      <c r="IUJ89" s="99"/>
      <c r="IUK89" s="99"/>
      <c r="IUL89" s="99"/>
      <c r="IUM89" s="99"/>
      <c r="IUN89" s="99"/>
      <c r="IUO89" s="99"/>
      <c r="IUP89" s="99"/>
      <c r="IUQ89" s="99"/>
      <c r="IUR89" s="99"/>
      <c r="IUS89" s="99"/>
      <c r="IUT89" s="99"/>
      <c r="IUU89" s="99"/>
      <c r="IUV89" s="99"/>
      <c r="IUW89" s="99"/>
      <c r="IUX89" s="99"/>
      <c r="IUY89" s="99"/>
      <c r="IUZ89" s="99"/>
      <c r="IVA89" s="99"/>
      <c r="IVB89" s="99"/>
      <c r="IVC89" s="99"/>
      <c r="IVD89" s="99"/>
      <c r="IVE89" s="99"/>
      <c r="IVF89" s="99"/>
      <c r="IVG89" s="99"/>
      <c r="IVH89" s="99"/>
      <c r="IVI89" s="99"/>
      <c r="IVJ89" s="99"/>
      <c r="IVK89" s="99"/>
      <c r="IVL89" s="99"/>
      <c r="IVM89" s="99"/>
      <c r="IVN89" s="99"/>
      <c r="IVO89" s="99"/>
      <c r="IVP89" s="99"/>
      <c r="IVQ89" s="99"/>
      <c r="IVR89" s="99"/>
      <c r="IVS89" s="99"/>
      <c r="IVT89" s="99"/>
      <c r="IVU89" s="99"/>
      <c r="IVV89" s="99"/>
      <c r="IVW89" s="99"/>
      <c r="IVX89" s="99"/>
      <c r="IVY89" s="99"/>
      <c r="IVZ89" s="99"/>
      <c r="IWA89" s="99"/>
      <c r="IWB89" s="99"/>
      <c r="IWC89" s="99"/>
      <c r="IWD89" s="99"/>
      <c r="IWE89" s="99"/>
      <c r="IWF89" s="99"/>
      <c r="IWG89" s="99"/>
      <c r="IWH89" s="99"/>
      <c r="IWI89" s="99"/>
      <c r="IWJ89" s="99"/>
      <c r="IWK89" s="99"/>
      <c r="IWL89" s="99"/>
      <c r="IWM89" s="99"/>
      <c r="IWN89" s="99"/>
      <c r="IWO89" s="99"/>
      <c r="IWP89" s="99"/>
      <c r="IWQ89" s="99"/>
      <c r="IWR89" s="99"/>
      <c r="IWS89" s="99"/>
      <c r="IWT89" s="99"/>
      <c r="IWU89" s="99"/>
      <c r="IWV89" s="99"/>
      <c r="IWW89" s="99"/>
      <c r="IWX89" s="99"/>
      <c r="IWY89" s="99"/>
      <c r="IWZ89" s="99"/>
      <c r="IXA89" s="99"/>
      <c r="IXB89" s="99"/>
      <c r="IXC89" s="99"/>
      <c r="IXD89" s="99"/>
      <c r="IXE89" s="99"/>
      <c r="IXF89" s="99"/>
      <c r="IXG89" s="99"/>
      <c r="IXH89" s="99"/>
      <c r="IXI89" s="99"/>
      <c r="IXJ89" s="99"/>
      <c r="IXK89" s="99"/>
      <c r="IXL89" s="99"/>
      <c r="IXM89" s="99"/>
      <c r="IXN89" s="99"/>
      <c r="IXO89" s="99"/>
      <c r="IXP89" s="99"/>
      <c r="IXQ89" s="99"/>
      <c r="IXR89" s="99"/>
      <c r="IXS89" s="99"/>
      <c r="IXT89" s="99"/>
      <c r="IXU89" s="99"/>
      <c r="IXV89" s="99"/>
      <c r="IXW89" s="99"/>
      <c r="IXX89" s="99"/>
      <c r="IXY89" s="99"/>
      <c r="IXZ89" s="99"/>
      <c r="IYA89" s="99"/>
      <c r="IYB89" s="99"/>
      <c r="IYC89" s="99"/>
      <c r="IYD89" s="99"/>
      <c r="IYE89" s="99"/>
      <c r="IYF89" s="99"/>
      <c r="IYG89" s="99"/>
      <c r="IYH89" s="99"/>
      <c r="IYI89" s="99"/>
      <c r="IYJ89" s="99"/>
      <c r="IYK89" s="99"/>
      <c r="IYL89" s="99"/>
      <c r="IYM89" s="99"/>
      <c r="IYN89" s="99"/>
      <c r="IYO89" s="99"/>
      <c r="IYP89" s="99"/>
      <c r="IYQ89" s="99"/>
      <c r="IYR89" s="99"/>
      <c r="IYS89" s="99"/>
      <c r="IYT89" s="99"/>
      <c r="IYU89" s="99"/>
      <c r="IYV89" s="99"/>
      <c r="IYW89" s="99"/>
      <c r="IYX89" s="99"/>
      <c r="IYY89" s="99"/>
      <c r="IYZ89" s="99"/>
      <c r="IZA89" s="99"/>
      <c r="IZB89" s="99"/>
      <c r="IZC89" s="99"/>
      <c r="IZD89" s="99"/>
      <c r="IZE89" s="99"/>
      <c r="IZF89" s="99"/>
      <c r="IZG89" s="99"/>
      <c r="IZH89" s="99"/>
      <c r="IZI89" s="99"/>
      <c r="IZJ89" s="99"/>
      <c r="IZK89" s="99"/>
      <c r="IZL89" s="99"/>
      <c r="IZM89" s="99"/>
      <c r="IZN89" s="99"/>
      <c r="IZO89" s="99"/>
      <c r="IZP89" s="99"/>
      <c r="IZQ89" s="99"/>
      <c r="IZR89" s="99"/>
      <c r="IZS89" s="99"/>
      <c r="IZT89" s="99"/>
      <c r="IZU89" s="99"/>
      <c r="IZV89" s="99"/>
      <c r="IZW89" s="99"/>
      <c r="IZX89" s="99"/>
      <c r="IZY89" s="99"/>
      <c r="IZZ89" s="99"/>
      <c r="JAA89" s="99"/>
      <c r="JAB89" s="99"/>
      <c r="JAC89" s="99"/>
      <c r="JAD89" s="99"/>
      <c r="JAE89" s="99"/>
      <c r="JAF89" s="99"/>
      <c r="JAG89" s="99"/>
      <c r="JAH89" s="99"/>
      <c r="JAI89" s="99"/>
      <c r="JAJ89" s="99"/>
      <c r="JAK89" s="99"/>
      <c r="JAL89" s="99"/>
      <c r="JAM89" s="99"/>
      <c r="JAN89" s="99"/>
      <c r="JAO89" s="99"/>
      <c r="JAP89" s="99"/>
      <c r="JAQ89" s="99"/>
      <c r="JAR89" s="99"/>
      <c r="JAS89" s="99"/>
      <c r="JAT89" s="99"/>
      <c r="JAU89" s="99"/>
      <c r="JAV89" s="99"/>
      <c r="JAW89" s="99"/>
      <c r="JAX89" s="99"/>
      <c r="JAY89" s="99"/>
      <c r="JAZ89" s="99"/>
      <c r="JBA89" s="99"/>
      <c r="JBB89" s="99"/>
      <c r="JBC89" s="99"/>
      <c r="JBD89" s="99"/>
      <c r="JBE89" s="99"/>
      <c r="JBF89" s="99"/>
      <c r="JBG89" s="99"/>
      <c r="JBH89" s="99"/>
      <c r="JBI89" s="99"/>
      <c r="JBJ89" s="99"/>
      <c r="JBK89" s="99"/>
      <c r="JBL89" s="99"/>
      <c r="JBM89" s="99"/>
      <c r="JBN89" s="99"/>
      <c r="JBO89" s="99"/>
      <c r="JBP89" s="99"/>
      <c r="JBQ89" s="99"/>
      <c r="JBR89" s="99"/>
      <c r="JBS89" s="99"/>
      <c r="JBT89" s="99"/>
      <c r="JBU89" s="99"/>
      <c r="JBV89" s="99"/>
      <c r="JBW89" s="99"/>
      <c r="JBX89" s="99"/>
      <c r="JBY89" s="99"/>
      <c r="JBZ89" s="99"/>
      <c r="JCA89" s="99"/>
      <c r="JCB89" s="99"/>
      <c r="JCC89" s="99"/>
      <c r="JCD89" s="99"/>
      <c r="JCE89" s="99"/>
      <c r="JCF89" s="99"/>
      <c r="JCG89" s="99"/>
      <c r="JCH89" s="99"/>
      <c r="JCI89" s="99"/>
      <c r="JCJ89" s="99"/>
      <c r="JCK89" s="99"/>
      <c r="JCL89" s="99"/>
      <c r="JCM89" s="99"/>
      <c r="JCN89" s="99"/>
      <c r="JCO89" s="99"/>
      <c r="JCP89" s="99"/>
      <c r="JCQ89" s="99"/>
      <c r="JCR89" s="99"/>
      <c r="JCS89" s="99"/>
      <c r="JCT89" s="99"/>
      <c r="JCU89" s="99"/>
      <c r="JCV89" s="99"/>
      <c r="JCW89" s="99"/>
      <c r="JCX89" s="99"/>
      <c r="JCY89" s="99"/>
      <c r="JCZ89" s="99"/>
      <c r="JDA89" s="99"/>
      <c r="JDB89" s="99"/>
      <c r="JDC89" s="99"/>
      <c r="JDD89" s="99"/>
      <c r="JDE89" s="99"/>
      <c r="JDF89" s="99"/>
      <c r="JDG89" s="99"/>
      <c r="JDH89" s="99"/>
      <c r="JDI89" s="99"/>
      <c r="JDJ89" s="99"/>
      <c r="JDK89" s="99"/>
      <c r="JDL89" s="99"/>
      <c r="JDM89" s="99"/>
      <c r="JDN89" s="99"/>
      <c r="JDO89" s="99"/>
      <c r="JDP89" s="99"/>
      <c r="JDQ89" s="99"/>
      <c r="JDR89" s="99"/>
      <c r="JDS89" s="99"/>
      <c r="JDT89" s="99"/>
      <c r="JDU89" s="99"/>
      <c r="JDV89" s="99"/>
      <c r="JDW89" s="99"/>
      <c r="JDX89" s="99"/>
      <c r="JDY89" s="99"/>
      <c r="JDZ89" s="99"/>
      <c r="JEA89" s="99"/>
      <c r="JEB89" s="99"/>
      <c r="JEC89" s="99"/>
      <c r="JED89" s="99"/>
      <c r="JEE89" s="99"/>
      <c r="JEF89" s="99"/>
      <c r="JEG89" s="99"/>
      <c r="JEH89" s="99"/>
      <c r="JEI89" s="99"/>
      <c r="JEJ89" s="99"/>
      <c r="JEK89" s="99"/>
      <c r="JEL89" s="99"/>
      <c r="JEM89" s="99"/>
      <c r="JEN89" s="99"/>
      <c r="JEO89" s="99"/>
      <c r="JEP89" s="99"/>
      <c r="JEQ89" s="99"/>
      <c r="JER89" s="99"/>
      <c r="JES89" s="99"/>
      <c r="JET89" s="99"/>
      <c r="JEU89" s="99"/>
      <c r="JEV89" s="99"/>
      <c r="JEW89" s="99"/>
      <c r="JEX89" s="99"/>
      <c r="JEY89" s="99"/>
      <c r="JEZ89" s="99"/>
      <c r="JFA89" s="99"/>
      <c r="JFB89" s="99"/>
      <c r="JFC89" s="99"/>
      <c r="JFD89" s="99"/>
      <c r="JFE89" s="99"/>
      <c r="JFF89" s="99"/>
      <c r="JFG89" s="99"/>
      <c r="JFH89" s="99"/>
      <c r="JFI89" s="99"/>
      <c r="JFJ89" s="99"/>
      <c r="JFK89" s="99"/>
      <c r="JFL89" s="99"/>
      <c r="JFM89" s="99"/>
      <c r="JFN89" s="99"/>
      <c r="JFO89" s="99"/>
      <c r="JFP89" s="99"/>
      <c r="JFQ89" s="99"/>
      <c r="JFR89" s="99"/>
      <c r="JFS89" s="99"/>
      <c r="JFT89" s="99"/>
      <c r="JFU89" s="99"/>
      <c r="JFV89" s="99"/>
      <c r="JFW89" s="99"/>
      <c r="JFX89" s="99"/>
      <c r="JFY89" s="99"/>
      <c r="JFZ89" s="99"/>
      <c r="JGA89" s="99"/>
      <c r="JGB89" s="99"/>
      <c r="JGC89" s="99"/>
      <c r="JGD89" s="99"/>
      <c r="JGE89" s="99"/>
      <c r="JGF89" s="99"/>
      <c r="JGG89" s="99"/>
      <c r="JGH89" s="99"/>
      <c r="JGI89" s="99"/>
      <c r="JGJ89" s="99"/>
      <c r="JGK89" s="99"/>
      <c r="JGL89" s="99"/>
      <c r="JGM89" s="99"/>
      <c r="JGN89" s="99"/>
      <c r="JGO89" s="99"/>
      <c r="JGP89" s="99"/>
      <c r="JGQ89" s="99"/>
      <c r="JGR89" s="99"/>
      <c r="JGS89" s="99"/>
      <c r="JGT89" s="99"/>
      <c r="JGU89" s="99"/>
      <c r="JGV89" s="99"/>
      <c r="JGW89" s="99"/>
      <c r="JGX89" s="99"/>
      <c r="JGY89" s="99"/>
      <c r="JGZ89" s="99"/>
      <c r="JHA89" s="99"/>
      <c r="JHB89" s="99"/>
      <c r="JHC89" s="99"/>
      <c r="JHD89" s="99"/>
      <c r="JHE89" s="99"/>
      <c r="JHF89" s="99"/>
      <c r="JHG89" s="99"/>
      <c r="JHH89" s="99"/>
      <c r="JHI89" s="99"/>
      <c r="JHJ89" s="99"/>
      <c r="JHK89" s="99"/>
      <c r="JHL89" s="99"/>
      <c r="JHM89" s="99"/>
      <c r="JHN89" s="99"/>
      <c r="JHO89" s="99"/>
      <c r="JHP89" s="99"/>
      <c r="JHQ89" s="99"/>
      <c r="JHR89" s="99"/>
      <c r="JHS89" s="99"/>
      <c r="JHT89" s="99"/>
      <c r="JHU89" s="99"/>
      <c r="JHV89" s="99"/>
      <c r="JHW89" s="99"/>
      <c r="JHX89" s="99"/>
      <c r="JHY89" s="99"/>
      <c r="JHZ89" s="99"/>
      <c r="JIA89" s="99"/>
      <c r="JIB89" s="99"/>
      <c r="JIC89" s="99"/>
      <c r="JID89" s="99"/>
      <c r="JIE89" s="99"/>
      <c r="JIF89" s="99"/>
      <c r="JIG89" s="99"/>
      <c r="JIH89" s="99"/>
      <c r="JII89" s="99"/>
      <c r="JIJ89" s="99"/>
      <c r="JIK89" s="99"/>
      <c r="JIL89" s="99"/>
      <c r="JIM89" s="99"/>
      <c r="JIN89" s="99"/>
      <c r="JIO89" s="99"/>
      <c r="JIP89" s="99"/>
      <c r="JIQ89" s="99"/>
      <c r="JIR89" s="99"/>
      <c r="JIS89" s="99"/>
      <c r="JIT89" s="99"/>
      <c r="JIU89" s="99"/>
      <c r="JIV89" s="99"/>
      <c r="JIW89" s="99"/>
      <c r="JIX89" s="99"/>
      <c r="JIY89" s="99"/>
      <c r="JIZ89" s="99"/>
      <c r="JJA89" s="99"/>
      <c r="JJB89" s="99"/>
      <c r="JJC89" s="99"/>
      <c r="JJD89" s="99"/>
      <c r="JJE89" s="99"/>
      <c r="JJF89" s="99"/>
      <c r="JJG89" s="99"/>
      <c r="JJH89" s="99"/>
      <c r="JJI89" s="99"/>
      <c r="JJJ89" s="99"/>
      <c r="JJK89" s="99"/>
      <c r="JJL89" s="99"/>
      <c r="JJM89" s="99"/>
      <c r="JJN89" s="99"/>
      <c r="JJO89" s="99"/>
      <c r="JJP89" s="99"/>
      <c r="JJQ89" s="99"/>
      <c r="JJR89" s="99"/>
      <c r="JJS89" s="99"/>
      <c r="JJT89" s="99"/>
      <c r="JJU89" s="99"/>
      <c r="JJV89" s="99"/>
      <c r="JJW89" s="99"/>
      <c r="JJX89" s="99"/>
      <c r="JJY89" s="99"/>
      <c r="JJZ89" s="99"/>
      <c r="JKA89" s="99"/>
      <c r="JKB89" s="99"/>
      <c r="JKC89" s="99"/>
      <c r="JKD89" s="99"/>
      <c r="JKE89" s="99"/>
      <c r="JKF89" s="99"/>
      <c r="JKG89" s="99"/>
      <c r="JKH89" s="99"/>
      <c r="JKI89" s="99"/>
      <c r="JKJ89" s="99"/>
      <c r="JKK89" s="99"/>
      <c r="JKL89" s="99"/>
      <c r="JKM89" s="99"/>
      <c r="JKN89" s="99"/>
      <c r="JKO89" s="99"/>
      <c r="JKP89" s="99"/>
      <c r="JKQ89" s="99"/>
      <c r="JKR89" s="99"/>
      <c r="JKS89" s="99"/>
      <c r="JKT89" s="99"/>
      <c r="JKU89" s="99"/>
      <c r="JKV89" s="99"/>
      <c r="JKW89" s="99"/>
      <c r="JKX89" s="99"/>
      <c r="JKY89" s="99"/>
      <c r="JKZ89" s="99"/>
      <c r="JLA89" s="99"/>
      <c r="JLB89" s="99"/>
      <c r="JLC89" s="99"/>
      <c r="JLD89" s="99"/>
      <c r="JLE89" s="99"/>
      <c r="JLF89" s="99"/>
      <c r="JLG89" s="99"/>
      <c r="JLH89" s="99"/>
      <c r="JLI89" s="99"/>
      <c r="JLJ89" s="99"/>
      <c r="JLK89" s="99"/>
      <c r="JLL89" s="99"/>
      <c r="JLM89" s="99"/>
      <c r="JLN89" s="99"/>
      <c r="JLO89" s="99"/>
      <c r="JLP89" s="99"/>
      <c r="JLQ89" s="99"/>
      <c r="JLR89" s="99"/>
      <c r="JLS89" s="99"/>
      <c r="JLT89" s="99"/>
      <c r="JLU89" s="99"/>
      <c r="JLV89" s="99"/>
      <c r="JLW89" s="99"/>
      <c r="JLX89" s="99"/>
      <c r="JLY89" s="99"/>
      <c r="JLZ89" s="99"/>
      <c r="JMA89" s="99"/>
      <c r="JMB89" s="99"/>
      <c r="JMC89" s="99"/>
      <c r="JMD89" s="99"/>
      <c r="JME89" s="99"/>
      <c r="JMF89" s="99"/>
      <c r="JMG89" s="99"/>
      <c r="JMH89" s="99"/>
      <c r="JMI89" s="99"/>
      <c r="JMJ89" s="99"/>
      <c r="JMK89" s="99"/>
      <c r="JML89" s="99"/>
      <c r="JMM89" s="99"/>
      <c r="JMN89" s="99"/>
      <c r="JMO89" s="99"/>
      <c r="JMP89" s="99"/>
      <c r="JMQ89" s="99"/>
      <c r="JMR89" s="99"/>
      <c r="JMS89" s="99"/>
      <c r="JMT89" s="99"/>
      <c r="JMU89" s="99"/>
      <c r="JMV89" s="99"/>
      <c r="JMW89" s="99"/>
      <c r="JMX89" s="99"/>
      <c r="JMY89" s="99"/>
      <c r="JMZ89" s="99"/>
      <c r="JNA89" s="99"/>
      <c r="JNB89" s="99"/>
      <c r="JNC89" s="99"/>
      <c r="JND89" s="99"/>
      <c r="JNE89" s="99"/>
      <c r="JNF89" s="99"/>
      <c r="JNG89" s="99"/>
      <c r="JNH89" s="99"/>
      <c r="JNI89" s="99"/>
      <c r="JNJ89" s="99"/>
      <c r="JNK89" s="99"/>
      <c r="JNL89" s="99"/>
      <c r="JNM89" s="99"/>
      <c r="JNN89" s="99"/>
      <c r="JNO89" s="99"/>
      <c r="JNP89" s="99"/>
      <c r="JNQ89" s="99"/>
      <c r="JNR89" s="99"/>
      <c r="JNS89" s="99"/>
      <c r="JNT89" s="99"/>
      <c r="JNU89" s="99"/>
      <c r="JNV89" s="99"/>
      <c r="JNW89" s="99"/>
      <c r="JNX89" s="99"/>
      <c r="JNY89" s="99"/>
      <c r="JNZ89" s="99"/>
      <c r="JOA89" s="99"/>
      <c r="JOB89" s="99"/>
      <c r="JOC89" s="99"/>
      <c r="JOD89" s="99"/>
      <c r="JOE89" s="99"/>
      <c r="JOF89" s="99"/>
      <c r="JOG89" s="99"/>
      <c r="JOH89" s="99"/>
      <c r="JOI89" s="99"/>
      <c r="JOJ89" s="99"/>
      <c r="JOK89" s="99"/>
      <c r="JOL89" s="99"/>
      <c r="JOM89" s="99"/>
      <c r="JON89" s="99"/>
      <c r="JOO89" s="99"/>
      <c r="JOP89" s="99"/>
      <c r="JOQ89" s="99"/>
      <c r="JOR89" s="99"/>
      <c r="JOS89" s="99"/>
      <c r="JOT89" s="99"/>
      <c r="JOU89" s="99"/>
      <c r="JOV89" s="99"/>
      <c r="JOW89" s="99"/>
      <c r="JOX89" s="99"/>
      <c r="JOY89" s="99"/>
      <c r="JOZ89" s="99"/>
      <c r="JPA89" s="99"/>
      <c r="JPB89" s="99"/>
      <c r="JPC89" s="99"/>
      <c r="JPD89" s="99"/>
      <c r="JPE89" s="99"/>
      <c r="JPF89" s="99"/>
      <c r="JPG89" s="99"/>
      <c r="JPH89" s="99"/>
      <c r="JPI89" s="99"/>
      <c r="JPJ89" s="99"/>
      <c r="JPK89" s="99"/>
      <c r="JPL89" s="99"/>
      <c r="JPM89" s="99"/>
      <c r="JPN89" s="99"/>
      <c r="JPO89" s="99"/>
      <c r="JPP89" s="99"/>
      <c r="JPQ89" s="99"/>
      <c r="JPR89" s="99"/>
      <c r="JPS89" s="99"/>
      <c r="JPT89" s="99"/>
      <c r="JPU89" s="99"/>
      <c r="JPV89" s="99"/>
      <c r="JPW89" s="99"/>
      <c r="JPX89" s="99"/>
      <c r="JPY89" s="99"/>
      <c r="JPZ89" s="99"/>
      <c r="JQA89" s="99"/>
      <c r="JQB89" s="99"/>
      <c r="JQC89" s="99"/>
      <c r="JQD89" s="99"/>
      <c r="JQE89" s="99"/>
      <c r="JQF89" s="99"/>
      <c r="JQG89" s="99"/>
      <c r="JQH89" s="99"/>
      <c r="JQI89" s="99"/>
      <c r="JQJ89" s="99"/>
      <c r="JQK89" s="99"/>
      <c r="JQL89" s="99"/>
      <c r="JQM89" s="99"/>
      <c r="JQN89" s="99"/>
      <c r="JQO89" s="99"/>
      <c r="JQP89" s="99"/>
      <c r="JQQ89" s="99"/>
      <c r="JQR89" s="99"/>
      <c r="JQS89" s="99"/>
      <c r="JQT89" s="99"/>
      <c r="JQU89" s="99"/>
      <c r="JQV89" s="99"/>
      <c r="JQW89" s="99"/>
      <c r="JQX89" s="99"/>
      <c r="JQY89" s="99"/>
      <c r="JQZ89" s="99"/>
      <c r="JRA89" s="99"/>
      <c r="JRB89" s="99"/>
      <c r="JRC89" s="99"/>
      <c r="JRD89" s="99"/>
      <c r="JRE89" s="99"/>
      <c r="JRF89" s="99"/>
      <c r="JRG89" s="99"/>
      <c r="JRH89" s="99"/>
      <c r="JRI89" s="99"/>
      <c r="JRJ89" s="99"/>
      <c r="JRK89" s="99"/>
      <c r="JRL89" s="99"/>
      <c r="JRM89" s="99"/>
      <c r="JRN89" s="99"/>
      <c r="JRO89" s="99"/>
      <c r="JRP89" s="99"/>
      <c r="JRQ89" s="99"/>
      <c r="JRR89" s="99"/>
      <c r="JRS89" s="99"/>
      <c r="JRT89" s="99"/>
      <c r="JRU89" s="99"/>
      <c r="JRV89" s="99"/>
      <c r="JRW89" s="99"/>
      <c r="JRX89" s="99"/>
      <c r="JRY89" s="99"/>
      <c r="JRZ89" s="99"/>
      <c r="JSA89" s="99"/>
      <c r="JSB89" s="99"/>
      <c r="JSC89" s="99"/>
      <c r="JSD89" s="99"/>
      <c r="JSE89" s="99"/>
      <c r="JSF89" s="99"/>
      <c r="JSG89" s="99"/>
      <c r="JSH89" s="99"/>
      <c r="JSI89" s="99"/>
      <c r="JSJ89" s="99"/>
      <c r="JSK89" s="99"/>
      <c r="JSL89" s="99"/>
      <c r="JSM89" s="99"/>
      <c r="JSN89" s="99"/>
      <c r="JSO89" s="99"/>
      <c r="JSP89" s="99"/>
      <c r="JSQ89" s="99"/>
      <c r="JSR89" s="99"/>
      <c r="JSS89" s="99"/>
      <c r="JST89" s="99"/>
      <c r="JSU89" s="99"/>
      <c r="JSV89" s="99"/>
      <c r="JSW89" s="99"/>
      <c r="JSX89" s="99"/>
      <c r="JSY89" s="99"/>
      <c r="JSZ89" s="99"/>
      <c r="JTA89" s="99"/>
      <c r="JTB89" s="99"/>
      <c r="JTC89" s="99"/>
      <c r="JTD89" s="99"/>
      <c r="JTE89" s="99"/>
      <c r="JTF89" s="99"/>
      <c r="JTG89" s="99"/>
      <c r="JTH89" s="99"/>
      <c r="JTI89" s="99"/>
      <c r="JTJ89" s="99"/>
      <c r="JTK89" s="99"/>
      <c r="JTL89" s="99"/>
      <c r="JTM89" s="99"/>
      <c r="JTN89" s="99"/>
      <c r="JTO89" s="99"/>
      <c r="JTP89" s="99"/>
      <c r="JTQ89" s="99"/>
      <c r="JTR89" s="99"/>
      <c r="JTS89" s="99"/>
      <c r="JTT89" s="99"/>
      <c r="JTU89" s="99"/>
      <c r="JTV89" s="99"/>
      <c r="JTW89" s="99"/>
      <c r="JTX89" s="99"/>
      <c r="JTY89" s="99"/>
      <c r="JTZ89" s="99"/>
      <c r="JUA89" s="99"/>
      <c r="JUB89" s="99"/>
      <c r="JUC89" s="99"/>
      <c r="JUD89" s="99"/>
      <c r="JUE89" s="99"/>
      <c r="JUF89" s="99"/>
      <c r="JUG89" s="99"/>
      <c r="JUH89" s="99"/>
      <c r="JUI89" s="99"/>
      <c r="JUJ89" s="99"/>
      <c r="JUK89" s="99"/>
      <c r="JUL89" s="99"/>
      <c r="JUM89" s="99"/>
      <c r="JUN89" s="99"/>
      <c r="JUO89" s="99"/>
      <c r="JUP89" s="99"/>
      <c r="JUQ89" s="99"/>
      <c r="JUR89" s="99"/>
      <c r="JUS89" s="99"/>
      <c r="JUT89" s="99"/>
      <c r="JUU89" s="99"/>
      <c r="JUV89" s="99"/>
      <c r="JUW89" s="99"/>
      <c r="JUX89" s="99"/>
      <c r="JUY89" s="99"/>
      <c r="JUZ89" s="99"/>
      <c r="JVA89" s="99"/>
      <c r="JVB89" s="99"/>
      <c r="JVC89" s="99"/>
      <c r="JVD89" s="99"/>
      <c r="JVE89" s="99"/>
      <c r="JVF89" s="99"/>
      <c r="JVG89" s="99"/>
      <c r="JVH89" s="99"/>
      <c r="JVI89" s="99"/>
      <c r="JVJ89" s="99"/>
      <c r="JVK89" s="99"/>
      <c r="JVL89" s="99"/>
      <c r="JVM89" s="99"/>
      <c r="JVN89" s="99"/>
      <c r="JVO89" s="99"/>
      <c r="JVP89" s="99"/>
      <c r="JVQ89" s="99"/>
      <c r="JVR89" s="99"/>
      <c r="JVS89" s="99"/>
      <c r="JVT89" s="99"/>
      <c r="JVU89" s="99"/>
      <c r="JVV89" s="99"/>
      <c r="JVW89" s="99"/>
      <c r="JVX89" s="99"/>
      <c r="JVY89" s="99"/>
      <c r="JVZ89" s="99"/>
      <c r="JWA89" s="99"/>
      <c r="JWB89" s="99"/>
      <c r="JWC89" s="99"/>
      <c r="JWD89" s="99"/>
      <c r="JWE89" s="99"/>
      <c r="JWF89" s="99"/>
      <c r="JWG89" s="99"/>
      <c r="JWH89" s="99"/>
      <c r="JWI89" s="99"/>
      <c r="JWJ89" s="99"/>
      <c r="JWK89" s="99"/>
      <c r="JWL89" s="99"/>
      <c r="JWM89" s="99"/>
      <c r="JWN89" s="99"/>
      <c r="JWO89" s="99"/>
      <c r="JWP89" s="99"/>
      <c r="JWQ89" s="99"/>
      <c r="JWR89" s="99"/>
      <c r="JWS89" s="99"/>
      <c r="JWT89" s="99"/>
      <c r="JWU89" s="99"/>
      <c r="JWV89" s="99"/>
      <c r="JWW89" s="99"/>
      <c r="JWX89" s="99"/>
      <c r="JWY89" s="99"/>
      <c r="JWZ89" s="99"/>
      <c r="JXA89" s="99"/>
      <c r="JXB89" s="99"/>
      <c r="JXC89" s="99"/>
      <c r="JXD89" s="99"/>
      <c r="JXE89" s="99"/>
      <c r="JXF89" s="99"/>
      <c r="JXG89" s="99"/>
      <c r="JXH89" s="99"/>
      <c r="JXI89" s="99"/>
      <c r="JXJ89" s="99"/>
      <c r="JXK89" s="99"/>
      <c r="JXL89" s="99"/>
      <c r="JXM89" s="99"/>
      <c r="JXN89" s="99"/>
      <c r="JXO89" s="99"/>
      <c r="JXP89" s="99"/>
      <c r="JXQ89" s="99"/>
      <c r="JXR89" s="99"/>
      <c r="JXS89" s="99"/>
      <c r="JXT89" s="99"/>
      <c r="JXU89" s="99"/>
      <c r="JXV89" s="99"/>
      <c r="JXW89" s="99"/>
      <c r="JXX89" s="99"/>
      <c r="JXY89" s="99"/>
      <c r="JXZ89" s="99"/>
      <c r="JYA89" s="99"/>
      <c r="JYB89" s="99"/>
      <c r="JYC89" s="99"/>
      <c r="JYD89" s="99"/>
      <c r="JYE89" s="99"/>
      <c r="JYF89" s="99"/>
      <c r="JYG89" s="99"/>
      <c r="JYH89" s="99"/>
      <c r="JYI89" s="99"/>
      <c r="JYJ89" s="99"/>
      <c r="JYK89" s="99"/>
      <c r="JYL89" s="99"/>
      <c r="JYM89" s="99"/>
      <c r="JYN89" s="99"/>
      <c r="JYO89" s="99"/>
      <c r="JYP89" s="99"/>
      <c r="JYQ89" s="99"/>
      <c r="JYR89" s="99"/>
      <c r="JYS89" s="99"/>
      <c r="JYT89" s="99"/>
      <c r="JYU89" s="99"/>
      <c r="JYV89" s="99"/>
      <c r="JYW89" s="99"/>
      <c r="JYX89" s="99"/>
      <c r="JYY89" s="99"/>
      <c r="JYZ89" s="99"/>
      <c r="JZA89" s="99"/>
      <c r="JZB89" s="99"/>
      <c r="JZC89" s="99"/>
      <c r="JZD89" s="99"/>
      <c r="JZE89" s="99"/>
      <c r="JZF89" s="99"/>
      <c r="JZG89" s="99"/>
      <c r="JZH89" s="99"/>
      <c r="JZI89" s="99"/>
      <c r="JZJ89" s="99"/>
      <c r="JZK89" s="99"/>
      <c r="JZL89" s="99"/>
      <c r="JZM89" s="99"/>
      <c r="JZN89" s="99"/>
      <c r="JZO89" s="99"/>
      <c r="JZP89" s="99"/>
      <c r="JZQ89" s="99"/>
      <c r="JZR89" s="99"/>
      <c r="JZS89" s="99"/>
      <c r="JZT89" s="99"/>
      <c r="JZU89" s="99"/>
      <c r="JZV89" s="99"/>
      <c r="JZW89" s="99"/>
      <c r="JZX89" s="99"/>
      <c r="JZY89" s="99"/>
      <c r="JZZ89" s="99"/>
      <c r="KAA89" s="99"/>
      <c r="KAB89" s="99"/>
      <c r="KAC89" s="99"/>
      <c r="KAD89" s="99"/>
      <c r="KAE89" s="99"/>
      <c r="KAF89" s="99"/>
      <c r="KAG89" s="99"/>
      <c r="KAH89" s="99"/>
      <c r="KAI89" s="99"/>
      <c r="KAJ89" s="99"/>
      <c r="KAK89" s="99"/>
      <c r="KAL89" s="99"/>
      <c r="KAM89" s="99"/>
      <c r="KAN89" s="99"/>
      <c r="KAO89" s="99"/>
      <c r="KAP89" s="99"/>
      <c r="KAQ89" s="99"/>
      <c r="KAR89" s="99"/>
      <c r="KAS89" s="99"/>
      <c r="KAT89" s="99"/>
      <c r="KAU89" s="99"/>
      <c r="KAV89" s="99"/>
      <c r="KAW89" s="99"/>
      <c r="KAX89" s="99"/>
      <c r="KAY89" s="99"/>
      <c r="KAZ89" s="99"/>
      <c r="KBA89" s="99"/>
      <c r="KBB89" s="99"/>
      <c r="KBC89" s="99"/>
      <c r="KBD89" s="99"/>
      <c r="KBE89" s="99"/>
      <c r="KBF89" s="99"/>
      <c r="KBG89" s="99"/>
      <c r="KBH89" s="99"/>
      <c r="KBI89" s="99"/>
      <c r="KBJ89" s="99"/>
      <c r="KBK89" s="99"/>
      <c r="KBL89" s="99"/>
      <c r="KBM89" s="99"/>
      <c r="KBN89" s="99"/>
      <c r="KBO89" s="99"/>
      <c r="KBP89" s="99"/>
      <c r="KBQ89" s="99"/>
      <c r="KBR89" s="99"/>
      <c r="KBS89" s="99"/>
      <c r="KBT89" s="99"/>
      <c r="KBU89" s="99"/>
      <c r="KBV89" s="99"/>
      <c r="KBW89" s="99"/>
      <c r="KBX89" s="99"/>
      <c r="KBY89" s="99"/>
      <c r="KBZ89" s="99"/>
      <c r="KCA89" s="99"/>
      <c r="KCB89" s="99"/>
      <c r="KCC89" s="99"/>
      <c r="KCD89" s="99"/>
      <c r="KCE89" s="99"/>
      <c r="KCF89" s="99"/>
      <c r="KCG89" s="99"/>
      <c r="KCH89" s="99"/>
      <c r="KCI89" s="99"/>
      <c r="KCJ89" s="99"/>
      <c r="KCK89" s="99"/>
      <c r="KCL89" s="99"/>
      <c r="KCM89" s="99"/>
      <c r="KCN89" s="99"/>
      <c r="KCO89" s="99"/>
      <c r="KCP89" s="99"/>
      <c r="KCQ89" s="99"/>
      <c r="KCR89" s="99"/>
      <c r="KCS89" s="99"/>
      <c r="KCT89" s="99"/>
      <c r="KCU89" s="99"/>
      <c r="KCV89" s="99"/>
      <c r="KCW89" s="99"/>
      <c r="KCX89" s="99"/>
      <c r="KCY89" s="99"/>
      <c r="KCZ89" s="99"/>
      <c r="KDA89" s="99"/>
      <c r="KDB89" s="99"/>
      <c r="KDC89" s="99"/>
      <c r="KDD89" s="99"/>
      <c r="KDE89" s="99"/>
      <c r="KDF89" s="99"/>
      <c r="KDG89" s="99"/>
      <c r="KDH89" s="99"/>
      <c r="KDI89" s="99"/>
      <c r="KDJ89" s="99"/>
      <c r="KDK89" s="99"/>
      <c r="KDL89" s="99"/>
      <c r="KDM89" s="99"/>
      <c r="KDN89" s="99"/>
      <c r="KDO89" s="99"/>
      <c r="KDP89" s="99"/>
      <c r="KDQ89" s="99"/>
      <c r="KDR89" s="99"/>
      <c r="KDS89" s="99"/>
      <c r="KDT89" s="99"/>
      <c r="KDU89" s="99"/>
      <c r="KDV89" s="99"/>
      <c r="KDW89" s="99"/>
      <c r="KDX89" s="99"/>
      <c r="KDY89" s="99"/>
      <c r="KDZ89" s="99"/>
      <c r="KEA89" s="99"/>
      <c r="KEB89" s="99"/>
      <c r="KEC89" s="99"/>
      <c r="KED89" s="99"/>
      <c r="KEE89" s="99"/>
      <c r="KEF89" s="99"/>
      <c r="KEG89" s="99"/>
      <c r="KEH89" s="99"/>
      <c r="KEI89" s="99"/>
      <c r="KEJ89" s="99"/>
      <c r="KEK89" s="99"/>
      <c r="KEL89" s="99"/>
      <c r="KEM89" s="99"/>
      <c r="KEN89" s="99"/>
      <c r="KEO89" s="99"/>
      <c r="KEP89" s="99"/>
      <c r="KEQ89" s="99"/>
      <c r="KER89" s="99"/>
      <c r="KES89" s="99"/>
      <c r="KET89" s="99"/>
      <c r="KEU89" s="99"/>
      <c r="KEV89" s="99"/>
      <c r="KEW89" s="99"/>
      <c r="KEX89" s="99"/>
      <c r="KEY89" s="99"/>
      <c r="KEZ89" s="99"/>
      <c r="KFA89" s="99"/>
      <c r="KFB89" s="99"/>
      <c r="KFC89" s="99"/>
      <c r="KFD89" s="99"/>
      <c r="KFE89" s="99"/>
      <c r="KFF89" s="99"/>
      <c r="KFG89" s="99"/>
      <c r="KFH89" s="99"/>
      <c r="KFI89" s="99"/>
      <c r="KFJ89" s="99"/>
      <c r="KFK89" s="99"/>
      <c r="KFL89" s="99"/>
      <c r="KFM89" s="99"/>
      <c r="KFN89" s="99"/>
      <c r="KFO89" s="99"/>
      <c r="KFP89" s="99"/>
      <c r="KFQ89" s="99"/>
      <c r="KFR89" s="99"/>
      <c r="KFS89" s="99"/>
      <c r="KFT89" s="99"/>
      <c r="KFU89" s="99"/>
      <c r="KFV89" s="99"/>
      <c r="KFW89" s="99"/>
      <c r="KFX89" s="99"/>
      <c r="KFY89" s="99"/>
      <c r="KFZ89" s="99"/>
      <c r="KGA89" s="99"/>
      <c r="KGB89" s="99"/>
      <c r="KGC89" s="99"/>
      <c r="KGD89" s="99"/>
      <c r="KGE89" s="99"/>
      <c r="KGF89" s="99"/>
      <c r="KGG89" s="99"/>
      <c r="KGH89" s="99"/>
      <c r="KGI89" s="99"/>
      <c r="KGJ89" s="99"/>
      <c r="KGK89" s="99"/>
      <c r="KGL89" s="99"/>
      <c r="KGM89" s="99"/>
      <c r="KGN89" s="99"/>
      <c r="KGO89" s="99"/>
      <c r="KGP89" s="99"/>
      <c r="KGQ89" s="99"/>
      <c r="KGR89" s="99"/>
      <c r="KGS89" s="99"/>
      <c r="KGT89" s="99"/>
      <c r="KGU89" s="99"/>
      <c r="KGV89" s="99"/>
      <c r="KGW89" s="99"/>
      <c r="KGX89" s="99"/>
      <c r="KGY89" s="99"/>
      <c r="KGZ89" s="99"/>
      <c r="KHA89" s="99"/>
      <c r="KHB89" s="99"/>
      <c r="KHC89" s="99"/>
      <c r="KHD89" s="99"/>
      <c r="KHE89" s="99"/>
      <c r="KHF89" s="99"/>
      <c r="KHG89" s="99"/>
      <c r="KHH89" s="99"/>
      <c r="KHI89" s="99"/>
      <c r="KHJ89" s="99"/>
      <c r="KHK89" s="99"/>
      <c r="KHL89" s="99"/>
      <c r="KHM89" s="99"/>
      <c r="KHN89" s="99"/>
      <c r="KHO89" s="99"/>
      <c r="KHP89" s="99"/>
      <c r="KHQ89" s="99"/>
      <c r="KHR89" s="99"/>
      <c r="KHS89" s="99"/>
      <c r="KHT89" s="99"/>
      <c r="KHU89" s="99"/>
      <c r="KHV89" s="99"/>
      <c r="KHW89" s="99"/>
      <c r="KHX89" s="99"/>
      <c r="KHY89" s="99"/>
      <c r="KHZ89" s="99"/>
      <c r="KIA89" s="99"/>
      <c r="KIB89" s="99"/>
      <c r="KIC89" s="99"/>
      <c r="KID89" s="99"/>
      <c r="KIE89" s="99"/>
      <c r="KIF89" s="99"/>
      <c r="KIG89" s="99"/>
      <c r="KIH89" s="99"/>
      <c r="KII89" s="99"/>
      <c r="KIJ89" s="99"/>
      <c r="KIK89" s="99"/>
      <c r="KIL89" s="99"/>
      <c r="KIM89" s="99"/>
      <c r="KIN89" s="99"/>
      <c r="KIO89" s="99"/>
      <c r="KIP89" s="99"/>
      <c r="KIQ89" s="99"/>
      <c r="KIR89" s="99"/>
      <c r="KIS89" s="99"/>
      <c r="KIT89" s="99"/>
      <c r="KIU89" s="99"/>
      <c r="KIV89" s="99"/>
      <c r="KIW89" s="99"/>
      <c r="KIX89" s="99"/>
      <c r="KIY89" s="99"/>
      <c r="KIZ89" s="99"/>
      <c r="KJA89" s="99"/>
      <c r="KJB89" s="99"/>
      <c r="KJC89" s="99"/>
      <c r="KJD89" s="99"/>
      <c r="KJE89" s="99"/>
      <c r="KJF89" s="99"/>
      <c r="KJG89" s="99"/>
      <c r="KJH89" s="99"/>
      <c r="KJI89" s="99"/>
      <c r="KJJ89" s="99"/>
      <c r="KJK89" s="99"/>
      <c r="KJL89" s="99"/>
      <c r="KJM89" s="99"/>
      <c r="KJN89" s="99"/>
      <c r="KJO89" s="99"/>
      <c r="KJP89" s="99"/>
      <c r="KJQ89" s="99"/>
      <c r="KJR89" s="99"/>
      <c r="KJS89" s="99"/>
      <c r="KJT89" s="99"/>
      <c r="KJU89" s="99"/>
      <c r="KJV89" s="99"/>
      <c r="KJW89" s="99"/>
      <c r="KJX89" s="99"/>
      <c r="KJY89" s="99"/>
      <c r="KJZ89" s="99"/>
      <c r="KKA89" s="99"/>
      <c r="KKB89" s="99"/>
      <c r="KKC89" s="99"/>
      <c r="KKD89" s="99"/>
      <c r="KKE89" s="99"/>
      <c r="KKF89" s="99"/>
      <c r="KKG89" s="99"/>
      <c r="KKH89" s="99"/>
      <c r="KKI89" s="99"/>
      <c r="KKJ89" s="99"/>
      <c r="KKK89" s="99"/>
      <c r="KKL89" s="99"/>
      <c r="KKM89" s="99"/>
      <c r="KKN89" s="99"/>
      <c r="KKO89" s="99"/>
      <c r="KKP89" s="99"/>
      <c r="KKQ89" s="99"/>
      <c r="KKR89" s="99"/>
      <c r="KKS89" s="99"/>
      <c r="KKT89" s="99"/>
      <c r="KKU89" s="99"/>
      <c r="KKV89" s="99"/>
      <c r="KKW89" s="99"/>
      <c r="KKX89" s="99"/>
      <c r="KKY89" s="99"/>
      <c r="KKZ89" s="99"/>
      <c r="KLA89" s="99"/>
      <c r="KLB89" s="99"/>
      <c r="KLC89" s="99"/>
      <c r="KLD89" s="99"/>
      <c r="KLE89" s="99"/>
      <c r="KLF89" s="99"/>
      <c r="KLG89" s="99"/>
      <c r="KLH89" s="99"/>
      <c r="KLI89" s="99"/>
      <c r="KLJ89" s="99"/>
      <c r="KLK89" s="99"/>
      <c r="KLL89" s="99"/>
      <c r="KLM89" s="99"/>
      <c r="KLN89" s="99"/>
      <c r="KLO89" s="99"/>
      <c r="KLP89" s="99"/>
      <c r="KLQ89" s="99"/>
      <c r="KLR89" s="99"/>
      <c r="KLS89" s="99"/>
      <c r="KLT89" s="99"/>
      <c r="KLU89" s="99"/>
      <c r="KLV89" s="99"/>
      <c r="KLW89" s="99"/>
      <c r="KLX89" s="99"/>
      <c r="KLY89" s="99"/>
      <c r="KLZ89" s="99"/>
      <c r="KMA89" s="99"/>
      <c r="KMB89" s="99"/>
      <c r="KMC89" s="99"/>
      <c r="KMD89" s="99"/>
      <c r="KME89" s="99"/>
      <c r="KMF89" s="99"/>
      <c r="KMG89" s="99"/>
      <c r="KMH89" s="99"/>
      <c r="KMI89" s="99"/>
      <c r="KMJ89" s="99"/>
      <c r="KMK89" s="99"/>
      <c r="KML89" s="99"/>
      <c r="KMM89" s="99"/>
      <c r="KMN89" s="99"/>
      <c r="KMO89" s="99"/>
      <c r="KMP89" s="99"/>
      <c r="KMQ89" s="99"/>
      <c r="KMR89" s="99"/>
      <c r="KMS89" s="99"/>
      <c r="KMT89" s="99"/>
      <c r="KMU89" s="99"/>
      <c r="KMV89" s="99"/>
      <c r="KMW89" s="99"/>
      <c r="KMX89" s="99"/>
      <c r="KMY89" s="99"/>
      <c r="KMZ89" s="99"/>
      <c r="KNA89" s="99"/>
      <c r="KNB89" s="99"/>
      <c r="KNC89" s="99"/>
      <c r="KND89" s="99"/>
      <c r="KNE89" s="99"/>
      <c r="KNF89" s="99"/>
      <c r="KNG89" s="99"/>
      <c r="KNH89" s="99"/>
      <c r="KNI89" s="99"/>
      <c r="KNJ89" s="99"/>
      <c r="KNK89" s="99"/>
      <c r="KNL89" s="99"/>
      <c r="KNM89" s="99"/>
      <c r="KNN89" s="99"/>
      <c r="KNO89" s="99"/>
      <c r="KNP89" s="99"/>
      <c r="KNQ89" s="99"/>
      <c r="KNR89" s="99"/>
      <c r="KNS89" s="99"/>
      <c r="KNT89" s="99"/>
      <c r="KNU89" s="99"/>
      <c r="KNV89" s="99"/>
      <c r="KNW89" s="99"/>
      <c r="KNX89" s="99"/>
      <c r="KNY89" s="99"/>
      <c r="KNZ89" s="99"/>
      <c r="KOA89" s="99"/>
      <c r="KOB89" s="99"/>
      <c r="KOC89" s="99"/>
      <c r="KOD89" s="99"/>
      <c r="KOE89" s="99"/>
      <c r="KOF89" s="99"/>
      <c r="KOG89" s="99"/>
      <c r="KOH89" s="99"/>
      <c r="KOI89" s="99"/>
      <c r="KOJ89" s="99"/>
      <c r="KOK89" s="99"/>
      <c r="KOL89" s="99"/>
      <c r="KOM89" s="99"/>
      <c r="KON89" s="99"/>
      <c r="KOO89" s="99"/>
      <c r="KOP89" s="99"/>
      <c r="KOQ89" s="99"/>
      <c r="KOR89" s="99"/>
      <c r="KOS89" s="99"/>
      <c r="KOT89" s="99"/>
      <c r="KOU89" s="99"/>
      <c r="KOV89" s="99"/>
      <c r="KOW89" s="99"/>
      <c r="KOX89" s="99"/>
      <c r="KOY89" s="99"/>
      <c r="KOZ89" s="99"/>
      <c r="KPA89" s="99"/>
      <c r="KPB89" s="99"/>
      <c r="KPC89" s="99"/>
      <c r="KPD89" s="99"/>
      <c r="KPE89" s="99"/>
      <c r="KPF89" s="99"/>
      <c r="KPG89" s="99"/>
      <c r="KPH89" s="99"/>
      <c r="KPI89" s="99"/>
      <c r="KPJ89" s="99"/>
      <c r="KPK89" s="99"/>
      <c r="KPL89" s="99"/>
      <c r="KPM89" s="99"/>
      <c r="KPN89" s="99"/>
      <c r="KPO89" s="99"/>
      <c r="KPP89" s="99"/>
      <c r="KPQ89" s="99"/>
      <c r="KPR89" s="99"/>
      <c r="KPS89" s="99"/>
      <c r="KPT89" s="99"/>
      <c r="KPU89" s="99"/>
      <c r="KPV89" s="99"/>
      <c r="KPW89" s="99"/>
      <c r="KPX89" s="99"/>
      <c r="KPY89" s="99"/>
      <c r="KPZ89" s="99"/>
      <c r="KQA89" s="99"/>
      <c r="KQB89" s="99"/>
      <c r="KQC89" s="99"/>
      <c r="KQD89" s="99"/>
      <c r="KQE89" s="99"/>
      <c r="KQF89" s="99"/>
      <c r="KQG89" s="99"/>
      <c r="KQH89" s="99"/>
      <c r="KQI89" s="99"/>
      <c r="KQJ89" s="99"/>
      <c r="KQK89" s="99"/>
      <c r="KQL89" s="99"/>
      <c r="KQM89" s="99"/>
      <c r="KQN89" s="99"/>
      <c r="KQO89" s="99"/>
      <c r="KQP89" s="99"/>
      <c r="KQQ89" s="99"/>
      <c r="KQR89" s="99"/>
      <c r="KQS89" s="99"/>
      <c r="KQT89" s="99"/>
      <c r="KQU89" s="99"/>
      <c r="KQV89" s="99"/>
      <c r="KQW89" s="99"/>
      <c r="KQX89" s="99"/>
      <c r="KQY89" s="99"/>
      <c r="KQZ89" s="99"/>
      <c r="KRA89" s="99"/>
      <c r="KRB89" s="99"/>
      <c r="KRC89" s="99"/>
      <c r="KRD89" s="99"/>
      <c r="KRE89" s="99"/>
      <c r="KRF89" s="99"/>
      <c r="KRG89" s="99"/>
      <c r="KRH89" s="99"/>
      <c r="KRI89" s="99"/>
      <c r="KRJ89" s="99"/>
      <c r="KRK89" s="99"/>
      <c r="KRL89" s="99"/>
      <c r="KRM89" s="99"/>
      <c r="KRN89" s="99"/>
      <c r="KRO89" s="99"/>
      <c r="KRP89" s="99"/>
      <c r="KRQ89" s="99"/>
      <c r="KRR89" s="99"/>
      <c r="KRS89" s="99"/>
      <c r="KRT89" s="99"/>
      <c r="KRU89" s="99"/>
      <c r="KRV89" s="99"/>
      <c r="KRW89" s="99"/>
      <c r="KRX89" s="99"/>
      <c r="KRY89" s="99"/>
      <c r="KRZ89" s="99"/>
      <c r="KSA89" s="99"/>
      <c r="KSB89" s="99"/>
      <c r="KSC89" s="99"/>
      <c r="KSD89" s="99"/>
      <c r="KSE89" s="99"/>
      <c r="KSF89" s="99"/>
      <c r="KSG89" s="99"/>
      <c r="KSH89" s="99"/>
      <c r="KSI89" s="99"/>
      <c r="KSJ89" s="99"/>
      <c r="KSK89" s="99"/>
      <c r="KSL89" s="99"/>
      <c r="KSM89" s="99"/>
      <c r="KSN89" s="99"/>
      <c r="KSO89" s="99"/>
      <c r="KSP89" s="99"/>
      <c r="KSQ89" s="99"/>
      <c r="KSR89" s="99"/>
      <c r="KSS89" s="99"/>
      <c r="KST89" s="99"/>
      <c r="KSU89" s="99"/>
      <c r="KSV89" s="99"/>
      <c r="KSW89" s="99"/>
      <c r="KSX89" s="99"/>
      <c r="KSY89" s="99"/>
      <c r="KSZ89" s="99"/>
      <c r="KTA89" s="99"/>
      <c r="KTB89" s="99"/>
      <c r="KTC89" s="99"/>
      <c r="KTD89" s="99"/>
      <c r="KTE89" s="99"/>
      <c r="KTF89" s="99"/>
      <c r="KTG89" s="99"/>
      <c r="KTH89" s="99"/>
      <c r="KTI89" s="99"/>
      <c r="KTJ89" s="99"/>
      <c r="KTK89" s="99"/>
      <c r="KTL89" s="99"/>
      <c r="KTM89" s="99"/>
      <c r="KTN89" s="99"/>
      <c r="KTO89" s="99"/>
      <c r="KTP89" s="99"/>
      <c r="KTQ89" s="99"/>
      <c r="KTR89" s="99"/>
      <c r="KTS89" s="99"/>
      <c r="KTT89" s="99"/>
      <c r="KTU89" s="99"/>
      <c r="KTV89" s="99"/>
      <c r="KTW89" s="99"/>
      <c r="KTX89" s="99"/>
      <c r="KTY89" s="99"/>
      <c r="KTZ89" s="99"/>
      <c r="KUA89" s="99"/>
      <c r="KUB89" s="99"/>
      <c r="KUC89" s="99"/>
      <c r="KUD89" s="99"/>
      <c r="KUE89" s="99"/>
      <c r="KUF89" s="99"/>
      <c r="KUG89" s="99"/>
      <c r="KUH89" s="99"/>
      <c r="KUI89" s="99"/>
      <c r="KUJ89" s="99"/>
      <c r="KUK89" s="99"/>
      <c r="KUL89" s="99"/>
      <c r="KUM89" s="99"/>
      <c r="KUN89" s="99"/>
      <c r="KUO89" s="99"/>
      <c r="KUP89" s="99"/>
      <c r="KUQ89" s="99"/>
      <c r="KUR89" s="99"/>
      <c r="KUS89" s="99"/>
      <c r="KUT89" s="99"/>
      <c r="KUU89" s="99"/>
      <c r="KUV89" s="99"/>
      <c r="KUW89" s="99"/>
      <c r="KUX89" s="99"/>
      <c r="KUY89" s="99"/>
      <c r="KUZ89" s="99"/>
      <c r="KVA89" s="99"/>
      <c r="KVB89" s="99"/>
      <c r="KVC89" s="99"/>
      <c r="KVD89" s="99"/>
      <c r="KVE89" s="99"/>
      <c r="KVF89" s="99"/>
      <c r="KVG89" s="99"/>
      <c r="KVH89" s="99"/>
      <c r="KVI89" s="99"/>
      <c r="KVJ89" s="99"/>
      <c r="KVK89" s="99"/>
      <c r="KVL89" s="99"/>
      <c r="KVM89" s="99"/>
      <c r="KVN89" s="99"/>
      <c r="KVO89" s="99"/>
      <c r="KVP89" s="99"/>
      <c r="KVQ89" s="99"/>
      <c r="KVR89" s="99"/>
      <c r="KVS89" s="99"/>
      <c r="KVT89" s="99"/>
      <c r="KVU89" s="99"/>
      <c r="KVV89" s="99"/>
      <c r="KVW89" s="99"/>
      <c r="KVX89" s="99"/>
      <c r="KVY89" s="99"/>
      <c r="KVZ89" s="99"/>
      <c r="KWA89" s="99"/>
      <c r="KWB89" s="99"/>
      <c r="KWC89" s="99"/>
      <c r="KWD89" s="99"/>
      <c r="KWE89" s="99"/>
      <c r="KWF89" s="99"/>
      <c r="KWG89" s="99"/>
      <c r="KWH89" s="99"/>
      <c r="KWI89" s="99"/>
      <c r="KWJ89" s="99"/>
      <c r="KWK89" s="99"/>
      <c r="KWL89" s="99"/>
      <c r="KWM89" s="99"/>
      <c r="KWN89" s="99"/>
      <c r="KWO89" s="99"/>
      <c r="KWP89" s="99"/>
      <c r="KWQ89" s="99"/>
      <c r="KWR89" s="99"/>
      <c r="KWS89" s="99"/>
      <c r="KWT89" s="99"/>
      <c r="KWU89" s="99"/>
      <c r="KWV89" s="99"/>
      <c r="KWW89" s="99"/>
      <c r="KWX89" s="99"/>
      <c r="KWY89" s="99"/>
      <c r="KWZ89" s="99"/>
      <c r="KXA89" s="99"/>
      <c r="KXB89" s="99"/>
      <c r="KXC89" s="99"/>
      <c r="KXD89" s="99"/>
      <c r="KXE89" s="99"/>
      <c r="KXF89" s="99"/>
      <c r="KXG89" s="99"/>
      <c r="KXH89" s="99"/>
      <c r="KXI89" s="99"/>
      <c r="KXJ89" s="99"/>
      <c r="KXK89" s="99"/>
      <c r="KXL89" s="99"/>
      <c r="KXM89" s="99"/>
      <c r="KXN89" s="99"/>
      <c r="KXO89" s="99"/>
      <c r="KXP89" s="99"/>
      <c r="KXQ89" s="99"/>
      <c r="KXR89" s="99"/>
      <c r="KXS89" s="99"/>
      <c r="KXT89" s="99"/>
      <c r="KXU89" s="99"/>
      <c r="KXV89" s="99"/>
      <c r="KXW89" s="99"/>
      <c r="KXX89" s="99"/>
      <c r="KXY89" s="99"/>
      <c r="KXZ89" s="99"/>
      <c r="KYA89" s="99"/>
      <c r="KYB89" s="99"/>
      <c r="KYC89" s="99"/>
      <c r="KYD89" s="99"/>
      <c r="KYE89" s="99"/>
      <c r="KYF89" s="99"/>
      <c r="KYG89" s="99"/>
      <c r="KYH89" s="99"/>
      <c r="KYI89" s="99"/>
      <c r="KYJ89" s="99"/>
      <c r="KYK89" s="99"/>
      <c r="KYL89" s="99"/>
      <c r="KYM89" s="99"/>
      <c r="KYN89" s="99"/>
      <c r="KYO89" s="99"/>
      <c r="KYP89" s="99"/>
      <c r="KYQ89" s="99"/>
      <c r="KYR89" s="99"/>
      <c r="KYS89" s="99"/>
      <c r="KYT89" s="99"/>
      <c r="KYU89" s="99"/>
      <c r="KYV89" s="99"/>
      <c r="KYW89" s="99"/>
      <c r="KYX89" s="99"/>
      <c r="KYY89" s="99"/>
      <c r="KYZ89" s="99"/>
      <c r="KZA89" s="99"/>
      <c r="KZB89" s="99"/>
      <c r="KZC89" s="99"/>
      <c r="KZD89" s="99"/>
      <c r="KZE89" s="99"/>
      <c r="KZF89" s="99"/>
      <c r="KZG89" s="99"/>
      <c r="KZH89" s="99"/>
      <c r="KZI89" s="99"/>
      <c r="KZJ89" s="99"/>
      <c r="KZK89" s="99"/>
      <c r="KZL89" s="99"/>
      <c r="KZM89" s="99"/>
      <c r="KZN89" s="99"/>
      <c r="KZO89" s="99"/>
      <c r="KZP89" s="99"/>
      <c r="KZQ89" s="99"/>
      <c r="KZR89" s="99"/>
      <c r="KZS89" s="99"/>
      <c r="KZT89" s="99"/>
      <c r="KZU89" s="99"/>
      <c r="KZV89" s="99"/>
      <c r="KZW89" s="99"/>
      <c r="KZX89" s="99"/>
      <c r="KZY89" s="99"/>
      <c r="KZZ89" s="99"/>
      <c r="LAA89" s="99"/>
      <c r="LAB89" s="99"/>
      <c r="LAC89" s="99"/>
      <c r="LAD89" s="99"/>
      <c r="LAE89" s="99"/>
      <c r="LAF89" s="99"/>
      <c r="LAG89" s="99"/>
      <c r="LAH89" s="99"/>
      <c r="LAI89" s="99"/>
      <c r="LAJ89" s="99"/>
      <c r="LAK89" s="99"/>
      <c r="LAL89" s="99"/>
      <c r="LAM89" s="99"/>
      <c r="LAN89" s="99"/>
      <c r="LAO89" s="99"/>
      <c r="LAP89" s="99"/>
      <c r="LAQ89" s="99"/>
      <c r="LAR89" s="99"/>
      <c r="LAS89" s="99"/>
      <c r="LAT89" s="99"/>
      <c r="LAU89" s="99"/>
      <c r="LAV89" s="99"/>
      <c r="LAW89" s="99"/>
      <c r="LAX89" s="99"/>
      <c r="LAY89" s="99"/>
      <c r="LAZ89" s="99"/>
      <c r="LBA89" s="99"/>
      <c r="LBB89" s="99"/>
      <c r="LBC89" s="99"/>
      <c r="LBD89" s="99"/>
      <c r="LBE89" s="99"/>
      <c r="LBF89" s="99"/>
      <c r="LBG89" s="99"/>
      <c r="LBH89" s="99"/>
      <c r="LBI89" s="99"/>
      <c r="LBJ89" s="99"/>
      <c r="LBK89" s="99"/>
      <c r="LBL89" s="99"/>
      <c r="LBM89" s="99"/>
      <c r="LBN89" s="99"/>
      <c r="LBO89" s="99"/>
      <c r="LBP89" s="99"/>
      <c r="LBQ89" s="99"/>
      <c r="LBR89" s="99"/>
      <c r="LBS89" s="99"/>
      <c r="LBT89" s="99"/>
      <c r="LBU89" s="99"/>
      <c r="LBV89" s="99"/>
      <c r="LBW89" s="99"/>
      <c r="LBX89" s="99"/>
      <c r="LBY89" s="99"/>
      <c r="LBZ89" s="99"/>
      <c r="LCA89" s="99"/>
      <c r="LCB89" s="99"/>
      <c r="LCC89" s="99"/>
      <c r="LCD89" s="99"/>
      <c r="LCE89" s="99"/>
      <c r="LCF89" s="99"/>
      <c r="LCG89" s="99"/>
      <c r="LCH89" s="99"/>
      <c r="LCI89" s="99"/>
      <c r="LCJ89" s="99"/>
      <c r="LCK89" s="99"/>
      <c r="LCL89" s="99"/>
      <c r="LCM89" s="99"/>
      <c r="LCN89" s="99"/>
      <c r="LCO89" s="99"/>
      <c r="LCP89" s="99"/>
      <c r="LCQ89" s="99"/>
      <c r="LCR89" s="99"/>
      <c r="LCS89" s="99"/>
      <c r="LCT89" s="99"/>
      <c r="LCU89" s="99"/>
      <c r="LCV89" s="99"/>
      <c r="LCW89" s="99"/>
      <c r="LCX89" s="99"/>
      <c r="LCY89" s="99"/>
      <c r="LCZ89" s="99"/>
      <c r="LDA89" s="99"/>
      <c r="LDB89" s="99"/>
      <c r="LDC89" s="99"/>
      <c r="LDD89" s="99"/>
      <c r="LDE89" s="99"/>
      <c r="LDF89" s="99"/>
      <c r="LDG89" s="99"/>
      <c r="LDH89" s="99"/>
      <c r="LDI89" s="99"/>
      <c r="LDJ89" s="99"/>
      <c r="LDK89" s="99"/>
      <c r="LDL89" s="99"/>
      <c r="LDM89" s="99"/>
      <c r="LDN89" s="99"/>
      <c r="LDO89" s="99"/>
      <c r="LDP89" s="99"/>
      <c r="LDQ89" s="99"/>
      <c r="LDR89" s="99"/>
      <c r="LDS89" s="99"/>
      <c r="LDT89" s="99"/>
      <c r="LDU89" s="99"/>
      <c r="LDV89" s="99"/>
      <c r="LDW89" s="99"/>
      <c r="LDX89" s="99"/>
      <c r="LDY89" s="99"/>
      <c r="LDZ89" s="99"/>
      <c r="LEA89" s="99"/>
      <c r="LEB89" s="99"/>
      <c r="LEC89" s="99"/>
      <c r="LED89" s="99"/>
      <c r="LEE89" s="99"/>
      <c r="LEF89" s="99"/>
      <c r="LEG89" s="99"/>
      <c r="LEH89" s="99"/>
      <c r="LEI89" s="99"/>
      <c r="LEJ89" s="99"/>
      <c r="LEK89" s="99"/>
      <c r="LEL89" s="99"/>
      <c r="LEM89" s="99"/>
      <c r="LEN89" s="99"/>
      <c r="LEO89" s="99"/>
      <c r="LEP89" s="99"/>
      <c r="LEQ89" s="99"/>
      <c r="LER89" s="99"/>
      <c r="LES89" s="99"/>
      <c r="LET89" s="99"/>
      <c r="LEU89" s="99"/>
      <c r="LEV89" s="99"/>
      <c r="LEW89" s="99"/>
      <c r="LEX89" s="99"/>
      <c r="LEY89" s="99"/>
      <c r="LEZ89" s="99"/>
      <c r="LFA89" s="99"/>
      <c r="LFB89" s="99"/>
      <c r="LFC89" s="99"/>
      <c r="LFD89" s="99"/>
      <c r="LFE89" s="99"/>
      <c r="LFF89" s="99"/>
      <c r="LFG89" s="99"/>
      <c r="LFH89" s="99"/>
      <c r="LFI89" s="99"/>
      <c r="LFJ89" s="99"/>
      <c r="LFK89" s="99"/>
      <c r="LFL89" s="99"/>
      <c r="LFM89" s="99"/>
      <c r="LFN89" s="99"/>
      <c r="LFO89" s="99"/>
      <c r="LFP89" s="99"/>
      <c r="LFQ89" s="99"/>
      <c r="LFR89" s="99"/>
      <c r="LFS89" s="99"/>
      <c r="LFT89" s="99"/>
      <c r="LFU89" s="99"/>
      <c r="LFV89" s="99"/>
      <c r="LFW89" s="99"/>
      <c r="LFX89" s="99"/>
      <c r="LFY89" s="99"/>
      <c r="LFZ89" s="99"/>
      <c r="LGA89" s="99"/>
      <c r="LGB89" s="99"/>
      <c r="LGC89" s="99"/>
      <c r="LGD89" s="99"/>
      <c r="LGE89" s="99"/>
      <c r="LGF89" s="99"/>
      <c r="LGG89" s="99"/>
      <c r="LGH89" s="99"/>
      <c r="LGI89" s="99"/>
      <c r="LGJ89" s="99"/>
      <c r="LGK89" s="99"/>
      <c r="LGL89" s="99"/>
      <c r="LGM89" s="99"/>
      <c r="LGN89" s="99"/>
      <c r="LGO89" s="99"/>
      <c r="LGP89" s="99"/>
      <c r="LGQ89" s="99"/>
      <c r="LGR89" s="99"/>
      <c r="LGS89" s="99"/>
      <c r="LGT89" s="99"/>
      <c r="LGU89" s="99"/>
      <c r="LGV89" s="99"/>
      <c r="LGW89" s="99"/>
      <c r="LGX89" s="99"/>
      <c r="LGY89" s="99"/>
      <c r="LGZ89" s="99"/>
      <c r="LHA89" s="99"/>
      <c r="LHB89" s="99"/>
      <c r="LHC89" s="99"/>
      <c r="LHD89" s="99"/>
      <c r="LHE89" s="99"/>
      <c r="LHF89" s="99"/>
      <c r="LHG89" s="99"/>
      <c r="LHH89" s="99"/>
      <c r="LHI89" s="99"/>
      <c r="LHJ89" s="99"/>
      <c r="LHK89" s="99"/>
      <c r="LHL89" s="99"/>
      <c r="LHM89" s="99"/>
      <c r="LHN89" s="99"/>
      <c r="LHO89" s="99"/>
      <c r="LHP89" s="99"/>
      <c r="LHQ89" s="99"/>
      <c r="LHR89" s="99"/>
      <c r="LHS89" s="99"/>
      <c r="LHT89" s="99"/>
      <c r="LHU89" s="99"/>
      <c r="LHV89" s="99"/>
      <c r="LHW89" s="99"/>
      <c r="LHX89" s="99"/>
      <c r="LHY89" s="99"/>
      <c r="LHZ89" s="99"/>
      <c r="LIA89" s="99"/>
      <c r="LIB89" s="99"/>
      <c r="LIC89" s="99"/>
      <c r="LID89" s="99"/>
      <c r="LIE89" s="99"/>
      <c r="LIF89" s="99"/>
      <c r="LIG89" s="99"/>
      <c r="LIH89" s="99"/>
      <c r="LII89" s="99"/>
      <c r="LIJ89" s="99"/>
      <c r="LIK89" s="99"/>
      <c r="LIL89" s="99"/>
      <c r="LIM89" s="99"/>
      <c r="LIN89" s="99"/>
      <c r="LIO89" s="99"/>
      <c r="LIP89" s="99"/>
      <c r="LIQ89" s="99"/>
      <c r="LIR89" s="99"/>
      <c r="LIS89" s="99"/>
      <c r="LIT89" s="99"/>
      <c r="LIU89" s="99"/>
      <c r="LIV89" s="99"/>
      <c r="LIW89" s="99"/>
      <c r="LIX89" s="99"/>
      <c r="LIY89" s="99"/>
      <c r="LIZ89" s="99"/>
      <c r="LJA89" s="99"/>
      <c r="LJB89" s="99"/>
      <c r="LJC89" s="99"/>
      <c r="LJD89" s="99"/>
      <c r="LJE89" s="99"/>
      <c r="LJF89" s="99"/>
      <c r="LJG89" s="99"/>
      <c r="LJH89" s="99"/>
      <c r="LJI89" s="99"/>
      <c r="LJJ89" s="99"/>
      <c r="LJK89" s="99"/>
      <c r="LJL89" s="99"/>
      <c r="LJM89" s="99"/>
      <c r="LJN89" s="99"/>
      <c r="LJO89" s="99"/>
      <c r="LJP89" s="99"/>
      <c r="LJQ89" s="99"/>
      <c r="LJR89" s="99"/>
      <c r="LJS89" s="99"/>
      <c r="LJT89" s="99"/>
      <c r="LJU89" s="99"/>
      <c r="LJV89" s="99"/>
      <c r="LJW89" s="99"/>
      <c r="LJX89" s="99"/>
      <c r="LJY89" s="99"/>
      <c r="LJZ89" s="99"/>
      <c r="LKA89" s="99"/>
      <c r="LKB89" s="99"/>
      <c r="LKC89" s="99"/>
      <c r="LKD89" s="99"/>
      <c r="LKE89" s="99"/>
      <c r="LKF89" s="99"/>
      <c r="LKG89" s="99"/>
      <c r="LKH89" s="99"/>
      <c r="LKI89" s="99"/>
      <c r="LKJ89" s="99"/>
      <c r="LKK89" s="99"/>
      <c r="LKL89" s="99"/>
      <c r="LKM89" s="99"/>
      <c r="LKN89" s="99"/>
      <c r="LKO89" s="99"/>
      <c r="LKP89" s="99"/>
      <c r="LKQ89" s="99"/>
      <c r="LKR89" s="99"/>
      <c r="LKS89" s="99"/>
      <c r="LKT89" s="99"/>
      <c r="LKU89" s="99"/>
      <c r="LKV89" s="99"/>
      <c r="LKW89" s="99"/>
      <c r="LKX89" s="99"/>
      <c r="LKY89" s="99"/>
      <c r="LKZ89" s="99"/>
      <c r="LLA89" s="99"/>
      <c r="LLB89" s="99"/>
      <c r="LLC89" s="99"/>
      <c r="LLD89" s="99"/>
      <c r="LLE89" s="99"/>
      <c r="LLF89" s="99"/>
      <c r="LLG89" s="99"/>
      <c r="LLH89" s="99"/>
      <c r="LLI89" s="99"/>
      <c r="LLJ89" s="99"/>
      <c r="LLK89" s="99"/>
      <c r="LLL89" s="99"/>
      <c r="LLM89" s="99"/>
      <c r="LLN89" s="99"/>
      <c r="LLO89" s="99"/>
      <c r="LLP89" s="99"/>
      <c r="LLQ89" s="99"/>
      <c r="LLR89" s="99"/>
      <c r="LLS89" s="99"/>
      <c r="LLT89" s="99"/>
      <c r="LLU89" s="99"/>
      <c r="LLV89" s="99"/>
      <c r="LLW89" s="99"/>
      <c r="LLX89" s="99"/>
      <c r="LLY89" s="99"/>
      <c r="LLZ89" s="99"/>
      <c r="LMA89" s="99"/>
      <c r="LMB89" s="99"/>
      <c r="LMC89" s="99"/>
      <c r="LMD89" s="99"/>
      <c r="LME89" s="99"/>
      <c r="LMF89" s="99"/>
      <c r="LMG89" s="99"/>
      <c r="LMH89" s="99"/>
      <c r="LMI89" s="99"/>
      <c r="LMJ89" s="99"/>
      <c r="LMK89" s="99"/>
      <c r="LML89" s="99"/>
      <c r="LMM89" s="99"/>
      <c r="LMN89" s="99"/>
      <c r="LMO89" s="99"/>
      <c r="LMP89" s="99"/>
      <c r="LMQ89" s="99"/>
      <c r="LMR89" s="99"/>
      <c r="LMS89" s="99"/>
      <c r="LMT89" s="99"/>
      <c r="LMU89" s="99"/>
      <c r="LMV89" s="99"/>
      <c r="LMW89" s="99"/>
      <c r="LMX89" s="99"/>
      <c r="LMY89" s="99"/>
      <c r="LMZ89" s="99"/>
      <c r="LNA89" s="99"/>
      <c r="LNB89" s="99"/>
      <c r="LNC89" s="99"/>
      <c r="LND89" s="99"/>
      <c r="LNE89" s="99"/>
      <c r="LNF89" s="99"/>
      <c r="LNG89" s="99"/>
      <c r="LNH89" s="99"/>
      <c r="LNI89" s="99"/>
      <c r="LNJ89" s="99"/>
      <c r="LNK89" s="99"/>
      <c r="LNL89" s="99"/>
      <c r="LNM89" s="99"/>
      <c r="LNN89" s="99"/>
      <c r="LNO89" s="99"/>
      <c r="LNP89" s="99"/>
      <c r="LNQ89" s="99"/>
      <c r="LNR89" s="99"/>
      <c r="LNS89" s="99"/>
      <c r="LNT89" s="99"/>
      <c r="LNU89" s="99"/>
      <c r="LNV89" s="99"/>
      <c r="LNW89" s="99"/>
      <c r="LNX89" s="99"/>
      <c r="LNY89" s="99"/>
      <c r="LNZ89" s="99"/>
      <c r="LOA89" s="99"/>
      <c r="LOB89" s="99"/>
      <c r="LOC89" s="99"/>
      <c r="LOD89" s="99"/>
      <c r="LOE89" s="99"/>
      <c r="LOF89" s="99"/>
      <c r="LOG89" s="99"/>
      <c r="LOH89" s="99"/>
      <c r="LOI89" s="99"/>
      <c r="LOJ89" s="99"/>
      <c r="LOK89" s="99"/>
      <c r="LOL89" s="99"/>
      <c r="LOM89" s="99"/>
      <c r="LON89" s="99"/>
      <c r="LOO89" s="99"/>
      <c r="LOP89" s="99"/>
      <c r="LOQ89" s="99"/>
      <c r="LOR89" s="99"/>
      <c r="LOS89" s="99"/>
      <c r="LOT89" s="99"/>
      <c r="LOU89" s="99"/>
      <c r="LOV89" s="99"/>
      <c r="LOW89" s="99"/>
      <c r="LOX89" s="99"/>
      <c r="LOY89" s="99"/>
      <c r="LOZ89" s="99"/>
      <c r="LPA89" s="99"/>
      <c r="LPB89" s="99"/>
      <c r="LPC89" s="99"/>
      <c r="LPD89" s="99"/>
      <c r="LPE89" s="99"/>
      <c r="LPF89" s="99"/>
      <c r="LPG89" s="99"/>
      <c r="LPH89" s="99"/>
      <c r="LPI89" s="99"/>
      <c r="LPJ89" s="99"/>
      <c r="LPK89" s="99"/>
      <c r="LPL89" s="99"/>
      <c r="LPM89" s="99"/>
      <c r="LPN89" s="99"/>
      <c r="LPO89" s="99"/>
      <c r="LPP89" s="99"/>
      <c r="LPQ89" s="99"/>
      <c r="LPR89" s="99"/>
      <c r="LPS89" s="99"/>
      <c r="LPT89" s="99"/>
      <c r="LPU89" s="99"/>
      <c r="LPV89" s="99"/>
      <c r="LPW89" s="99"/>
      <c r="LPX89" s="99"/>
      <c r="LPY89" s="99"/>
      <c r="LPZ89" s="99"/>
      <c r="LQA89" s="99"/>
      <c r="LQB89" s="99"/>
      <c r="LQC89" s="99"/>
      <c r="LQD89" s="99"/>
      <c r="LQE89" s="99"/>
      <c r="LQF89" s="99"/>
      <c r="LQG89" s="99"/>
      <c r="LQH89" s="99"/>
      <c r="LQI89" s="99"/>
      <c r="LQJ89" s="99"/>
      <c r="LQK89" s="99"/>
      <c r="LQL89" s="99"/>
      <c r="LQM89" s="99"/>
      <c r="LQN89" s="99"/>
      <c r="LQO89" s="99"/>
      <c r="LQP89" s="99"/>
      <c r="LQQ89" s="99"/>
      <c r="LQR89" s="99"/>
      <c r="LQS89" s="99"/>
      <c r="LQT89" s="99"/>
      <c r="LQU89" s="99"/>
      <c r="LQV89" s="99"/>
      <c r="LQW89" s="99"/>
      <c r="LQX89" s="99"/>
      <c r="LQY89" s="99"/>
      <c r="LQZ89" s="99"/>
      <c r="LRA89" s="99"/>
      <c r="LRB89" s="99"/>
      <c r="LRC89" s="99"/>
      <c r="LRD89" s="99"/>
      <c r="LRE89" s="99"/>
      <c r="LRF89" s="99"/>
      <c r="LRG89" s="99"/>
      <c r="LRH89" s="99"/>
      <c r="LRI89" s="99"/>
      <c r="LRJ89" s="99"/>
      <c r="LRK89" s="99"/>
      <c r="LRL89" s="99"/>
      <c r="LRM89" s="99"/>
      <c r="LRN89" s="99"/>
      <c r="LRO89" s="99"/>
      <c r="LRP89" s="99"/>
      <c r="LRQ89" s="99"/>
      <c r="LRR89" s="99"/>
      <c r="LRS89" s="99"/>
      <c r="LRT89" s="99"/>
      <c r="LRU89" s="99"/>
      <c r="LRV89" s="99"/>
      <c r="LRW89" s="99"/>
      <c r="LRX89" s="99"/>
      <c r="LRY89" s="99"/>
      <c r="LRZ89" s="99"/>
      <c r="LSA89" s="99"/>
      <c r="LSB89" s="99"/>
      <c r="LSC89" s="99"/>
      <c r="LSD89" s="99"/>
      <c r="LSE89" s="99"/>
      <c r="LSF89" s="99"/>
      <c r="LSG89" s="99"/>
      <c r="LSH89" s="99"/>
      <c r="LSI89" s="99"/>
      <c r="LSJ89" s="99"/>
      <c r="LSK89" s="99"/>
      <c r="LSL89" s="99"/>
      <c r="LSM89" s="99"/>
      <c r="LSN89" s="99"/>
      <c r="LSO89" s="99"/>
      <c r="LSP89" s="99"/>
      <c r="LSQ89" s="99"/>
      <c r="LSR89" s="99"/>
      <c r="LSS89" s="99"/>
      <c r="LST89" s="99"/>
      <c r="LSU89" s="99"/>
      <c r="LSV89" s="99"/>
      <c r="LSW89" s="99"/>
      <c r="LSX89" s="99"/>
      <c r="LSY89" s="99"/>
      <c r="LSZ89" s="99"/>
      <c r="LTA89" s="99"/>
      <c r="LTB89" s="99"/>
      <c r="LTC89" s="99"/>
      <c r="LTD89" s="99"/>
      <c r="LTE89" s="99"/>
      <c r="LTF89" s="99"/>
      <c r="LTG89" s="99"/>
      <c r="LTH89" s="99"/>
      <c r="LTI89" s="99"/>
      <c r="LTJ89" s="99"/>
      <c r="LTK89" s="99"/>
      <c r="LTL89" s="99"/>
      <c r="LTM89" s="99"/>
      <c r="LTN89" s="99"/>
      <c r="LTO89" s="99"/>
      <c r="LTP89" s="99"/>
      <c r="LTQ89" s="99"/>
      <c r="LTR89" s="99"/>
      <c r="LTS89" s="99"/>
      <c r="LTT89" s="99"/>
      <c r="LTU89" s="99"/>
      <c r="LTV89" s="99"/>
      <c r="LTW89" s="99"/>
      <c r="LTX89" s="99"/>
      <c r="LTY89" s="99"/>
      <c r="LTZ89" s="99"/>
      <c r="LUA89" s="99"/>
      <c r="LUB89" s="99"/>
      <c r="LUC89" s="99"/>
      <c r="LUD89" s="99"/>
      <c r="LUE89" s="99"/>
      <c r="LUF89" s="99"/>
      <c r="LUG89" s="99"/>
      <c r="LUH89" s="99"/>
      <c r="LUI89" s="99"/>
      <c r="LUJ89" s="99"/>
      <c r="LUK89" s="99"/>
      <c r="LUL89" s="99"/>
      <c r="LUM89" s="99"/>
      <c r="LUN89" s="99"/>
      <c r="LUO89" s="99"/>
      <c r="LUP89" s="99"/>
      <c r="LUQ89" s="99"/>
      <c r="LUR89" s="99"/>
      <c r="LUS89" s="99"/>
      <c r="LUT89" s="99"/>
      <c r="LUU89" s="99"/>
      <c r="LUV89" s="99"/>
      <c r="LUW89" s="99"/>
      <c r="LUX89" s="99"/>
      <c r="LUY89" s="99"/>
      <c r="LUZ89" s="99"/>
      <c r="LVA89" s="99"/>
      <c r="LVB89" s="99"/>
      <c r="LVC89" s="99"/>
      <c r="LVD89" s="99"/>
      <c r="LVE89" s="99"/>
      <c r="LVF89" s="99"/>
      <c r="LVG89" s="99"/>
      <c r="LVH89" s="99"/>
      <c r="LVI89" s="99"/>
      <c r="LVJ89" s="99"/>
      <c r="LVK89" s="99"/>
      <c r="LVL89" s="99"/>
      <c r="LVM89" s="99"/>
      <c r="LVN89" s="99"/>
      <c r="LVO89" s="99"/>
      <c r="LVP89" s="99"/>
      <c r="LVQ89" s="99"/>
      <c r="LVR89" s="99"/>
      <c r="LVS89" s="99"/>
      <c r="LVT89" s="99"/>
      <c r="LVU89" s="99"/>
      <c r="LVV89" s="99"/>
      <c r="LVW89" s="99"/>
      <c r="LVX89" s="99"/>
      <c r="LVY89" s="99"/>
      <c r="LVZ89" s="99"/>
      <c r="LWA89" s="99"/>
      <c r="LWB89" s="99"/>
      <c r="LWC89" s="99"/>
      <c r="LWD89" s="99"/>
      <c r="LWE89" s="99"/>
      <c r="LWF89" s="99"/>
      <c r="LWG89" s="99"/>
      <c r="LWH89" s="99"/>
      <c r="LWI89" s="99"/>
      <c r="LWJ89" s="99"/>
      <c r="LWK89" s="99"/>
      <c r="LWL89" s="99"/>
      <c r="LWM89" s="99"/>
      <c r="LWN89" s="99"/>
      <c r="LWO89" s="99"/>
      <c r="LWP89" s="99"/>
      <c r="LWQ89" s="99"/>
      <c r="LWR89" s="99"/>
      <c r="LWS89" s="99"/>
      <c r="LWT89" s="99"/>
      <c r="LWU89" s="99"/>
      <c r="LWV89" s="99"/>
      <c r="LWW89" s="99"/>
      <c r="LWX89" s="99"/>
      <c r="LWY89" s="99"/>
      <c r="LWZ89" s="99"/>
      <c r="LXA89" s="99"/>
      <c r="LXB89" s="99"/>
      <c r="LXC89" s="99"/>
      <c r="LXD89" s="99"/>
      <c r="LXE89" s="99"/>
      <c r="LXF89" s="99"/>
      <c r="LXG89" s="99"/>
      <c r="LXH89" s="99"/>
      <c r="LXI89" s="99"/>
      <c r="LXJ89" s="99"/>
      <c r="LXK89" s="99"/>
      <c r="LXL89" s="99"/>
      <c r="LXM89" s="99"/>
      <c r="LXN89" s="99"/>
      <c r="LXO89" s="99"/>
      <c r="LXP89" s="99"/>
      <c r="LXQ89" s="99"/>
      <c r="LXR89" s="99"/>
      <c r="LXS89" s="99"/>
      <c r="LXT89" s="99"/>
      <c r="LXU89" s="99"/>
      <c r="LXV89" s="99"/>
      <c r="LXW89" s="99"/>
      <c r="LXX89" s="99"/>
      <c r="LXY89" s="99"/>
      <c r="LXZ89" s="99"/>
      <c r="LYA89" s="99"/>
      <c r="LYB89" s="99"/>
      <c r="LYC89" s="99"/>
      <c r="LYD89" s="99"/>
      <c r="LYE89" s="99"/>
      <c r="LYF89" s="99"/>
      <c r="LYG89" s="99"/>
      <c r="LYH89" s="99"/>
      <c r="LYI89" s="99"/>
      <c r="LYJ89" s="99"/>
      <c r="LYK89" s="99"/>
      <c r="LYL89" s="99"/>
      <c r="LYM89" s="99"/>
      <c r="LYN89" s="99"/>
      <c r="LYO89" s="99"/>
      <c r="LYP89" s="99"/>
      <c r="LYQ89" s="99"/>
      <c r="LYR89" s="99"/>
      <c r="LYS89" s="99"/>
      <c r="LYT89" s="99"/>
      <c r="LYU89" s="99"/>
      <c r="LYV89" s="99"/>
      <c r="LYW89" s="99"/>
      <c r="LYX89" s="99"/>
      <c r="LYY89" s="99"/>
      <c r="LYZ89" s="99"/>
      <c r="LZA89" s="99"/>
      <c r="LZB89" s="99"/>
      <c r="LZC89" s="99"/>
      <c r="LZD89" s="99"/>
      <c r="LZE89" s="99"/>
      <c r="LZF89" s="99"/>
      <c r="LZG89" s="99"/>
      <c r="LZH89" s="99"/>
      <c r="LZI89" s="99"/>
      <c r="LZJ89" s="99"/>
      <c r="LZK89" s="99"/>
      <c r="LZL89" s="99"/>
      <c r="LZM89" s="99"/>
      <c r="LZN89" s="99"/>
      <c r="LZO89" s="99"/>
      <c r="LZP89" s="99"/>
      <c r="LZQ89" s="99"/>
      <c r="LZR89" s="99"/>
      <c r="LZS89" s="99"/>
      <c r="LZT89" s="99"/>
      <c r="LZU89" s="99"/>
      <c r="LZV89" s="99"/>
      <c r="LZW89" s="99"/>
      <c r="LZX89" s="99"/>
      <c r="LZY89" s="99"/>
      <c r="LZZ89" s="99"/>
      <c r="MAA89" s="99"/>
      <c r="MAB89" s="99"/>
      <c r="MAC89" s="99"/>
      <c r="MAD89" s="99"/>
      <c r="MAE89" s="99"/>
      <c r="MAF89" s="99"/>
      <c r="MAG89" s="99"/>
      <c r="MAH89" s="99"/>
      <c r="MAI89" s="99"/>
      <c r="MAJ89" s="99"/>
      <c r="MAK89" s="99"/>
      <c r="MAL89" s="99"/>
      <c r="MAM89" s="99"/>
      <c r="MAN89" s="99"/>
      <c r="MAO89" s="99"/>
      <c r="MAP89" s="99"/>
      <c r="MAQ89" s="99"/>
      <c r="MAR89" s="99"/>
      <c r="MAS89" s="99"/>
      <c r="MAT89" s="99"/>
      <c r="MAU89" s="99"/>
      <c r="MAV89" s="99"/>
      <c r="MAW89" s="99"/>
      <c r="MAX89" s="99"/>
      <c r="MAY89" s="99"/>
      <c r="MAZ89" s="99"/>
      <c r="MBA89" s="99"/>
      <c r="MBB89" s="99"/>
      <c r="MBC89" s="99"/>
      <c r="MBD89" s="99"/>
      <c r="MBE89" s="99"/>
      <c r="MBF89" s="99"/>
      <c r="MBG89" s="99"/>
      <c r="MBH89" s="99"/>
      <c r="MBI89" s="99"/>
      <c r="MBJ89" s="99"/>
      <c r="MBK89" s="99"/>
      <c r="MBL89" s="99"/>
      <c r="MBM89" s="99"/>
      <c r="MBN89" s="99"/>
      <c r="MBO89" s="99"/>
      <c r="MBP89" s="99"/>
      <c r="MBQ89" s="99"/>
      <c r="MBR89" s="99"/>
      <c r="MBS89" s="99"/>
      <c r="MBT89" s="99"/>
      <c r="MBU89" s="99"/>
      <c r="MBV89" s="99"/>
      <c r="MBW89" s="99"/>
      <c r="MBX89" s="99"/>
      <c r="MBY89" s="99"/>
      <c r="MBZ89" s="99"/>
      <c r="MCA89" s="99"/>
      <c r="MCB89" s="99"/>
      <c r="MCC89" s="99"/>
      <c r="MCD89" s="99"/>
      <c r="MCE89" s="99"/>
      <c r="MCF89" s="99"/>
      <c r="MCG89" s="99"/>
      <c r="MCH89" s="99"/>
      <c r="MCI89" s="99"/>
      <c r="MCJ89" s="99"/>
      <c r="MCK89" s="99"/>
      <c r="MCL89" s="99"/>
      <c r="MCM89" s="99"/>
      <c r="MCN89" s="99"/>
      <c r="MCO89" s="99"/>
      <c r="MCP89" s="99"/>
      <c r="MCQ89" s="99"/>
      <c r="MCR89" s="99"/>
      <c r="MCS89" s="99"/>
      <c r="MCT89" s="99"/>
      <c r="MCU89" s="99"/>
      <c r="MCV89" s="99"/>
      <c r="MCW89" s="99"/>
      <c r="MCX89" s="99"/>
      <c r="MCY89" s="99"/>
      <c r="MCZ89" s="99"/>
      <c r="MDA89" s="99"/>
      <c r="MDB89" s="99"/>
      <c r="MDC89" s="99"/>
      <c r="MDD89" s="99"/>
      <c r="MDE89" s="99"/>
      <c r="MDF89" s="99"/>
      <c r="MDG89" s="99"/>
      <c r="MDH89" s="99"/>
      <c r="MDI89" s="99"/>
      <c r="MDJ89" s="99"/>
      <c r="MDK89" s="99"/>
      <c r="MDL89" s="99"/>
      <c r="MDM89" s="99"/>
      <c r="MDN89" s="99"/>
      <c r="MDO89" s="99"/>
      <c r="MDP89" s="99"/>
      <c r="MDQ89" s="99"/>
      <c r="MDR89" s="99"/>
      <c r="MDS89" s="99"/>
      <c r="MDT89" s="99"/>
      <c r="MDU89" s="99"/>
      <c r="MDV89" s="99"/>
      <c r="MDW89" s="99"/>
      <c r="MDX89" s="99"/>
      <c r="MDY89" s="99"/>
      <c r="MDZ89" s="99"/>
      <c r="MEA89" s="99"/>
      <c r="MEB89" s="99"/>
      <c r="MEC89" s="99"/>
      <c r="MED89" s="99"/>
      <c r="MEE89" s="99"/>
      <c r="MEF89" s="99"/>
      <c r="MEG89" s="99"/>
      <c r="MEH89" s="99"/>
      <c r="MEI89" s="99"/>
      <c r="MEJ89" s="99"/>
      <c r="MEK89" s="99"/>
      <c r="MEL89" s="99"/>
      <c r="MEM89" s="99"/>
      <c r="MEN89" s="99"/>
      <c r="MEO89" s="99"/>
      <c r="MEP89" s="99"/>
      <c r="MEQ89" s="99"/>
      <c r="MER89" s="99"/>
      <c r="MES89" s="99"/>
      <c r="MET89" s="99"/>
      <c r="MEU89" s="99"/>
      <c r="MEV89" s="99"/>
      <c r="MEW89" s="99"/>
      <c r="MEX89" s="99"/>
      <c r="MEY89" s="99"/>
      <c r="MEZ89" s="99"/>
      <c r="MFA89" s="99"/>
      <c r="MFB89" s="99"/>
      <c r="MFC89" s="99"/>
      <c r="MFD89" s="99"/>
      <c r="MFE89" s="99"/>
      <c r="MFF89" s="99"/>
      <c r="MFG89" s="99"/>
      <c r="MFH89" s="99"/>
      <c r="MFI89" s="99"/>
      <c r="MFJ89" s="99"/>
      <c r="MFK89" s="99"/>
      <c r="MFL89" s="99"/>
      <c r="MFM89" s="99"/>
      <c r="MFN89" s="99"/>
      <c r="MFO89" s="99"/>
      <c r="MFP89" s="99"/>
      <c r="MFQ89" s="99"/>
      <c r="MFR89" s="99"/>
      <c r="MFS89" s="99"/>
      <c r="MFT89" s="99"/>
      <c r="MFU89" s="99"/>
      <c r="MFV89" s="99"/>
      <c r="MFW89" s="99"/>
      <c r="MFX89" s="99"/>
      <c r="MFY89" s="99"/>
      <c r="MFZ89" s="99"/>
      <c r="MGA89" s="99"/>
      <c r="MGB89" s="99"/>
      <c r="MGC89" s="99"/>
      <c r="MGD89" s="99"/>
      <c r="MGE89" s="99"/>
      <c r="MGF89" s="99"/>
      <c r="MGG89" s="99"/>
      <c r="MGH89" s="99"/>
      <c r="MGI89" s="99"/>
      <c r="MGJ89" s="99"/>
      <c r="MGK89" s="99"/>
      <c r="MGL89" s="99"/>
      <c r="MGM89" s="99"/>
      <c r="MGN89" s="99"/>
      <c r="MGO89" s="99"/>
      <c r="MGP89" s="99"/>
      <c r="MGQ89" s="99"/>
      <c r="MGR89" s="99"/>
      <c r="MGS89" s="99"/>
      <c r="MGT89" s="99"/>
      <c r="MGU89" s="99"/>
      <c r="MGV89" s="99"/>
      <c r="MGW89" s="99"/>
      <c r="MGX89" s="99"/>
      <c r="MGY89" s="99"/>
      <c r="MGZ89" s="99"/>
      <c r="MHA89" s="99"/>
      <c r="MHB89" s="99"/>
      <c r="MHC89" s="99"/>
      <c r="MHD89" s="99"/>
      <c r="MHE89" s="99"/>
      <c r="MHF89" s="99"/>
      <c r="MHG89" s="99"/>
      <c r="MHH89" s="99"/>
      <c r="MHI89" s="99"/>
      <c r="MHJ89" s="99"/>
      <c r="MHK89" s="99"/>
      <c r="MHL89" s="99"/>
      <c r="MHM89" s="99"/>
      <c r="MHN89" s="99"/>
      <c r="MHO89" s="99"/>
      <c r="MHP89" s="99"/>
      <c r="MHQ89" s="99"/>
      <c r="MHR89" s="99"/>
      <c r="MHS89" s="99"/>
      <c r="MHT89" s="99"/>
      <c r="MHU89" s="99"/>
      <c r="MHV89" s="99"/>
      <c r="MHW89" s="99"/>
      <c r="MHX89" s="99"/>
      <c r="MHY89" s="99"/>
      <c r="MHZ89" s="99"/>
      <c r="MIA89" s="99"/>
      <c r="MIB89" s="99"/>
      <c r="MIC89" s="99"/>
      <c r="MID89" s="99"/>
      <c r="MIE89" s="99"/>
      <c r="MIF89" s="99"/>
      <c r="MIG89" s="99"/>
      <c r="MIH89" s="99"/>
      <c r="MII89" s="99"/>
      <c r="MIJ89" s="99"/>
      <c r="MIK89" s="99"/>
      <c r="MIL89" s="99"/>
      <c r="MIM89" s="99"/>
      <c r="MIN89" s="99"/>
      <c r="MIO89" s="99"/>
      <c r="MIP89" s="99"/>
      <c r="MIQ89" s="99"/>
      <c r="MIR89" s="99"/>
      <c r="MIS89" s="99"/>
      <c r="MIT89" s="99"/>
      <c r="MIU89" s="99"/>
      <c r="MIV89" s="99"/>
      <c r="MIW89" s="99"/>
      <c r="MIX89" s="99"/>
      <c r="MIY89" s="99"/>
      <c r="MIZ89" s="99"/>
      <c r="MJA89" s="99"/>
      <c r="MJB89" s="99"/>
      <c r="MJC89" s="99"/>
      <c r="MJD89" s="99"/>
      <c r="MJE89" s="99"/>
      <c r="MJF89" s="99"/>
      <c r="MJG89" s="99"/>
      <c r="MJH89" s="99"/>
      <c r="MJI89" s="99"/>
      <c r="MJJ89" s="99"/>
      <c r="MJK89" s="99"/>
      <c r="MJL89" s="99"/>
      <c r="MJM89" s="99"/>
      <c r="MJN89" s="99"/>
      <c r="MJO89" s="99"/>
      <c r="MJP89" s="99"/>
      <c r="MJQ89" s="99"/>
      <c r="MJR89" s="99"/>
      <c r="MJS89" s="99"/>
      <c r="MJT89" s="99"/>
      <c r="MJU89" s="99"/>
      <c r="MJV89" s="99"/>
      <c r="MJW89" s="99"/>
      <c r="MJX89" s="99"/>
      <c r="MJY89" s="99"/>
      <c r="MJZ89" s="99"/>
      <c r="MKA89" s="99"/>
      <c r="MKB89" s="99"/>
      <c r="MKC89" s="99"/>
      <c r="MKD89" s="99"/>
      <c r="MKE89" s="99"/>
      <c r="MKF89" s="99"/>
      <c r="MKG89" s="99"/>
      <c r="MKH89" s="99"/>
      <c r="MKI89" s="99"/>
      <c r="MKJ89" s="99"/>
      <c r="MKK89" s="99"/>
      <c r="MKL89" s="99"/>
      <c r="MKM89" s="99"/>
      <c r="MKN89" s="99"/>
      <c r="MKO89" s="99"/>
      <c r="MKP89" s="99"/>
      <c r="MKQ89" s="99"/>
      <c r="MKR89" s="99"/>
      <c r="MKS89" s="99"/>
      <c r="MKT89" s="99"/>
      <c r="MKU89" s="99"/>
      <c r="MKV89" s="99"/>
      <c r="MKW89" s="99"/>
      <c r="MKX89" s="99"/>
      <c r="MKY89" s="99"/>
      <c r="MKZ89" s="99"/>
      <c r="MLA89" s="99"/>
      <c r="MLB89" s="99"/>
      <c r="MLC89" s="99"/>
      <c r="MLD89" s="99"/>
      <c r="MLE89" s="99"/>
      <c r="MLF89" s="99"/>
      <c r="MLG89" s="99"/>
      <c r="MLH89" s="99"/>
      <c r="MLI89" s="99"/>
      <c r="MLJ89" s="99"/>
      <c r="MLK89" s="99"/>
      <c r="MLL89" s="99"/>
      <c r="MLM89" s="99"/>
      <c r="MLN89" s="99"/>
      <c r="MLO89" s="99"/>
      <c r="MLP89" s="99"/>
      <c r="MLQ89" s="99"/>
      <c r="MLR89" s="99"/>
      <c r="MLS89" s="99"/>
      <c r="MLT89" s="99"/>
      <c r="MLU89" s="99"/>
      <c r="MLV89" s="99"/>
      <c r="MLW89" s="99"/>
      <c r="MLX89" s="99"/>
      <c r="MLY89" s="99"/>
      <c r="MLZ89" s="99"/>
      <c r="MMA89" s="99"/>
      <c r="MMB89" s="99"/>
      <c r="MMC89" s="99"/>
      <c r="MMD89" s="99"/>
      <c r="MME89" s="99"/>
      <c r="MMF89" s="99"/>
      <c r="MMG89" s="99"/>
      <c r="MMH89" s="99"/>
      <c r="MMI89" s="99"/>
      <c r="MMJ89" s="99"/>
      <c r="MMK89" s="99"/>
      <c r="MML89" s="99"/>
      <c r="MMM89" s="99"/>
      <c r="MMN89" s="99"/>
      <c r="MMO89" s="99"/>
      <c r="MMP89" s="99"/>
      <c r="MMQ89" s="99"/>
      <c r="MMR89" s="99"/>
      <c r="MMS89" s="99"/>
      <c r="MMT89" s="99"/>
      <c r="MMU89" s="99"/>
      <c r="MMV89" s="99"/>
      <c r="MMW89" s="99"/>
      <c r="MMX89" s="99"/>
      <c r="MMY89" s="99"/>
      <c r="MMZ89" s="99"/>
      <c r="MNA89" s="99"/>
      <c r="MNB89" s="99"/>
      <c r="MNC89" s="99"/>
      <c r="MND89" s="99"/>
      <c r="MNE89" s="99"/>
      <c r="MNF89" s="99"/>
      <c r="MNG89" s="99"/>
      <c r="MNH89" s="99"/>
      <c r="MNI89" s="99"/>
      <c r="MNJ89" s="99"/>
      <c r="MNK89" s="99"/>
      <c r="MNL89" s="99"/>
      <c r="MNM89" s="99"/>
      <c r="MNN89" s="99"/>
      <c r="MNO89" s="99"/>
      <c r="MNP89" s="99"/>
      <c r="MNQ89" s="99"/>
      <c r="MNR89" s="99"/>
      <c r="MNS89" s="99"/>
      <c r="MNT89" s="99"/>
      <c r="MNU89" s="99"/>
      <c r="MNV89" s="99"/>
      <c r="MNW89" s="99"/>
      <c r="MNX89" s="99"/>
      <c r="MNY89" s="99"/>
      <c r="MNZ89" s="99"/>
      <c r="MOA89" s="99"/>
      <c r="MOB89" s="99"/>
      <c r="MOC89" s="99"/>
      <c r="MOD89" s="99"/>
      <c r="MOE89" s="99"/>
      <c r="MOF89" s="99"/>
      <c r="MOG89" s="99"/>
      <c r="MOH89" s="99"/>
      <c r="MOI89" s="99"/>
      <c r="MOJ89" s="99"/>
      <c r="MOK89" s="99"/>
      <c r="MOL89" s="99"/>
      <c r="MOM89" s="99"/>
      <c r="MON89" s="99"/>
      <c r="MOO89" s="99"/>
      <c r="MOP89" s="99"/>
      <c r="MOQ89" s="99"/>
      <c r="MOR89" s="99"/>
      <c r="MOS89" s="99"/>
      <c r="MOT89" s="99"/>
      <c r="MOU89" s="99"/>
      <c r="MOV89" s="99"/>
      <c r="MOW89" s="99"/>
      <c r="MOX89" s="99"/>
      <c r="MOY89" s="99"/>
      <c r="MOZ89" s="99"/>
      <c r="MPA89" s="99"/>
      <c r="MPB89" s="99"/>
      <c r="MPC89" s="99"/>
      <c r="MPD89" s="99"/>
      <c r="MPE89" s="99"/>
      <c r="MPF89" s="99"/>
      <c r="MPG89" s="99"/>
      <c r="MPH89" s="99"/>
      <c r="MPI89" s="99"/>
      <c r="MPJ89" s="99"/>
      <c r="MPK89" s="99"/>
      <c r="MPL89" s="99"/>
      <c r="MPM89" s="99"/>
      <c r="MPN89" s="99"/>
      <c r="MPO89" s="99"/>
      <c r="MPP89" s="99"/>
      <c r="MPQ89" s="99"/>
      <c r="MPR89" s="99"/>
      <c r="MPS89" s="99"/>
      <c r="MPT89" s="99"/>
      <c r="MPU89" s="99"/>
      <c r="MPV89" s="99"/>
      <c r="MPW89" s="99"/>
      <c r="MPX89" s="99"/>
      <c r="MPY89" s="99"/>
      <c r="MPZ89" s="99"/>
      <c r="MQA89" s="99"/>
      <c r="MQB89" s="99"/>
      <c r="MQC89" s="99"/>
      <c r="MQD89" s="99"/>
      <c r="MQE89" s="99"/>
      <c r="MQF89" s="99"/>
      <c r="MQG89" s="99"/>
      <c r="MQH89" s="99"/>
      <c r="MQI89" s="99"/>
      <c r="MQJ89" s="99"/>
      <c r="MQK89" s="99"/>
      <c r="MQL89" s="99"/>
      <c r="MQM89" s="99"/>
      <c r="MQN89" s="99"/>
      <c r="MQO89" s="99"/>
      <c r="MQP89" s="99"/>
      <c r="MQQ89" s="99"/>
      <c r="MQR89" s="99"/>
      <c r="MQS89" s="99"/>
      <c r="MQT89" s="99"/>
      <c r="MQU89" s="99"/>
      <c r="MQV89" s="99"/>
      <c r="MQW89" s="99"/>
      <c r="MQX89" s="99"/>
      <c r="MQY89" s="99"/>
      <c r="MQZ89" s="99"/>
      <c r="MRA89" s="99"/>
      <c r="MRB89" s="99"/>
      <c r="MRC89" s="99"/>
      <c r="MRD89" s="99"/>
      <c r="MRE89" s="99"/>
      <c r="MRF89" s="99"/>
      <c r="MRG89" s="99"/>
      <c r="MRH89" s="99"/>
      <c r="MRI89" s="99"/>
      <c r="MRJ89" s="99"/>
      <c r="MRK89" s="99"/>
      <c r="MRL89" s="99"/>
      <c r="MRM89" s="99"/>
      <c r="MRN89" s="99"/>
      <c r="MRO89" s="99"/>
      <c r="MRP89" s="99"/>
      <c r="MRQ89" s="99"/>
      <c r="MRR89" s="99"/>
      <c r="MRS89" s="99"/>
      <c r="MRT89" s="99"/>
      <c r="MRU89" s="99"/>
      <c r="MRV89" s="99"/>
      <c r="MRW89" s="99"/>
      <c r="MRX89" s="99"/>
      <c r="MRY89" s="99"/>
      <c r="MRZ89" s="99"/>
      <c r="MSA89" s="99"/>
      <c r="MSB89" s="99"/>
      <c r="MSC89" s="99"/>
      <c r="MSD89" s="99"/>
      <c r="MSE89" s="99"/>
      <c r="MSF89" s="99"/>
      <c r="MSG89" s="99"/>
      <c r="MSH89" s="99"/>
      <c r="MSI89" s="99"/>
      <c r="MSJ89" s="99"/>
      <c r="MSK89" s="99"/>
      <c r="MSL89" s="99"/>
      <c r="MSM89" s="99"/>
      <c r="MSN89" s="99"/>
      <c r="MSO89" s="99"/>
      <c r="MSP89" s="99"/>
      <c r="MSQ89" s="99"/>
      <c r="MSR89" s="99"/>
      <c r="MSS89" s="99"/>
      <c r="MST89" s="99"/>
      <c r="MSU89" s="99"/>
      <c r="MSV89" s="99"/>
      <c r="MSW89" s="99"/>
      <c r="MSX89" s="99"/>
      <c r="MSY89" s="99"/>
      <c r="MSZ89" s="99"/>
      <c r="MTA89" s="99"/>
      <c r="MTB89" s="99"/>
      <c r="MTC89" s="99"/>
      <c r="MTD89" s="99"/>
      <c r="MTE89" s="99"/>
      <c r="MTF89" s="99"/>
      <c r="MTG89" s="99"/>
      <c r="MTH89" s="99"/>
      <c r="MTI89" s="99"/>
      <c r="MTJ89" s="99"/>
      <c r="MTK89" s="99"/>
      <c r="MTL89" s="99"/>
      <c r="MTM89" s="99"/>
      <c r="MTN89" s="99"/>
      <c r="MTO89" s="99"/>
      <c r="MTP89" s="99"/>
      <c r="MTQ89" s="99"/>
      <c r="MTR89" s="99"/>
      <c r="MTS89" s="99"/>
      <c r="MTT89" s="99"/>
      <c r="MTU89" s="99"/>
      <c r="MTV89" s="99"/>
      <c r="MTW89" s="99"/>
      <c r="MTX89" s="99"/>
      <c r="MTY89" s="99"/>
      <c r="MTZ89" s="99"/>
      <c r="MUA89" s="99"/>
      <c r="MUB89" s="99"/>
      <c r="MUC89" s="99"/>
      <c r="MUD89" s="99"/>
      <c r="MUE89" s="99"/>
      <c r="MUF89" s="99"/>
      <c r="MUG89" s="99"/>
      <c r="MUH89" s="99"/>
      <c r="MUI89" s="99"/>
      <c r="MUJ89" s="99"/>
      <c r="MUK89" s="99"/>
      <c r="MUL89" s="99"/>
      <c r="MUM89" s="99"/>
      <c r="MUN89" s="99"/>
      <c r="MUO89" s="99"/>
      <c r="MUP89" s="99"/>
      <c r="MUQ89" s="99"/>
      <c r="MUR89" s="99"/>
      <c r="MUS89" s="99"/>
      <c r="MUT89" s="99"/>
      <c r="MUU89" s="99"/>
      <c r="MUV89" s="99"/>
      <c r="MUW89" s="99"/>
      <c r="MUX89" s="99"/>
      <c r="MUY89" s="99"/>
      <c r="MUZ89" s="99"/>
      <c r="MVA89" s="99"/>
      <c r="MVB89" s="99"/>
      <c r="MVC89" s="99"/>
      <c r="MVD89" s="99"/>
      <c r="MVE89" s="99"/>
      <c r="MVF89" s="99"/>
      <c r="MVG89" s="99"/>
      <c r="MVH89" s="99"/>
      <c r="MVI89" s="99"/>
      <c r="MVJ89" s="99"/>
      <c r="MVK89" s="99"/>
      <c r="MVL89" s="99"/>
      <c r="MVM89" s="99"/>
      <c r="MVN89" s="99"/>
      <c r="MVO89" s="99"/>
      <c r="MVP89" s="99"/>
      <c r="MVQ89" s="99"/>
      <c r="MVR89" s="99"/>
      <c r="MVS89" s="99"/>
      <c r="MVT89" s="99"/>
      <c r="MVU89" s="99"/>
      <c r="MVV89" s="99"/>
      <c r="MVW89" s="99"/>
      <c r="MVX89" s="99"/>
      <c r="MVY89" s="99"/>
      <c r="MVZ89" s="99"/>
      <c r="MWA89" s="99"/>
      <c r="MWB89" s="99"/>
      <c r="MWC89" s="99"/>
      <c r="MWD89" s="99"/>
      <c r="MWE89" s="99"/>
      <c r="MWF89" s="99"/>
      <c r="MWG89" s="99"/>
      <c r="MWH89" s="99"/>
      <c r="MWI89" s="99"/>
      <c r="MWJ89" s="99"/>
      <c r="MWK89" s="99"/>
      <c r="MWL89" s="99"/>
      <c r="MWM89" s="99"/>
      <c r="MWN89" s="99"/>
      <c r="MWO89" s="99"/>
      <c r="MWP89" s="99"/>
      <c r="MWQ89" s="99"/>
      <c r="MWR89" s="99"/>
      <c r="MWS89" s="99"/>
      <c r="MWT89" s="99"/>
      <c r="MWU89" s="99"/>
      <c r="MWV89" s="99"/>
      <c r="MWW89" s="99"/>
      <c r="MWX89" s="99"/>
      <c r="MWY89" s="99"/>
      <c r="MWZ89" s="99"/>
      <c r="MXA89" s="99"/>
      <c r="MXB89" s="99"/>
      <c r="MXC89" s="99"/>
      <c r="MXD89" s="99"/>
      <c r="MXE89" s="99"/>
      <c r="MXF89" s="99"/>
      <c r="MXG89" s="99"/>
      <c r="MXH89" s="99"/>
      <c r="MXI89" s="99"/>
      <c r="MXJ89" s="99"/>
      <c r="MXK89" s="99"/>
      <c r="MXL89" s="99"/>
      <c r="MXM89" s="99"/>
      <c r="MXN89" s="99"/>
      <c r="MXO89" s="99"/>
      <c r="MXP89" s="99"/>
      <c r="MXQ89" s="99"/>
      <c r="MXR89" s="99"/>
      <c r="MXS89" s="99"/>
      <c r="MXT89" s="99"/>
      <c r="MXU89" s="99"/>
      <c r="MXV89" s="99"/>
      <c r="MXW89" s="99"/>
      <c r="MXX89" s="99"/>
      <c r="MXY89" s="99"/>
      <c r="MXZ89" s="99"/>
      <c r="MYA89" s="99"/>
      <c r="MYB89" s="99"/>
      <c r="MYC89" s="99"/>
      <c r="MYD89" s="99"/>
      <c r="MYE89" s="99"/>
      <c r="MYF89" s="99"/>
      <c r="MYG89" s="99"/>
      <c r="MYH89" s="99"/>
      <c r="MYI89" s="99"/>
      <c r="MYJ89" s="99"/>
      <c r="MYK89" s="99"/>
      <c r="MYL89" s="99"/>
      <c r="MYM89" s="99"/>
      <c r="MYN89" s="99"/>
      <c r="MYO89" s="99"/>
      <c r="MYP89" s="99"/>
      <c r="MYQ89" s="99"/>
      <c r="MYR89" s="99"/>
      <c r="MYS89" s="99"/>
      <c r="MYT89" s="99"/>
      <c r="MYU89" s="99"/>
      <c r="MYV89" s="99"/>
      <c r="MYW89" s="99"/>
      <c r="MYX89" s="99"/>
      <c r="MYY89" s="99"/>
      <c r="MYZ89" s="99"/>
      <c r="MZA89" s="99"/>
      <c r="MZB89" s="99"/>
      <c r="MZC89" s="99"/>
      <c r="MZD89" s="99"/>
      <c r="MZE89" s="99"/>
      <c r="MZF89" s="99"/>
      <c r="MZG89" s="99"/>
      <c r="MZH89" s="99"/>
      <c r="MZI89" s="99"/>
      <c r="MZJ89" s="99"/>
      <c r="MZK89" s="99"/>
      <c r="MZL89" s="99"/>
      <c r="MZM89" s="99"/>
      <c r="MZN89" s="99"/>
      <c r="MZO89" s="99"/>
      <c r="MZP89" s="99"/>
      <c r="MZQ89" s="99"/>
      <c r="MZR89" s="99"/>
      <c r="MZS89" s="99"/>
      <c r="MZT89" s="99"/>
      <c r="MZU89" s="99"/>
      <c r="MZV89" s="99"/>
      <c r="MZW89" s="99"/>
      <c r="MZX89" s="99"/>
      <c r="MZY89" s="99"/>
      <c r="MZZ89" s="99"/>
      <c r="NAA89" s="99"/>
      <c r="NAB89" s="99"/>
      <c r="NAC89" s="99"/>
      <c r="NAD89" s="99"/>
      <c r="NAE89" s="99"/>
      <c r="NAF89" s="99"/>
      <c r="NAG89" s="99"/>
      <c r="NAH89" s="99"/>
      <c r="NAI89" s="99"/>
      <c r="NAJ89" s="99"/>
      <c r="NAK89" s="99"/>
      <c r="NAL89" s="99"/>
      <c r="NAM89" s="99"/>
      <c r="NAN89" s="99"/>
      <c r="NAO89" s="99"/>
      <c r="NAP89" s="99"/>
      <c r="NAQ89" s="99"/>
      <c r="NAR89" s="99"/>
      <c r="NAS89" s="99"/>
      <c r="NAT89" s="99"/>
      <c r="NAU89" s="99"/>
      <c r="NAV89" s="99"/>
      <c r="NAW89" s="99"/>
      <c r="NAX89" s="99"/>
      <c r="NAY89" s="99"/>
      <c r="NAZ89" s="99"/>
      <c r="NBA89" s="99"/>
      <c r="NBB89" s="99"/>
      <c r="NBC89" s="99"/>
      <c r="NBD89" s="99"/>
      <c r="NBE89" s="99"/>
      <c r="NBF89" s="99"/>
      <c r="NBG89" s="99"/>
      <c r="NBH89" s="99"/>
      <c r="NBI89" s="99"/>
      <c r="NBJ89" s="99"/>
      <c r="NBK89" s="99"/>
      <c r="NBL89" s="99"/>
      <c r="NBM89" s="99"/>
      <c r="NBN89" s="99"/>
      <c r="NBO89" s="99"/>
      <c r="NBP89" s="99"/>
      <c r="NBQ89" s="99"/>
      <c r="NBR89" s="99"/>
      <c r="NBS89" s="99"/>
      <c r="NBT89" s="99"/>
      <c r="NBU89" s="99"/>
      <c r="NBV89" s="99"/>
      <c r="NBW89" s="99"/>
      <c r="NBX89" s="99"/>
      <c r="NBY89" s="99"/>
      <c r="NBZ89" s="99"/>
      <c r="NCA89" s="99"/>
      <c r="NCB89" s="99"/>
      <c r="NCC89" s="99"/>
      <c r="NCD89" s="99"/>
      <c r="NCE89" s="99"/>
      <c r="NCF89" s="99"/>
      <c r="NCG89" s="99"/>
      <c r="NCH89" s="99"/>
      <c r="NCI89" s="99"/>
      <c r="NCJ89" s="99"/>
      <c r="NCK89" s="99"/>
      <c r="NCL89" s="99"/>
      <c r="NCM89" s="99"/>
      <c r="NCN89" s="99"/>
      <c r="NCO89" s="99"/>
      <c r="NCP89" s="99"/>
      <c r="NCQ89" s="99"/>
      <c r="NCR89" s="99"/>
      <c r="NCS89" s="99"/>
      <c r="NCT89" s="99"/>
      <c r="NCU89" s="99"/>
      <c r="NCV89" s="99"/>
      <c r="NCW89" s="99"/>
      <c r="NCX89" s="99"/>
      <c r="NCY89" s="99"/>
      <c r="NCZ89" s="99"/>
      <c r="NDA89" s="99"/>
      <c r="NDB89" s="99"/>
      <c r="NDC89" s="99"/>
      <c r="NDD89" s="99"/>
      <c r="NDE89" s="99"/>
      <c r="NDF89" s="99"/>
      <c r="NDG89" s="99"/>
      <c r="NDH89" s="99"/>
      <c r="NDI89" s="99"/>
      <c r="NDJ89" s="99"/>
      <c r="NDK89" s="99"/>
      <c r="NDL89" s="99"/>
      <c r="NDM89" s="99"/>
      <c r="NDN89" s="99"/>
      <c r="NDO89" s="99"/>
      <c r="NDP89" s="99"/>
      <c r="NDQ89" s="99"/>
      <c r="NDR89" s="99"/>
      <c r="NDS89" s="99"/>
      <c r="NDT89" s="99"/>
      <c r="NDU89" s="99"/>
      <c r="NDV89" s="99"/>
      <c r="NDW89" s="99"/>
      <c r="NDX89" s="99"/>
      <c r="NDY89" s="99"/>
      <c r="NDZ89" s="99"/>
      <c r="NEA89" s="99"/>
      <c r="NEB89" s="99"/>
      <c r="NEC89" s="99"/>
      <c r="NED89" s="99"/>
      <c r="NEE89" s="99"/>
      <c r="NEF89" s="99"/>
      <c r="NEG89" s="99"/>
      <c r="NEH89" s="99"/>
      <c r="NEI89" s="99"/>
      <c r="NEJ89" s="99"/>
      <c r="NEK89" s="99"/>
      <c r="NEL89" s="99"/>
      <c r="NEM89" s="99"/>
      <c r="NEN89" s="99"/>
      <c r="NEO89" s="99"/>
      <c r="NEP89" s="99"/>
      <c r="NEQ89" s="99"/>
      <c r="NER89" s="99"/>
      <c r="NES89" s="99"/>
      <c r="NET89" s="99"/>
      <c r="NEU89" s="99"/>
      <c r="NEV89" s="99"/>
      <c r="NEW89" s="99"/>
      <c r="NEX89" s="99"/>
      <c r="NEY89" s="99"/>
      <c r="NEZ89" s="99"/>
      <c r="NFA89" s="99"/>
      <c r="NFB89" s="99"/>
      <c r="NFC89" s="99"/>
      <c r="NFD89" s="99"/>
      <c r="NFE89" s="99"/>
      <c r="NFF89" s="99"/>
      <c r="NFG89" s="99"/>
      <c r="NFH89" s="99"/>
      <c r="NFI89" s="99"/>
      <c r="NFJ89" s="99"/>
      <c r="NFK89" s="99"/>
      <c r="NFL89" s="99"/>
      <c r="NFM89" s="99"/>
      <c r="NFN89" s="99"/>
      <c r="NFO89" s="99"/>
      <c r="NFP89" s="99"/>
      <c r="NFQ89" s="99"/>
      <c r="NFR89" s="99"/>
      <c r="NFS89" s="99"/>
      <c r="NFT89" s="99"/>
      <c r="NFU89" s="99"/>
      <c r="NFV89" s="99"/>
      <c r="NFW89" s="99"/>
      <c r="NFX89" s="99"/>
      <c r="NFY89" s="99"/>
      <c r="NFZ89" s="99"/>
      <c r="NGA89" s="99"/>
      <c r="NGB89" s="99"/>
      <c r="NGC89" s="99"/>
      <c r="NGD89" s="99"/>
      <c r="NGE89" s="99"/>
      <c r="NGF89" s="99"/>
      <c r="NGG89" s="99"/>
      <c r="NGH89" s="99"/>
      <c r="NGI89" s="99"/>
      <c r="NGJ89" s="99"/>
      <c r="NGK89" s="99"/>
      <c r="NGL89" s="99"/>
      <c r="NGM89" s="99"/>
      <c r="NGN89" s="99"/>
      <c r="NGO89" s="99"/>
      <c r="NGP89" s="99"/>
      <c r="NGQ89" s="99"/>
      <c r="NGR89" s="99"/>
      <c r="NGS89" s="99"/>
      <c r="NGT89" s="99"/>
      <c r="NGU89" s="99"/>
      <c r="NGV89" s="99"/>
      <c r="NGW89" s="99"/>
      <c r="NGX89" s="99"/>
      <c r="NGY89" s="99"/>
      <c r="NGZ89" s="99"/>
      <c r="NHA89" s="99"/>
      <c r="NHB89" s="99"/>
      <c r="NHC89" s="99"/>
      <c r="NHD89" s="99"/>
      <c r="NHE89" s="99"/>
      <c r="NHF89" s="99"/>
      <c r="NHG89" s="99"/>
      <c r="NHH89" s="99"/>
      <c r="NHI89" s="99"/>
      <c r="NHJ89" s="99"/>
      <c r="NHK89" s="99"/>
      <c r="NHL89" s="99"/>
      <c r="NHM89" s="99"/>
      <c r="NHN89" s="99"/>
      <c r="NHO89" s="99"/>
      <c r="NHP89" s="99"/>
      <c r="NHQ89" s="99"/>
      <c r="NHR89" s="99"/>
      <c r="NHS89" s="99"/>
      <c r="NHT89" s="99"/>
      <c r="NHU89" s="99"/>
      <c r="NHV89" s="99"/>
      <c r="NHW89" s="99"/>
      <c r="NHX89" s="99"/>
      <c r="NHY89" s="99"/>
      <c r="NHZ89" s="99"/>
      <c r="NIA89" s="99"/>
      <c r="NIB89" s="99"/>
      <c r="NIC89" s="99"/>
      <c r="NID89" s="99"/>
      <c r="NIE89" s="99"/>
      <c r="NIF89" s="99"/>
      <c r="NIG89" s="99"/>
      <c r="NIH89" s="99"/>
      <c r="NII89" s="99"/>
      <c r="NIJ89" s="99"/>
      <c r="NIK89" s="99"/>
      <c r="NIL89" s="99"/>
      <c r="NIM89" s="99"/>
      <c r="NIN89" s="99"/>
      <c r="NIO89" s="99"/>
      <c r="NIP89" s="99"/>
      <c r="NIQ89" s="99"/>
      <c r="NIR89" s="99"/>
      <c r="NIS89" s="99"/>
      <c r="NIT89" s="99"/>
      <c r="NIU89" s="99"/>
      <c r="NIV89" s="99"/>
      <c r="NIW89" s="99"/>
      <c r="NIX89" s="99"/>
      <c r="NIY89" s="99"/>
      <c r="NIZ89" s="99"/>
      <c r="NJA89" s="99"/>
      <c r="NJB89" s="99"/>
      <c r="NJC89" s="99"/>
      <c r="NJD89" s="99"/>
      <c r="NJE89" s="99"/>
      <c r="NJF89" s="99"/>
      <c r="NJG89" s="99"/>
      <c r="NJH89" s="99"/>
      <c r="NJI89" s="99"/>
      <c r="NJJ89" s="99"/>
      <c r="NJK89" s="99"/>
      <c r="NJL89" s="99"/>
      <c r="NJM89" s="99"/>
      <c r="NJN89" s="99"/>
      <c r="NJO89" s="99"/>
      <c r="NJP89" s="99"/>
      <c r="NJQ89" s="99"/>
      <c r="NJR89" s="99"/>
      <c r="NJS89" s="99"/>
      <c r="NJT89" s="99"/>
      <c r="NJU89" s="99"/>
      <c r="NJV89" s="99"/>
      <c r="NJW89" s="99"/>
      <c r="NJX89" s="99"/>
      <c r="NJY89" s="99"/>
      <c r="NJZ89" s="99"/>
      <c r="NKA89" s="99"/>
      <c r="NKB89" s="99"/>
      <c r="NKC89" s="99"/>
      <c r="NKD89" s="99"/>
      <c r="NKE89" s="99"/>
      <c r="NKF89" s="99"/>
      <c r="NKG89" s="99"/>
      <c r="NKH89" s="99"/>
      <c r="NKI89" s="99"/>
      <c r="NKJ89" s="99"/>
      <c r="NKK89" s="99"/>
      <c r="NKL89" s="99"/>
      <c r="NKM89" s="99"/>
      <c r="NKN89" s="99"/>
      <c r="NKO89" s="99"/>
      <c r="NKP89" s="99"/>
      <c r="NKQ89" s="99"/>
      <c r="NKR89" s="99"/>
      <c r="NKS89" s="99"/>
      <c r="NKT89" s="99"/>
      <c r="NKU89" s="99"/>
      <c r="NKV89" s="99"/>
      <c r="NKW89" s="99"/>
      <c r="NKX89" s="99"/>
      <c r="NKY89" s="99"/>
      <c r="NKZ89" s="99"/>
      <c r="NLA89" s="99"/>
      <c r="NLB89" s="99"/>
      <c r="NLC89" s="99"/>
      <c r="NLD89" s="99"/>
      <c r="NLE89" s="99"/>
      <c r="NLF89" s="99"/>
      <c r="NLG89" s="99"/>
      <c r="NLH89" s="99"/>
      <c r="NLI89" s="99"/>
      <c r="NLJ89" s="99"/>
      <c r="NLK89" s="99"/>
      <c r="NLL89" s="99"/>
      <c r="NLM89" s="99"/>
      <c r="NLN89" s="99"/>
      <c r="NLO89" s="99"/>
      <c r="NLP89" s="99"/>
      <c r="NLQ89" s="99"/>
      <c r="NLR89" s="99"/>
      <c r="NLS89" s="99"/>
      <c r="NLT89" s="99"/>
      <c r="NLU89" s="99"/>
      <c r="NLV89" s="99"/>
      <c r="NLW89" s="99"/>
      <c r="NLX89" s="99"/>
      <c r="NLY89" s="99"/>
      <c r="NLZ89" s="99"/>
      <c r="NMA89" s="99"/>
      <c r="NMB89" s="99"/>
      <c r="NMC89" s="99"/>
      <c r="NMD89" s="99"/>
      <c r="NME89" s="99"/>
      <c r="NMF89" s="99"/>
      <c r="NMG89" s="99"/>
      <c r="NMH89" s="99"/>
      <c r="NMI89" s="99"/>
      <c r="NMJ89" s="99"/>
      <c r="NMK89" s="99"/>
      <c r="NML89" s="99"/>
      <c r="NMM89" s="99"/>
      <c r="NMN89" s="99"/>
      <c r="NMO89" s="99"/>
      <c r="NMP89" s="99"/>
      <c r="NMQ89" s="99"/>
      <c r="NMR89" s="99"/>
      <c r="NMS89" s="99"/>
      <c r="NMT89" s="99"/>
      <c r="NMU89" s="99"/>
      <c r="NMV89" s="99"/>
      <c r="NMW89" s="99"/>
      <c r="NMX89" s="99"/>
      <c r="NMY89" s="99"/>
      <c r="NMZ89" s="99"/>
      <c r="NNA89" s="99"/>
      <c r="NNB89" s="99"/>
      <c r="NNC89" s="99"/>
      <c r="NND89" s="99"/>
      <c r="NNE89" s="99"/>
      <c r="NNF89" s="99"/>
      <c r="NNG89" s="99"/>
      <c r="NNH89" s="99"/>
      <c r="NNI89" s="99"/>
      <c r="NNJ89" s="99"/>
      <c r="NNK89" s="99"/>
      <c r="NNL89" s="99"/>
      <c r="NNM89" s="99"/>
      <c r="NNN89" s="99"/>
      <c r="NNO89" s="99"/>
      <c r="NNP89" s="99"/>
      <c r="NNQ89" s="99"/>
      <c r="NNR89" s="99"/>
      <c r="NNS89" s="99"/>
      <c r="NNT89" s="99"/>
      <c r="NNU89" s="99"/>
      <c r="NNV89" s="99"/>
      <c r="NNW89" s="99"/>
      <c r="NNX89" s="99"/>
      <c r="NNY89" s="99"/>
      <c r="NNZ89" s="99"/>
      <c r="NOA89" s="99"/>
      <c r="NOB89" s="99"/>
      <c r="NOC89" s="99"/>
      <c r="NOD89" s="99"/>
      <c r="NOE89" s="99"/>
      <c r="NOF89" s="99"/>
      <c r="NOG89" s="99"/>
      <c r="NOH89" s="99"/>
      <c r="NOI89" s="99"/>
      <c r="NOJ89" s="99"/>
      <c r="NOK89" s="99"/>
      <c r="NOL89" s="99"/>
      <c r="NOM89" s="99"/>
      <c r="NON89" s="99"/>
      <c r="NOO89" s="99"/>
      <c r="NOP89" s="99"/>
      <c r="NOQ89" s="99"/>
      <c r="NOR89" s="99"/>
      <c r="NOS89" s="99"/>
      <c r="NOT89" s="99"/>
      <c r="NOU89" s="99"/>
      <c r="NOV89" s="99"/>
      <c r="NOW89" s="99"/>
      <c r="NOX89" s="99"/>
      <c r="NOY89" s="99"/>
      <c r="NOZ89" s="99"/>
      <c r="NPA89" s="99"/>
      <c r="NPB89" s="99"/>
      <c r="NPC89" s="99"/>
      <c r="NPD89" s="99"/>
      <c r="NPE89" s="99"/>
      <c r="NPF89" s="99"/>
      <c r="NPG89" s="99"/>
      <c r="NPH89" s="99"/>
      <c r="NPI89" s="99"/>
      <c r="NPJ89" s="99"/>
      <c r="NPK89" s="99"/>
      <c r="NPL89" s="99"/>
      <c r="NPM89" s="99"/>
      <c r="NPN89" s="99"/>
      <c r="NPO89" s="99"/>
      <c r="NPP89" s="99"/>
      <c r="NPQ89" s="99"/>
      <c r="NPR89" s="99"/>
      <c r="NPS89" s="99"/>
      <c r="NPT89" s="99"/>
      <c r="NPU89" s="99"/>
      <c r="NPV89" s="99"/>
      <c r="NPW89" s="99"/>
      <c r="NPX89" s="99"/>
      <c r="NPY89" s="99"/>
      <c r="NPZ89" s="99"/>
      <c r="NQA89" s="99"/>
      <c r="NQB89" s="99"/>
      <c r="NQC89" s="99"/>
      <c r="NQD89" s="99"/>
      <c r="NQE89" s="99"/>
      <c r="NQF89" s="99"/>
      <c r="NQG89" s="99"/>
      <c r="NQH89" s="99"/>
      <c r="NQI89" s="99"/>
      <c r="NQJ89" s="99"/>
      <c r="NQK89" s="99"/>
      <c r="NQL89" s="99"/>
      <c r="NQM89" s="99"/>
      <c r="NQN89" s="99"/>
      <c r="NQO89" s="99"/>
      <c r="NQP89" s="99"/>
      <c r="NQQ89" s="99"/>
      <c r="NQR89" s="99"/>
      <c r="NQS89" s="99"/>
      <c r="NQT89" s="99"/>
      <c r="NQU89" s="99"/>
      <c r="NQV89" s="99"/>
      <c r="NQW89" s="99"/>
      <c r="NQX89" s="99"/>
      <c r="NQY89" s="99"/>
      <c r="NQZ89" s="99"/>
      <c r="NRA89" s="99"/>
      <c r="NRB89" s="99"/>
      <c r="NRC89" s="99"/>
      <c r="NRD89" s="99"/>
      <c r="NRE89" s="99"/>
      <c r="NRF89" s="99"/>
      <c r="NRG89" s="99"/>
      <c r="NRH89" s="99"/>
      <c r="NRI89" s="99"/>
      <c r="NRJ89" s="99"/>
      <c r="NRK89" s="99"/>
      <c r="NRL89" s="99"/>
      <c r="NRM89" s="99"/>
      <c r="NRN89" s="99"/>
      <c r="NRO89" s="99"/>
      <c r="NRP89" s="99"/>
      <c r="NRQ89" s="99"/>
      <c r="NRR89" s="99"/>
      <c r="NRS89" s="99"/>
      <c r="NRT89" s="99"/>
      <c r="NRU89" s="99"/>
      <c r="NRV89" s="99"/>
      <c r="NRW89" s="99"/>
      <c r="NRX89" s="99"/>
      <c r="NRY89" s="99"/>
      <c r="NRZ89" s="99"/>
      <c r="NSA89" s="99"/>
      <c r="NSB89" s="99"/>
      <c r="NSC89" s="99"/>
      <c r="NSD89" s="99"/>
      <c r="NSE89" s="99"/>
      <c r="NSF89" s="99"/>
      <c r="NSG89" s="99"/>
      <c r="NSH89" s="99"/>
      <c r="NSI89" s="99"/>
      <c r="NSJ89" s="99"/>
      <c r="NSK89" s="99"/>
      <c r="NSL89" s="99"/>
      <c r="NSM89" s="99"/>
      <c r="NSN89" s="99"/>
      <c r="NSO89" s="99"/>
      <c r="NSP89" s="99"/>
      <c r="NSQ89" s="99"/>
      <c r="NSR89" s="99"/>
      <c r="NSS89" s="99"/>
      <c r="NST89" s="99"/>
      <c r="NSU89" s="99"/>
      <c r="NSV89" s="99"/>
      <c r="NSW89" s="99"/>
      <c r="NSX89" s="99"/>
      <c r="NSY89" s="99"/>
      <c r="NSZ89" s="99"/>
      <c r="NTA89" s="99"/>
      <c r="NTB89" s="99"/>
      <c r="NTC89" s="99"/>
      <c r="NTD89" s="99"/>
      <c r="NTE89" s="99"/>
      <c r="NTF89" s="99"/>
      <c r="NTG89" s="99"/>
      <c r="NTH89" s="99"/>
      <c r="NTI89" s="99"/>
      <c r="NTJ89" s="99"/>
      <c r="NTK89" s="99"/>
      <c r="NTL89" s="99"/>
      <c r="NTM89" s="99"/>
      <c r="NTN89" s="99"/>
      <c r="NTO89" s="99"/>
      <c r="NTP89" s="99"/>
      <c r="NTQ89" s="99"/>
      <c r="NTR89" s="99"/>
      <c r="NTS89" s="99"/>
      <c r="NTT89" s="99"/>
      <c r="NTU89" s="99"/>
      <c r="NTV89" s="99"/>
      <c r="NTW89" s="99"/>
      <c r="NTX89" s="99"/>
      <c r="NTY89" s="99"/>
      <c r="NTZ89" s="99"/>
      <c r="NUA89" s="99"/>
      <c r="NUB89" s="99"/>
      <c r="NUC89" s="99"/>
      <c r="NUD89" s="99"/>
      <c r="NUE89" s="99"/>
      <c r="NUF89" s="99"/>
      <c r="NUG89" s="99"/>
      <c r="NUH89" s="99"/>
      <c r="NUI89" s="99"/>
      <c r="NUJ89" s="99"/>
      <c r="NUK89" s="99"/>
      <c r="NUL89" s="99"/>
      <c r="NUM89" s="99"/>
      <c r="NUN89" s="99"/>
      <c r="NUO89" s="99"/>
      <c r="NUP89" s="99"/>
      <c r="NUQ89" s="99"/>
      <c r="NUR89" s="99"/>
      <c r="NUS89" s="99"/>
      <c r="NUT89" s="99"/>
      <c r="NUU89" s="99"/>
      <c r="NUV89" s="99"/>
      <c r="NUW89" s="99"/>
      <c r="NUX89" s="99"/>
      <c r="NUY89" s="99"/>
      <c r="NUZ89" s="99"/>
      <c r="NVA89" s="99"/>
      <c r="NVB89" s="99"/>
      <c r="NVC89" s="99"/>
      <c r="NVD89" s="99"/>
      <c r="NVE89" s="99"/>
      <c r="NVF89" s="99"/>
      <c r="NVG89" s="99"/>
      <c r="NVH89" s="99"/>
      <c r="NVI89" s="99"/>
      <c r="NVJ89" s="99"/>
      <c r="NVK89" s="99"/>
      <c r="NVL89" s="99"/>
      <c r="NVM89" s="99"/>
      <c r="NVN89" s="99"/>
      <c r="NVO89" s="99"/>
      <c r="NVP89" s="99"/>
      <c r="NVQ89" s="99"/>
      <c r="NVR89" s="99"/>
      <c r="NVS89" s="99"/>
      <c r="NVT89" s="99"/>
      <c r="NVU89" s="99"/>
      <c r="NVV89" s="99"/>
      <c r="NVW89" s="99"/>
      <c r="NVX89" s="99"/>
      <c r="NVY89" s="99"/>
      <c r="NVZ89" s="99"/>
      <c r="NWA89" s="99"/>
      <c r="NWB89" s="99"/>
      <c r="NWC89" s="99"/>
      <c r="NWD89" s="99"/>
      <c r="NWE89" s="99"/>
      <c r="NWF89" s="99"/>
      <c r="NWG89" s="99"/>
      <c r="NWH89" s="99"/>
      <c r="NWI89" s="99"/>
      <c r="NWJ89" s="99"/>
      <c r="NWK89" s="99"/>
      <c r="NWL89" s="99"/>
      <c r="NWM89" s="99"/>
      <c r="NWN89" s="99"/>
      <c r="NWO89" s="99"/>
      <c r="NWP89" s="99"/>
      <c r="NWQ89" s="99"/>
      <c r="NWR89" s="99"/>
      <c r="NWS89" s="99"/>
      <c r="NWT89" s="99"/>
      <c r="NWU89" s="99"/>
      <c r="NWV89" s="99"/>
      <c r="NWW89" s="99"/>
      <c r="NWX89" s="99"/>
      <c r="NWY89" s="99"/>
      <c r="NWZ89" s="99"/>
      <c r="NXA89" s="99"/>
      <c r="NXB89" s="99"/>
      <c r="NXC89" s="99"/>
      <c r="NXD89" s="99"/>
      <c r="NXE89" s="99"/>
      <c r="NXF89" s="99"/>
      <c r="NXG89" s="99"/>
      <c r="NXH89" s="99"/>
      <c r="NXI89" s="99"/>
      <c r="NXJ89" s="99"/>
      <c r="NXK89" s="99"/>
      <c r="NXL89" s="99"/>
      <c r="NXM89" s="99"/>
      <c r="NXN89" s="99"/>
      <c r="NXO89" s="99"/>
      <c r="NXP89" s="99"/>
      <c r="NXQ89" s="99"/>
      <c r="NXR89" s="99"/>
      <c r="NXS89" s="99"/>
      <c r="NXT89" s="99"/>
      <c r="NXU89" s="99"/>
      <c r="NXV89" s="99"/>
      <c r="NXW89" s="99"/>
      <c r="NXX89" s="99"/>
      <c r="NXY89" s="99"/>
      <c r="NXZ89" s="99"/>
      <c r="NYA89" s="99"/>
      <c r="NYB89" s="99"/>
      <c r="NYC89" s="99"/>
      <c r="NYD89" s="99"/>
      <c r="NYE89" s="99"/>
      <c r="NYF89" s="99"/>
      <c r="NYG89" s="99"/>
      <c r="NYH89" s="99"/>
      <c r="NYI89" s="99"/>
      <c r="NYJ89" s="99"/>
      <c r="NYK89" s="99"/>
      <c r="NYL89" s="99"/>
      <c r="NYM89" s="99"/>
      <c r="NYN89" s="99"/>
      <c r="NYO89" s="99"/>
      <c r="NYP89" s="99"/>
      <c r="NYQ89" s="99"/>
      <c r="NYR89" s="99"/>
      <c r="NYS89" s="99"/>
      <c r="NYT89" s="99"/>
      <c r="NYU89" s="99"/>
      <c r="NYV89" s="99"/>
      <c r="NYW89" s="99"/>
      <c r="NYX89" s="99"/>
      <c r="NYY89" s="99"/>
      <c r="NYZ89" s="99"/>
      <c r="NZA89" s="99"/>
      <c r="NZB89" s="99"/>
      <c r="NZC89" s="99"/>
      <c r="NZD89" s="99"/>
      <c r="NZE89" s="99"/>
      <c r="NZF89" s="99"/>
      <c r="NZG89" s="99"/>
      <c r="NZH89" s="99"/>
      <c r="NZI89" s="99"/>
      <c r="NZJ89" s="99"/>
      <c r="NZK89" s="99"/>
      <c r="NZL89" s="99"/>
      <c r="NZM89" s="99"/>
      <c r="NZN89" s="99"/>
      <c r="NZO89" s="99"/>
      <c r="NZP89" s="99"/>
      <c r="NZQ89" s="99"/>
      <c r="NZR89" s="99"/>
      <c r="NZS89" s="99"/>
      <c r="NZT89" s="99"/>
      <c r="NZU89" s="99"/>
      <c r="NZV89" s="99"/>
      <c r="NZW89" s="99"/>
      <c r="NZX89" s="99"/>
      <c r="NZY89" s="99"/>
      <c r="NZZ89" s="99"/>
      <c r="OAA89" s="99"/>
      <c r="OAB89" s="99"/>
      <c r="OAC89" s="99"/>
      <c r="OAD89" s="99"/>
      <c r="OAE89" s="99"/>
      <c r="OAF89" s="99"/>
      <c r="OAG89" s="99"/>
      <c r="OAH89" s="99"/>
      <c r="OAI89" s="99"/>
      <c r="OAJ89" s="99"/>
      <c r="OAK89" s="99"/>
      <c r="OAL89" s="99"/>
      <c r="OAM89" s="99"/>
      <c r="OAN89" s="99"/>
      <c r="OAO89" s="99"/>
      <c r="OAP89" s="99"/>
      <c r="OAQ89" s="99"/>
      <c r="OAR89" s="99"/>
      <c r="OAS89" s="99"/>
      <c r="OAT89" s="99"/>
      <c r="OAU89" s="99"/>
      <c r="OAV89" s="99"/>
      <c r="OAW89" s="99"/>
      <c r="OAX89" s="99"/>
      <c r="OAY89" s="99"/>
      <c r="OAZ89" s="99"/>
      <c r="OBA89" s="99"/>
      <c r="OBB89" s="99"/>
      <c r="OBC89" s="99"/>
      <c r="OBD89" s="99"/>
      <c r="OBE89" s="99"/>
      <c r="OBF89" s="99"/>
      <c r="OBG89" s="99"/>
      <c r="OBH89" s="99"/>
      <c r="OBI89" s="99"/>
      <c r="OBJ89" s="99"/>
      <c r="OBK89" s="99"/>
      <c r="OBL89" s="99"/>
      <c r="OBM89" s="99"/>
      <c r="OBN89" s="99"/>
      <c r="OBO89" s="99"/>
      <c r="OBP89" s="99"/>
      <c r="OBQ89" s="99"/>
      <c r="OBR89" s="99"/>
      <c r="OBS89" s="99"/>
      <c r="OBT89" s="99"/>
      <c r="OBU89" s="99"/>
      <c r="OBV89" s="99"/>
      <c r="OBW89" s="99"/>
      <c r="OBX89" s="99"/>
      <c r="OBY89" s="99"/>
      <c r="OBZ89" s="99"/>
      <c r="OCA89" s="99"/>
      <c r="OCB89" s="99"/>
      <c r="OCC89" s="99"/>
      <c r="OCD89" s="99"/>
      <c r="OCE89" s="99"/>
      <c r="OCF89" s="99"/>
      <c r="OCG89" s="99"/>
      <c r="OCH89" s="99"/>
      <c r="OCI89" s="99"/>
      <c r="OCJ89" s="99"/>
      <c r="OCK89" s="99"/>
      <c r="OCL89" s="99"/>
      <c r="OCM89" s="99"/>
      <c r="OCN89" s="99"/>
      <c r="OCO89" s="99"/>
      <c r="OCP89" s="99"/>
      <c r="OCQ89" s="99"/>
      <c r="OCR89" s="99"/>
      <c r="OCS89" s="99"/>
      <c r="OCT89" s="99"/>
      <c r="OCU89" s="99"/>
      <c r="OCV89" s="99"/>
      <c r="OCW89" s="99"/>
      <c r="OCX89" s="99"/>
      <c r="OCY89" s="99"/>
      <c r="OCZ89" s="99"/>
      <c r="ODA89" s="99"/>
      <c r="ODB89" s="99"/>
      <c r="ODC89" s="99"/>
      <c r="ODD89" s="99"/>
      <c r="ODE89" s="99"/>
      <c r="ODF89" s="99"/>
      <c r="ODG89" s="99"/>
      <c r="ODH89" s="99"/>
      <c r="ODI89" s="99"/>
      <c r="ODJ89" s="99"/>
      <c r="ODK89" s="99"/>
      <c r="ODL89" s="99"/>
      <c r="ODM89" s="99"/>
      <c r="ODN89" s="99"/>
      <c r="ODO89" s="99"/>
      <c r="ODP89" s="99"/>
      <c r="ODQ89" s="99"/>
      <c r="ODR89" s="99"/>
      <c r="ODS89" s="99"/>
      <c r="ODT89" s="99"/>
      <c r="ODU89" s="99"/>
      <c r="ODV89" s="99"/>
      <c r="ODW89" s="99"/>
      <c r="ODX89" s="99"/>
      <c r="ODY89" s="99"/>
      <c r="ODZ89" s="99"/>
      <c r="OEA89" s="99"/>
      <c r="OEB89" s="99"/>
      <c r="OEC89" s="99"/>
      <c r="OED89" s="99"/>
      <c r="OEE89" s="99"/>
      <c r="OEF89" s="99"/>
      <c r="OEG89" s="99"/>
      <c r="OEH89" s="99"/>
      <c r="OEI89" s="99"/>
      <c r="OEJ89" s="99"/>
      <c r="OEK89" s="99"/>
      <c r="OEL89" s="99"/>
      <c r="OEM89" s="99"/>
      <c r="OEN89" s="99"/>
      <c r="OEO89" s="99"/>
      <c r="OEP89" s="99"/>
      <c r="OEQ89" s="99"/>
      <c r="OER89" s="99"/>
      <c r="OES89" s="99"/>
      <c r="OET89" s="99"/>
      <c r="OEU89" s="99"/>
      <c r="OEV89" s="99"/>
      <c r="OEW89" s="99"/>
      <c r="OEX89" s="99"/>
      <c r="OEY89" s="99"/>
      <c r="OEZ89" s="99"/>
      <c r="OFA89" s="99"/>
      <c r="OFB89" s="99"/>
      <c r="OFC89" s="99"/>
      <c r="OFD89" s="99"/>
      <c r="OFE89" s="99"/>
      <c r="OFF89" s="99"/>
      <c r="OFG89" s="99"/>
      <c r="OFH89" s="99"/>
      <c r="OFI89" s="99"/>
      <c r="OFJ89" s="99"/>
      <c r="OFK89" s="99"/>
      <c r="OFL89" s="99"/>
      <c r="OFM89" s="99"/>
      <c r="OFN89" s="99"/>
      <c r="OFO89" s="99"/>
      <c r="OFP89" s="99"/>
      <c r="OFQ89" s="99"/>
      <c r="OFR89" s="99"/>
      <c r="OFS89" s="99"/>
      <c r="OFT89" s="99"/>
      <c r="OFU89" s="99"/>
      <c r="OFV89" s="99"/>
      <c r="OFW89" s="99"/>
      <c r="OFX89" s="99"/>
      <c r="OFY89" s="99"/>
      <c r="OFZ89" s="99"/>
      <c r="OGA89" s="99"/>
      <c r="OGB89" s="99"/>
      <c r="OGC89" s="99"/>
      <c r="OGD89" s="99"/>
      <c r="OGE89" s="99"/>
      <c r="OGF89" s="99"/>
      <c r="OGG89" s="99"/>
      <c r="OGH89" s="99"/>
      <c r="OGI89" s="99"/>
      <c r="OGJ89" s="99"/>
      <c r="OGK89" s="99"/>
      <c r="OGL89" s="99"/>
      <c r="OGM89" s="99"/>
      <c r="OGN89" s="99"/>
      <c r="OGO89" s="99"/>
      <c r="OGP89" s="99"/>
      <c r="OGQ89" s="99"/>
      <c r="OGR89" s="99"/>
      <c r="OGS89" s="99"/>
      <c r="OGT89" s="99"/>
      <c r="OGU89" s="99"/>
      <c r="OGV89" s="99"/>
      <c r="OGW89" s="99"/>
      <c r="OGX89" s="99"/>
      <c r="OGY89" s="99"/>
      <c r="OGZ89" s="99"/>
      <c r="OHA89" s="99"/>
      <c r="OHB89" s="99"/>
      <c r="OHC89" s="99"/>
      <c r="OHD89" s="99"/>
      <c r="OHE89" s="99"/>
      <c r="OHF89" s="99"/>
      <c r="OHG89" s="99"/>
      <c r="OHH89" s="99"/>
      <c r="OHI89" s="99"/>
      <c r="OHJ89" s="99"/>
      <c r="OHK89" s="99"/>
      <c r="OHL89" s="99"/>
      <c r="OHM89" s="99"/>
      <c r="OHN89" s="99"/>
      <c r="OHO89" s="99"/>
      <c r="OHP89" s="99"/>
      <c r="OHQ89" s="99"/>
      <c r="OHR89" s="99"/>
      <c r="OHS89" s="99"/>
      <c r="OHT89" s="99"/>
      <c r="OHU89" s="99"/>
      <c r="OHV89" s="99"/>
      <c r="OHW89" s="99"/>
      <c r="OHX89" s="99"/>
      <c r="OHY89" s="99"/>
      <c r="OHZ89" s="99"/>
      <c r="OIA89" s="99"/>
      <c r="OIB89" s="99"/>
      <c r="OIC89" s="99"/>
      <c r="OID89" s="99"/>
      <c r="OIE89" s="99"/>
      <c r="OIF89" s="99"/>
      <c r="OIG89" s="99"/>
      <c r="OIH89" s="99"/>
      <c r="OII89" s="99"/>
      <c r="OIJ89" s="99"/>
      <c r="OIK89" s="99"/>
      <c r="OIL89" s="99"/>
      <c r="OIM89" s="99"/>
      <c r="OIN89" s="99"/>
      <c r="OIO89" s="99"/>
      <c r="OIP89" s="99"/>
      <c r="OIQ89" s="99"/>
      <c r="OIR89" s="99"/>
      <c r="OIS89" s="99"/>
      <c r="OIT89" s="99"/>
      <c r="OIU89" s="99"/>
      <c r="OIV89" s="99"/>
      <c r="OIW89" s="99"/>
      <c r="OIX89" s="99"/>
      <c r="OIY89" s="99"/>
      <c r="OIZ89" s="99"/>
      <c r="OJA89" s="99"/>
      <c r="OJB89" s="99"/>
      <c r="OJC89" s="99"/>
      <c r="OJD89" s="99"/>
      <c r="OJE89" s="99"/>
      <c r="OJF89" s="99"/>
      <c r="OJG89" s="99"/>
      <c r="OJH89" s="99"/>
      <c r="OJI89" s="99"/>
      <c r="OJJ89" s="99"/>
      <c r="OJK89" s="99"/>
      <c r="OJL89" s="99"/>
      <c r="OJM89" s="99"/>
      <c r="OJN89" s="99"/>
      <c r="OJO89" s="99"/>
      <c r="OJP89" s="99"/>
      <c r="OJQ89" s="99"/>
      <c r="OJR89" s="99"/>
      <c r="OJS89" s="99"/>
      <c r="OJT89" s="99"/>
      <c r="OJU89" s="99"/>
      <c r="OJV89" s="99"/>
      <c r="OJW89" s="99"/>
      <c r="OJX89" s="99"/>
      <c r="OJY89" s="99"/>
      <c r="OJZ89" s="99"/>
      <c r="OKA89" s="99"/>
      <c r="OKB89" s="99"/>
      <c r="OKC89" s="99"/>
      <c r="OKD89" s="99"/>
      <c r="OKE89" s="99"/>
      <c r="OKF89" s="99"/>
      <c r="OKG89" s="99"/>
      <c r="OKH89" s="99"/>
      <c r="OKI89" s="99"/>
      <c r="OKJ89" s="99"/>
      <c r="OKK89" s="99"/>
      <c r="OKL89" s="99"/>
      <c r="OKM89" s="99"/>
      <c r="OKN89" s="99"/>
      <c r="OKO89" s="99"/>
      <c r="OKP89" s="99"/>
      <c r="OKQ89" s="99"/>
      <c r="OKR89" s="99"/>
      <c r="OKS89" s="99"/>
      <c r="OKT89" s="99"/>
      <c r="OKU89" s="99"/>
      <c r="OKV89" s="99"/>
      <c r="OKW89" s="99"/>
      <c r="OKX89" s="99"/>
      <c r="OKY89" s="99"/>
      <c r="OKZ89" s="99"/>
      <c r="OLA89" s="99"/>
      <c r="OLB89" s="99"/>
      <c r="OLC89" s="99"/>
      <c r="OLD89" s="99"/>
      <c r="OLE89" s="99"/>
      <c r="OLF89" s="99"/>
      <c r="OLG89" s="99"/>
      <c r="OLH89" s="99"/>
      <c r="OLI89" s="99"/>
      <c r="OLJ89" s="99"/>
      <c r="OLK89" s="99"/>
      <c r="OLL89" s="99"/>
      <c r="OLM89" s="99"/>
      <c r="OLN89" s="99"/>
      <c r="OLO89" s="99"/>
      <c r="OLP89" s="99"/>
      <c r="OLQ89" s="99"/>
      <c r="OLR89" s="99"/>
      <c r="OLS89" s="99"/>
      <c r="OLT89" s="99"/>
      <c r="OLU89" s="99"/>
      <c r="OLV89" s="99"/>
      <c r="OLW89" s="99"/>
      <c r="OLX89" s="99"/>
      <c r="OLY89" s="99"/>
      <c r="OLZ89" s="99"/>
      <c r="OMA89" s="99"/>
      <c r="OMB89" s="99"/>
      <c r="OMC89" s="99"/>
      <c r="OMD89" s="99"/>
      <c r="OME89" s="99"/>
      <c r="OMF89" s="99"/>
      <c r="OMG89" s="99"/>
      <c r="OMH89" s="99"/>
      <c r="OMI89" s="99"/>
      <c r="OMJ89" s="99"/>
      <c r="OMK89" s="99"/>
      <c r="OML89" s="99"/>
      <c r="OMM89" s="99"/>
      <c r="OMN89" s="99"/>
      <c r="OMO89" s="99"/>
      <c r="OMP89" s="99"/>
      <c r="OMQ89" s="99"/>
      <c r="OMR89" s="99"/>
      <c r="OMS89" s="99"/>
      <c r="OMT89" s="99"/>
      <c r="OMU89" s="99"/>
      <c r="OMV89" s="99"/>
      <c r="OMW89" s="99"/>
      <c r="OMX89" s="99"/>
      <c r="OMY89" s="99"/>
      <c r="OMZ89" s="99"/>
      <c r="ONA89" s="99"/>
      <c r="ONB89" s="99"/>
      <c r="ONC89" s="99"/>
      <c r="OND89" s="99"/>
      <c r="ONE89" s="99"/>
      <c r="ONF89" s="99"/>
      <c r="ONG89" s="99"/>
      <c r="ONH89" s="99"/>
      <c r="ONI89" s="99"/>
      <c r="ONJ89" s="99"/>
      <c r="ONK89" s="99"/>
      <c r="ONL89" s="99"/>
      <c r="ONM89" s="99"/>
      <c r="ONN89" s="99"/>
      <c r="ONO89" s="99"/>
      <c r="ONP89" s="99"/>
      <c r="ONQ89" s="99"/>
      <c r="ONR89" s="99"/>
      <c r="ONS89" s="99"/>
      <c r="ONT89" s="99"/>
      <c r="ONU89" s="99"/>
      <c r="ONV89" s="99"/>
      <c r="ONW89" s="99"/>
      <c r="ONX89" s="99"/>
      <c r="ONY89" s="99"/>
      <c r="ONZ89" s="99"/>
      <c r="OOA89" s="99"/>
      <c r="OOB89" s="99"/>
      <c r="OOC89" s="99"/>
      <c r="OOD89" s="99"/>
      <c r="OOE89" s="99"/>
      <c r="OOF89" s="99"/>
      <c r="OOG89" s="99"/>
      <c r="OOH89" s="99"/>
      <c r="OOI89" s="99"/>
      <c r="OOJ89" s="99"/>
      <c r="OOK89" s="99"/>
      <c r="OOL89" s="99"/>
      <c r="OOM89" s="99"/>
      <c r="OON89" s="99"/>
      <c r="OOO89" s="99"/>
      <c r="OOP89" s="99"/>
      <c r="OOQ89" s="99"/>
      <c r="OOR89" s="99"/>
      <c r="OOS89" s="99"/>
      <c r="OOT89" s="99"/>
      <c r="OOU89" s="99"/>
      <c r="OOV89" s="99"/>
      <c r="OOW89" s="99"/>
      <c r="OOX89" s="99"/>
      <c r="OOY89" s="99"/>
      <c r="OOZ89" s="99"/>
      <c r="OPA89" s="99"/>
      <c r="OPB89" s="99"/>
      <c r="OPC89" s="99"/>
      <c r="OPD89" s="99"/>
      <c r="OPE89" s="99"/>
      <c r="OPF89" s="99"/>
      <c r="OPG89" s="99"/>
      <c r="OPH89" s="99"/>
      <c r="OPI89" s="99"/>
      <c r="OPJ89" s="99"/>
      <c r="OPK89" s="99"/>
      <c r="OPL89" s="99"/>
      <c r="OPM89" s="99"/>
      <c r="OPN89" s="99"/>
      <c r="OPO89" s="99"/>
      <c r="OPP89" s="99"/>
      <c r="OPQ89" s="99"/>
      <c r="OPR89" s="99"/>
      <c r="OPS89" s="99"/>
      <c r="OPT89" s="99"/>
      <c r="OPU89" s="99"/>
      <c r="OPV89" s="99"/>
      <c r="OPW89" s="99"/>
      <c r="OPX89" s="99"/>
      <c r="OPY89" s="99"/>
      <c r="OPZ89" s="99"/>
      <c r="OQA89" s="99"/>
      <c r="OQB89" s="99"/>
      <c r="OQC89" s="99"/>
      <c r="OQD89" s="99"/>
      <c r="OQE89" s="99"/>
      <c r="OQF89" s="99"/>
      <c r="OQG89" s="99"/>
      <c r="OQH89" s="99"/>
      <c r="OQI89" s="99"/>
      <c r="OQJ89" s="99"/>
      <c r="OQK89" s="99"/>
      <c r="OQL89" s="99"/>
      <c r="OQM89" s="99"/>
      <c r="OQN89" s="99"/>
      <c r="OQO89" s="99"/>
      <c r="OQP89" s="99"/>
      <c r="OQQ89" s="99"/>
      <c r="OQR89" s="99"/>
      <c r="OQS89" s="99"/>
      <c r="OQT89" s="99"/>
      <c r="OQU89" s="99"/>
      <c r="OQV89" s="99"/>
      <c r="OQW89" s="99"/>
      <c r="OQX89" s="99"/>
      <c r="OQY89" s="99"/>
      <c r="OQZ89" s="99"/>
      <c r="ORA89" s="99"/>
      <c r="ORB89" s="99"/>
      <c r="ORC89" s="99"/>
      <c r="ORD89" s="99"/>
      <c r="ORE89" s="99"/>
      <c r="ORF89" s="99"/>
      <c r="ORG89" s="99"/>
      <c r="ORH89" s="99"/>
      <c r="ORI89" s="99"/>
      <c r="ORJ89" s="99"/>
      <c r="ORK89" s="99"/>
      <c r="ORL89" s="99"/>
      <c r="ORM89" s="99"/>
      <c r="ORN89" s="99"/>
      <c r="ORO89" s="99"/>
      <c r="ORP89" s="99"/>
      <c r="ORQ89" s="99"/>
      <c r="ORR89" s="99"/>
      <c r="ORS89" s="99"/>
      <c r="ORT89" s="99"/>
      <c r="ORU89" s="99"/>
      <c r="ORV89" s="99"/>
      <c r="ORW89" s="99"/>
      <c r="ORX89" s="99"/>
      <c r="ORY89" s="99"/>
      <c r="ORZ89" s="99"/>
      <c r="OSA89" s="99"/>
      <c r="OSB89" s="99"/>
      <c r="OSC89" s="99"/>
      <c r="OSD89" s="99"/>
      <c r="OSE89" s="99"/>
      <c r="OSF89" s="99"/>
      <c r="OSG89" s="99"/>
      <c r="OSH89" s="99"/>
      <c r="OSI89" s="99"/>
      <c r="OSJ89" s="99"/>
      <c r="OSK89" s="99"/>
      <c r="OSL89" s="99"/>
      <c r="OSM89" s="99"/>
      <c r="OSN89" s="99"/>
      <c r="OSO89" s="99"/>
      <c r="OSP89" s="99"/>
      <c r="OSQ89" s="99"/>
      <c r="OSR89" s="99"/>
      <c r="OSS89" s="99"/>
      <c r="OST89" s="99"/>
      <c r="OSU89" s="99"/>
      <c r="OSV89" s="99"/>
      <c r="OSW89" s="99"/>
      <c r="OSX89" s="99"/>
      <c r="OSY89" s="99"/>
      <c r="OSZ89" s="99"/>
      <c r="OTA89" s="99"/>
      <c r="OTB89" s="99"/>
      <c r="OTC89" s="99"/>
      <c r="OTD89" s="99"/>
      <c r="OTE89" s="99"/>
      <c r="OTF89" s="99"/>
      <c r="OTG89" s="99"/>
      <c r="OTH89" s="99"/>
      <c r="OTI89" s="99"/>
      <c r="OTJ89" s="99"/>
      <c r="OTK89" s="99"/>
      <c r="OTL89" s="99"/>
      <c r="OTM89" s="99"/>
      <c r="OTN89" s="99"/>
      <c r="OTO89" s="99"/>
      <c r="OTP89" s="99"/>
      <c r="OTQ89" s="99"/>
      <c r="OTR89" s="99"/>
      <c r="OTS89" s="99"/>
      <c r="OTT89" s="99"/>
      <c r="OTU89" s="99"/>
      <c r="OTV89" s="99"/>
      <c r="OTW89" s="99"/>
      <c r="OTX89" s="99"/>
      <c r="OTY89" s="99"/>
      <c r="OTZ89" s="99"/>
      <c r="OUA89" s="99"/>
      <c r="OUB89" s="99"/>
      <c r="OUC89" s="99"/>
      <c r="OUD89" s="99"/>
      <c r="OUE89" s="99"/>
      <c r="OUF89" s="99"/>
      <c r="OUG89" s="99"/>
      <c r="OUH89" s="99"/>
      <c r="OUI89" s="99"/>
      <c r="OUJ89" s="99"/>
      <c r="OUK89" s="99"/>
      <c r="OUL89" s="99"/>
      <c r="OUM89" s="99"/>
      <c r="OUN89" s="99"/>
      <c r="OUO89" s="99"/>
      <c r="OUP89" s="99"/>
      <c r="OUQ89" s="99"/>
      <c r="OUR89" s="99"/>
      <c r="OUS89" s="99"/>
      <c r="OUT89" s="99"/>
      <c r="OUU89" s="99"/>
      <c r="OUV89" s="99"/>
      <c r="OUW89" s="99"/>
      <c r="OUX89" s="99"/>
      <c r="OUY89" s="99"/>
      <c r="OUZ89" s="99"/>
      <c r="OVA89" s="99"/>
      <c r="OVB89" s="99"/>
      <c r="OVC89" s="99"/>
      <c r="OVD89" s="99"/>
      <c r="OVE89" s="99"/>
      <c r="OVF89" s="99"/>
      <c r="OVG89" s="99"/>
      <c r="OVH89" s="99"/>
      <c r="OVI89" s="99"/>
      <c r="OVJ89" s="99"/>
      <c r="OVK89" s="99"/>
      <c r="OVL89" s="99"/>
      <c r="OVM89" s="99"/>
      <c r="OVN89" s="99"/>
      <c r="OVO89" s="99"/>
      <c r="OVP89" s="99"/>
      <c r="OVQ89" s="99"/>
      <c r="OVR89" s="99"/>
      <c r="OVS89" s="99"/>
      <c r="OVT89" s="99"/>
      <c r="OVU89" s="99"/>
      <c r="OVV89" s="99"/>
      <c r="OVW89" s="99"/>
      <c r="OVX89" s="99"/>
      <c r="OVY89" s="99"/>
      <c r="OVZ89" s="99"/>
      <c r="OWA89" s="99"/>
      <c r="OWB89" s="99"/>
      <c r="OWC89" s="99"/>
      <c r="OWD89" s="99"/>
      <c r="OWE89" s="99"/>
      <c r="OWF89" s="99"/>
      <c r="OWG89" s="99"/>
      <c r="OWH89" s="99"/>
      <c r="OWI89" s="99"/>
      <c r="OWJ89" s="99"/>
      <c r="OWK89" s="99"/>
      <c r="OWL89" s="99"/>
      <c r="OWM89" s="99"/>
      <c r="OWN89" s="99"/>
      <c r="OWO89" s="99"/>
      <c r="OWP89" s="99"/>
      <c r="OWQ89" s="99"/>
      <c r="OWR89" s="99"/>
      <c r="OWS89" s="99"/>
      <c r="OWT89" s="99"/>
      <c r="OWU89" s="99"/>
      <c r="OWV89" s="99"/>
      <c r="OWW89" s="99"/>
      <c r="OWX89" s="99"/>
      <c r="OWY89" s="99"/>
      <c r="OWZ89" s="99"/>
      <c r="OXA89" s="99"/>
      <c r="OXB89" s="99"/>
      <c r="OXC89" s="99"/>
      <c r="OXD89" s="99"/>
      <c r="OXE89" s="99"/>
      <c r="OXF89" s="99"/>
      <c r="OXG89" s="99"/>
      <c r="OXH89" s="99"/>
      <c r="OXI89" s="99"/>
      <c r="OXJ89" s="99"/>
      <c r="OXK89" s="99"/>
      <c r="OXL89" s="99"/>
      <c r="OXM89" s="99"/>
      <c r="OXN89" s="99"/>
      <c r="OXO89" s="99"/>
      <c r="OXP89" s="99"/>
      <c r="OXQ89" s="99"/>
      <c r="OXR89" s="99"/>
      <c r="OXS89" s="99"/>
      <c r="OXT89" s="99"/>
      <c r="OXU89" s="99"/>
      <c r="OXV89" s="99"/>
      <c r="OXW89" s="99"/>
      <c r="OXX89" s="99"/>
      <c r="OXY89" s="99"/>
      <c r="OXZ89" s="99"/>
      <c r="OYA89" s="99"/>
      <c r="OYB89" s="99"/>
      <c r="OYC89" s="99"/>
      <c r="OYD89" s="99"/>
      <c r="OYE89" s="99"/>
      <c r="OYF89" s="99"/>
      <c r="OYG89" s="99"/>
      <c r="OYH89" s="99"/>
      <c r="OYI89" s="99"/>
      <c r="OYJ89" s="99"/>
      <c r="OYK89" s="99"/>
      <c r="OYL89" s="99"/>
      <c r="OYM89" s="99"/>
      <c r="OYN89" s="99"/>
      <c r="OYO89" s="99"/>
      <c r="OYP89" s="99"/>
      <c r="OYQ89" s="99"/>
      <c r="OYR89" s="99"/>
      <c r="OYS89" s="99"/>
      <c r="OYT89" s="99"/>
      <c r="OYU89" s="99"/>
      <c r="OYV89" s="99"/>
      <c r="OYW89" s="99"/>
      <c r="OYX89" s="99"/>
      <c r="OYY89" s="99"/>
      <c r="OYZ89" s="99"/>
      <c r="OZA89" s="99"/>
      <c r="OZB89" s="99"/>
      <c r="OZC89" s="99"/>
      <c r="OZD89" s="99"/>
      <c r="OZE89" s="99"/>
      <c r="OZF89" s="99"/>
      <c r="OZG89" s="99"/>
      <c r="OZH89" s="99"/>
      <c r="OZI89" s="99"/>
      <c r="OZJ89" s="99"/>
      <c r="OZK89" s="99"/>
      <c r="OZL89" s="99"/>
      <c r="OZM89" s="99"/>
      <c r="OZN89" s="99"/>
      <c r="OZO89" s="99"/>
      <c r="OZP89" s="99"/>
      <c r="OZQ89" s="99"/>
      <c r="OZR89" s="99"/>
      <c r="OZS89" s="99"/>
      <c r="OZT89" s="99"/>
      <c r="OZU89" s="99"/>
      <c r="OZV89" s="99"/>
      <c r="OZW89" s="99"/>
      <c r="OZX89" s="99"/>
      <c r="OZY89" s="99"/>
      <c r="OZZ89" s="99"/>
      <c r="PAA89" s="99"/>
      <c r="PAB89" s="99"/>
      <c r="PAC89" s="99"/>
      <c r="PAD89" s="99"/>
      <c r="PAE89" s="99"/>
      <c r="PAF89" s="99"/>
      <c r="PAG89" s="99"/>
      <c r="PAH89" s="99"/>
      <c r="PAI89" s="99"/>
      <c r="PAJ89" s="99"/>
      <c r="PAK89" s="99"/>
      <c r="PAL89" s="99"/>
      <c r="PAM89" s="99"/>
      <c r="PAN89" s="99"/>
      <c r="PAO89" s="99"/>
      <c r="PAP89" s="99"/>
      <c r="PAQ89" s="99"/>
      <c r="PAR89" s="99"/>
      <c r="PAS89" s="99"/>
      <c r="PAT89" s="99"/>
      <c r="PAU89" s="99"/>
      <c r="PAV89" s="99"/>
      <c r="PAW89" s="99"/>
      <c r="PAX89" s="99"/>
      <c r="PAY89" s="99"/>
      <c r="PAZ89" s="99"/>
      <c r="PBA89" s="99"/>
      <c r="PBB89" s="99"/>
      <c r="PBC89" s="99"/>
      <c r="PBD89" s="99"/>
      <c r="PBE89" s="99"/>
      <c r="PBF89" s="99"/>
      <c r="PBG89" s="99"/>
      <c r="PBH89" s="99"/>
      <c r="PBI89" s="99"/>
      <c r="PBJ89" s="99"/>
      <c r="PBK89" s="99"/>
      <c r="PBL89" s="99"/>
      <c r="PBM89" s="99"/>
      <c r="PBN89" s="99"/>
      <c r="PBO89" s="99"/>
      <c r="PBP89" s="99"/>
      <c r="PBQ89" s="99"/>
      <c r="PBR89" s="99"/>
      <c r="PBS89" s="99"/>
      <c r="PBT89" s="99"/>
      <c r="PBU89" s="99"/>
      <c r="PBV89" s="99"/>
      <c r="PBW89" s="99"/>
      <c r="PBX89" s="99"/>
      <c r="PBY89" s="99"/>
      <c r="PBZ89" s="99"/>
      <c r="PCA89" s="99"/>
      <c r="PCB89" s="99"/>
      <c r="PCC89" s="99"/>
      <c r="PCD89" s="99"/>
      <c r="PCE89" s="99"/>
      <c r="PCF89" s="99"/>
      <c r="PCG89" s="99"/>
      <c r="PCH89" s="99"/>
      <c r="PCI89" s="99"/>
      <c r="PCJ89" s="99"/>
      <c r="PCK89" s="99"/>
      <c r="PCL89" s="99"/>
      <c r="PCM89" s="99"/>
      <c r="PCN89" s="99"/>
      <c r="PCO89" s="99"/>
      <c r="PCP89" s="99"/>
      <c r="PCQ89" s="99"/>
      <c r="PCR89" s="99"/>
      <c r="PCS89" s="99"/>
      <c r="PCT89" s="99"/>
      <c r="PCU89" s="99"/>
      <c r="PCV89" s="99"/>
      <c r="PCW89" s="99"/>
      <c r="PCX89" s="99"/>
      <c r="PCY89" s="99"/>
      <c r="PCZ89" s="99"/>
      <c r="PDA89" s="99"/>
      <c r="PDB89" s="99"/>
      <c r="PDC89" s="99"/>
      <c r="PDD89" s="99"/>
      <c r="PDE89" s="99"/>
      <c r="PDF89" s="99"/>
      <c r="PDG89" s="99"/>
      <c r="PDH89" s="99"/>
      <c r="PDI89" s="99"/>
      <c r="PDJ89" s="99"/>
      <c r="PDK89" s="99"/>
      <c r="PDL89" s="99"/>
      <c r="PDM89" s="99"/>
      <c r="PDN89" s="99"/>
      <c r="PDO89" s="99"/>
      <c r="PDP89" s="99"/>
      <c r="PDQ89" s="99"/>
      <c r="PDR89" s="99"/>
      <c r="PDS89" s="99"/>
      <c r="PDT89" s="99"/>
      <c r="PDU89" s="99"/>
      <c r="PDV89" s="99"/>
      <c r="PDW89" s="99"/>
      <c r="PDX89" s="99"/>
      <c r="PDY89" s="99"/>
      <c r="PDZ89" s="99"/>
      <c r="PEA89" s="99"/>
      <c r="PEB89" s="99"/>
      <c r="PEC89" s="99"/>
      <c r="PED89" s="99"/>
      <c r="PEE89" s="99"/>
      <c r="PEF89" s="99"/>
      <c r="PEG89" s="99"/>
      <c r="PEH89" s="99"/>
      <c r="PEI89" s="99"/>
      <c r="PEJ89" s="99"/>
      <c r="PEK89" s="99"/>
      <c r="PEL89" s="99"/>
      <c r="PEM89" s="99"/>
      <c r="PEN89" s="99"/>
      <c r="PEO89" s="99"/>
      <c r="PEP89" s="99"/>
      <c r="PEQ89" s="99"/>
      <c r="PER89" s="99"/>
      <c r="PES89" s="99"/>
      <c r="PET89" s="99"/>
      <c r="PEU89" s="99"/>
      <c r="PEV89" s="99"/>
      <c r="PEW89" s="99"/>
      <c r="PEX89" s="99"/>
      <c r="PEY89" s="99"/>
      <c r="PEZ89" s="99"/>
      <c r="PFA89" s="99"/>
      <c r="PFB89" s="99"/>
      <c r="PFC89" s="99"/>
      <c r="PFD89" s="99"/>
      <c r="PFE89" s="99"/>
      <c r="PFF89" s="99"/>
      <c r="PFG89" s="99"/>
      <c r="PFH89" s="99"/>
      <c r="PFI89" s="99"/>
      <c r="PFJ89" s="99"/>
      <c r="PFK89" s="99"/>
      <c r="PFL89" s="99"/>
      <c r="PFM89" s="99"/>
      <c r="PFN89" s="99"/>
      <c r="PFO89" s="99"/>
      <c r="PFP89" s="99"/>
      <c r="PFQ89" s="99"/>
      <c r="PFR89" s="99"/>
      <c r="PFS89" s="99"/>
      <c r="PFT89" s="99"/>
      <c r="PFU89" s="99"/>
      <c r="PFV89" s="99"/>
      <c r="PFW89" s="99"/>
      <c r="PFX89" s="99"/>
      <c r="PFY89" s="99"/>
      <c r="PFZ89" s="99"/>
      <c r="PGA89" s="99"/>
      <c r="PGB89" s="99"/>
      <c r="PGC89" s="99"/>
      <c r="PGD89" s="99"/>
      <c r="PGE89" s="99"/>
      <c r="PGF89" s="99"/>
      <c r="PGG89" s="99"/>
      <c r="PGH89" s="99"/>
      <c r="PGI89" s="99"/>
      <c r="PGJ89" s="99"/>
      <c r="PGK89" s="99"/>
      <c r="PGL89" s="99"/>
      <c r="PGM89" s="99"/>
      <c r="PGN89" s="99"/>
      <c r="PGO89" s="99"/>
      <c r="PGP89" s="99"/>
      <c r="PGQ89" s="99"/>
      <c r="PGR89" s="99"/>
      <c r="PGS89" s="99"/>
      <c r="PGT89" s="99"/>
      <c r="PGU89" s="99"/>
      <c r="PGV89" s="99"/>
      <c r="PGW89" s="99"/>
      <c r="PGX89" s="99"/>
      <c r="PGY89" s="99"/>
      <c r="PGZ89" s="99"/>
      <c r="PHA89" s="99"/>
      <c r="PHB89" s="99"/>
      <c r="PHC89" s="99"/>
      <c r="PHD89" s="99"/>
      <c r="PHE89" s="99"/>
      <c r="PHF89" s="99"/>
      <c r="PHG89" s="99"/>
      <c r="PHH89" s="99"/>
      <c r="PHI89" s="99"/>
      <c r="PHJ89" s="99"/>
      <c r="PHK89" s="99"/>
      <c r="PHL89" s="99"/>
      <c r="PHM89" s="99"/>
      <c r="PHN89" s="99"/>
      <c r="PHO89" s="99"/>
      <c r="PHP89" s="99"/>
      <c r="PHQ89" s="99"/>
      <c r="PHR89" s="99"/>
      <c r="PHS89" s="99"/>
      <c r="PHT89" s="99"/>
      <c r="PHU89" s="99"/>
      <c r="PHV89" s="99"/>
      <c r="PHW89" s="99"/>
      <c r="PHX89" s="99"/>
      <c r="PHY89" s="99"/>
      <c r="PHZ89" s="99"/>
      <c r="PIA89" s="99"/>
      <c r="PIB89" s="99"/>
      <c r="PIC89" s="99"/>
      <c r="PID89" s="99"/>
      <c r="PIE89" s="99"/>
      <c r="PIF89" s="99"/>
      <c r="PIG89" s="99"/>
      <c r="PIH89" s="99"/>
      <c r="PII89" s="99"/>
      <c r="PIJ89" s="99"/>
      <c r="PIK89" s="99"/>
      <c r="PIL89" s="99"/>
      <c r="PIM89" s="99"/>
      <c r="PIN89" s="99"/>
      <c r="PIO89" s="99"/>
      <c r="PIP89" s="99"/>
      <c r="PIQ89" s="99"/>
      <c r="PIR89" s="99"/>
      <c r="PIS89" s="99"/>
      <c r="PIT89" s="99"/>
      <c r="PIU89" s="99"/>
      <c r="PIV89" s="99"/>
      <c r="PIW89" s="99"/>
      <c r="PIX89" s="99"/>
      <c r="PIY89" s="99"/>
      <c r="PIZ89" s="99"/>
      <c r="PJA89" s="99"/>
      <c r="PJB89" s="99"/>
      <c r="PJC89" s="99"/>
      <c r="PJD89" s="99"/>
      <c r="PJE89" s="99"/>
      <c r="PJF89" s="99"/>
      <c r="PJG89" s="99"/>
      <c r="PJH89" s="99"/>
      <c r="PJI89" s="99"/>
      <c r="PJJ89" s="99"/>
      <c r="PJK89" s="99"/>
      <c r="PJL89" s="99"/>
      <c r="PJM89" s="99"/>
      <c r="PJN89" s="99"/>
      <c r="PJO89" s="99"/>
      <c r="PJP89" s="99"/>
      <c r="PJQ89" s="99"/>
      <c r="PJR89" s="99"/>
      <c r="PJS89" s="99"/>
      <c r="PJT89" s="99"/>
      <c r="PJU89" s="99"/>
      <c r="PJV89" s="99"/>
      <c r="PJW89" s="99"/>
      <c r="PJX89" s="99"/>
      <c r="PJY89" s="99"/>
      <c r="PJZ89" s="99"/>
      <c r="PKA89" s="99"/>
      <c r="PKB89" s="99"/>
      <c r="PKC89" s="99"/>
      <c r="PKD89" s="99"/>
      <c r="PKE89" s="99"/>
      <c r="PKF89" s="99"/>
      <c r="PKG89" s="99"/>
      <c r="PKH89" s="99"/>
      <c r="PKI89" s="99"/>
      <c r="PKJ89" s="99"/>
      <c r="PKK89" s="99"/>
      <c r="PKL89" s="99"/>
      <c r="PKM89" s="99"/>
      <c r="PKN89" s="99"/>
      <c r="PKO89" s="99"/>
      <c r="PKP89" s="99"/>
      <c r="PKQ89" s="99"/>
      <c r="PKR89" s="99"/>
      <c r="PKS89" s="99"/>
      <c r="PKT89" s="99"/>
      <c r="PKU89" s="99"/>
      <c r="PKV89" s="99"/>
      <c r="PKW89" s="99"/>
      <c r="PKX89" s="99"/>
      <c r="PKY89" s="99"/>
      <c r="PKZ89" s="99"/>
      <c r="PLA89" s="99"/>
      <c r="PLB89" s="99"/>
      <c r="PLC89" s="99"/>
      <c r="PLD89" s="99"/>
      <c r="PLE89" s="99"/>
      <c r="PLF89" s="99"/>
      <c r="PLG89" s="99"/>
      <c r="PLH89" s="99"/>
      <c r="PLI89" s="99"/>
      <c r="PLJ89" s="99"/>
      <c r="PLK89" s="99"/>
      <c r="PLL89" s="99"/>
      <c r="PLM89" s="99"/>
      <c r="PLN89" s="99"/>
      <c r="PLO89" s="99"/>
      <c r="PLP89" s="99"/>
      <c r="PLQ89" s="99"/>
      <c r="PLR89" s="99"/>
      <c r="PLS89" s="99"/>
      <c r="PLT89" s="99"/>
      <c r="PLU89" s="99"/>
      <c r="PLV89" s="99"/>
      <c r="PLW89" s="99"/>
      <c r="PLX89" s="99"/>
      <c r="PLY89" s="99"/>
      <c r="PLZ89" s="99"/>
      <c r="PMA89" s="99"/>
      <c r="PMB89" s="99"/>
      <c r="PMC89" s="99"/>
      <c r="PMD89" s="99"/>
      <c r="PME89" s="99"/>
      <c r="PMF89" s="99"/>
      <c r="PMG89" s="99"/>
      <c r="PMH89" s="99"/>
      <c r="PMI89" s="99"/>
      <c r="PMJ89" s="99"/>
      <c r="PMK89" s="99"/>
      <c r="PML89" s="99"/>
      <c r="PMM89" s="99"/>
      <c r="PMN89" s="99"/>
      <c r="PMO89" s="99"/>
      <c r="PMP89" s="99"/>
      <c r="PMQ89" s="99"/>
      <c r="PMR89" s="99"/>
      <c r="PMS89" s="99"/>
      <c r="PMT89" s="99"/>
      <c r="PMU89" s="99"/>
      <c r="PMV89" s="99"/>
      <c r="PMW89" s="99"/>
      <c r="PMX89" s="99"/>
      <c r="PMY89" s="99"/>
      <c r="PMZ89" s="99"/>
      <c r="PNA89" s="99"/>
      <c r="PNB89" s="99"/>
      <c r="PNC89" s="99"/>
      <c r="PND89" s="99"/>
      <c r="PNE89" s="99"/>
      <c r="PNF89" s="99"/>
      <c r="PNG89" s="99"/>
      <c r="PNH89" s="99"/>
      <c r="PNI89" s="99"/>
      <c r="PNJ89" s="99"/>
      <c r="PNK89" s="99"/>
      <c r="PNL89" s="99"/>
      <c r="PNM89" s="99"/>
      <c r="PNN89" s="99"/>
      <c r="PNO89" s="99"/>
      <c r="PNP89" s="99"/>
      <c r="PNQ89" s="99"/>
      <c r="PNR89" s="99"/>
      <c r="PNS89" s="99"/>
      <c r="PNT89" s="99"/>
      <c r="PNU89" s="99"/>
      <c r="PNV89" s="99"/>
      <c r="PNW89" s="99"/>
      <c r="PNX89" s="99"/>
      <c r="PNY89" s="99"/>
      <c r="PNZ89" s="99"/>
      <c r="POA89" s="99"/>
      <c r="POB89" s="99"/>
      <c r="POC89" s="99"/>
      <c r="POD89" s="99"/>
      <c r="POE89" s="99"/>
      <c r="POF89" s="99"/>
      <c r="POG89" s="99"/>
      <c r="POH89" s="99"/>
      <c r="POI89" s="99"/>
      <c r="POJ89" s="99"/>
      <c r="POK89" s="99"/>
      <c r="POL89" s="99"/>
      <c r="POM89" s="99"/>
      <c r="PON89" s="99"/>
      <c r="POO89" s="99"/>
      <c r="POP89" s="99"/>
      <c r="POQ89" s="99"/>
      <c r="POR89" s="99"/>
      <c r="POS89" s="99"/>
      <c r="POT89" s="99"/>
      <c r="POU89" s="99"/>
      <c r="POV89" s="99"/>
      <c r="POW89" s="99"/>
      <c r="POX89" s="99"/>
      <c r="POY89" s="99"/>
      <c r="POZ89" s="99"/>
      <c r="PPA89" s="99"/>
      <c r="PPB89" s="99"/>
      <c r="PPC89" s="99"/>
      <c r="PPD89" s="99"/>
      <c r="PPE89" s="99"/>
      <c r="PPF89" s="99"/>
      <c r="PPG89" s="99"/>
      <c r="PPH89" s="99"/>
      <c r="PPI89" s="99"/>
      <c r="PPJ89" s="99"/>
      <c r="PPK89" s="99"/>
      <c r="PPL89" s="99"/>
      <c r="PPM89" s="99"/>
      <c r="PPN89" s="99"/>
      <c r="PPO89" s="99"/>
      <c r="PPP89" s="99"/>
      <c r="PPQ89" s="99"/>
      <c r="PPR89" s="99"/>
      <c r="PPS89" s="99"/>
      <c r="PPT89" s="99"/>
      <c r="PPU89" s="99"/>
      <c r="PPV89" s="99"/>
      <c r="PPW89" s="99"/>
      <c r="PPX89" s="99"/>
      <c r="PPY89" s="99"/>
      <c r="PPZ89" s="99"/>
      <c r="PQA89" s="99"/>
      <c r="PQB89" s="99"/>
      <c r="PQC89" s="99"/>
      <c r="PQD89" s="99"/>
      <c r="PQE89" s="99"/>
      <c r="PQF89" s="99"/>
      <c r="PQG89" s="99"/>
      <c r="PQH89" s="99"/>
      <c r="PQI89" s="99"/>
      <c r="PQJ89" s="99"/>
      <c r="PQK89" s="99"/>
      <c r="PQL89" s="99"/>
      <c r="PQM89" s="99"/>
      <c r="PQN89" s="99"/>
      <c r="PQO89" s="99"/>
      <c r="PQP89" s="99"/>
      <c r="PQQ89" s="99"/>
      <c r="PQR89" s="99"/>
      <c r="PQS89" s="99"/>
      <c r="PQT89" s="99"/>
      <c r="PQU89" s="99"/>
      <c r="PQV89" s="99"/>
      <c r="PQW89" s="99"/>
      <c r="PQX89" s="99"/>
      <c r="PQY89" s="99"/>
      <c r="PQZ89" s="99"/>
      <c r="PRA89" s="99"/>
      <c r="PRB89" s="99"/>
      <c r="PRC89" s="99"/>
      <c r="PRD89" s="99"/>
      <c r="PRE89" s="99"/>
      <c r="PRF89" s="99"/>
      <c r="PRG89" s="99"/>
      <c r="PRH89" s="99"/>
      <c r="PRI89" s="99"/>
      <c r="PRJ89" s="99"/>
      <c r="PRK89" s="99"/>
      <c r="PRL89" s="99"/>
      <c r="PRM89" s="99"/>
      <c r="PRN89" s="99"/>
      <c r="PRO89" s="99"/>
      <c r="PRP89" s="99"/>
      <c r="PRQ89" s="99"/>
      <c r="PRR89" s="99"/>
      <c r="PRS89" s="99"/>
      <c r="PRT89" s="99"/>
      <c r="PRU89" s="99"/>
      <c r="PRV89" s="99"/>
      <c r="PRW89" s="99"/>
      <c r="PRX89" s="99"/>
      <c r="PRY89" s="99"/>
      <c r="PRZ89" s="99"/>
      <c r="PSA89" s="99"/>
      <c r="PSB89" s="99"/>
      <c r="PSC89" s="99"/>
      <c r="PSD89" s="99"/>
      <c r="PSE89" s="99"/>
      <c r="PSF89" s="99"/>
      <c r="PSG89" s="99"/>
      <c r="PSH89" s="99"/>
      <c r="PSI89" s="99"/>
      <c r="PSJ89" s="99"/>
      <c r="PSK89" s="99"/>
      <c r="PSL89" s="99"/>
      <c r="PSM89" s="99"/>
      <c r="PSN89" s="99"/>
      <c r="PSO89" s="99"/>
      <c r="PSP89" s="99"/>
      <c r="PSQ89" s="99"/>
      <c r="PSR89" s="99"/>
      <c r="PSS89" s="99"/>
      <c r="PST89" s="99"/>
      <c r="PSU89" s="99"/>
      <c r="PSV89" s="99"/>
      <c r="PSW89" s="99"/>
      <c r="PSX89" s="99"/>
      <c r="PSY89" s="99"/>
      <c r="PSZ89" s="99"/>
      <c r="PTA89" s="99"/>
      <c r="PTB89" s="99"/>
      <c r="PTC89" s="99"/>
      <c r="PTD89" s="99"/>
      <c r="PTE89" s="99"/>
      <c r="PTF89" s="99"/>
      <c r="PTG89" s="99"/>
      <c r="PTH89" s="99"/>
      <c r="PTI89" s="99"/>
      <c r="PTJ89" s="99"/>
      <c r="PTK89" s="99"/>
      <c r="PTL89" s="99"/>
      <c r="PTM89" s="99"/>
      <c r="PTN89" s="99"/>
      <c r="PTO89" s="99"/>
      <c r="PTP89" s="99"/>
      <c r="PTQ89" s="99"/>
      <c r="PTR89" s="99"/>
      <c r="PTS89" s="99"/>
      <c r="PTT89" s="99"/>
      <c r="PTU89" s="99"/>
      <c r="PTV89" s="99"/>
      <c r="PTW89" s="99"/>
      <c r="PTX89" s="99"/>
      <c r="PTY89" s="99"/>
      <c r="PTZ89" s="99"/>
      <c r="PUA89" s="99"/>
      <c r="PUB89" s="99"/>
      <c r="PUC89" s="99"/>
      <c r="PUD89" s="99"/>
      <c r="PUE89" s="99"/>
      <c r="PUF89" s="99"/>
      <c r="PUG89" s="99"/>
      <c r="PUH89" s="99"/>
      <c r="PUI89" s="99"/>
      <c r="PUJ89" s="99"/>
      <c r="PUK89" s="99"/>
      <c r="PUL89" s="99"/>
      <c r="PUM89" s="99"/>
      <c r="PUN89" s="99"/>
      <c r="PUO89" s="99"/>
      <c r="PUP89" s="99"/>
      <c r="PUQ89" s="99"/>
      <c r="PUR89" s="99"/>
      <c r="PUS89" s="99"/>
      <c r="PUT89" s="99"/>
      <c r="PUU89" s="99"/>
      <c r="PUV89" s="99"/>
      <c r="PUW89" s="99"/>
      <c r="PUX89" s="99"/>
      <c r="PUY89" s="99"/>
      <c r="PUZ89" s="99"/>
      <c r="PVA89" s="99"/>
      <c r="PVB89" s="99"/>
      <c r="PVC89" s="99"/>
      <c r="PVD89" s="99"/>
      <c r="PVE89" s="99"/>
      <c r="PVF89" s="99"/>
      <c r="PVG89" s="99"/>
      <c r="PVH89" s="99"/>
      <c r="PVI89" s="99"/>
      <c r="PVJ89" s="99"/>
      <c r="PVK89" s="99"/>
      <c r="PVL89" s="99"/>
      <c r="PVM89" s="99"/>
      <c r="PVN89" s="99"/>
      <c r="PVO89" s="99"/>
      <c r="PVP89" s="99"/>
      <c r="PVQ89" s="99"/>
      <c r="PVR89" s="99"/>
      <c r="PVS89" s="99"/>
      <c r="PVT89" s="99"/>
      <c r="PVU89" s="99"/>
      <c r="PVV89" s="99"/>
      <c r="PVW89" s="99"/>
      <c r="PVX89" s="99"/>
      <c r="PVY89" s="99"/>
      <c r="PVZ89" s="99"/>
      <c r="PWA89" s="99"/>
      <c r="PWB89" s="99"/>
      <c r="PWC89" s="99"/>
      <c r="PWD89" s="99"/>
      <c r="PWE89" s="99"/>
      <c r="PWF89" s="99"/>
      <c r="PWG89" s="99"/>
      <c r="PWH89" s="99"/>
      <c r="PWI89" s="99"/>
      <c r="PWJ89" s="99"/>
      <c r="PWK89" s="99"/>
      <c r="PWL89" s="99"/>
      <c r="PWM89" s="99"/>
      <c r="PWN89" s="99"/>
      <c r="PWO89" s="99"/>
      <c r="PWP89" s="99"/>
      <c r="PWQ89" s="99"/>
      <c r="PWR89" s="99"/>
      <c r="PWS89" s="99"/>
      <c r="PWT89" s="99"/>
      <c r="PWU89" s="99"/>
      <c r="PWV89" s="99"/>
      <c r="PWW89" s="99"/>
      <c r="PWX89" s="99"/>
      <c r="PWY89" s="99"/>
      <c r="PWZ89" s="99"/>
      <c r="PXA89" s="99"/>
      <c r="PXB89" s="99"/>
      <c r="PXC89" s="99"/>
      <c r="PXD89" s="99"/>
      <c r="PXE89" s="99"/>
      <c r="PXF89" s="99"/>
      <c r="PXG89" s="99"/>
      <c r="PXH89" s="99"/>
      <c r="PXI89" s="99"/>
      <c r="PXJ89" s="99"/>
      <c r="PXK89" s="99"/>
      <c r="PXL89" s="99"/>
      <c r="PXM89" s="99"/>
      <c r="PXN89" s="99"/>
      <c r="PXO89" s="99"/>
      <c r="PXP89" s="99"/>
      <c r="PXQ89" s="99"/>
      <c r="PXR89" s="99"/>
      <c r="PXS89" s="99"/>
      <c r="PXT89" s="99"/>
      <c r="PXU89" s="99"/>
      <c r="PXV89" s="99"/>
      <c r="PXW89" s="99"/>
      <c r="PXX89" s="99"/>
      <c r="PXY89" s="99"/>
      <c r="PXZ89" s="99"/>
      <c r="PYA89" s="99"/>
      <c r="PYB89" s="99"/>
      <c r="PYC89" s="99"/>
      <c r="PYD89" s="99"/>
      <c r="PYE89" s="99"/>
      <c r="PYF89" s="99"/>
      <c r="PYG89" s="99"/>
      <c r="PYH89" s="99"/>
      <c r="PYI89" s="99"/>
      <c r="PYJ89" s="99"/>
      <c r="PYK89" s="99"/>
      <c r="PYL89" s="99"/>
      <c r="PYM89" s="99"/>
      <c r="PYN89" s="99"/>
      <c r="PYO89" s="99"/>
      <c r="PYP89" s="99"/>
      <c r="PYQ89" s="99"/>
      <c r="PYR89" s="99"/>
      <c r="PYS89" s="99"/>
      <c r="PYT89" s="99"/>
      <c r="PYU89" s="99"/>
      <c r="PYV89" s="99"/>
      <c r="PYW89" s="99"/>
      <c r="PYX89" s="99"/>
      <c r="PYY89" s="99"/>
      <c r="PYZ89" s="99"/>
      <c r="PZA89" s="99"/>
      <c r="PZB89" s="99"/>
      <c r="PZC89" s="99"/>
      <c r="PZD89" s="99"/>
      <c r="PZE89" s="99"/>
      <c r="PZF89" s="99"/>
      <c r="PZG89" s="99"/>
      <c r="PZH89" s="99"/>
      <c r="PZI89" s="99"/>
      <c r="PZJ89" s="99"/>
      <c r="PZK89" s="99"/>
      <c r="PZL89" s="99"/>
      <c r="PZM89" s="99"/>
      <c r="PZN89" s="99"/>
      <c r="PZO89" s="99"/>
      <c r="PZP89" s="99"/>
      <c r="PZQ89" s="99"/>
      <c r="PZR89" s="99"/>
      <c r="PZS89" s="99"/>
      <c r="PZT89" s="99"/>
      <c r="PZU89" s="99"/>
      <c r="PZV89" s="99"/>
      <c r="PZW89" s="99"/>
      <c r="PZX89" s="99"/>
      <c r="PZY89" s="99"/>
      <c r="PZZ89" s="99"/>
      <c r="QAA89" s="99"/>
      <c r="QAB89" s="99"/>
      <c r="QAC89" s="99"/>
      <c r="QAD89" s="99"/>
      <c r="QAE89" s="99"/>
      <c r="QAF89" s="99"/>
      <c r="QAG89" s="99"/>
      <c r="QAH89" s="99"/>
      <c r="QAI89" s="99"/>
      <c r="QAJ89" s="99"/>
      <c r="QAK89" s="99"/>
      <c r="QAL89" s="99"/>
      <c r="QAM89" s="99"/>
      <c r="QAN89" s="99"/>
      <c r="QAO89" s="99"/>
      <c r="QAP89" s="99"/>
      <c r="QAQ89" s="99"/>
      <c r="QAR89" s="99"/>
      <c r="QAS89" s="99"/>
      <c r="QAT89" s="99"/>
      <c r="QAU89" s="99"/>
      <c r="QAV89" s="99"/>
      <c r="QAW89" s="99"/>
      <c r="QAX89" s="99"/>
      <c r="QAY89" s="99"/>
      <c r="QAZ89" s="99"/>
      <c r="QBA89" s="99"/>
      <c r="QBB89" s="99"/>
      <c r="QBC89" s="99"/>
      <c r="QBD89" s="99"/>
      <c r="QBE89" s="99"/>
      <c r="QBF89" s="99"/>
      <c r="QBG89" s="99"/>
      <c r="QBH89" s="99"/>
      <c r="QBI89" s="99"/>
      <c r="QBJ89" s="99"/>
      <c r="QBK89" s="99"/>
      <c r="QBL89" s="99"/>
      <c r="QBM89" s="99"/>
      <c r="QBN89" s="99"/>
      <c r="QBO89" s="99"/>
      <c r="QBP89" s="99"/>
      <c r="QBQ89" s="99"/>
      <c r="QBR89" s="99"/>
      <c r="QBS89" s="99"/>
      <c r="QBT89" s="99"/>
      <c r="QBU89" s="99"/>
      <c r="QBV89" s="99"/>
      <c r="QBW89" s="99"/>
      <c r="QBX89" s="99"/>
      <c r="QBY89" s="99"/>
      <c r="QBZ89" s="99"/>
      <c r="QCA89" s="99"/>
      <c r="QCB89" s="99"/>
      <c r="QCC89" s="99"/>
      <c r="QCD89" s="99"/>
      <c r="QCE89" s="99"/>
      <c r="QCF89" s="99"/>
      <c r="QCG89" s="99"/>
      <c r="QCH89" s="99"/>
      <c r="QCI89" s="99"/>
      <c r="QCJ89" s="99"/>
      <c r="QCK89" s="99"/>
      <c r="QCL89" s="99"/>
      <c r="QCM89" s="99"/>
      <c r="QCN89" s="99"/>
      <c r="QCO89" s="99"/>
      <c r="QCP89" s="99"/>
      <c r="QCQ89" s="99"/>
      <c r="QCR89" s="99"/>
      <c r="QCS89" s="99"/>
      <c r="QCT89" s="99"/>
      <c r="QCU89" s="99"/>
      <c r="QCV89" s="99"/>
      <c r="QCW89" s="99"/>
      <c r="QCX89" s="99"/>
      <c r="QCY89" s="99"/>
      <c r="QCZ89" s="99"/>
      <c r="QDA89" s="99"/>
      <c r="QDB89" s="99"/>
      <c r="QDC89" s="99"/>
      <c r="QDD89" s="99"/>
      <c r="QDE89" s="99"/>
      <c r="QDF89" s="99"/>
      <c r="QDG89" s="99"/>
      <c r="QDH89" s="99"/>
      <c r="QDI89" s="99"/>
      <c r="QDJ89" s="99"/>
      <c r="QDK89" s="99"/>
      <c r="QDL89" s="99"/>
      <c r="QDM89" s="99"/>
      <c r="QDN89" s="99"/>
      <c r="QDO89" s="99"/>
      <c r="QDP89" s="99"/>
      <c r="QDQ89" s="99"/>
      <c r="QDR89" s="99"/>
      <c r="QDS89" s="99"/>
      <c r="QDT89" s="99"/>
      <c r="QDU89" s="99"/>
      <c r="QDV89" s="99"/>
      <c r="QDW89" s="99"/>
      <c r="QDX89" s="99"/>
      <c r="QDY89" s="99"/>
      <c r="QDZ89" s="99"/>
      <c r="QEA89" s="99"/>
      <c r="QEB89" s="99"/>
      <c r="QEC89" s="99"/>
      <c r="QED89" s="99"/>
      <c r="QEE89" s="99"/>
      <c r="QEF89" s="99"/>
      <c r="QEG89" s="99"/>
      <c r="QEH89" s="99"/>
      <c r="QEI89" s="99"/>
      <c r="QEJ89" s="99"/>
      <c r="QEK89" s="99"/>
      <c r="QEL89" s="99"/>
      <c r="QEM89" s="99"/>
      <c r="QEN89" s="99"/>
      <c r="QEO89" s="99"/>
      <c r="QEP89" s="99"/>
      <c r="QEQ89" s="99"/>
      <c r="QER89" s="99"/>
      <c r="QES89" s="99"/>
      <c r="QET89" s="99"/>
      <c r="QEU89" s="99"/>
      <c r="QEV89" s="99"/>
      <c r="QEW89" s="99"/>
      <c r="QEX89" s="99"/>
      <c r="QEY89" s="99"/>
      <c r="QEZ89" s="99"/>
      <c r="QFA89" s="99"/>
      <c r="QFB89" s="99"/>
      <c r="QFC89" s="99"/>
      <c r="QFD89" s="99"/>
      <c r="QFE89" s="99"/>
      <c r="QFF89" s="99"/>
      <c r="QFG89" s="99"/>
      <c r="QFH89" s="99"/>
      <c r="QFI89" s="99"/>
      <c r="QFJ89" s="99"/>
      <c r="QFK89" s="99"/>
      <c r="QFL89" s="99"/>
      <c r="QFM89" s="99"/>
      <c r="QFN89" s="99"/>
      <c r="QFO89" s="99"/>
      <c r="QFP89" s="99"/>
      <c r="QFQ89" s="99"/>
      <c r="QFR89" s="99"/>
      <c r="QFS89" s="99"/>
      <c r="QFT89" s="99"/>
      <c r="QFU89" s="99"/>
      <c r="QFV89" s="99"/>
      <c r="QFW89" s="99"/>
      <c r="QFX89" s="99"/>
      <c r="QFY89" s="99"/>
      <c r="QFZ89" s="99"/>
      <c r="QGA89" s="99"/>
      <c r="QGB89" s="99"/>
      <c r="QGC89" s="99"/>
      <c r="QGD89" s="99"/>
      <c r="QGE89" s="99"/>
      <c r="QGF89" s="99"/>
      <c r="QGG89" s="99"/>
      <c r="QGH89" s="99"/>
      <c r="QGI89" s="99"/>
      <c r="QGJ89" s="99"/>
      <c r="QGK89" s="99"/>
      <c r="QGL89" s="99"/>
      <c r="QGM89" s="99"/>
      <c r="QGN89" s="99"/>
      <c r="QGO89" s="99"/>
      <c r="QGP89" s="99"/>
      <c r="QGQ89" s="99"/>
      <c r="QGR89" s="99"/>
      <c r="QGS89" s="99"/>
      <c r="QGT89" s="99"/>
      <c r="QGU89" s="99"/>
      <c r="QGV89" s="99"/>
      <c r="QGW89" s="99"/>
      <c r="QGX89" s="99"/>
      <c r="QGY89" s="99"/>
      <c r="QGZ89" s="99"/>
      <c r="QHA89" s="99"/>
      <c r="QHB89" s="99"/>
      <c r="QHC89" s="99"/>
      <c r="QHD89" s="99"/>
      <c r="QHE89" s="99"/>
      <c r="QHF89" s="99"/>
      <c r="QHG89" s="99"/>
      <c r="QHH89" s="99"/>
      <c r="QHI89" s="99"/>
      <c r="QHJ89" s="99"/>
      <c r="QHK89" s="99"/>
      <c r="QHL89" s="99"/>
      <c r="QHM89" s="99"/>
      <c r="QHN89" s="99"/>
      <c r="QHO89" s="99"/>
      <c r="QHP89" s="99"/>
      <c r="QHQ89" s="99"/>
      <c r="QHR89" s="99"/>
      <c r="QHS89" s="99"/>
      <c r="QHT89" s="99"/>
      <c r="QHU89" s="99"/>
      <c r="QHV89" s="99"/>
      <c r="QHW89" s="99"/>
      <c r="QHX89" s="99"/>
      <c r="QHY89" s="99"/>
      <c r="QHZ89" s="99"/>
      <c r="QIA89" s="99"/>
      <c r="QIB89" s="99"/>
      <c r="QIC89" s="99"/>
      <c r="QID89" s="99"/>
      <c r="QIE89" s="99"/>
      <c r="QIF89" s="99"/>
      <c r="QIG89" s="99"/>
      <c r="QIH89" s="99"/>
      <c r="QII89" s="99"/>
      <c r="QIJ89" s="99"/>
      <c r="QIK89" s="99"/>
      <c r="QIL89" s="99"/>
      <c r="QIM89" s="99"/>
      <c r="QIN89" s="99"/>
      <c r="QIO89" s="99"/>
      <c r="QIP89" s="99"/>
      <c r="QIQ89" s="99"/>
      <c r="QIR89" s="99"/>
      <c r="QIS89" s="99"/>
      <c r="QIT89" s="99"/>
      <c r="QIU89" s="99"/>
      <c r="QIV89" s="99"/>
      <c r="QIW89" s="99"/>
      <c r="QIX89" s="99"/>
      <c r="QIY89" s="99"/>
      <c r="QIZ89" s="99"/>
      <c r="QJA89" s="99"/>
      <c r="QJB89" s="99"/>
      <c r="QJC89" s="99"/>
      <c r="QJD89" s="99"/>
      <c r="QJE89" s="99"/>
      <c r="QJF89" s="99"/>
      <c r="QJG89" s="99"/>
      <c r="QJH89" s="99"/>
      <c r="QJI89" s="99"/>
      <c r="QJJ89" s="99"/>
      <c r="QJK89" s="99"/>
      <c r="QJL89" s="99"/>
      <c r="QJM89" s="99"/>
      <c r="QJN89" s="99"/>
      <c r="QJO89" s="99"/>
      <c r="QJP89" s="99"/>
      <c r="QJQ89" s="99"/>
      <c r="QJR89" s="99"/>
      <c r="QJS89" s="99"/>
      <c r="QJT89" s="99"/>
      <c r="QJU89" s="99"/>
      <c r="QJV89" s="99"/>
      <c r="QJW89" s="99"/>
      <c r="QJX89" s="99"/>
      <c r="QJY89" s="99"/>
      <c r="QJZ89" s="99"/>
      <c r="QKA89" s="99"/>
      <c r="QKB89" s="99"/>
      <c r="QKC89" s="99"/>
      <c r="QKD89" s="99"/>
      <c r="QKE89" s="99"/>
      <c r="QKF89" s="99"/>
      <c r="QKG89" s="99"/>
      <c r="QKH89" s="99"/>
      <c r="QKI89" s="99"/>
      <c r="QKJ89" s="99"/>
      <c r="QKK89" s="99"/>
      <c r="QKL89" s="99"/>
      <c r="QKM89" s="99"/>
      <c r="QKN89" s="99"/>
      <c r="QKO89" s="99"/>
      <c r="QKP89" s="99"/>
      <c r="QKQ89" s="99"/>
      <c r="QKR89" s="99"/>
      <c r="QKS89" s="99"/>
      <c r="QKT89" s="99"/>
      <c r="QKU89" s="99"/>
      <c r="QKV89" s="99"/>
      <c r="QKW89" s="99"/>
      <c r="QKX89" s="99"/>
      <c r="QKY89" s="99"/>
      <c r="QKZ89" s="99"/>
      <c r="QLA89" s="99"/>
      <c r="QLB89" s="99"/>
      <c r="QLC89" s="99"/>
      <c r="QLD89" s="99"/>
      <c r="QLE89" s="99"/>
      <c r="QLF89" s="99"/>
      <c r="QLG89" s="99"/>
      <c r="QLH89" s="99"/>
      <c r="QLI89" s="99"/>
      <c r="QLJ89" s="99"/>
      <c r="QLK89" s="99"/>
      <c r="QLL89" s="99"/>
      <c r="QLM89" s="99"/>
      <c r="QLN89" s="99"/>
      <c r="QLO89" s="99"/>
      <c r="QLP89" s="99"/>
      <c r="QLQ89" s="99"/>
      <c r="QLR89" s="99"/>
      <c r="QLS89" s="99"/>
      <c r="QLT89" s="99"/>
      <c r="QLU89" s="99"/>
      <c r="QLV89" s="99"/>
      <c r="QLW89" s="99"/>
      <c r="QLX89" s="99"/>
      <c r="QLY89" s="99"/>
      <c r="QLZ89" s="99"/>
      <c r="QMA89" s="99"/>
      <c r="QMB89" s="99"/>
      <c r="QMC89" s="99"/>
      <c r="QMD89" s="99"/>
      <c r="QME89" s="99"/>
      <c r="QMF89" s="99"/>
      <c r="QMG89" s="99"/>
      <c r="QMH89" s="99"/>
      <c r="QMI89" s="99"/>
      <c r="QMJ89" s="99"/>
      <c r="QMK89" s="99"/>
      <c r="QML89" s="99"/>
      <c r="QMM89" s="99"/>
      <c r="QMN89" s="99"/>
      <c r="QMO89" s="99"/>
      <c r="QMP89" s="99"/>
      <c r="QMQ89" s="99"/>
      <c r="QMR89" s="99"/>
      <c r="QMS89" s="99"/>
      <c r="QMT89" s="99"/>
      <c r="QMU89" s="99"/>
      <c r="QMV89" s="99"/>
      <c r="QMW89" s="99"/>
      <c r="QMX89" s="99"/>
      <c r="QMY89" s="99"/>
      <c r="QMZ89" s="99"/>
      <c r="QNA89" s="99"/>
      <c r="QNB89" s="99"/>
      <c r="QNC89" s="99"/>
      <c r="QND89" s="99"/>
      <c r="QNE89" s="99"/>
      <c r="QNF89" s="99"/>
      <c r="QNG89" s="99"/>
      <c r="QNH89" s="99"/>
      <c r="QNI89" s="99"/>
      <c r="QNJ89" s="99"/>
      <c r="QNK89" s="99"/>
      <c r="QNL89" s="99"/>
      <c r="QNM89" s="99"/>
      <c r="QNN89" s="99"/>
      <c r="QNO89" s="99"/>
      <c r="QNP89" s="99"/>
      <c r="QNQ89" s="99"/>
      <c r="QNR89" s="99"/>
      <c r="QNS89" s="99"/>
      <c r="QNT89" s="99"/>
      <c r="QNU89" s="99"/>
      <c r="QNV89" s="99"/>
      <c r="QNW89" s="99"/>
      <c r="QNX89" s="99"/>
      <c r="QNY89" s="99"/>
      <c r="QNZ89" s="99"/>
      <c r="QOA89" s="99"/>
      <c r="QOB89" s="99"/>
      <c r="QOC89" s="99"/>
      <c r="QOD89" s="99"/>
      <c r="QOE89" s="99"/>
      <c r="QOF89" s="99"/>
      <c r="QOG89" s="99"/>
      <c r="QOH89" s="99"/>
      <c r="QOI89" s="99"/>
      <c r="QOJ89" s="99"/>
      <c r="QOK89" s="99"/>
      <c r="QOL89" s="99"/>
      <c r="QOM89" s="99"/>
      <c r="QON89" s="99"/>
      <c r="QOO89" s="99"/>
      <c r="QOP89" s="99"/>
      <c r="QOQ89" s="99"/>
      <c r="QOR89" s="99"/>
      <c r="QOS89" s="99"/>
      <c r="QOT89" s="99"/>
      <c r="QOU89" s="99"/>
      <c r="QOV89" s="99"/>
      <c r="QOW89" s="99"/>
      <c r="QOX89" s="99"/>
      <c r="QOY89" s="99"/>
      <c r="QOZ89" s="99"/>
      <c r="QPA89" s="99"/>
      <c r="QPB89" s="99"/>
      <c r="QPC89" s="99"/>
      <c r="QPD89" s="99"/>
      <c r="QPE89" s="99"/>
      <c r="QPF89" s="99"/>
      <c r="QPG89" s="99"/>
      <c r="QPH89" s="99"/>
      <c r="QPI89" s="99"/>
      <c r="QPJ89" s="99"/>
      <c r="QPK89" s="99"/>
      <c r="QPL89" s="99"/>
      <c r="QPM89" s="99"/>
      <c r="QPN89" s="99"/>
      <c r="QPO89" s="99"/>
      <c r="QPP89" s="99"/>
      <c r="QPQ89" s="99"/>
      <c r="QPR89" s="99"/>
      <c r="QPS89" s="99"/>
      <c r="QPT89" s="99"/>
      <c r="QPU89" s="99"/>
      <c r="QPV89" s="99"/>
      <c r="QPW89" s="99"/>
      <c r="QPX89" s="99"/>
      <c r="QPY89" s="99"/>
      <c r="QPZ89" s="99"/>
      <c r="QQA89" s="99"/>
      <c r="QQB89" s="99"/>
      <c r="QQC89" s="99"/>
      <c r="QQD89" s="99"/>
      <c r="QQE89" s="99"/>
      <c r="QQF89" s="99"/>
      <c r="QQG89" s="99"/>
      <c r="QQH89" s="99"/>
      <c r="QQI89" s="99"/>
      <c r="QQJ89" s="99"/>
      <c r="QQK89" s="99"/>
      <c r="QQL89" s="99"/>
      <c r="QQM89" s="99"/>
      <c r="QQN89" s="99"/>
      <c r="QQO89" s="99"/>
      <c r="QQP89" s="99"/>
      <c r="QQQ89" s="99"/>
      <c r="QQR89" s="99"/>
      <c r="QQS89" s="99"/>
      <c r="QQT89" s="99"/>
      <c r="QQU89" s="99"/>
      <c r="QQV89" s="99"/>
      <c r="QQW89" s="99"/>
      <c r="QQX89" s="99"/>
      <c r="QQY89" s="99"/>
      <c r="QQZ89" s="99"/>
      <c r="QRA89" s="99"/>
      <c r="QRB89" s="99"/>
      <c r="QRC89" s="99"/>
      <c r="QRD89" s="99"/>
      <c r="QRE89" s="99"/>
      <c r="QRF89" s="99"/>
      <c r="QRG89" s="99"/>
      <c r="QRH89" s="99"/>
      <c r="QRI89" s="99"/>
      <c r="QRJ89" s="99"/>
      <c r="QRK89" s="99"/>
      <c r="QRL89" s="99"/>
      <c r="QRM89" s="99"/>
      <c r="QRN89" s="99"/>
      <c r="QRO89" s="99"/>
      <c r="QRP89" s="99"/>
      <c r="QRQ89" s="99"/>
      <c r="QRR89" s="99"/>
      <c r="QRS89" s="99"/>
      <c r="QRT89" s="99"/>
      <c r="QRU89" s="99"/>
      <c r="QRV89" s="99"/>
      <c r="QRW89" s="99"/>
      <c r="QRX89" s="99"/>
      <c r="QRY89" s="99"/>
      <c r="QRZ89" s="99"/>
      <c r="QSA89" s="99"/>
      <c r="QSB89" s="99"/>
      <c r="QSC89" s="99"/>
      <c r="QSD89" s="99"/>
      <c r="QSE89" s="99"/>
      <c r="QSF89" s="99"/>
      <c r="QSG89" s="99"/>
      <c r="QSH89" s="99"/>
      <c r="QSI89" s="99"/>
      <c r="QSJ89" s="99"/>
      <c r="QSK89" s="99"/>
      <c r="QSL89" s="99"/>
      <c r="QSM89" s="99"/>
      <c r="QSN89" s="99"/>
      <c r="QSO89" s="99"/>
      <c r="QSP89" s="99"/>
      <c r="QSQ89" s="99"/>
      <c r="QSR89" s="99"/>
      <c r="QSS89" s="99"/>
      <c r="QST89" s="99"/>
      <c r="QSU89" s="99"/>
      <c r="QSV89" s="99"/>
      <c r="QSW89" s="99"/>
      <c r="QSX89" s="99"/>
      <c r="QSY89" s="99"/>
      <c r="QSZ89" s="99"/>
      <c r="QTA89" s="99"/>
      <c r="QTB89" s="99"/>
      <c r="QTC89" s="99"/>
      <c r="QTD89" s="99"/>
      <c r="QTE89" s="99"/>
      <c r="QTF89" s="99"/>
      <c r="QTG89" s="99"/>
      <c r="QTH89" s="99"/>
      <c r="QTI89" s="99"/>
      <c r="QTJ89" s="99"/>
      <c r="QTK89" s="99"/>
      <c r="QTL89" s="99"/>
      <c r="QTM89" s="99"/>
      <c r="QTN89" s="99"/>
      <c r="QTO89" s="99"/>
      <c r="QTP89" s="99"/>
      <c r="QTQ89" s="99"/>
      <c r="QTR89" s="99"/>
      <c r="QTS89" s="99"/>
      <c r="QTT89" s="99"/>
      <c r="QTU89" s="99"/>
      <c r="QTV89" s="99"/>
      <c r="QTW89" s="99"/>
      <c r="QTX89" s="99"/>
      <c r="QTY89" s="99"/>
      <c r="QTZ89" s="99"/>
      <c r="QUA89" s="99"/>
      <c r="QUB89" s="99"/>
      <c r="QUC89" s="99"/>
      <c r="QUD89" s="99"/>
      <c r="QUE89" s="99"/>
      <c r="QUF89" s="99"/>
      <c r="QUG89" s="99"/>
      <c r="QUH89" s="99"/>
      <c r="QUI89" s="99"/>
      <c r="QUJ89" s="99"/>
      <c r="QUK89" s="99"/>
      <c r="QUL89" s="99"/>
      <c r="QUM89" s="99"/>
      <c r="QUN89" s="99"/>
      <c r="QUO89" s="99"/>
      <c r="QUP89" s="99"/>
      <c r="QUQ89" s="99"/>
      <c r="QUR89" s="99"/>
      <c r="QUS89" s="99"/>
      <c r="QUT89" s="99"/>
      <c r="QUU89" s="99"/>
      <c r="QUV89" s="99"/>
      <c r="QUW89" s="99"/>
      <c r="QUX89" s="99"/>
      <c r="QUY89" s="99"/>
      <c r="QUZ89" s="99"/>
      <c r="QVA89" s="99"/>
      <c r="QVB89" s="99"/>
      <c r="QVC89" s="99"/>
      <c r="QVD89" s="99"/>
      <c r="QVE89" s="99"/>
      <c r="QVF89" s="99"/>
      <c r="QVG89" s="99"/>
      <c r="QVH89" s="99"/>
      <c r="QVI89" s="99"/>
      <c r="QVJ89" s="99"/>
      <c r="QVK89" s="99"/>
      <c r="QVL89" s="99"/>
      <c r="QVM89" s="99"/>
      <c r="QVN89" s="99"/>
      <c r="QVO89" s="99"/>
      <c r="QVP89" s="99"/>
      <c r="QVQ89" s="99"/>
      <c r="QVR89" s="99"/>
      <c r="QVS89" s="99"/>
      <c r="QVT89" s="99"/>
      <c r="QVU89" s="99"/>
      <c r="QVV89" s="99"/>
      <c r="QVW89" s="99"/>
      <c r="QVX89" s="99"/>
      <c r="QVY89" s="99"/>
      <c r="QVZ89" s="99"/>
      <c r="QWA89" s="99"/>
      <c r="QWB89" s="99"/>
      <c r="QWC89" s="99"/>
      <c r="QWD89" s="99"/>
      <c r="QWE89" s="99"/>
      <c r="QWF89" s="99"/>
      <c r="QWG89" s="99"/>
      <c r="QWH89" s="99"/>
      <c r="QWI89" s="99"/>
      <c r="QWJ89" s="99"/>
      <c r="QWK89" s="99"/>
      <c r="QWL89" s="99"/>
      <c r="QWM89" s="99"/>
      <c r="QWN89" s="99"/>
      <c r="QWO89" s="99"/>
      <c r="QWP89" s="99"/>
      <c r="QWQ89" s="99"/>
      <c r="QWR89" s="99"/>
      <c r="QWS89" s="99"/>
      <c r="QWT89" s="99"/>
      <c r="QWU89" s="99"/>
      <c r="QWV89" s="99"/>
      <c r="QWW89" s="99"/>
      <c r="QWX89" s="99"/>
      <c r="QWY89" s="99"/>
      <c r="QWZ89" s="99"/>
      <c r="QXA89" s="99"/>
      <c r="QXB89" s="99"/>
      <c r="QXC89" s="99"/>
      <c r="QXD89" s="99"/>
      <c r="QXE89" s="99"/>
      <c r="QXF89" s="99"/>
      <c r="QXG89" s="99"/>
      <c r="QXH89" s="99"/>
      <c r="QXI89" s="99"/>
      <c r="QXJ89" s="99"/>
      <c r="QXK89" s="99"/>
      <c r="QXL89" s="99"/>
      <c r="QXM89" s="99"/>
      <c r="QXN89" s="99"/>
      <c r="QXO89" s="99"/>
      <c r="QXP89" s="99"/>
      <c r="QXQ89" s="99"/>
      <c r="QXR89" s="99"/>
      <c r="QXS89" s="99"/>
      <c r="QXT89" s="99"/>
      <c r="QXU89" s="99"/>
      <c r="QXV89" s="99"/>
      <c r="QXW89" s="99"/>
      <c r="QXX89" s="99"/>
      <c r="QXY89" s="99"/>
      <c r="QXZ89" s="99"/>
      <c r="QYA89" s="99"/>
      <c r="QYB89" s="99"/>
      <c r="QYC89" s="99"/>
      <c r="QYD89" s="99"/>
      <c r="QYE89" s="99"/>
      <c r="QYF89" s="99"/>
      <c r="QYG89" s="99"/>
      <c r="QYH89" s="99"/>
      <c r="QYI89" s="99"/>
      <c r="QYJ89" s="99"/>
      <c r="QYK89" s="99"/>
      <c r="QYL89" s="99"/>
      <c r="QYM89" s="99"/>
      <c r="QYN89" s="99"/>
      <c r="QYO89" s="99"/>
      <c r="QYP89" s="99"/>
      <c r="QYQ89" s="99"/>
      <c r="QYR89" s="99"/>
      <c r="QYS89" s="99"/>
      <c r="QYT89" s="99"/>
      <c r="QYU89" s="99"/>
      <c r="QYV89" s="99"/>
      <c r="QYW89" s="99"/>
      <c r="QYX89" s="99"/>
      <c r="QYY89" s="99"/>
      <c r="QYZ89" s="99"/>
      <c r="QZA89" s="99"/>
      <c r="QZB89" s="99"/>
      <c r="QZC89" s="99"/>
      <c r="QZD89" s="99"/>
      <c r="QZE89" s="99"/>
      <c r="QZF89" s="99"/>
      <c r="QZG89" s="99"/>
      <c r="QZH89" s="99"/>
      <c r="QZI89" s="99"/>
      <c r="QZJ89" s="99"/>
      <c r="QZK89" s="99"/>
      <c r="QZL89" s="99"/>
      <c r="QZM89" s="99"/>
      <c r="QZN89" s="99"/>
      <c r="QZO89" s="99"/>
      <c r="QZP89" s="99"/>
      <c r="QZQ89" s="99"/>
      <c r="QZR89" s="99"/>
      <c r="QZS89" s="99"/>
      <c r="QZT89" s="99"/>
      <c r="QZU89" s="99"/>
      <c r="QZV89" s="99"/>
      <c r="QZW89" s="99"/>
      <c r="QZX89" s="99"/>
      <c r="QZY89" s="99"/>
      <c r="QZZ89" s="99"/>
      <c r="RAA89" s="99"/>
      <c r="RAB89" s="99"/>
      <c r="RAC89" s="99"/>
      <c r="RAD89" s="99"/>
      <c r="RAE89" s="99"/>
      <c r="RAF89" s="99"/>
      <c r="RAG89" s="99"/>
      <c r="RAH89" s="99"/>
      <c r="RAI89" s="99"/>
      <c r="RAJ89" s="99"/>
      <c r="RAK89" s="99"/>
      <c r="RAL89" s="99"/>
      <c r="RAM89" s="99"/>
      <c r="RAN89" s="99"/>
      <c r="RAO89" s="99"/>
      <c r="RAP89" s="99"/>
      <c r="RAQ89" s="99"/>
      <c r="RAR89" s="99"/>
      <c r="RAS89" s="99"/>
      <c r="RAT89" s="99"/>
      <c r="RAU89" s="99"/>
      <c r="RAV89" s="99"/>
      <c r="RAW89" s="99"/>
      <c r="RAX89" s="99"/>
      <c r="RAY89" s="99"/>
      <c r="RAZ89" s="99"/>
      <c r="RBA89" s="99"/>
      <c r="RBB89" s="99"/>
      <c r="RBC89" s="99"/>
      <c r="RBD89" s="99"/>
      <c r="RBE89" s="99"/>
      <c r="RBF89" s="99"/>
      <c r="RBG89" s="99"/>
      <c r="RBH89" s="99"/>
      <c r="RBI89" s="99"/>
      <c r="RBJ89" s="99"/>
      <c r="RBK89" s="99"/>
      <c r="RBL89" s="99"/>
      <c r="RBM89" s="99"/>
      <c r="RBN89" s="99"/>
      <c r="RBO89" s="99"/>
      <c r="RBP89" s="99"/>
      <c r="RBQ89" s="99"/>
      <c r="RBR89" s="99"/>
      <c r="RBS89" s="99"/>
      <c r="RBT89" s="99"/>
      <c r="RBU89" s="99"/>
      <c r="RBV89" s="99"/>
      <c r="RBW89" s="99"/>
      <c r="RBX89" s="99"/>
      <c r="RBY89" s="99"/>
      <c r="RBZ89" s="99"/>
      <c r="RCA89" s="99"/>
      <c r="RCB89" s="99"/>
      <c r="RCC89" s="99"/>
      <c r="RCD89" s="99"/>
      <c r="RCE89" s="99"/>
      <c r="RCF89" s="99"/>
      <c r="RCG89" s="99"/>
      <c r="RCH89" s="99"/>
      <c r="RCI89" s="99"/>
      <c r="RCJ89" s="99"/>
      <c r="RCK89" s="99"/>
      <c r="RCL89" s="99"/>
      <c r="RCM89" s="99"/>
      <c r="RCN89" s="99"/>
      <c r="RCO89" s="99"/>
      <c r="RCP89" s="99"/>
      <c r="RCQ89" s="99"/>
      <c r="RCR89" s="99"/>
      <c r="RCS89" s="99"/>
      <c r="RCT89" s="99"/>
      <c r="RCU89" s="99"/>
      <c r="RCV89" s="99"/>
      <c r="RCW89" s="99"/>
      <c r="RCX89" s="99"/>
      <c r="RCY89" s="99"/>
      <c r="RCZ89" s="99"/>
      <c r="RDA89" s="99"/>
      <c r="RDB89" s="99"/>
      <c r="RDC89" s="99"/>
      <c r="RDD89" s="99"/>
      <c r="RDE89" s="99"/>
      <c r="RDF89" s="99"/>
      <c r="RDG89" s="99"/>
      <c r="RDH89" s="99"/>
      <c r="RDI89" s="99"/>
      <c r="RDJ89" s="99"/>
      <c r="RDK89" s="99"/>
      <c r="RDL89" s="99"/>
      <c r="RDM89" s="99"/>
      <c r="RDN89" s="99"/>
      <c r="RDO89" s="99"/>
      <c r="RDP89" s="99"/>
      <c r="RDQ89" s="99"/>
      <c r="RDR89" s="99"/>
      <c r="RDS89" s="99"/>
      <c r="RDT89" s="99"/>
      <c r="RDU89" s="99"/>
      <c r="RDV89" s="99"/>
      <c r="RDW89" s="99"/>
      <c r="RDX89" s="99"/>
      <c r="RDY89" s="99"/>
      <c r="RDZ89" s="99"/>
      <c r="REA89" s="99"/>
      <c r="REB89" s="99"/>
      <c r="REC89" s="99"/>
      <c r="RED89" s="99"/>
      <c r="REE89" s="99"/>
      <c r="REF89" s="99"/>
      <c r="REG89" s="99"/>
      <c r="REH89" s="99"/>
      <c r="REI89" s="99"/>
      <c r="REJ89" s="99"/>
      <c r="REK89" s="99"/>
      <c r="REL89" s="99"/>
      <c r="REM89" s="99"/>
      <c r="REN89" s="99"/>
      <c r="REO89" s="99"/>
      <c r="REP89" s="99"/>
      <c r="REQ89" s="99"/>
      <c r="RER89" s="99"/>
      <c r="RES89" s="99"/>
      <c r="RET89" s="99"/>
      <c r="REU89" s="99"/>
      <c r="REV89" s="99"/>
      <c r="REW89" s="99"/>
      <c r="REX89" s="99"/>
      <c r="REY89" s="99"/>
      <c r="REZ89" s="99"/>
      <c r="RFA89" s="99"/>
      <c r="RFB89" s="99"/>
      <c r="RFC89" s="99"/>
      <c r="RFD89" s="99"/>
      <c r="RFE89" s="99"/>
      <c r="RFF89" s="99"/>
      <c r="RFG89" s="99"/>
      <c r="RFH89" s="99"/>
      <c r="RFI89" s="99"/>
      <c r="RFJ89" s="99"/>
      <c r="RFK89" s="99"/>
      <c r="RFL89" s="99"/>
      <c r="RFM89" s="99"/>
      <c r="RFN89" s="99"/>
      <c r="RFO89" s="99"/>
      <c r="RFP89" s="99"/>
      <c r="RFQ89" s="99"/>
      <c r="RFR89" s="99"/>
      <c r="RFS89" s="99"/>
      <c r="RFT89" s="99"/>
      <c r="RFU89" s="99"/>
      <c r="RFV89" s="99"/>
      <c r="RFW89" s="99"/>
      <c r="RFX89" s="99"/>
      <c r="RFY89" s="99"/>
      <c r="RFZ89" s="99"/>
      <c r="RGA89" s="99"/>
      <c r="RGB89" s="99"/>
      <c r="RGC89" s="99"/>
      <c r="RGD89" s="99"/>
      <c r="RGE89" s="99"/>
      <c r="RGF89" s="99"/>
      <c r="RGG89" s="99"/>
      <c r="RGH89" s="99"/>
      <c r="RGI89" s="99"/>
      <c r="RGJ89" s="99"/>
      <c r="RGK89" s="99"/>
      <c r="RGL89" s="99"/>
      <c r="RGM89" s="99"/>
      <c r="RGN89" s="99"/>
      <c r="RGO89" s="99"/>
      <c r="RGP89" s="99"/>
      <c r="RGQ89" s="99"/>
      <c r="RGR89" s="99"/>
      <c r="RGS89" s="99"/>
      <c r="RGT89" s="99"/>
      <c r="RGU89" s="99"/>
      <c r="RGV89" s="99"/>
      <c r="RGW89" s="99"/>
      <c r="RGX89" s="99"/>
      <c r="RGY89" s="99"/>
      <c r="RGZ89" s="99"/>
      <c r="RHA89" s="99"/>
      <c r="RHB89" s="99"/>
      <c r="RHC89" s="99"/>
      <c r="RHD89" s="99"/>
      <c r="RHE89" s="99"/>
      <c r="RHF89" s="99"/>
      <c r="RHG89" s="99"/>
      <c r="RHH89" s="99"/>
      <c r="RHI89" s="99"/>
      <c r="RHJ89" s="99"/>
      <c r="RHK89" s="99"/>
      <c r="RHL89" s="99"/>
      <c r="RHM89" s="99"/>
      <c r="RHN89" s="99"/>
      <c r="RHO89" s="99"/>
      <c r="RHP89" s="99"/>
      <c r="RHQ89" s="99"/>
      <c r="RHR89" s="99"/>
      <c r="RHS89" s="99"/>
      <c r="RHT89" s="99"/>
      <c r="RHU89" s="99"/>
      <c r="RHV89" s="99"/>
      <c r="RHW89" s="99"/>
      <c r="RHX89" s="99"/>
      <c r="RHY89" s="99"/>
      <c r="RHZ89" s="99"/>
      <c r="RIA89" s="99"/>
      <c r="RIB89" s="99"/>
      <c r="RIC89" s="99"/>
      <c r="RID89" s="99"/>
      <c r="RIE89" s="99"/>
      <c r="RIF89" s="99"/>
      <c r="RIG89" s="99"/>
      <c r="RIH89" s="99"/>
      <c r="RII89" s="99"/>
      <c r="RIJ89" s="99"/>
      <c r="RIK89" s="99"/>
      <c r="RIL89" s="99"/>
      <c r="RIM89" s="99"/>
      <c r="RIN89" s="99"/>
      <c r="RIO89" s="99"/>
      <c r="RIP89" s="99"/>
      <c r="RIQ89" s="99"/>
      <c r="RIR89" s="99"/>
      <c r="RIS89" s="99"/>
      <c r="RIT89" s="99"/>
      <c r="RIU89" s="99"/>
      <c r="RIV89" s="99"/>
      <c r="RIW89" s="99"/>
      <c r="RIX89" s="99"/>
      <c r="RIY89" s="99"/>
      <c r="RIZ89" s="99"/>
      <c r="RJA89" s="99"/>
      <c r="RJB89" s="99"/>
      <c r="RJC89" s="99"/>
      <c r="RJD89" s="99"/>
      <c r="RJE89" s="99"/>
      <c r="RJF89" s="99"/>
      <c r="RJG89" s="99"/>
      <c r="RJH89" s="99"/>
      <c r="RJI89" s="99"/>
      <c r="RJJ89" s="99"/>
      <c r="RJK89" s="99"/>
      <c r="RJL89" s="99"/>
      <c r="RJM89" s="99"/>
      <c r="RJN89" s="99"/>
      <c r="RJO89" s="99"/>
      <c r="RJP89" s="99"/>
      <c r="RJQ89" s="99"/>
      <c r="RJR89" s="99"/>
      <c r="RJS89" s="99"/>
      <c r="RJT89" s="99"/>
      <c r="RJU89" s="99"/>
      <c r="RJV89" s="99"/>
      <c r="RJW89" s="99"/>
      <c r="RJX89" s="99"/>
      <c r="RJY89" s="99"/>
      <c r="RJZ89" s="99"/>
      <c r="RKA89" s="99"/>
      <c r="RKB89" s="99"/>
      <c r="RKC89" s="99"/>
      <c r="RKD89" s="99"/>
      <c r="RKE89" s="99"/>
      <c r="RKF89" s="99"/>
      <c r="RKG89" s="99"/>
      <c r="RKH89" s="99"/>
      <c r="RKI89" s="99"/>
      <c r="RKJ89" s="99"/>
      <c r="RKK89" s="99"/>
      <c r="RKL89" s="99"/>
      <c r="RKM89" s="99"/>
      <c r="RKN89" s="99"/>
      <c r="RKO89" s="99"/>
      <c r="RKP89" s="99"/>
      <c r="RKQ89" s="99"/>
      <c r="RKR89" s="99"/>
      <c r="RKS89" s="99"/>
      <c r="RKT89" s="99"/>
      <c r="RKU89" s="99"/>
      <c r="RKV89" s="99"/>
      <c r="RKW89" s="99"/>
      <c r="RKX89" s="99"/>
      <c r="RKY89" s="99"/>
      <c r="RKZ89" s="99"/>
      <c r="RLA89" s="99"/>
      <c r="RLB89" s="99"/>
      <c r="RLC89" s="99"/>
      <c r="RLD89" s="99"/>
      <c r="RLE89" s="99"/>
      <c r="RLF89" s="99"/>
      <c r="RLG89" s="99"/>
      <c r="RLH89" s="99"/>
      <c r="RLI89" s="99"/>
      <c r="RLJ89" s="99"/>
      <c r="RLK89" s="99"/>
      <c r="RLL89" s="99"/>
      <c r="RLM89" s="99"/>
      <c r="RLN89" s="99"/>
      <c r="RLO89" s="99"/>
      <c r="RLP89" s="99"/>
      <c r="RLQ89" s="99"/>
      <c r="RLR89" s="99"/>
      <c r="RLS89" s="99"/>
      <c r="RLT89" s="99"/>
      <c r="RLU89" s="99"/>
      <c r="RLV89" s="99"/>
      <c r="RLW89" s="99"/>
      <c r="RLX89" s="99"/>
      <c r="RLY89" s="99"/>
      <c r="RLZ89" s="99"/>
      <c r="RMA89" s="99"/>
      <c r="RMB89" s="99"/>
      <c r="RMC89" s="99"/>
      <c r="RMD89" s="99"/>
      <c r="RME89" s="99"/>
      <c r="RMF89" s="99"/>
      <c r="RMG89" s="99"/>
      <c r="RMH89" s="99"/>
      <c r="RMI89" s="99"/>
      <c r="RMJ89" s="99"/>
      <c r="RMK89" s="99"/>
      <c r="RML89" s="99"/>
      <c r="RMM89" s="99"/>
      <c r="RMN89" s="99"/>
      <c r="RMO89" s="99"/>
      <c r="RMP89" s="99"/>
      <c r="RMQ89" s="99"/>
      <c r="RMR89" s="99"/>
      <c r="RMS89" s="99"/>
      <c r="RMT89" s="99"/>
      <c r="RMU89" s="99"/>
      <c r="RMV89" s="99"/>
      <c r="RMW89" s="99"/>
      <c r="RMX89" s="99"/>
      <c r="RMY89" s="99"/>
      <c r="RMZ89" s="99"/>
      <c r="RNA89" s="99"/>
      <c r="RNB89" s="99"/>
      <c r="RNC89" s="99"/>
      <c r="RND89" s="99"/>
      <c r="RNE89" s="99"/>
      <c r="RNF89" s="99"/>
      <c r="RNG89" s="99"/>
      <c r="RNH89" s="99"/>
      <c r="RNI89" s="99"/>
      <c r="RNJ89" s="99"/>
      <c r="RNK89" s="99"/>
      <c r="RNL89" s="99"/>
      <c r="RNM89" s="99"/>
      <c r="RNN89" s="99"/>
      <c r="RNO89" s="99"/>
      <c r="RNP89" s="99"/>
      <c r="RNQ89" s="99"/>
      <c r="RNR89" s="99"/>
      <c r="RNS89" s="99"/>
      <c r="RNT89" s="99"/>
      <c r="RNU89" s="99"/>
      <c r="RNV89" s="99"/>
      <c r="RNW89" s="99"/>
      <c r="RNX89" s="99"/>
      <c r="RNY89" s="99"/>
      <c r="RNZ89" s="99"/>
      <c r="ROA89" s="99"/>
      <c r="ROB89" s="99"/>
      <c r="ROC89" s="99"/>
      <c r="ROD89" s="99"/>
      <c r="ROE89" s="99"/>
      <c r="ROF89" s="99"/>
      <c r="ROG89" s="99"/>
      <c r="ROH89" s="99"/>
      <c r="ROI89" s="99"/>
      <c r="ROJ89" s="99"/>
      <c r="ROK89" s="99"/>
      <c r="ROL89" s="99"/>
      <c r="ROM89" s="99"/>
      <c r="RON89" s="99"/>
      <c r="ROO89" s="99"/>
      <c r="ROP89" s="99"/>
      <c r="ROQ89" s="99"/>
      <c r="ROR89" s="99"/>
      <c r="ROS89" s="99"/>
      <c r="ROT89" s="99"/>
      <c r="ROU89" s="99"/>
      <c r="ROV89" s="99"/>
      <c r="ROW89" s="99"/>
      <c r="ROX89" s="99"/>
      <c r="ROY89" s="99"/>
      <c r="ROZ89" s="99"/>
      <c r="RPA89" s="99"/>
      <c r="RPB89" s="99"/>
      <c r="RPC89" s="99"/>
      <c r="RPD89" s="99"/>
      <c r="RPE89" s="99"/>
      <c r="RPF89" s="99"/>
      <c r="RPG89" s="99"/>
      <c r="RPH89" s="99"/>
      <c r="RPI89" s="99"/>
      <c r="RPJ89" s="99"/>
      <c r="RPK89" s="99"/>
      <c r="RPL89" s="99"/>
      <c r="RPM89" s="99"/>
      <c r="RPN89" s="99"/>
      <c r="RPO89" s="99"/>
      <c r="RPP89" s="99"/>
      <c r="RPQ89" s="99"/>
      <c r="RPR89" s="99"/>
      <c r="RPS89" s="99"/>
      <c r="RPT89" s="99"/>
      <c r="RPU89" s="99"/>
      <c r="RPV89" s="99"/>
      <c r="RPW89" s="99"/>
      <c r="RPX89" s="99"/>
      <c r="RPY89" s="99"/>
      <c r="RPZ89" s="99"/>
      <c r="RQA89" s="99"/>
      <c r="RQB89" s="99"/>
      <c r="RQC89" s="99"/>
      <c r="RQD89" s="99"/>
      <c r="RQE89" s="99"/>
      <c r="RQF89" s="99"/>
      <c r="RQG89" s="99"/>
      <c r="RQH89" s="99"/>
      <c r="RQI89" s="99"/>
      <c r="RQJ89" s="99"/>
      <c r="RQK89" s="99"/>
      <c r="RQL89" s="99"/>
      <c r="RQM89" s="99"/>
      <c r="RQN89" s="99"/>
      <c r="RQO89" s="99"/>
      <c r="RQP89" s="99"/>
      <c r="RQQ89" s="99"/>
      <c r="RQR89" s="99"/>
      <c r="RQS89" s="99"/>
      <c r="RQT89" s="99"/>
      <c r="RQU89" s="99"/>
      <c r="RQV89" s="99"/>
      <c r="RQW89" s="99"/>
      <c r="RQX89" s="99"/>
      <c r="RQY89" s="99"/>
      <c r="RQZ89" s="99"/>
      <c r="RRA89" s="99"/>
      <c r="RRB89" s="99"/>
      <c r="RRC89" s="99"/>
      <c r="RRD89" s="99"/>
      <c r="RRE89" s="99"/>
      <c r="RRF89" s="99"/>
      <c r="RRG89" s="99"/>
      <c r="RRH89" s="99"/>
      <c r="RRI89" s="99"/>
      <c r="RRJ89" s="99"/>
      <c r="RRK89" s="99"/>
      <c r="RRL89" s="99"/>
      <c r="RRM89" s="99"/>
      <c r="RRN89" s="99"/>
      <c r="RRO89" s="99"/>
      <c r="RRP89" s="99"/>
      <c r="RRQ89" s="99"/>
      <c r="RRR89" s="99"/>
      <c r="RRS89" s="99"/>
      <c r="RRT89" s="99"/>
      <c r="RRU89" s="99"/>
      <c r="RRV89" s="99"/>
      <c r="RRW89" s="99"/>
      <c r="RRX89" s="99"/>
      <c r="RRY89" s="99"/>
      <c r="RRZ89" s="99"/>
      <c r="RSA89" s="99"/>
      <c r="RSB89" s="99"/>
      <c r="RSC89" s="99"/>
      <c r="RSD89" s="99"/>
      <c r="RSE89" s="99"/>
      <c r="RSF89" s="99"/>
      <c r="RSG89" s="99"/>
      <c r="RSH89" s="99"/>
      <c r="RSI89" s="99"/>
      <c r="RSJ89" s="99"/>
      <c r="RSK89" s="99"/>
      <c r="RSL89" s="99"/>
      <c r="RSM89" s="99"/>
      <c r="RSN89" s="99"/>
      <c r="RSO89" s="99"/>
      <c r="RSP89" s="99"/>
      <c r="RSQ89" s="99"/>
      <c r="RSR89" s="99"/>
      <c r="RSS89" s="99"/>
      <c r="RST89" s="99"/>
      <c r="RSU89" s="99"/>
      <c r="RSV89" s="99"/>
      <c r="RSW89" s="99"/>
      <c r="RSX89" s="99"/>
      <c r="RSY89" s="99"/>
      <c r="RSZ89" s="99"/>
      <c r="RTA89" s="99"/>
      <c r="RTB89" s="99"/>
      <c r="RTC89" s="99"/>
      <c r="RTD89" s="99"/>
      <c r="RTE89" s="99"/>
      <c r="RTF89" s="99"/>
      <c r="RTG89" s="99"/>
      <c r="RTH89" s="99"/>
      <c r="RTI89" s="99"/>
      <c r="RTJ89" s="99"/>
      <c r="RTK89" s="99"/>
      <c r="RTL89" s="99"/>
      <c r="RTM89" s="99"/>
      <c r="RTN89" s="99"/>
      <c r="RTO89" s="99"/>
      <c r="RTP89" s="99"/>
      <c r="RTQ89" s="99"/>
      <c r="RTR89" s="99"/>
      <c r="RTS89" s="99"/>
      <c r="RTT89" s="99"/>
      <c r="RTU89" s="99"/>
      <c r="RTV89" s="99"/>
      <c r="RTW89" s="99"/>
      <c r="RTX89" s="99"/>
      <c r="RTY89" s="99"/>
      <c r="RTZ89" s="99"/>
      <c r="RUA89" s="99"/>
      <c r="RUB89" s="99"/>
      <c r="RUC89" s="99"/>
      <c r="RUD89" s="99"/>
      <c r="RUE89" s="99"/>
      <c r="RUF89" s="99"/>
      <c r="RUG89" s="99"/>
      <c r="RUH89" s="99"/>
      <c r="RUI89" s="99"/>
      <c r="RUJ89" s="99"/>
      <c r="RUK89" s="99"/>
      <c r="RUL89" s="99"/>
      <c r="RUM89" s="99"/>
      <c r="RUN89" s="99"/>
      <c r="RUO89" s="99"/>
      <c r="RUP89" s="99"/>
      <c r="RUQ89" s="99"/>
      <c r="RUR89" s="99"/>
      <c r="RUS89" s="99"/>
      <c r="RUT89" s="99"/>
      <c r="RUU89" s="99"/>
      <c r="RUV89" s="99"/>
      <c r="RUW89" s="99"/>
      <c r="RUX89" s="99"/>
      <c r="RUY89" s="99"/>
      <c r="RUZ89" s="99"/>
      <c r="RVA89" s="99"/>
      <c r="RVB89" s="99"/>
      <c r="RVC89" s="99"/>
      <c r="RVD89" s="99"/>
      <c r="RVE89" s="99"/>
      <c r="RVF89" s="99"/>
      <c r="RVG89" s="99"/>
      <c r="RVH89" s="99"/>
      <c r="RVI89" s="99"/>
      <c r="RVJ89" s="99"/>
      <c r="RVK89" s="99"/>
      <c r="RVL89" s="99"/>
      <c r="RVM89" s="99"/>
      <c r="RVN89" s="99"/>
      <c r="RVO89" s="99"/>
      <c r="RVP89" s="99"/>
      <c r="RVQ89" s="99"/>
      <c r="RVR89" s="99"/>
      <c r="RVS89" s="99"/>
      <c r="RVT89" s="99"/>
      <c r="RVU89" s="99"/>
      <c r="RVV89" s="99"/>
      <c r="RVW89" s="99"/>
      <c r="RVX89" s="99"/>
      <c r="RVY89" s="99"/>
      <c r="RVZ89" s="99"/>
      <c r="RWA89" s="99"/>
      <c r="RWB89" s="99"/>
      <c r="RWC89" s="99"/>
      <c r="RWD89" s="99"/>
      <c r="RWE89" s="99"/>
      <c r="RWF89" s="99"/>
      <c r="RWG89" s="99"/>
      <c r="RWH89" s="99"/>
      <c r="RWI89" s="99"/>
      <c r="RWJ89" s="99"/>
      <c r="RWK89" s="99"/>
      <c r="RWL89" s="99"/>
      <c r="RWM89" s="99"/>
      <c r="RWN89" s="99"/>
      <c r="RWO89" s="99"/>
      <c r="RWP89" s="99"/>
      <c r="RWQ89" s="99"/>
      <c r="RWR89" s="99"/>
      <c r="RWS89" s="99"/>
      <c r="RWT89" s="99"/>
      <c r="RWU89" s="99"/>
      <c r="RWV89" s="99"/>
      <c r="RWW89" s="99"/>
      <c r="RWX89" s="99"/>
      <c r="RWY89" s="99"/>
      <c r="RWZ89" s="99"/>
      <c r="RXA89" s="99"/>
      <c r="RXB89" s="99"/>
      <c r="RXC89" s="99"/>
      <c r="RXD89" s="99"/>
      <c r="RXE89" s="99"/>
      <c r="RXF89" s="99"/>
      <c r="RXG89" s="99"/>
      <c r="RXH89" s="99"/>
      <c r="RXI89" s="99"/>
      <c r="RXJ89" s="99"/>
      <c r="RXK89" s="99"/>
      <c r="RXL89" s="99"/>
      <c r="RXM89" s="99"/>
      <c r="RXN89" s="99"/>
      <c r="RXO89" s="99"/>
      <c r="RXP89" s="99"/>
      <c r="RXQ89" s="99"/>
      <c r="RXR89" s="99"/>
      <c r="RXS89" s="99"/>
      <c r="RXT89" s="99"/>
      <c r="RXU89" s="99"/>
      <c r="RXV89" s="99"/>
      <c r="RXW89" s="99"/>
      <c r="RXX89" s="99"/>
      <c r="RXY89" s="99"/>
      <c r="RXZ89" s="99"/>
      <c r="RYA89" s="99"/>
      <c r="RYB89" s="99"/>
      <c r="RYC89" s="99"/>
      <c r="RYD89" s="99"/>
      <c r="RYE89" s="99"/>
      <c r="RYF89" s="99"/>
      <c r="RYG89" s="99"/>
      <c r="RYH89" s="99"/>
      <c r="RYI89" s="99"/>
      <c r="RYJ89" s="99"/>
      <c r="RYK89" s="99"/>
      <c r="RYL89" s="99"/>
      <c r="RYM89" s="99"/>
      <c r="RYN89" s="99"/>
      <c r="RYO89" s="99"/>
      <c r="RYP89" s="99"/>
      <c r="RYQ89" s="99"/>
      <c r="RYR89" s="99"/>
      <c r="RYS89" s="99"/>
      <c r="RYT89" s="99"/>
      <c r="RYU89" s="99"/>
      <c r="RYV89" s="99"/>
      <c r="RYW89" s="99"/>
      <c r="RYX89" s="99"/>
      <c r="RYY89" s="99"/>
      <c r="RYZ89" s="99"/>
      <c r="RZA89" s="99"/>
      <c r="RZB89" s="99"/>
      <c r="RZC89" s="99"/>
      <c r="RZD89" s="99"/>
      <c r="RZE89" s="99"/>
      <c r="RZF89" s="99"/>
      <c r="RZG89" s="99"/>
      <c r="RZH89" s="99"/>
      <c r="RZI89" s="99"/>
      <c r="RZJ89" s="99"/>
      <c r="RZK89" s="99"/>
      <c r="RZL89" s="99"/>
      <c r="RZM89" s="99"/>
      <c r="RZN89" s="99"/>
      <c r="RZO89" s="99"/>
      <c r="RZP89" s="99"/>
      <c r="RZQ89" s="99"/>
      <c r="RZR89" s="99"/>
      <c r="RZS89" s="99"/>
      <c r="RZT89" s="99"/>
      <c r="RZU89" s="99"/>
      <c r="RZV89" s="99"/>
      <c r="RZW89" s="99"/>
      <c r="RZX89" s="99"/>
      <c r="RZY89" s="99"/>
      <c r="RZZ89" s="99"/>
      <c r="SAA89" s="99"/>
      <c r="SAB89" s="99"/>
      <c r="SAC89" s="99"/>
      <c r="SAD89" s="99"/>
      <c r="SAE89" s="99"/>
      <c r="SAF89" s="99"/>
      <c r="SAG89" s="99"/>
      <c r="SAH89" s="99"/>
      <c r="SAI89" s="99"/>
      <c r="SAJ89" s="99"/>
      <c r="SAK89" s="99"/>
      <c r="SAL89" s="99"/>
      <c r="SAM89" s="99"/>
      <c r="SAN89" s="99"/>
      <c r="SAO89" s="99"/>
      <c r="SAP89" s="99"/>
      <c r="SAQ89" s="99"/>
      <c r="SAR89" s="99"/>
      <c r="SAS89" s="99"/>
      <c r="SAT89" s="99"/>
      <c r="SAU89" s="99"/>
      <c r="SAV89" s="99"/>
      <c r="SAW89" s="99"/>
      <c r="SAX89" s="99"/>
      <c r="SAY89" s="99"/>
      <c r="SAZ89" s="99"/>
      <c r="SBA89" s="99"/>
      <c r="SBB89" s="99"/>
      <c r="SBC89" s="99"/>
      <c r="SBD89" s="99"/>
      <c r="SBE89" s="99"/>
      <c r="SBF89" s="99"/>
      <c r="SBG89" s="99"/>
      <c r="SBH89" s="99"/>
      <c r="SBI89" s="99"/>
      <c r="SBJ89" s="99"/>
      <c r="SBK89" s="99"/>
      <c r="SBL89" s="99"/>
      <c r="SBM89" s="99"/>
      <c r="SBN89" s="99"/>
      <c r="SBO89" s="99"/>
      <c r="SBP89" s="99"/>
      <c r="SBQ89" s="99"/>
      <c r="SBR89" s="99"/>
      <c r="SBS89" s="99"/>
      <c r="SBT89" s="99"/>
      <c r="SBU89" s="99"/>
      <c r="SBV89" s="99"/>
      <c r="SBW89" s="99"/>
      <c r="SBX89" s="99"/>
      <c r="SBY89" s="99"/>
      <c r="SBZ89" s="99"/>
      <c r="SCA89" s="99"/>
      <c r="SCB89" s="99"/>
      <c r="SCC89" s="99"/>
      <c r="SCD89" s="99"/>
      <c r="SCE89" s="99"/>
      <c r="SCF89" s="99"/>
      <c r="SCG89" s="99"/>
      <c r="SCH89" s="99"/>
      <c r="SCI89" s="99"/>
      <c r="SCJ89" s="99"/>
      <c r="SCK89" s="99"/>
      <c r="SCL89" s="99"/>
      <c r="SCM89" s="99"/>
      <c r="SCN89" s="99"/>
      <c r="SCO89" s="99"/>
      <c r="SCP89" s="99"/>
      <c r="SCQ89" s="99"/>
      <c r="SCR89" s="99"/>
      <c r="SCS89" s="99"/>
      <c r="SCT89" s="99"/>
      <c r="SCU89" s="99"/>
      <c r="SCV89" s="99"/>
      <c r="SCW89" s="99"/>
      <c r="SCX89" s="99"/>
      <c r="SCY89" s="99"/>
      <c r="SCZ89" s="99"/>
      <c r="SDA89" s="99"/>
      <c r="SDB89" s="99"/>
      <c r="SDC89" s="99"/>
      <c r="SDD89" s="99"/>
      <c r="SDE89" s="99"/>
      <c r="SDF89" s="99"/>
      <c r="SDG89" s="99"/>
      <c r="SDH89" s="99"/>
      <c r="SDI89" s="99"/>
      <c r="SDJ89" s="99"/>
      <c r="SDK89" s="99"/>
      <c r="SDL89" s="99"/>
      <c r="SDM89" s="99"/>
      <c r="SDN89" s="99"/>
      <c r="SDO89" s="99"/>
      <c r="SDP89" s="99"/>
      <c r="SDQ89" s="99"/>
      <c r="SDR89" s="99"/>
      <c r="SDS89" s="99"/>
      <c r="SDT89" s="99"/>
      <c r="SDU89" s="99"/>
      <c r="SDV89" s="99"/>
      <c r="SDW89" s="99"/>
      <c r="SDX89" s="99"/>
      <c r="SDY89" s="99"/>
      <c r="SDZ89" s="99"/>
      <c r="SEA89" s="99"/>
      <c r="SEB89" s="99"/>
      <c r="SEC89" s="99"/>
      <c r="SED89" s="99"/>
      <c r="SEE89" s="99"/>
      <c r="SEF89" s="99"/>
      <c r="SEG89" s="99"/>
      <c r="SEH89" s="99"/>
      <c r="SEI89" s="99"/>
      <c r="SEJ89" s="99"/>
      <c r="SEK89" s="99"/>
      <c r="SEL89" s="99"/>
      <c r="SEM89" s="99"/>
      <c r="SEN89" s="99"/>
      <c r="SEO89" s="99"/>
      <c r="SEP89" s="99"/>
      <c r="SEQ89" s="99"/>
      <c r="SER89" s="99"/>
      <c r="SES89" s="99"/>
      <c r="SET89" s="99"/>
      <c r="SEU89" s="99"/>
      <c r="SEV89" s="99"/>
      <c r="SEW89" s="99"/>
      <c r="SEX89" s="99"/>
      <c r="SEY89" s="99"/>
      <c r="SEZ89" s="99"/>
      <c r="SFA89" s="99"/>
      <c r="SFB89" s="99"/>
      <c r="SFC89" s="99"/>
      <c r="SFD89" s="99"/>
      <c r="SFE89" s="99"/>
      <c r="SFF89" s="99"/>
      <c r="SFG89" s="99"/>
      <c r="SFH89" s="99"/>
      <c r="SFI89" s="99"/>
      <c r="SFJ89" s="99"/>
      <c r="SFK89" s="99"/>
      <c r="SFL89" s="99"/>
      <c r="SFM89" s="99"/>
      <c r="SFN89" s="99"/>
      <c r="SFO89" s="99"/>
      <c r="SFP89" s="99"/>
      <c r="SFQ89" s="99"/>
      <c r="SFR89" s="99"/>
      <c r="SFS89" s="99"/>
      <c r="SFT89" s="99"/>
      <c r="SFU89" s="99"/>
      <c r="SFV89" s="99"/>
      <c r="SFW89" s="99"/>
      <c r="SFX89" s="99"/>
      <c r="SFY89" s="99"/>
      <c r="SFZ89" s="99"/>
      <c r="SGA89" s="99"/>
      <c r="SGB89" s="99"/>
      <c r="SGC89" s="99"/>
      <c r="SGD89" s="99"/>
      <c r="SGE89" s="99"/>
      <c r="SGF89" s="99"/>
      <c r="SGG89" s="99"/>
      <c r="SGH89" s="99"/>
      <c r="SGI89" s="99"/>
      <c r="SGJ89" s="99"/>
      <c r="SGK89" s="99"/>
      <c r="SGL89" s="99"/>
      <c r="SGM89" s="99"/>
      <c r="SGN89" s="99"/>
      <c r="SGO89" s="99"/>
      <c r="SGP89" s="99"/>
      <c r="SGQ89" s="99"/>
      <c r="SGR89" s="99"/>
      <c r="SGS89" s="99"/>
      <c r="SGT89" s="99"/>
      <c r="SGU89" s="99"/>
      <c r="SGV89" s="99"/>
      <c r="SGW89" s="99"/>
      <c r="SGX89" s="99"/>
      <c r="SGY89" s="99"/>
      <c r="SGZ89" s="99"/>
      <c r="SHA89" s="99"/>
      <c r="SHB89" s="99"/>
      <c r="SHC89" s="99"/>
      <c r="SHD89" s="99"/>
      <c r="SHE89" s="99"/>
      <c r="SHF89" s="99"/>
      <c r="SHG89" s="99"/>
      <c r="SHH89" s="99"/>
      <c r="SHI89" s="99"/>
      <c r="SHJ89" s="99"/>
      <c r="SHK89" s="99"/>
      <c r="SHL89" s="99"/>
      <c r="SHM89" s="99"/>
      <c r="SHN89" s="99"/>
      <c r="SHO89" s="99"/>
      <c r="SHP89" s="99"/>
      <c r="SHQ89" s="99"/>
      <c r="SHR89" s="99"/>
      <c r="SHS89" s="99"/>
      <c r="SHT89" s="99"/>
      <c r="SHU89" s="99"/>
      <c r="SHV89" s="99"/>
      <c r="SHW89" s="99"/>
      <c r="SHX89" s="99"/>
      <c r="SHY89" s="99"/>
      <c r="SHZ89" s="99"/>
      <c r="SIA89" s="99"/>
      <c r="SIB89" s="99"/>
      <c r="SIC89" s="99"/>
      <c r="SID89" s="99"/>
      <c r="SIE89" s="99"/>
      <c r="SIF89" s="99"/>
      <c r="SIG89" s="99"/>
      <c r="SIH89" s="99"/>
      <c r="SII89" s="99"/>
      <c r="SIJ89" s="99"/>
      <c r="SIK89" s="99"/>
      <c r="SIL89" s="99"/>
      <c r="SIM89" s="99"/>
      <c r="SIN89" s="99"/>
      <c r="SIO89" s="99"/>
      <c r="SIP89" s="99"/>
      <c r="SIQ89" s="99"/>
      <c r="SIR89" s="99"/>
      <c r="SIS89" s="99"/>
      <c r="SIT89" s="99"/>
      <c r="SIU89" s="99"/>
      <c r="SIV89" s="99"/>
      <c r="SIW89" s="99"/>
      <c r="SIX89" s="99"/>
      <c r="SIY89" s="99"/>
      <c r="SIZ89" s="99"/>
      <c r="SJA89" s="99"/>
      <c r="SJB89" s="99"/>
      <c r="SJC89" s="99"/>
      <c r="SJD89" s="99"/>
      <c r="SJE89" s="99"/>
      <c r="SJF89" s="99"/>
      <c r="SJG89" s="99"/>
      <c r="SJH89" s="99"/>
      <c r="SJI89" s="99"/>
      <c r="SJJ89" s="99"/>
      <c r="SJK89" s="99"/>
      <c r="SJL89" s="99"/>
      <c r="SJM89" s="99"/>
      <c r="SJN89" s="99"/>
      <c r="SJO89" s="99"/>
      <c r="SJP89" s="99"/>
      <c r="SJQ89" s="99"/>
      <c r="SJR89" s="99"/>
      <c r="SJS89" s="99"/>
      <c r="SJT89" s="99"/>
      <c r="SJU89" s="99"/>
      <c r="SJV89" s="99"/>
      <c r="SJW89" s="99"/>
      <c r="SJX89" s="99"/>
      <c r="SJY89" s="99"/>
      <c r="SJZ89" s="99"/>
      <c r="SKA89" s="99"/>
      <c r="SKB89" s="99"/>
      <c r="SKC89" s="99"/>
      <c r="SKD89" s="99"/>
      <c r="SKE89" s="99"/>
      <c r="SKF89" s="99"/>
      <c r="SKG89" s="99"/>
      <c r="SKH89" s="99"/>
      <c r="SKI89" s="99"/>
      <c r="SKJ89" s="99"/>
      <c r="SKK89" s="99"/>
      <c r="SKL89" s="99"/>
      <c r="SKM89" s="99"/>
      <c r="SKN89" s="99"/>
      <c r="SKO89" s="99"/>
      <c r="SKP89" s="99"/>
      <c r="SKQ89" s="99"/>
      <c r="SKR89" s="99"/>
      <c r="SKS89" s="99"/>
      <c r="SKT89" s="99"/>
      <c r="SKU89" s="99"/>
      <c r="SKV89" s="99"/>
      <c r="SKW89" s="99"/>
      <c r="SKX89" s="99"/>
      <c r="SKY89" s="99"/>
      <c r="SKZ89" s="99"/>
      <c r="SLA89" s="99"/>
      <c r="SLB89" s="99"/>
      <c r="SLC89" s="99"/>
      <c r="SLD89" s="99"/>
      <c r="SLE89" s="99"/>
      <c r="SLF89" s="99"/>
      <c r="SLG89" s="99"/>
      <c r="SLH89" s="99"/>
      <c r="SLI89" s="99"/>
      <c r="SLJ89" s="99"/>
      <c r="SLK89" s="99"/>
      <c r="SLL89" s="99"/>
      <c r="SLM89" s="99"/>
      <c r="SLN89" s="99"/>
      <c r="SLO89" s="99"/>
      <c r="SLP89" s="99"/>
      <c r="SLQ89" s="99"/>
      <c r="SLR89" s="99"/>
      <c r="SLS89" s="99"/>
      <c r="SLT89" s="99"/>
      <c r="SLU89" s="99"/>
      <c r="SLV89" s="99"/>
      <c r="SLW89" s="99"/>
      <c r="SLX89" s="99"/>
      <c r="SLY89" s="99"/>
      <c r="SLZ89" s="99"/>
      <c r="SMA89" s="99"/>
      <c r="SMB89" s="99"/>
      <c r="SMC89" s="99"/>
      <c r="SMD89" s="99"/>
      <c r="SME89" s="99"/>
      <c r="SMF89" s="99"/>
      <c r="SMG89" s="99"/>
      <c r="SMH89" s="99"/>
      <c r="SMI89" s="99"/>
      <c r="SMJ89" s="99"/>
      <c r="SMK89" s="99"/>
      <c r="SML89" s="99"/>
      <c r="SMM89" s="99"/>
      <c r="SMN89" s="99"/>
      <c r="SMO89" s="99"/>
      <c r="SMP89" s="99"/>
      <c r="SMQ89" s="99"/>
      <c r="SMR89" s="99"/>
      <c r="SMS89" s="99"/>
      <c r="SMT89" s="99"/>
      <c r="SMU89" s="99"/>
      <c r="SMV89" s="99"/>
      <c r="SMW89" s="99"/>
      <c r="SMX89" s="99"/>
      <c r="SMY89" s="99"/>
      <c r="SMZ89" s="99"/>
      <c r="SNA89" s="99"/>
      <c r="SNB89" s="99"/>
      <c r="SNC89" s="99"/>
      <c r="SND89" s="99"/>
      <c r="SNE89" s="99"/>
      <c r="SNF89" s="99"/>
      <c r="SNG89" s="99"/>
      <c r="SNH89" s="99"/>
      <c r="SNI89" s="99"/>
      <c r="SNJ89" s="99"/>
      <c r="SNK89" s="99"/>
      <c r="SNL89" s="99"/>
      <c r="SNM89" s="99"/>
      <c r="SNN89" s="99"/>
      <c r="SNO89" s="99"/>
      <c r="SNP89" s="99"/>
      <c r="SNQ89" s="99"/>
      <c r="SNR89" s="99"/>
      <c r="SNS89" s="99"/>
      <c r="SNT89" s="99"/>
      <c r="SNU89" s="99"/>
      <c r="SNV89" s="99"/>
      <c r="SNW89" s="99"/>
      <c r="SNX89" s="99"/>
      <c r="SNY89" s="99"/>
      <c r="SNZ89" s="99"/>
      <c r="SOA89" s="99"/>
      <c r="SOB89" s="99"/>
      <c r="SOC89" s="99"/>
      <c r="SOD89" s="99"/>
      <c r="SOE89" s="99"/>
      <c r="SOF89" s="99"/>
      <c r="SOG89" s="99"/>
      <c r="SOH89" s="99"/>
      <c r="SOI89" s="99"/>
      <c r="SOJ89" s="99"/>
      <c r="SOK89" s="99"/>
      <c r="SOL89" s="99"/>
      <c r="SOM89" s="99"/>
      <c r="SON89" s="99"/>
      <c r="SOO89" s="99"/>
      <c r="SOP89" s="99"/>
      <c r="SOQ89" s="99"/>
      <c r="SOR89" s="99"/>
      <c r="SOS89" s="99"/>
      <c r="SOT89" s="99"/>
      <c r="SOU89" s="99"/>
      <c r="SOV89" s="99"/>
      <c r="SOW89" s="99"/>
      <c r="SOX89" s="99"/>
      <c r="SOY89" s="99"/>
      <c r="SOZ89" s="99"/>
      <c r="SPA89" s="99"/>
      <c r="SPB89" s="99"/>
      <c r="SPC89" s="99"/>
      <c r="SPD89" s="99"/>
      <c r="SPE89" s="99"/>
      <c r="SPF89" s="99"/>
      <c r="SPG89" s="99"/>
      <c r="SPH89" s="99"/>
      <c r="SPI89" s="99"/>
      <c r="SPJ89" s="99"/>
      <c r="SPK89" s="99"/>
      <c r="SPL89" s="99"/>
      <c r="SPM89" s="99"/>
      <c r="SPN89" s="99"/>
      <c r="SPO89" s="99"/>
      <c r="SPP89" s="99"/>
      <c r="SPQ89" s="99"/>
      <c r="SPR89" s="99"/>
      <c r="SPS89" s="99"/>
      <c r="SPT89" s="99"/>
      <c r="SPU89" s="99"/>
      <c r="SPV89" s="99"/>
      <c r="SPW89" s="99"/>
      <c r="SPX89" s="99"/>
      <c r="SPY89" s="99"/>
      <c r="SPZ89" s="99"/>
      <c r="SQA89" s="99"/>
      <c r="SQB89" s="99"/>
      <c r="SQC89" s="99"/>
      <c r="SQD89" s="99"/>
      <c r="SQE89" s="99"/>
      <c r="SQF89" s="99"/>
      <c r="SQG89" s="99"/>
      <c r="SQH89" s="99"/>
      <c r="SQI89" s="99"/>
      <c r="SQJ89" s="99"/>
      <c r="SQK89" s="99"/>
      <c r="SQL89" s="99"/>
      <c r="SQM89" s="99"/>
      <c r="SQN89" s="99"/>
      <c r="SQO89" s="99"/>
      <c r="SQP89" s="99"/>
      <c r="SQQ89" s="99"/>
      <c r="SQR89" s="99"/>
      <c r="SQS89" s="99"/>
      <c r="SQT89" s="99"/>
      <c r="SQU89" s="99"/>
      <c r="SQV89" s="99"/>
      <c r="SQW89" s="99"/>
      <c r="SQX89" s="99"/>
      <c r="SQY89" s="99"/>
      <c r="SQZ89" s="99"/>
      <c r="SRA89" s="99"/>
      <c r="SRB89" s="99"/>
      <c r="SRC89" s="99"/>
      <c r="SRD89" s="99"/>
      <c r="SRE89" s="99"/>
      <c r="SRF89" s="99"/>
      <c r="SRG89" s="99"/>
      <c r="SRH89" s="99"/>
      <c r="SRI89" s="99"/>
      <c r="SRJ89" s="99"/>
      <c r="SRK89" s="99"/>
      <c r="SRL89" s="99"/>
      <c r="SRM89" s="99"/>
      <c r="SRN89" s="99"/>
      <c r="SRO89" s="99"/>
      <c r="SRP89" s="99"/>
      <c r="SRQ89" s="99"/>
      <c r="SRR89" s="99"/>
      <c r="SRS89" s="99"/>
      <c r="SRT89" s="99"/>
      <c r="SRU89" s="99"/>
      <c r="SRV89" s="99"/>
      <c r="SRW89" s="99"/>
      <c r="SRX89" s="99"/>
      <c r="SRY89" s="99"/>
      <c r="SRZ89" s="99"/>
      <c r="SSA89" s="99"/>
      <c r="SSB89" s="99"/>
      <c r="SSC89" s="99"/>
      <c r="SSD89" s="99"/>
      <c r="SSE89" s="99"/>
      <c r="SSF89" s="99"/>
      <c r="SSG89" s="99"/>
      <c r="SSH89" s="99"/>
      <c r="SSI89" s="99"/>
      <c r="SSJ89" s="99"/>
      <c r="SSK89" s="99"/>
      <c r="SSL89" s="99"/>
      <c r="SSM89" s="99"/>
      <c r="SSN89" s="99"/>
      <c r="SSO89" s="99"/>
      <c r="SSP89" s="99"/>
      <c r="SSQ89" s="99"/>
      <c r="SSR89" s="99"/>
      <c r="SSS89" s="99"/>
      <c r="SST89" s="99"/>
      <c r="SSU89" s="99"/>
      <c r="SSV89" s="99"/>
      <c r="SSW89" s="99"/>
      <c r="SSX89" s="99"/>
      <c r="SSY89" s="99"/>
      <c r="SSZ89" s="99"/>
      <c r="STA89" s="99"/>
      <c r="STB89" s="99"/>
      <c r="STC89" s="99"/>
      <c r="STD89" s="99"/>
      <c r="STE89" s="99"/>
      <c r="STF89" s="99"/>
      <c r="STG89" s="99"/>
      <c r="STH89" s="99"/>
      <c r="STI89" s="99"/>
      <c r="STJ89" s="99"/>
      <c r="STK89" s="99"/>
      <c r="STL89" s="99"/>
      <c r="STM89" s="99"/>
      <c r="STN89" s="99"/>
      <c r="STO89" s="99"/>
      <c r="STP89" s="99"/>
      <c r="STQ89" s="99"/>
      <c r="STR89" s="99"/>
      <c r="STS89" s="99"/>
      <c r="STT89" s="99"/>
      <c r="STU89" s="99"/>
      <c r="STV89" s="99"/>
      <c r="STW89" s="99"/>
      <c r="STX89" s="99"/>
      <c r="STY89" s="99"/>
      <c r="STZ89" s="99"/>
      <c r="SUA89" s="99"/>
      <c r="SUB89" s="99"/>
      <c r="SUC89" s="99"/>
      <c r="SUD89" s="99"/>
      <c r="SUE89" s="99"/>
      <c r="SUF89" s="99"/>
      <c r="SUG89" s="99"/>
      <c r="SUH89" s="99"/>
      <c r="SUI89" s="99"/>
      <c r="SUJ89" s="99"/>
      <c r="SUK89" s="99"/>
      <c r="SUL89" s="99"/>
      <c r="SUM89" s="99"/>
      <c r="SUN89" s="99"/>
      <c r="SUO89" s="99"/>
      <c r="SUP89" s="99"/>
      <c r="SUQ89" s="99"/>
      <c r="SUR89" s="99"/>
      <c r="SUS89" s="99"/>
      <c r="SUT89" s="99"/>
      <c r="SUU89" s="99"/>
      <c r="SUV89" s="99"/>
      <c r="SUW89" s="99"/>
      <c r="SUX89" s="99"/>
      <c r="SUY89" s="99"/>
      <c r="SUZ89" s="99"/>
      <c r="SVA89" s="99"/>
      <c r="SVB89" s="99"/>
      <c r="SVC89" s="99"/>
      <c r="SVD89" s="99"/>
      <c r="SVE89" s="99"/>
      <c r="SVF89" s="99"/>
      <c r="SVG89" s="99"/>
      <c r="SVH89" s="99"/>
      <c r="SVI89" s="99"/>
      <c r="SVJ89" s="99"/>
      <c r="SVK89" s="99"/>
      <c r="SVL89" s="99"/>
      <c r="SVM89" s="99"/>
      <c r="SVN89" s="99"/>
      <c r="SVO89" s="99"/>
      <c r="SVP89" s="99"/>
      <c r="SVQ89" s="99"/>
      <c r="SVR89" s="99"/>
      <c r="SVS89" s="99"/>
      <c r="SVT89" s="99"/>
      <c r="SVU89" s="99"/>
      <c r="SVV89" s="99"/>
      <c r="SVW89" s="99"/>
      <c r="SVX89" s="99"/>
      <c r="SVY89" s="99"/>
      <c r="SVZ89" s="99"/>
      <c r="SWA89" s="99"/>
      <c r="SWB89" s="99"/>
      <c r="SWC89" s="99"/>
      <c r="SWD89" s="99"/>
      <c r="SWE89" s="99"/>
      <c r="SWF89" s="99"/>
      <c r="SWG89" s="99"/>
      <c r="SWH89" s="99"/>
      <c r="SWI89" s="99"/>
      <c r="SWJ89" s="99"/>
      <c r="SWK89" s="99"/>
      <c r="SWL89" s="99"/>
      <c r="SWM89" s="99"/>
      <c r="SWN89" s="99"/>
      <c r="SWO89" s="99"/>
      <c r="SWP89" s="99"/>
      <c r="SWQ89" s="99"/>
      <c r="SWR89" s="99"/>
      <c r="SWS89" s="99"/>
      <c r="SWT89" s="99"/>
      <c r="SWU89" s="99"/>
      <c r="SWV89" s="99"/>
      <c r="SWW89" s="99"/>
      <c r="SWX89" s="99"/>
      <c r="SWY89" s="99"/>
      <c r="SWZ89" s="99"/>
      <c r="SXA89" s="99"/>
      <c r="SXB89" s="99"/>
      <c r="SXC89" s="99"/>
      <c r="SXD89" s="99"/>
      <c r="SXE89" s="99"/>
      <c r="SXF89" s="99"/>
      <c r="SXG89" s="99"/>
      <c r="SXH89" s="99"/>
      <c r="SXI89" s="99"/>
      <c r="SXJ89" s="99"/>
      <c r="SXK89" s="99"/>
      <c r="SXL89" s="99"/>
      <c r="SXM89" s="99"/>
      <c r="SXN89" s="99"/>
      <c r="SXO89" s="99"/>
      <c r="SXP89" s="99"/>
      <c r="SXQ89" s="99"/>
      <c r="SXR89" s="99"/>
      <c r="SXS89" s="99"/>
      <c r="SXT89" s="99"/>
      <c r="SXU89" s="99"/>
      <c r="SXV89" s="99"/>
      <c r="SXW89" s="99"/>
      <c r="SXX89" s="99"/>
      <c r="SXY89" s="99"/>
      <c r="SXZ89" s="99"/>
      <c r="SYA89" s="99"/>
      <c r="SYB89" s="99"/>
      <c r="SYC89" s="99"/>
      <c r="SYD89" s="99"/>
      <c r="SYE89" s="99"/>
      <c r="SYF89" s="99"/>
      <c r="SYG89" s="99"/>
      <c r="SYH89" s="99"/>
      <c r="SYI89" s="99"/>
      <c r="SYJ89" s="99"/>
      <c r="SYK89" s="99"/>
      <c r="SYL89" s="99"/>
      <c r="SYM89" s="99"/>
      <c r="SYN89" s="99"/>
      <c r="SYO89" s="99"/>
      <c r="SYP89" s="99"/>
      <c r="SYQ89" s="99"/>
      <c r="SYR89" s="99"/>
      <c r="SYS89" s="99"/>
      <c r="SYT89" s="99"/>
      <c r="SYU89" s="99"/>
      <c r="SYV89" s="99"/>
      <c r="SYW89" s="99"/>
      <c r="SYX89" s="99"/>
      <c r="SYY89" s="99"/>
      <c r="SYZ89" s="99"/>
      <c r="SZA89" s="99"/>
      <c r="SZB89" s="99"/>
      <c r="SZC89" s="99"/>
      <c r="SZD89" s="99"/>
      <c r="SZE89" s="99"/>
      <c r="SZF89" s="99"/>
      <c r="SZG89" s="99"/>
      <c r="SZH89" s="99"/>
      <c r="SZI89" s="99"/>
      <c r="SZJ89" s="99"/>
      <c r="SZK89" s="99"/>
      <c r="SZL89" s="99"/>
      <c r="SZM89" s="99"/>
      <c r="SZN89" s="99"/>
      <c r="SZO89" s="99"/>
      <c r="SZP89" s="99"/>
      <c r="SZQ89" s="99"/>
      <c r="SZR89" s="99"/>
      <c r="SZS89" s="99"/>
      <c r="SZT89" s="99"/>
      <c r="SZU89" s="99"/>
      <c r="SZV89" s="99"/>
      <c r="SZW89" s="99"/>
      <c r="SZX89" s="99"/>
      <c r="SZY89" s="99"/>
      <c r="SZZ89" s="99"/>
      <c r="TAA89" s="99"/>
      <c r="TAB89" s="99"/>
      <c r="TAC89" s="99"/>
      <c r="TAD89" s="99"/>
      <c r="TAE89" s="99"/>
      <c r="TAF89" s="99"/>
      <c r="TAG89" s="99"/>
      <c r="TAH89" s="99"/>
      <c r="TAI89" s="99"/>
      <c r="TAJ89" s="99"/>
      <c r="TAK89" s="99"/>
      <c r="TAL89" s="99"/>
      <c r="TAM89" s="99"/>
      <c r="TAN89" s="99"/>
      <c r="TAO89" s="99"/>
      <c r="TAP89" s="99"/>
      <c r="TAQ89" s="99"/>
      <c r="TAR89" s="99"/>
      <c r="TAS89" s="99"/>
      <c r="TAT89" s="99"/>
      <c r="TAU89" s="99"/>
      <c r="TAV89" s="99"/>
      <c r="TAW89" s="99"/>
      <c r="TAX89" s="99"/>
      <c r="TAY89" s="99"/>
      <c r="TAZ89" s="99"/>
      <c r="TBA89" s="99"/>
      <c r="TBB89" s="99"/>
      <c r="TBC89" s="99"/>
      <c r="TBD89" s="99"/>
      <c r="TBE89" s="99"/>
      <c r="TBF89" s="99"/>
      <c r="TBG89" s="99"/>
      <c r="TBH89" s="99"/>
      <c r="TBI89" s="99"/>
      <c r="TBJ89" s="99"/>
      <c r="TBK89" s="99"/>
      <c r="TBL89" s="99"/>
      <c r="TBM89" s="99"/>
      <c r="TBN89" s="99"/>
      <c r="TBO89" s="99"/>
      <c r="TBP89" s="99"/>
      <c r="TBQ89" s="99"/>
      <c r="TBR89" s="99"/>
      <c r="TBS89" s="99"/>
      <c r="TBT89" s="99"/>
      <c r="TBU89" s="99"/>
      <c r="TBV89" s="99"/>
      <c r="TBW89" s="99"/>
      <c r="TBX89" s="99"/>
      <c r="TBY89" s="99"/>
      <c r="TBZ89" s="99"/>
      <c r="TCA89" s="99"/>
      <c r="TCB89" s="99"/>
      <c r="TCC89" s="99"/>
      <c r="TCD89" s="99"/>
      <c r="TCE89" s="99"/>
      <c r="TCF89" s="99"/>
      <c r="TCG89" s="99"/>
      <c r="TCH89" s="99"/>
      <c r="TCI89" s="99"/>
      <c r="TCJ89" s="99"/>
      <c r="TCK89" s="99"/>
      <c r="TCL89" s="99"/>
      <c r="TCM89" s="99"/>
      <c r="TCN89" s="99"/>
      <c r="TCO89" s="99"/>
      <c r="TCP89" s="99"/>
      <c r="TCQ89" s="99"/>
      <c r="TCR89" s="99"/>
      <c r="TCS89" s="99"/>
      <c r="TCT89" s="99"/>
      <c r="TCU89" s="99"/>
      <c r="TCV89" s="99"/>
      <c r="TCW89" s="99"/>
      <c r="TCX89" s="99"/>
      <c r="TCY89" s="99"/>
      <c r="TCZ89" s="99"/>
      <c r="TDA89" s="99"/>
      <c r="TDB89" s="99"/>
      <c r="TDC89" s="99"/>
      <c r="TDD89" s="99"/>
      <c r="TDE89" s="99"/>
      <c r="TDF89" s="99"/>
      <c r="TDG89" s="99"/>
      <c r="TDH89" s="99"/>
      <c r="TDI89" s="99"/>
      <c r="TDJ89" s="99"/>
      <c r="TDK89" s="99"/>
      <c r="TDL89" s="99"/>
      <c r="TDM89" s="99"/>
      <c r="TDN89" s="99"/>
      <c r="TDO89" s="99"/>
      <c r="TDP89" s="99"/>
      <c r="TDQ89" s="99"/>
      <c r="TDR89" s="99"/>
      <c r="TDS89" s="99"/>
      <c r="TDT89" s="99"/>
      <c r="TDU89" s="99"/>
      <c r="TDV89" s="99"/>
      <c r="TDW89" s="99"/>
      <c r="TDX89" s="99"/>
      <c r="TDY89" s="99"/>
      <c r="TDZ89" s="99"/>
      <c r="TEA89" s="99"/>
      <c r="TEB89" s="99"/>
      <c r="TEC89" s="99"/>
      <c r="TED89" s="99"/>
      <c r="TEE89" s="99"/>
      <c r="TEF89" s="99"/>
      <c r="TEG89" s="99"/>
      <c r="TEH89" s="99"/>
      <c r="TEI89" s="99"/>
      <c r="TEJ89" s="99"/>
      <c r="TEK89" s="99"/>
      <c r="TEL89" s="99"/>
      <c r="TEM89" s="99"/>
      <c r="TEN89" s="99"/>
      <c r="TEO89" s="99"/>
      <c r="TEP89" s="99"/>
      <c r="TEQ89" s="99"/>
      <c r="TER89" s="99"/>
      <c r="TES89" s="99"/>
      <c r="TET89" s="99"/>
      <c r="TEU89" s="99"/>
      <c r="TEV89" s="99"/>
      <c r="TEW89" s="99"/>
      <c r="TEX89" s="99"/>
      <c r="TEY89" s="99"/>
      <c r="TEZ89" s="99"/>
      <c r="TFA89" s="99"/>
      <c r="TFB89" s="99"/>
      <c r="TFC89" s="99"/>
      <c r="TFD89" s="99"/>
      <c r="TFE89" s="99"/>
      <c r="TFF89" s="99"/>
      <c r="TFG89" s="99"/>
      <c r="TFH89" s="99"/>
      <c r="TFI89" s="99"/>
      <c r="TFJ89" s="99"/>
      <c r="TFK89" s="99"/>
      <c r="TFL89" s="99"/>
      <c r="TFM89" s="99"/>
      <c r="TFN89" s="99"/>
      <c r="TFO89" s="99"/>
      <c r="TFP89" s="99"/>
      <c r="TFQ89" s="99"/>
      <c r="TFR89" s="99"/>
      <c r="TFS89" s="99"/>
      <c r="TFT89" s="99"/>
      <c r="TFU89" s="99"/>
      <c r="TFV89" s="99"/>
      <c r="TFW89" s="99"/>
      <c r="TFX89" s="99"/>
      <c r="TFY89" s="99"/>
      <c r="TFZ89" s="99"/>
      <c r="TGA89" s="99"/>
      <c r="TGB89" s="99"/>
      <c r="TGC89" s="99"/>
      <c r="TGD89" s="99"/>
      <c r="TGE89" s="99"/>
      <c r="TGF89" s="99"/>
      <c r="TGG89" s="99"/>
      <c r="TGH89" s="99"/>
      <c r="TGI89" s="99"/>
      <c r="TGJ89" s="99"/>
      <c r="TGK89" s="99"/>
      <c r="TGL89" s="99"/>
      <c r="TGM89" s="99"/>
      <c r="TGN89" s="99"/>
      <c r="TGO89" s="99"/>
      <c r="TGP89" s="99"/>
      <c r="TGQ89" s="99"/>
      <c r="TGR89" s="99"/>
      <c r="TGS89" s="99"/>
      <c r="TGT89" s="99"/>
      <c r="TGU89" s="99"/>
      <c r="TGV89" s="99"/>
      <c r="TGW89" s="99"/>
      <c r="TGX89" s="99"/>
      <c r="TGY89" s="99"/>
      <c r="TGZ89" s="99"/>
      <c r="THA89" s="99"/>
      <c r="THB89" s="99"/>
      <c r="THC89" s="99"/>
      <c r="THD89" s="99"/>
      <c r="THE89" s="99"/>
      <c r="THF89" s="99"/>
      <c r="THG89" s="99"/>
      <c r="THH89" s="99"/>
      <c r="THI89" s="99"/>
      <c r="THJ89" s="99"/>
      <c r="THK89" s="99"/>
      <c r="THL89" s="99"/>
      <c r="THM89" s="99"/>
      <c r="THN89" s="99"/>
      <c r="THO89" s="99"/>
      <c r="THP89" s="99"/>
      <c r="THQ89" s="99"/>
      <c r="THR89" s="99"/>
      <c r="THS89" s="99"/>
      <c r="THT89" s="99"/>
      <c r="THU89" s="99"/>
      <c r="THV89" s="99"/>
      <c r="THW89" s="99"/>
      <c r="THX89" s="99"/>
      <c r="THY89" s="99"/>
      <c r="THZ89" s="99"/>
      <c r="TIA89" s="99"/>
      <c r="TIB89" s="99"/>
      <c r="TIC89" s="99"/>
      <c r="TID89" s="99"/>
      <c r="TIE89" s="99"/>
      <c r="TIF89" s="99"/>
      <c r="TIG89" s="99"/>
      <c r="TIH89" s="99"/>
      <c r="TII89" s="99"/>
      <c r="TIJ89" s="99"/>
      <c r="TIK89" s="99"/>
      <c r="TIL89" s="99"/>
      <c r="TIM89" s="99"/>
      <c r="TIN89" s="99"/>
      <c r="TIO89" s="99"/>
      <c r="TIP89" s="99"/>
      <c r="TIQ89" s="99"/>
      <c r="TIR89" s="99"/>
      <c r="TIS89" s="99"/>
      <c r="TIT89" s="99"/>
      <c r="TIU89" s="99"/>
      <c r="TIV89" s="99"/>
      <c r="TIW89" s="99"/>
      <c r="TIX89" s="99"/>
      <c r="TIY89" s="99"/>
      <c r="TIZ89" s="99"/>
      <c r="TJA89" s="99"/>
      <c r="TJB89" s="99"/>
      <c r="TJC89" s="99"/>
      <c r="TJD89" s="99"/>
      <c r="TJE89" s="99"/>
      <c r="TJF89" s="99"/>
      <c r="TJG89" s="99"/>
      <c r="TJH89" s="99"/>
      <c r="TJI89" s="99"/>
      <c r="TJJ89" s="99"/>
      <c r="TJK89" s="99"/>
      <c r="TJL89" s="99"/>
      <c r="TJM89" s="99"/>
      <c r="TJN89" s="99"/>
      <c r="TJO89" s="99"/>
      <c r="TJP89" s="99"/>
      <c r="TJQ89" s="99"/>
      <c r="TJR89" s="99"/>
      <c r="TJS89" s="99"/>
      <c r="TJT89" s="99"/>
      <c r="TJU89" s="99"/>
      <c r="TJV89" s="99"/>
      <c r="TJW89" s="99"/>
      <c r="TJX89" s="99"/>
      <c r="TJY89" s="99"/>
      <c r="TJZ89" s="99"/>
      <c r="TKA89" s="99"/>
      <c r="TKB89" s="99"/>
      <c r="TKC89" s="99"/>
      <c r="TKD89" s="99"/>
      <c r="TKE89" s="99"/>
      <c r="TKF89" s="99"/>
      <c r="TKG89" s="99"/>
      <c r="TKH89" s="99"/>
      <c r="TKI89" s="99"/>
      <c r="TKJ89" s="99"/>
      <c r="TKK89" s="99"/>
      <c r="TKL89" s="99"/>
      <c r="TKM89" s="99"/>
      <c r="TKN89" s="99"/>
      <c r="TKO89" s="99"/>
      <c r="TKP89" s="99"/>
      <c r="TKQ89" s="99"/>
      <c r="TKR89" s="99"/>
      <c r="TKS89" s="99"/>
      <c r="TKT89" s="99"/>
      <c r="TKU89" s="99"/>
      <c r="TKV89" s="99"/>
      <c r="TKW89" s="99"/>
      <c r="TKX89" s="99"/>
      <c r="TKY89" s="99"/>
      <c r="TKZ89" s="99"/>
      <c r="TLA89" s="99"/>
      <c r="TLB89" s="99"/>
      <c r="TLC89" s="99"/>
      <c r="TLD89" s="99"/>
      <c r="TLE89" s="99"/>
      <c r="TLF89" s="99"/>
      <c r="TLG89" s="99"/>
      <c r="TLH89" s="99"/>
      <c r="TLI89" s="99"/>
      <c r="TLJ89" s="99"/>
      <c r="TLK89" s="99"/>
      <c r="TLL89" s="99"/>
      <c r="TLM89" s="99"/>
      <c r="TLN89" s="99"/>
      <c r="TLO89" s="99"/>
      <c r="TLP89" s="99"/>
      <c r="TLQ89" s="99"/>
      <c r="TLR89" s="99"/>
      <c r="TLS89" s="99"/>
      <c r="TLT89" s="99"/>
      <c r="TLU89" s="99"/>
      <c r="TLV89" s="99"/>
      <c r="TLW89" s="99"/>
      <c r="TLX89" s="99"/>
      <c r="TLY89" s="99"/>
      <c r="TLZ89" s="99"/>
      <c r="TMA89" s="99"/>
      <c r="TMB89" s="99"/>
      <c r="TMC89" s="99"/>
      <c r="TMD89" s="99"/>
      <c r="TME89" s="99"/>
      <c r="TMF89" s="99"/>
      <c r="TMG89" s="99"/>
      <c r="TMH89" s="99"/>
      <c r="TMI89" s="99"/>
      <c r="TMJ89" s="99"/>
      <c r="TMK89" s="99"/>
      <c r="TML89" s="99"/>
      <c r="TMM89" s="99"/>
      <c r="TMN89" s="99"/>
      <c r="TMO89" s="99"/>
      <c r="TMP89" s="99"/>
      <c r="TMQ89" s="99"/>
      <c r="TMR89" s="99"/>
      <c r="TMS89" s="99"/>
      <c r="TMT89" s="99"/>
      <c r="TMU89" s="99"/>
      <c r="TMV89" s="99"/>
      <c r="TMW89" s="99"/>
      <c r="TMX89" s="99"/>
      <c r="TMY89" s="99"/>
      <c r="TMZ89" s="99"/>
      <c r="TNA89" s="99"/>
      <c r="TNB89" s="99"/>
      <c r="TNC89" s="99"/>
      <c r="TND89" s="99"/>
      <c r="TNE89" s="99"/>
      <c r="TNF89" s="99"/>
      <c r="TNG89" s="99"/>
      <c r="TNH89" s="99"/>
      <c r="TNI89" s="99"/>
      <c r="TNJ89" s="99"/>
      <c r="TNK89" s="99"/>
      <c r="TNL89" s="99"/>
      <c r="TNM89" s="99"/>
      <c r="TNN89" s="99"/>
      <c r="TNO89" s="99"/>
      <c r="TNP89" s="99"/>
      <c r="TNQ89" s="99"/>
      <c r="TNR89" s="99"/>
      <c r="TNS89" s="99"/>
      <c r="TNT89" s="99"/>
      <c r="TNU89" s="99"/>
      <c r="TNV89" s="99"/>
      <c r="TNW89" s="99"/>
      <c r="TNX89" s="99"/>
      <c r="TNY89" s="99"/>
      <c r="TNZ89" s="99"/>
      <c r="TOA89" s="99"/>
      <c r="TOB89" s="99"/>
      <c r="TOC89" s="99"/>
      <c r="TOD89" s="99"/>
      <c r="TOE89" s="99"/>
      <c r="TOF89" s="99"/>
      <c r="TOG89" s="99"/>
      <c r="TOH89" s="99"/>
      <c r="TOI89" s="99"/>
      <c r="TOJ89" s="99"/>
      <c r="TOK89" s="99"/>
      <c r="TOL89" s="99"/>
      <c r="TOM89" s="99"/>
      <c r="TON89" s="99"/>
      <c r="TOO89" s="99"/>
      <c r="TOP89" s="99"/>
      <c r="TOQ89" s="99"/>
      <c r="TOR89" s="99"/>
      <c r="TOS89" s="99"/>
      <c r="TOT89" s="99"/>
      <c r="TOU89" s="99"/>
      <c r="TOV89" s="99"/>
      <c r="TOW89" s="99"/>
      <c r="TOX89" s="99"/>
      <c r="TOY89" s="99"/>
      <c r="TOZ89" s="99"/>
      <c r="TPA89" s="99"/>
      <c r="TPB89" s="99"/>
      <c r="TPC89" s="99"/>
      <c r="TPD89" s="99"/>
      <c r="TPE89" s="99"/>
      <c r="TPF89" s="99"/>
      <c r="TPG89" s="99"/>
      <c r="TPH89" s="99"/>
      <c r="TPI89" s="99"/>
      <c r="TPJ89" s="99"/>
      <c r="TPK89" s="99"/>
      <c r="TPL89" s="99"/>
      <c r="TPM89" s="99"/>
      <c r="TPN89" s="99"/>
      <c r="TPO89" s="99"/>
      <c r="TPP89" s="99"/>
      <c r="TPQ89" s="99"/>
      <c r="TPR89" s="99"/>
      <c r="TPS89" s="99"/>
      <c r="TPT89" s="99"/>
      <c r="TPU89" s="99"/>
      <c r="TPV89" s="99"/>
      <c r="TPW89" s="99"/>
      <c r="TPX89" s="99"/>
      <c r="TPY89" s="99"/>
      <c r="TPZ89" s="99"/>
      <c r="TQA89" s="99"/>
      <c r="TQB89" s="99"/>
      <c r="TQC89" s="99"/>
      <c r="TQD89" s="99"/>
      <c r="TQE89" s="99"/>
      <c r="TQF89" s="99"/>
      <c r="TQG89" s="99"/>
      <c r="TQH89" s="99"/>
      <c r="TQI89" s="99"/>
      <c r="TQJ89" s="99"/>
      <c r="TQK89" s="99"/>
      <c r="TQL89" s="99"/>
      <c r="TQM89" s="99"/>
      <c r="TQN89" s="99"/>
      <c r="TQO89" s="99"/>
      <c r="TQP89" s="99"/>
      <c r="TQQ89" s="99"/>
      <c r="TQR89" s="99"/>
      <c r="TQS89" s="99"/>
      <c r="TQT89" s="99"/>
      <c r="TQU89" s="99"/>
      <c r="TQV89" s="99"/>
      <c r="TQW89" s="99"/>
      <c r="TQX89" s="99"/>
      <c r="TQY89" s="99"/>
      <c r="TQZ89" s="99"/>
      <c r="TRA89" s="99"/>
      <c r="TRB89" s="99"/>
      <c r="TRC89" s="99"/>
      <c r="TRD89" s="99"/>
      <c r="TRE89" s="99"/>
      <c r="TRF89" s="99"/>
      <c r="TRG89" s="99"/>
      <c r="TRH89" s="99"/>
      <c r="TRI89" s="99"/>
      <c r="TRJ89" s="99"/>
      <c r="TRK89" s="99"/>
      <c r="TRL89" s="99"/>
      <c r="TRM89" s="99"/>
      <c r="TRN89" s="99"/>
      <c r="TRO89" s="99"/>
      <c r="TRP89" s="99"/>
      <c r="TRQ89" s="99"/>
      <c r="TRR89" s="99"/>
      <c r="TRS89" s="99"/>
      <c r="TRT89" s="99"/>
      <c r="TRU89" s="99"/>
      <c r="TRV89" s="99"/>
      <c r="TRW89" s="99"/>
      <c r="TRX89" s="99"/>
      <c r="TRY89" s="99"/>
      <c r="TRZ89" s="99"/>
      <c r="TSA89" s="99"/>
      <c r="TSB89" s="99"/>
      <c r="TSC89" s="99"/>
      <c r="TSD89" s="99"/>
      <c r="TSE89" s="99"/>
      <c r="TSF89" s="99"/>
      <c r="TSG89" s="99"/>
      <c r="TSH89" s="99"/>
      <c r="TSI89" s="99"/>
      <c r="TSJ89" s="99"/>
      <c r="TSK89" s="99"/>
      <c r="TSL89" s="99"/>
      <c r="TSM89" s="99"/>
      <c r="TSN89" s="99"/>
      <c r="TSO89" s="99"/>
      <c r="TSP89" s="99"/>
      <c r="TSQ89" s="99"/>
      <c r="TSR89" s="99"/>
      <c r="TSS89" s="99"/>
      <c r="TST89" s="99"/>
      <c r="TSU89" s="99"/>
      <c r="TSV89" s="99"/>
      <c r="TSW89" s="99"/>
      <c r="TSX89" s="99"/>
      <c r="TSY89" s="99"/>
      <c r="TSZ89" s="99"/>
      <c r="TTA89" s="99"/>
      <c r="TTB89" s="99"/>
      <c r="TTC89" s="99"/>
      <c r="TTD89" s="99"/>
      <c r="TTE89" s="99"/>
      <c r="TTF89" s="99"/>
      <c r="TTG89" s="99"/>
      <c r="TTH89" s="99"/>
      <c r="TTI89" s="99"/>
      <c r="TTJ89" s="99"/>
      <c r="TTK89" s="99"/>
      <c r="TTL89" s="99"/>
      <c r="TTM89" s="99"/>
      <c r="TTN89" s="99"/>
      <c r="TTO89" s="99"/>
      <c r="TTP89" s="99"/>
      <c r="TTQ89" s="99"/>
      <c r="TTR89" s="99"/>
      <c r="TTS89" s="99"/>
      <c r="TTT89" s="99"/>
      <c r="TTU89" s="99"/>
      <c r="TTV89" s="99"/>
      <c r="TTW89" s="99"/>
      <c r="TTX89" s="99"/>
      <c r="TTY89" s="99"/>
      <c r="TTZ89" s="99"/>
      <c r="TUA89" s="99"/>
      <c r="TUB89" s="99"/>
      <c r="TUC89" s="99"/>
      <c r="TUD89" s="99"/>
      <c r="TUE89" s="99"/>
      <c r="TUF89" s="99"/>
      <c r="TUG89" s="99"/>
      <c r="TUH89" s="99"/>
      <c r="TUI89" s="99"/>
      <c r="TUJ89" s="99"/>
      <c r="TUK89" s="99"/>
      <c r="TUL89" s="99"/>
      <c r="TUM89" s="99"/>
      <c r="TUN89" s="99"/>
      <c r="TUO89" s="99"/>
      <c r="TUP89" s="99"/>
      <c r="TUQ89" s="99"/>
      <c r="TUR89" s="99"/>
      <c r="TUS89" s="99"/>
      <c r="TUT89" s="99"/>
      <c r="TUU89" s="99"/>
      <c r="TUV89" s="99"/>
      <c r="TUW89" s="99"/>
      <c r="TUX89" s="99"/>
      <c r="TUY89" s="99"/>
      <c r="TUZ89" s="99"/>
      <c r="TVA89" s="99"/>
      <c r="TVB89" s="99"/>
      <c r="TVC89" s="99"/>
      <c r="TVD89" s="99"/>
      <c r="TVE89" s="99"/>
      <c r="TVF89" s="99"/>
      <c r="TVG89" s="99"/>
      <c r="TVH89" s="99"/>
      <c r="TVI89" s="99"/>
      <c r="TVJ89" s="99"/>
      <c r="TVK89" s="99"/>
      <c r="TVL89" s="99"/>
      <c r="TVM89" s="99"/>
      <c r="TVN89" s="99"/>
      <c r="TVO89" s="99"/>
      <c r="TVP89" s="99"/>
      <c r="TVQ89" s="99"/>
      <c r="TVR89" s="99"/>
      <c r="TVS89" s="99"/>
      <c r="TVT89" s="99"/>
      <c r="TVU89" s="99"/>
      <c r="TVV89" s="99"/>
      <c r="TVW89" s="99"/>
      <c r="TVX89" s="99"/>
      <c r="TVY89" s="99"/>
      <c r="TVZ89" s="99"/>
      <c r="TWA89" s="99"/>
      <c r="TWB89" s="99"/>
      <c r="TWC89" s="99"/>
      <c r="TWD89" s="99"/>
      <c r="TWE89" s="99"/>
      <c r="TWF89" s="99"/>
      <c r="TWG89" s="99"/>
      <c r="TWH89" s="99"/>
      <c r="TWI89" s="99"/>
      <c r="TWJ89" s="99"/>
      <c r="TWK89" s="99"/>
      <c r="TWL89" s="99"/>
      <c r="TWM89" s="99"/>
      <c r="TWN89" s="99"/>
      <c r="TWO89" s="99"/>
      <c r="TWP89" s="99"/>
      <c r="TWQ89" s="99"/>
      <c r="TWR89" s="99"/>
      <c r="TWS89" s="99"/>
      <c r="TWT89" s="99"/>
      <c r="TWU89" s="99"/>
      <c r="TWV89" s="99"/>
      <c r="TWW89" s="99"/>
      <c r="TWX89" s="99"/>
      <c r="TWY89" s="99"/>
      <c r="TWZ89" s="99"/>
      <c r="TXA89" s="99"/>
      <c r="TXB89" s="99"/>
      <c r="TXC89" s="99"/>
      <c r="TXD89" s="99"/>
      <c r="TXE89" s="99"/>
      <c r="TXF89" s="99"/>
      <c r="TXG89" s="99"/>
      <c r="TXH89" s="99"/>
      <c r="TXI89" s="99"/>
      <c r="TXJ89" s="99"/>
      <c r="TXK89" s="99"/>
      <c r="TXL89" s="99"/>
      <c r="TXM89" s="99"/>
      <c r="TXN89" s="99"/>
      <c r="TXO89" s="99"/>
      <c r="TXP89" s="99"/>
      <c r="TXQ89" s="99"/>
      <c r="TXR89" s="99"/>
      <c r="TXS89" s="99"/>
      <c r="TXT89" s="99"/>
      <c r="TXU89" s="99"/>
      <c r="TXV89" s="99"/>
      <c r="TXW89" s="99"/>
      <c r="TXX89" s="99"/>
      <c r="TXY89" s="99"/>
      <c r="TXZ89" s="99"/>
      <c r="TYA89" s="99"/>
      <c r="TYB89" s="99"/>
      <c r="TYC89" s="99"/>
      <c r="TYD89" s="99"/>
      <c r="TYE89" s="99"/>
      <c r="TYF89" s="99"/>
      <c r="TYG89" s="99"/>
      <c r="TYH89" s="99"/>
      <c r="TYI89" s="99"/>
      <c r="TYJ89" s="99"/>
      <c r="TYK89" s="99"/>
      <c r="TYL89" s="99"/>
      <c r="TYM89" s="99"/>
      <c r="TYN89" s="99"/>
      <c r="TYO89" s="99"/>
      <c r="TYP89" s="99"/>
      <c r="TYQ89" s="99"/>
      <c r="TYR89" s="99"/>
      <c r="TYS89" s="99"/>
      <c r="TYT89" s="99"/>
      <c r="TYU89" s="99"/>
      <c r="TYV89" s="99"/>
      <c r="TYW89" s="99"/>
      <c r="TYX89" s="99"/>
      <c r="TYY89" s="99"/>
      <c r="TYZ89" s="99"/>
      <c r="TZA89" s="99"/>
      <c r="TZB89" s="99"/>
      <c r="TZC89" s="99"/>
      <c r="TZD89" s="99"/>
      <c r="TZE89" s="99"/>
      <c r="TZF89" s="99"/>
      <c r="TZG89" s="99"/>
      <c r="TZH89" s="99"/>
      <c r="TZI89" s="99"/>
      <c r="TZJ89" s="99"/>
      <c r="TZK89" s="99"/>
      <c r="TZL89" s="99"/>
      <c r="TZM89" s="99"/>
      <c r="TZN89" s="99"/>
      <c r="TZO89" s="99"/>
      <c r="TZP89" s="99"/>
      <c r="TZQ89" s="99"/>
      <c r="TZR89" s="99"/>
      <c r="TZS89" s="99"/>
      <c r="TZT89" s="99"/>
      <c r="TZU89" s="99"/>
      <c r="TZV89" s="99"/>
      <c r="TZW89" s="99"/>
      <c r="TZX89" s="99"/>
      <c r="TZY89" s="99"/>
      <c r="TZZ89" s="99"/>
      <c r="UAA89" s="99"/>
      <c r="UAB89" s="99"/>
      <c r="UAC89" s="99"/>
      <c r="UAD89" s="99"/>
      <c r="UAE89" s="99"/>
      <c r="UAF89" s="99"/>
      <c r="UAG89" s="99"/>
      <c r="UAH89" s="99"/>
      <c r="UAI89" s="99"/>
      <c r="UAJ89" s="99"/>
      <c r="UAK89" s="99"/>
      <c r="UAL89" s="99"/>
      <c r="UAM89" s="99"/>
      <c r="UAN89" s="99"/>
      <c r="UAO89" s="99"/>
      <c r="UAP89" s="99"/>
      <c r="UAQ89" s="99"/>
      <c r="UAR89" s="99"/>
      <c r="UAS89" s="99"/>
      <c r="UAT89" s="99"/>
      <c r="UAU89" s="99"/>
      <c r="UAV89" s="99"/>
      <c r="UAW89" s="99"/>
      <c r="UAX89" s="99"/>
      <c r="UAY89" s="99"/>
      <c r="UAZ89" s="99"/>
      <c r="UBA89" s="99"/>
      <c r="UBB89" s="99"/>
      <c r="UBC89" s="99"/>
      <c r="UBD89" s="99"/>
      <c r="UBE89" s="99"/>
      <c r="UBF89" s="99"/>
      <c r="UBG89" s="99"/>
      <c r="UBH89" s="99"/>
      <c r="UBI89" s="99"/>
      <c r="UBJ89" s="99"/>
      <c r="UBK89" s="99"/>
      <c r="UBL89" s="99"/>
      <c r="UBM89" s="99"/>
      <c r="UBN89" s="99"/>
      <c r="UBO89" s="99"/>
      <c r="UBP89" s="99"/>
      <c r="UBQ89" s="99"/>
      <c r="UBR89" s="99"/>
      <c r="UBS89" s="99"/>
      <c r="UBT89" s="99"/>
      <c r="UBU89" s="99"/>
      <c r="UBV89" s="99"/>
      <c r="UBW89" s="99"/>
      <c r="UBX89" s="99"/>
      <c r="UBY89" s="99"/>
      <c r="UBZ89" s="99"/>
      <c r="UCA89" s="99"/>
      <c r="UCB89" s="99"/>
      <c r="UCC89" s="99"/>
      <c r="UCD89" s="99"/>
      <c r="UCE89" s="99"/>
      <c r="UCF89" s="99"/>
      <c r="UCG89" s="99"/>
      <c r="UCH89" s="99"/>
      <c r="UCI89" s="99"/>
      <c r="UCJ89" s="99"/>
      <c r="UCK89" s="99"/>
      <c r="UCL89" s="99"/>
      <c r="UCM89" s="99"/>
      <c r="UCN89" s="99"/>
      <c r="UCO89" s="99"/>
      <c r="UCP89" s="99"/>
      <c r="UCQ89" s="99"/>
      <c r="UCR89" s="99"/>
      <c r="UCS89" s="99"/>
      <c r="UCT89" s="99"/>
      <c r="UCU89" s="99"/>
      <c r="UCV89" s="99"/>
      <c r="UCW89" s="99"/>
      <c r="UCX89" s="99"/>
      <c r="UCY89" s="99"/>
      <c r="UCZ89" s="99"/>
      <c r="UDA89" s="99"/>
      <c r="UDB89" s="99"/>
      <c r="UDC89" s="99"/>
      <c r="UDD89" s="99"/>
      <c r="UDE89" s="99"/>
      <c r="UDF89" s="99"/>
      <c r="UDG89" s="99"/>
      <c r="UDH89" s="99"/>
      <c r="UDI89" s="99"/>
      <c r="UDJ89" s="99"/>
      <c r="UDK89" s="99"/>
      <c r="UDL89" s="99"/>
      <c r="UDM89" s="99"/>
      <c r="UDN89" s="99"/>
      <c r="UDO89" s="99"/>
      <c r="UDP89" s="99"/>
      <c r="UDQ89" s="99"/>
      <c r="UDR89" s="99"/>
      <c r="UDS89" s="99"/>
      <c r="UDT89" s="99"/>
      <c r="UDU89" s="99"/>
      <c r="UDV89" s="99"/>
      <c r="UDW89" s="99"/>
      <c r="UDX89" s="99"/>
      <c r="UDY89" s="99"/>
      <c r="UDZ89" s="99"/>
      <c r="UEA89" s="99"/>
      <c r="UEB89" s="99"/>
      <c r="UEC89" s="99"/>
      <c r="UED89" s="99"/>
      <c r="UEE89" s="99"/>
      <c r="UEF89" s="99"/>
      <c r="UEG89" s="99"/>
      <c r="UEH89" s="99"/>
      <c r="UEI89" s="99"/>
      <c r="UEJ89" s="99"/>
      <c r="UEK89" s="99"/>
      <c r="UEL89" s="99"/>
      <c r="UEM89" s="99"/>
      <c r="UEN89" s="99"/>
      <c r="UEO89" s="99"/>
      <c r="UEP89" s="99"/>
      <c r="UEQ89" s="99"/>
      <c r="UER89" s="99"/>
      <c r="UES89" s="99"/>
      <c r="UET89" s="99"/>
      <c r="UEU89" s="99"/>
      <c r="UEV89" s="99"/>
      <c r="UEW89" s="99"/>
      <c r="UEX89" s="99"/>
      <c r="UEY89" s="99"/>
      <c r="UEZ89" s="99"/>
      <c r="UFA89" s="99"/>
      <c r="UFB89" s="99"/>
      <c r="UFC89" s="99"/>
      <c r="UFD89" s="99"/>
      <c r="UFE89" s="99"/>
      <c r="UFF89" s="99"/>
      <c r="UFG89" s="99"/>
      <c r="UFH89" s="99"/>
      <c r="UFI89" s="99"/>
      <c r="UFJ89" s="99"/>
      <c r="UFK89" s="99"/>
      <c r="UFL89" s="99"/>
      <c r="UFM89" s="99"/>
      <c r="UFN89" s="99"/>
      <c r="UFO89" s="99"/>
      <c r="UFP89" s="99"/>
      <c r="UFQ89" s="99"/>
      <c r="UFR89" s="99"/>
      <c r="UFS89" s="99"/>
      <c r="UFT89" s="99"/>
      <c r="UFU89" s="99"/>
      <c r="UFV89" s="99"/>
      <c r="UFW89" s="99"/>
      <c r="UFX89" s="99"/>
      <c r="UFY89" s="99"/>
      <c r="UFZ89" s="99"/>
      <c r="UGA89" s="99"/>
      <c r="UGB89" s="99"/>
      <c r="UGC89" s="99"/>
      <c r="UGD89" s="99"/>
      <c r="UGE89" s="99"/>
      <c r="UGF89" s="99"/>
      <c r="UGG89" s="99"/>
      <c r="UGH89" s="99"/>
      <c r="UGI89" s="99"/>
      <c r="UGJ89" s="99"/>
      <c r="UGK89" s="99"/>
      <c r="UGL89" s="99"/>
      <c r="UGM89" s="99"/>
      <c r="UGN89" s="99"/>
      <c r="UGO89" s="99"/>
      <c r="UGP89" s="99"/>
      <c r="UGQ89" s="99"/>
      <c r="UGR89" s="99"/>
      <c r="UGS89" s="99"/>
      <c r="UGT89" s="99"/>
      <c r="UGU89" s="99"/>
      <c r="UGV89" s="99"/>
      <c r="UGW89" s="99"/>
      <c r="UGX89" s="99"/>
      <c r="UGY89" s="99"/>
      <c r="UGZ89" s="99"/>
      <c r="UHA89" s="99"/>
      <c r="UHB89" s="99"/>
      <c r="UHC89" s="99"/>
      <c r="UHD89" s="99"/>
      <c r="UHE89" s="99"/>
      <c r="UHF89" s="99"/>
      <c r="UHG89" s="99"/>
      <c r="UHH89" s="99"/>
      <c r="UHI89" s="99"/>
      <c r="UHJ89" s="99"/>
      <c r="UHK89" s="99"/>
      <c r="UHL89" s="99"/>
      <c r="UHM89" s="99"/>
      <c r="UHN89" s="99"/>
      <c r="UHO89" s="99"/>
      <c r="UHP89" s="99"/>
      <c r="UHQ89" s="99"/>
      <c r="UHR89" s="99"/>
      <c r="UHS89" s="99"/>
      <c r="UHT89" s="99"/>
      <c r="UHU89" s="99"/>
      <c r="UHV89" s="99"/>
      <c r="UHW89" s="99"/>
      <c r="UHX89" s="99"/>
      <c r="UHY89" s="99"/>
      <c r="UHZ89" s="99"/>
      <c r="UIA89" s="99"/>
      <c r="UIB89" s="99"/>
      <c r="UIC89" s="99"/>
      <c r="UID89" s="99"/>
      <c r="UIE89" s="99"/>
      <c r="UIF89" s="99"/>
      <c r="UIG89" s="99"/>
      <c r="UIH89" s="99"/>
      <c r="UII89" s="99"/>
      <c r="UIJ89" s="99"/>
      <c r="UIK89" s="99"/>
      <c r="UIL89" s="99"/>
      <c r="UIM89" s="99"/>
      <c r="UIN89" s="99"/>
      <c r="UIO89" s="99"/>
      <c r="UIP89" s="99"/>
      <c r="UIQ89" s="99"/>
      <c r="UIR89" s="99"/>
      <c r="UIS89" s="99"/>
      <c r="UIT89" s="99"/>
      <c r="UIU89" s="99"/>
      <c r="UIV89" s="99"/>
      <c r="UIW89" s="99"/>
      <c r="UIX89" s="99"/>
      <c r="UIY89" s="99"/>
      <c r="UIZ89" s="99"/>
      <c r="UJA89" s="99"/>
      <c r="UJB89" s="99"/>
      <c r="UJC89" s="99"/>
      <c r="UJD89" s="99"/>
      <c r="UJE89" s="99"/>
      <c r="UJF89" s="99"/>
      <c r="UJG89" s="99"/>
      <c r="UJH89" s="99"/>
      <c r="UJI89" s="99"/>
      <c r="UJJ89" s="99"/>
      <c r="UJK89" s="99"/>
      <c r="UJL89" s="99"/>
      <c r="UJM89" s="99"/>
      <c r="UJN89" s="99"/>
      <c r="UJO89" s="99"/>
      <c r="UJP89" s="99"/>
      <c r="UJQ89" s="99"/>
      <c r="UJR89" s="99"/>
      <c r="UJS89" s="99"/>
      <c r="UJT89" s="99"/>
      <c r="UJU89" s="99"/>
      <c r="UJV89" s="99"/>
      <c r="UJW89" s="99"/>
      <c r="UJX89" s="99"/>
      <c r="UJY89" s="99"/>
      <c r="UJZ89" s="99"/>
      <c r="UKA89" s="99"/>
      <c r="UKB89" s="99"/>
      <c r="UKC89" s="99"/>
      <c r="UKD89" s="99"/>
      <c r="UKE89" s="99"/>
      <c r="UKF89" s="99"/>
      <c r="UKG89" s="99"/>
      <c r="UKH89" s="99"/>
      <c r="UKI89" s="99"/>
      <c r="UKJ89" s="99"/>
      <c r="UKK89" s="99"/>
      <c r="UKL89" s="99"/>
      <c r="UKM89" s="99"/>
      <c r="UKN89" s="99"/>
      <c r="UKO89" s="99"/>
      <c r="UKP89" s="99"/>
      <c r="UKQ89" s="99"/>
      <c r="UKR89" s="99"/>
      <c r="UKS89" s="99"/>
      <c r="UKT89" s="99"/>
      <c r="UKU89" s="99"/>
      <c r="UKV89" s="99"/>
      <c r="UKW89" s="99"/>
      <c r="UKX89" s="99"/>
      <c r="UKY89" s="99"/>
      <c r="UKZ89" s="99"/>
      <c r="ULA89" s="99"/>
      <c r="ULB89" s="99"/>
      <c r="ULC89" s="99"/>
      <c r="ULD89" s="99"/>
      <c r="ULE89" s="99"/>
      <c r="ULF89" s="99"/>
      <c r="ULG89" s="99"/>
      <c r="ULH89" s="99"/>
      <c r="ULI89" s="99"/>
      <c r="ULJ89" s="99"/>
      <c r="ULK89" s="99"/>
      <c r="ULL89" s="99"/>
      <c r="ULM89" s="99"/>
      <c r="ULN89" s="99"/>
      <c r="ULO89" s="99"/>
      <c r="ULP89" s="99"/>
      <c r="ULQ89" s="99"/>
      <c r="ULR89" s="99"/>
      <c r="ULS89" s="99"/>
      <c r="ULT89" s="99"/>
      <c r="ULU89" s="99"/>
      <c r="ULV89" s="99"/>
      <c r="ULW89" s="99"/>
      <c r="ULX89" s="99"/>
      <c r="ULY89" s="99"/>
      <c r="ULZ89" s="99"/>
      <c r="UMA89" s="99"/>
      <c r="UMB89" s="99"/>
      <c r="UMC89" s="99"/>
      <c r="UMD89" s="99"/>
      <c r="UME89" s="99"/>
      <c r="UMF89" s="99"/>
      <c r="UMG89" s="99"/>
      <c r="UMH89" s="99"/>
      <c r="UMI89" s="99"/>
      <c r="UMJ89" s="99"/>
      <c r="UMK89" s="99"/>
      <c r="UML89" s="99"/>
      <c r="UMM89" s="99"/>
      <c r="UMN89" s="99"/>
      <c r="UMO89" s="99"/>
      <c r="UMP89" s="99"/>
      <c r="UMQ89" s="99"/>
      <c r="UMR89" s="99"/>
      <c r="UMS89" s="99"/>
      <c r="UMT89" s="99"/>
      <c r="UMU89" s="99"/>
      <c r="UMV89" s="99"/>
      <c r="UMW89" s="99"/>
      <c r="UMX89" s="99"/>
      <c r="UMY89" s="99"/>
      <c r="UMZ89" s="99"/>
      <c r="UNA89" s="99"/>
      <c r="UNB89" s="99"/>
      <c r="UNC89" s="99"/>
      <c r="UND89" s="99"/>
      <c r="UNE89" s="99"/>
      <c r="UNF89" s="99"/>
      <c r="UNG89" s="99"/>
      <c r="UNH89" s="99"/>
      <c r="UNI89" s="99"/>
      <c r="UNJ89" s="99"/>
      <c r="UNK89" s="99"/>
      <c r="UNL89" s="99"/>
      <c r="UNM89" s="99"/>
      <c r="UNN89" s="99"/>
      <c r="UNO89" s="99"/>
      <c r="UNP89" s="99"/>
      <c r="UNQ89" s="99"/>
      <c r="UNR89" s="99"/>
      <c r="UNS89" s="99"/>
      <c r="UNT89" s="99"/>
      <c r="UNU89" s="99"/>
      <c r="UNV89" s="99"/>
      <c r="UNW89" s="99"/>
      <c r="UNX89" s="99"/>
      <c r="UNY89" s="99"/>
      <c r="UNZ89" s="99"/>
      <c r="UOA89" s="99"/>
      <c r="UOB89" s="99"/>
      <c r="UOC89" s="99"/>
      <c r="UOD89" s="99"/>
      <c r="UOE89" s="99"/>
      <c r="UOF89" s="99"/>
      <c r="UOG89" s="99"/>
      <c r="UOH89" s="99"/>
      <c r="UOI89" s="99"/>
      <c r="UOJ89" s="99"/>
      <c r="UOK89" s="99"/>
      <c r="UOL89" s="99"/>
      <c r="UOM89" s="99"/>
      <c r="UON89" s="99"/>
      <c r="UOO89" s="99"/>
      <c r="UOP89" s="99"/>
      <c r="UOQ89" s="99"/>
      <c r="UOR89" s="99"/>
      <c r="UOS89" s="99"/>
      <c r="UOT89" s="99"/>
      <c r="UOU89" s="99"/>
      <c r="UOV89" s="99"/>
      <c r="UOW89" s="99"/>
      <c r="UOX89" s="99"/>
      <c r="UOY89" s="99"/>
      <c r="UOZ89" s="99"/>
      <c r="UPA89" s="99"/>
      <c r="UPB89" s="99"/>
      <c r="UPC89" s="99"/>
      <c r="UPD89" s="99"/>
      <c r="UPE89" s="99"/>
      <c r="UPF89" s="99"/>
      <c r="UPG89" s="99"/>
      <c r="UPH89" s="99"/>
      <c r="UPI89" s="99"/>
      <c r="UPJ89" s="99"/>
      <c r="UPK89" s="99"/>
      <c r="UPL89" s="99"/>
      <c r="UPM89" s="99"/>
      <c r="UPN89" s="99"/>
      <c r="UPO89" s="99"/>
      <c r="UPP89" s="99"/>
      <c r="UPQ89" s="99"/>
      <c r="UPR89" s="99"/>
      <c r="UPS89" s="99"/>
      <c r="UPT89" s="99"/>
      <c r="UPU89" s="99"/>
      <c r="UPV89" s="99"/>
      <c r="UPW89" s="99"/>
      <c r="UPX89" s="99"/>
      <c r="UPY89" s="99"/>
      <c r="UPZ89" s="99"/>
      <c r="UQA89" s="99"/>
      <c r="UQB89" s="99"/>
      <c r="UQC89" s="99"/>
      <c r="UQD89" s="99"/>
      <c r="UQE89" s="99"/>
      <c r="UQF89" s="99"/>
      <c r="UQG89" s="99"/>
      <c r="UQH89" s="99"/>
      <c r="UQI89" s="99"/>
      <c r="UQJ89" s="99"/>
      <c r="UQK89" s="99"/>
      <c r="UQL89" s="99"/>
      <c r="UQM89" s="99"/>
      <c r="UQN89" s="99"/>
      <c r="UQO89" s="99"/>
      <c r="UQP89" s="99"/>
      <c r="UQQ89" s="99"/>
      <c r="UQR89" s="99"/>
      <c r="UQS89" s="99"/>
      <c r="UQT89" s="99"/>
      <c r="UQU89" s="99"/>
      <c r="UQV89" s="99"/>
      <c r="UQW89" s="99"/>
      <c r="UQX89" s="99"/>
      <c r="UQY89" s="99"/>
      <c r="UQZ89" s="99"/>
      <c r="URA89" s="99"/>
      <c r="URB89" s="99"/>
      <c r="URC89" s="99"/>
      <c r="URD89" s="99"/>
      <c r="URE89" s="99"/>
      <c r="URF89" s="99"/>
      <c r="URG89" s="99"/>
      <c r="URH89" s="99"/>
      <c r="URI89" s="99"/>
      <c r="URJ89" s="99"/>
      <c r="URK89" s="99"/>
      <c r="URL89" s="99"/>
      <c r="URM89" s="99"/>
      <c r="URN89" s="99"/>
      <c r="URO89" s="99"/>
      <c r="URP89" s="99"/>
      <c r="URQ89" s="99"/>
      <c r="URR89" s="99"/>
      <c r="URS89" s="99"/>
      <c r="URT89" s="99"/>
      <c r="URU89" s="99"/>
      <c r="URV89" s="99"/>
      <c r="URW89" s="99"/>
      <c r="URX89" s="99"/>
      <c r="URY89" s="99"/>
      <c r="URZ89" s="99"/>
      <c r="USA89" s="99"/>
      <c r="USB89" s="99"/>
      <c r="USC89" s="99"/>
      <c r="USD89" s="99"/>
      <c r="USE89" s="99"/>
      <c r="USF89" s="99"/>
      <c r="USG89" s="99"/>
      <c r="USH89" s="99"/>
      <c r="USI89" s="99"/>
      <c r="USJ89" s="99"/>
      <c r="USK89" s="99"/>
      <c r="USL89" s="99"/>
      <c r="USM89" s="99"/>
      <c r="USN89" s="99"/>
      <c r="USO89" s="99"/>
      <c r="USP89" s="99"/>
      <c r="USQ89" s="99"/>
      <c r="USR89" s="99"/>
      <c r="USS89" s="99"/>
      <c r="UST89" s="99"/>
      <c r="USU89" s="99"/>
      <c r="USV89" s="99"/>
      <c r="USW89" s="99"/>
      <c r="USX89" s="99"/>
      <c r="USY89" s="99"/>
      <c r="USZ89" s="99"/>
      <c r="UTA89" s="99"/>
      <c r="UTB89" s="99"/>
      <c r="UTC89" s="99"/>
      <c r="UTD89" s="99"/>
      <c r="UTE89" s="99"/>
      <c r="UTF89" s="99"/>
      <c r="UTG89" s="99"/>
      <c r="UTH89" s="99"/>
      <c r="UTI89" s="99"/>
      <c r="UTJ89" s="99"/>
      <c r="UTK89" s="99"/>
      <c r="UTL89" s="99"/>
      <c r="UTM89" s="99"/>
      <c r="UTN89" s="99"/>
      <c r="UTO89" s="99"/>
      <c r="UTP89" s="99"/>
      <c r="UTQ89" s="99"/>
      <c r="UTR89" s="99"/>
      <c r="UTS89" s="99"/>
      <c r="UTT89" s="99"/>
      <c r="UTU89" s="99"/>
      <c r="UTV89" s="99"/>
      <c r="UTW89" s="99"/>
      <c r="UTX89" s="99"/>
      <c r="UTY89" s="99"/>
      <c r="UTZ89" s="99"/>
      <c r="UUA89" s="99"/>
      <c r="UUB89" s="99"/>
      <c r="UUC89" s="99"/>
      <c r="UUD89" s="99"/>
      <c r="UUE89" s="99"/>
      <c r="UUF89" s="99"/>
      <c r="UUG89" s="99"/>
      <c r="UUH89" s="99"/>
      <c r="UUI89" s="99"/>
      <c r="UUJ89" s="99"/>
      <c r="UUK89" s="99"/>
      <c r="UUL89" s="99"/>
      <c r="UUM89" s="99"/>
      <c r="UUN89" s="99"/>
      <c r="UUO89" s="99"/>
      <c r="UUP89" s="99"/>
      <c r="UUQ89" s="99"/>
      <c r="UUR89" s="99"/>
      <c r="UUS89" s="99"/>
      <c r="UUT89" s="99"/>
      <c r="UUU89" s="99"/>
      <c r="UUV89" s="99"/>
      <c r="UUW89" s="99"/>
      <c r="UUX89" s="99"/>
      <c r="UUY89" s="99"/>
      <c r="UUZ89" s="99"/>
      <c r="UVA89" s="99"/>
      <c r="UVB89" s="99"/>
      <c r="UVC89" s="99"/>
      <c r="UVD89" s="99"/>
      <c r="UVE89" s="99"/>
      <c r="UVF89" s="99"/>
      <c r="UVG89" s="99"/>
      <c r="UVH89" s="99"/>
      <c r="UVI89" s="99"/>
      <c r="UVJ89" s="99"/>
      <c r="UVK89" s="99"/>
      <c r="UVL89" s="99"/>
      <c r="UVM89" s="99"/>
      <c r="UVN89" s="99"/>
      <c r="UVO89" s="99"/>
      <c r="UVP89" s="99"/>
      <c r="UVQ89" s="99"/>
      <c r="UVR89" s="99"/>
      <c r="UVS89" s="99"/>
      <c r="UVT89" s="99"/>
      <c r="UVU89" s="99"/>
      <c r="UVV89" s="99"/>
      <c r="UVW89" s="99"/>
      <c r="UVX89" s="99"/>
      <c r="UVY89" s="99"/>
      <c r="UVZ89" s="99"/>
      <c r="UWA89" s="99"/>
      <c r="UWB89" s="99"/>
      <c r="UWC89" s="99"/>
      <c r="UWD89" s="99"/>
      <c r="UWE89" s="99"/>
      <c r="UWF89" s="99"/>
      <c r="UWG89" s="99"/>
      <c r="UWH89" s="99"/>
      <c r="UWI89" s="99"/>
      <c r="UWJ89" s="99"/>
      <c r="UWK89" s="99"/>
      <c r="UWL89" s="99"/>
      <c r="UWM89" s="99"/>
      <c r="UWN89" s="99"/>
      <c r="UWO89" s="99"/>
      <c r="UWP89" s="99"/>
      <c r="UWQ89" s="99"/>
      <c r="UWR89" s="99"/>
      <c r="UWS89" s="99"/>
      <c r="UWT89" s="99"/>
      <c r="UWU89" s="99"/>
      <c r="UWV89" s="99"/>
      <c r="UWW89" s="99"/>
      <c r="UWX89" s="99"/>
      <c r="UWY89" s="99"/>
      <c r="UWZ89" s="99"/>
      <c r="UXA89" s="99"/>
      <c r="UXB89" s="99"/>
      <c r="UXC89" s="99"/>
      <c r="UXD89" s="99"/>
      <c r="UXE89" s="99"/>
      <c r="UXF89" s="99"/>
      <c r="UXG89" s="99"/>
      <c r="UXH89" s="99"/>
      <c r="UXI89" s="99"/>
      <c r="UXJ89" s="99"/>
      <c r="UXK89" s="99"/>
      <c r="UXL89" s="99"/>
      <c r="UXM89" s="99"/>
      <c r="UXN89" s="99"/>
      <c r="UXO89" s="99"/>
      <c r="UXP89" s="99"/>
      <c r="UXQ89" s="99"/>
      <c r="UXR89" s="99"/>
      <c r="UXS89" s="99"/>
      <c r="UXT89" s="99"/>
      <c r="UXU89" s="99"/>
      <c r="UXV89" s="99"/>
      <c r="UXW89" s="99"/>
      <c r="UXX89" s="99"/>
      <c r="UXY89" s="99"/>
      <c r="UXZ89" s="99"/>
      <c r="UYA89" s="99"/>
      <c r="UYB89" s="99"/>
      <c r="UYC89" s="99"/>
      <c r="UYD89" s="99"/>
      <c r="UYE89" s="99"/>
      <c r="UYF89" s="99"/>
      <c r="UYG89" s="99"/>
      <c r="UYH89" s="99"/>
      <c r="UYI89" s="99"/>
      <c r="UYJ89" s="99"/>
      <c r="UYK89" s="99"/>
      <c r="UYL89" s="99"/>
      <c r="UYM89" s="99"/>
      <c r="UYN89" s="99"/>
      <c r="UYO89" s="99"/>
      <c r="UYP89" s="99"/>
      <c r="UYQ89" s="99"/>
      <c r="UYR89" s="99"/>
      <c r="UYS89" s="99"/>
      <c r="UYT89" s="99"/>
      <c r="UYU89" s="99"/>
      <c r="UYV89" s="99"/>
      <c r="UYW89" s="99"/>
      <c r="UYX89" s="99"/>
      <c r="UYY89" s="99"/>
      <c r="UYZ89" s="99"/>
      <c r="UZA89" s="99"/>
      <c r="UZB89" s="99"/>
      <c r="UZC89" s="99"/>
      <c r="UZD89" s="99"/>
      <c r="UZE89" s="99"/>
      <c r="UZF89" s="99"/>
      <c r="UZG89" s="99"/>
      <c r="UZH89" s="99"/>
      <c r="UZI89" s="99"/>
      <c r="UZJ89" s="99"/>
      <c r="UZK89" s="99"/>
      <c r="UZL89" s="99"/>
      <c r="UZM89" s="99"/>
      <c r="UZN89" s="99"/>
      <c r="UZO89" s="99"/>
      <c r="UZP89" s="99"/>
      <c r="UZQ89" s="99"/>
      <c r="UZR89" s="99"/>
      <c r="UZS89" s="99"/>
      <c r="UZT89" s="99"/>
      <c r="UZU89" s="99"/>
      <c r="UZV89" s="99"/>
      <c r="UZW89" s="99"/>
      <c r="UZX89" s="99"/>
      <c r="UZY89" s="99"/>
      <c r="UZZ89" s="99"/>
      <c r="VAA89" s="99"/>
      <c r="VAB89" s="99"/>
      <c r="VAC89" s="99"/>
      <c r="VAD89" s="99"/>
      <c r="VAE89" s="99"/>
      <c r="VAF89" s="99"/>
      <c r="VAG89" s="99"/>
      <c r="VAH89" s="99"/>
      <c r="VAI89" s="99"/>
      <c r="VAJ89" s="99"/>
      <c r="VAK89" s="99"/>
      <c r="VAL89" s="99"/>
      <c r="VAM89" s="99"/>
      <c r="VAN89" s="99"/>
      <c r="VAO89" s="99"/>
      <c r="VAP89" s="99"/>
      <c r="VAQ89" s="99"/>
      <c r="VAR89" s="99"/>
      <c r="VAS89" s="99"/>
      <c r="VAT89" s="99"/>
      <c r="VAU89" s="99"/>
      <c r="VAV89" s="99"/>
      <c r="VAW89" s="99"/>
      <c r="VAX89" s="99"/>
      <c r="VAY89" s="99"/>
      <c r="VAZ89" s="99"/>
      <c r="VBA89" s="99"/>
      <c r="VBB89" s="99"/>
      <c r="VBC89" s="99"/>
      <c r="VBD89" s="99"/>
      <c r="VBE89" s="99"/>
      <c r="VBF89" s="99"/>
      <c r="VBG89" s="99"/>
      <c r="VBH89" s="99"/>
      <c r="VBI89" s="99"/>
      <c r="VBJ89" s="99"/>
      <c r="VBK89" s="99"/>
      <c r="VBL89" s="99"/>
      <c r="VBM89" s="99"/>
      <c r="VBN89" s="99"/>
      <c r="VBO89" s="99"/>
      <c r="VBP89" s="99"/>
      <c r="VBQ89" s="99"/>
      <c r="VBR89" s="99"/>
      <c r="VBS89" s="99"/>
      <c r="VBT89" s="99"/>
      <c r="VBU89" s="99"/>
      <c r="VBV89" s="99"/>
      <c r="VBW89" s="99"/>
      <c r="VBX89" s="99"/>
      <c r="VBY89" s="99"/>
      <c r="VBZ89" s="99"/>
      <c r="VCA89" s="99"/>
      <c r="VCB89" s="99"/>
      <c r="VCC89" s="99"/>
      <c r="VCD89" s="99"/>
      <c r="VCE89" s="99"/>
      <c r="VCF89" s="99"/>
      <c r="VCG89" s="99"/>
      <c r="VCH89" s="99"/>
      <c r="VCI89" s="99"/>
      <c r="VCJ89" s="99"/>
      <c r="VCK89" s="99"/>
      <c r="VCL89" s="99"/>
      <c r="VCM89" s="99"/>
      <c r="VCN89" s="99"/>
      <c r="VCO89" s="99"/>
      <c r="VCP89" s="99"/>
      <c r="VCQ89" s="99"/>
      <c r="VCR89" s="99"/>
      <c r="VCS89" s="99"/>
      <c r="VCT89" s="99"/>
      <c r="VCU89" s="99"/>
      <c r="VCV89" s="99"/>
      <c r="VCW89" s="99"/>
      <c r="VCX89" s="99"/>
      <c r="VCY89" s="99"/>
      <c r="VCZ89" s="99"/>
      <c r="VDA89" s="99"/>
      <c r="VDB89" s="99"/>
      <c r="VDC89" s="99"/>
      <c r="VDD89" s="99"/>
      <c r="VDE89" s="99"/>
      <c r="VDF89" s="99"/>
      <c r="VDG89" s="99"/>
      <c r="VDH89" s="99"/>
      <c r="VDI89" s="99"/>
      <c r="VDJ89" s="99"/>
      <c r="VDK89" s="99"/>
      <c r="VDL89" s="99"/>
      <c r="VDM89" s="99"/>
      <c r="VDN89" s="99"/>
      <c r="VDO89" s="99"/>
      <c r="VDP89" s="99"/>
      <c r="VDQ89" s="99"/>
      <c r="VDR89" s="99"/>
      <c r="VDS89" s="99"/>
      <c r="VDT89" s="99"/>
      <c r="VDU89" s="99"/>
      <c r="VDV89" s="99"/>
      <c r="VDW89" s="99"/>
      <c r="VDX89" s="99"/>
      <c r="VDY89" s="99"/>
      <c r="VDZ89" s="99"/>
      <c r="VEA89" s="99"/>
      <c r="VEB89" s="99"/>
      <c r="VEC89" s="99"/>
      <c r="VED89" s="99"/>
      <c r="VEE89" s="99"/>
      <c r="VEF89" s="99"/>
      <c r="VEG89" s="99"/>
      <c r="VEH89" s="99"/>
      <c r="VEI89" s="99"/>
      <c r="VEJ89" s="99"/>
      <c r="VEK89" s="99"/>
      <c r="VEL89" s="99"/>
      <c r="VEM89" s="99"/>
      <c r="VEN89" s="99"/>
      <c r="VEO89" s="99"/>
      <c r="VEP89" s="99"/>
      <c r="VEQ89" s="99"/>
      <c r="VER89" s="99"/>
      <c r="VES89" s="99"/>
      <c r="VET89" s="99"/>
      <c r="VEU89" s="99"/>
      <c r="VEV89" s="99"/>
      <c r="VEW89" s="99"/>
      <c r="VEX89" s="99"/>
      <c r="VEY89" s="99"/>
      <c r="VEZ89" s="99"/>
      <c r="VFA89" s="99"/>
      <c r="VFB89" s="99"/>
      <c r="VFC89" s="99"/>
      <c r="VFD89" s="99"/>
      <c r="VFE89" s="99"/>
      <c r="VFF89" s="99"/>
      <c r="VFG89" s="99"/>
      <c r="VFH89" s="99"/>
      <c r="VFI89" s="99"/>
      <c r="VFJ89" s="99"/>
      <c r="VFK89" s="99"/>
      <c r="VFL89" s="99"/>
      <c r="VFM89" s="99"/>
      <c r="VFN89" s="99"/>
      <c r="VFO89" s="99"/>
      <c r="VFP89" s="99"/>
      <c r="VFQ89" s="99"/>
      <c r="VFR89" s="99"/>
      <c r="VFS89" s="99"/>
      <c r="VFT89" s="99"/>
      <c r="VFU89" s="99"/>
      <c r="VFV89" s="99"/>
      <c r="VFW89" s="99"/>
      <c r="VFX89" s="99"/>
      <c r="VFY89" s="99"/>
      <c r="VFZ89" s="99"/>
      <c r="VGA89" s="99"/>
      <c r="VGB89" s="99"/>
      <c r="VGC89" s="99"/>
      <c r="VGD89" s="99"/>
      <c r="VGE89" s="99"/>
      <c r="VGF89" s="99"/>
      <c r="VGG89" s="99"/>
      <c r="VGH89" s="99"/>
      <c r="VGI89" s="99"/>
      <c r="VGJ89" s="99"/>
      <c r="VGK89" s="99"/>
      <c r="VGL89" s="99"/>
      <c r="VGM89" s="99"/>
      <c r="VGN89" s="99"/>
      <c r="VGO89" s="99"/>
      <c r="VGP89" s="99"/>
      <c r="VGQ89" s="99"/>
      <c r="VGR89" s="99"/>
      <c r="VGS89" s="99"/>
      <c r="VGT89" s="99"/>
      <c r="VGU89" s="99"/>
      <c r="VGV89" s="99"/>
      <c r="VGW89" s="99"/>
      <c r="VGX89" s="99"/>
      <c r="VGY89" s="99"/>
      <c r="VGZ89" s="99"/>
      <c r="VHA89" s="99"/>
      <c r="VHB89" s="99"/>
      <c r="VHC89" s="99"/>
      <c r="VHD89" s="99"/>
      <c r="VHE89" s="99"/>
      <c r="VHF89" s="99"/>
      <c r="VHG89" s="99"/>
      <c r="VHH89" s="99"/>
      <c r="VHI89" s="99"/>
      <c r="VHJ89" s="99"/>
      <c r="VHK89" s="99"/>
      <c r="VHL89" s="99"/>
      <c r="VHM89" s="99"/>
      <c r="VHN89" s="99"/>
      <c r="VHO89" s="99"/>
      <c r="VHP89" s="99"/>
      <c r="VHQ89" s="99"/>
      <c r="VHR89" s="99"/>
      <c r="VHS89" s="99"/>
      <c r="VHT89" s="99"/>
      <c r="VHU89" s="99"/>
      <c r="VHV89" s="99"/>
      <c r="VHW89" s="99"/>
      <c r="VHX89" s="99"/>
      <c r="VHY89" s="99"/>
      <c r="VHZ89" s="99"/>
      <c r="VIA89" s="99"/>
      <c r="VIB89" s="99"/>
      <c r="VIC89" s="99"/>
      <c r="VID89" s="99"/>
      <c r="VIE89" s="99"/>
      <c r="VIF89" s="99"/>
      <c r="VIG89" s="99"/>
      <c r="VIH89" s="99"/>
      <c r="VII89" s="99"/>
      <c r="VIJ89" s="99"/>
      <c r="VIK89" s="99"/>
      <c r="VIL89" s="99"/>
      <c r="VIM89" s="99"/>
      <c r="VIN89" s="99"/>
      <c r="VIO89" s="99"/>
      <c r="VIP89" s="99"/>
      <c r="VIQ89" s="99"/>
      <c r="VIR89" s="99"/>
      <c r="VIS89" s="99"/>
      <c r="VIT89" s="99"/>
      <c r="VIU89" s="99"/>
      <c r="VIV89" s="99"/>
      <c r="VIW89" s="99"/>
      <c r="VIX89" s="99"/>
      <c r="VIY89" s="99"/>
      <c r="VIZ89" s="99"/>
      <c r="VJA89" s="99"/>
      <c r="VJB89" s="99"/>
      <c r="VJC89" s="99"/>
      <c r="VJD89" s="99"/>
      <c r="VJE89" s="99"/>
      <c r="VJF89" s="99"/>
      <c r="VJG89" s="99"/>
      <c r="VJH89" s="99"/>
      <c r="VJI89" s="99"/>
      <c r="VJJ89" s="99"/>
      <c r="VJK89" s="99"/>
      <c r="VJL89" s="99"/>
      <c r="VJM89" s="99"/>
      <c r="VJN89" s="99"/>
      <c r="VJO89" s="99"/>
      <c r="VJP89" s="99"/>
      <c r="VJQ89" s="99"/>
      <c r="VJR89" s="99"/>
      <c r="VJS89" s="99"/>
      <c r="VJT89" s="99"/>
      <c r="VJU89" s="99"/>
      <c r="VJV89" s="99"/>
      <c r="VJW89" s="99"/>
      <c r="VJX89" s="99"/>
      <c r="VJY89" s="99"/>
      <c r="VJZ89" s="99"/>
      <c r="VKA89" s="99"/>
      <c r="VKB89" s="99"/>
      <c r="VKC89" s="99"/>
      <c r="VKD89" s="99"/>
      <c r="VKE89" s="99"/>
      <c r="VKF89" s="99"/>
      <c r="VKG89" s="99"/>
      <c r="VKH89" s="99"/>
      <c r="VKI89" s="99"/>
      <c r="VKJ89" s="99"/>
      <c r="VKK89" s="99"/>
      <c r="VKL89" s="99"/>
      <c r="VKM89" s="99"/>
      <c r="VKN89" s="99"/>
      <c r="VKO89" s="99"/>
      <c r="VKP89" s="99"/>
      <c r="VKQ89" s="99"/>
      <c r="VKR89" s="99"/>
      <c r="VKS89" s="99"/>
      <c r="VKT89" s="99"/>
      <c r="VKU89" s="99"/>
      <c r="VKV89" s="99"/>
      <c r="VKW89" s="99"/>
      <c r="VKX89" s="99"/>
      <c r="VKY89" s="99"/>
      <c r="VKZ89" s="99"/>
      <c r="VLA89" s="99"/>
      <c r="VLB89" s="99"/>
      <c r="VLC89" s="99"/>
      <c r="VLD89" s="99"/>
      <c r="VLE89" s="99"/>
      <c r="VLF89" s="99"/>
      <c r="VLG89" s="99"/>
      <c r="VLH89" s="99"/>
      <c r="VLI89" s="99"/>
      <c r="VLJ89" s="99"/>
      <c r="VLK89" s="99"/>
      <c r="VLL89" s="99"/>
      <c r="VLM89" s="99"/>
      <c r="VLN89" s="99"/>
      <c r="VLO89" s="99"/>
      <c r="VLP89" s="99"/>
      <c r="VLQ89" s="99"/>
      <c r="VLR89" s="99"/>
      <c r="VLS89" s="99"/>
      <c r="VLT89" s="99"/>
      <c r="VLU89" s="99"/>
      <c r="VLV89" s="99"/>
      <c r="VLW89" s="99"/>
      <c r="VLX89" s="99"/>
      <c r="VLY89" s="99"/>
      <c r="VLZ89" s="99"/>
      <c r="VMA89" s="99"/>
      <c r="VMB89" s="99"/>
      <c r="VMC89" s="99"/>
      <c r="VMD89" s="99"/>
      <c r="VME89" s="99"/>
      <c r="VMF89" s="99"/>
      <c r="VMG89" s="99"/>
      <c r="VMH89" s="99"/>
      <c r="VMI89" s="99"/>
      <c r="VMJ89" s="99"/>
      <c r="VMK89" s="99"/>
      <c r="VML89" s="99"/>
      <c r="VMM89" s="99"/>
      <c r="VMN89" s="99"/>
      <c r="VMO89" s="99"/>
      <c r="VMP89" s="99"/>
      <c r="VMQ89" s="99"/>
      <c r="VMR89" s="99"/>
      <c r="VMS89" s="99"/>
      <c r="VMT89" s="99"/>
      <c r="VMU89" s="99"/>
      <c r="VMV89" s="99"/>
      <c r="VMW89" s="99"/>
      <c r="VMX89" s="99"/>
      <c r="VMY89" s="99"/>
      <c r="VMZ89" s="99"/>
      <c r="VNA89" s="99"/>
      <c r="VNB89" s="99"/>
      <c r="VNC89" s="99"/>
      <c r="VND89" s="99"/>
      <c r="VNE89" s="99"/>
      <c r="VNF89" s="99"/>
      <c r="VNG89" s="99"/>
      <c r="VNH89" s="99"/>
      <c r="VNI89" s="99"/>
      <c r="VNJ89" s="99"/>
      <c r="VNK89" s="99"/>
      <c r="VNL89" s="99"/>
      <c r="VNM89" s="99"/>
      <c r="VNN89" s="99"/>
      <c r="VNO89" s="99"/>
      <c r="VNP89" s="99"/>
      <c r="VNQ89" s="99"/>
      <c r="VNR89" s="99"/>
      <c r="VNS89" s="99"/>
      <c r="VNT89" s="99"/>
      <c r="VNU89" s="99"/>
      <c r="VNV89" s="99"/>
      <c r="VNW89" s="99"/>
      <c r="VNX89" s="99"/>
      <c r="VNY89" s="99"/>
      <c r="VNZ89" s="99"/>
      <c r="VOA89" s="99"/>
      <c r="VOB89" s="99"/>
      <c r="VOC89" s="99"/>
      <c r="VOD89" s="99"/>
      <c r="VOE89" s="99"/>
      <c r="VOF89" s="99"/>
      <c r="VOG89" s="99"/>
      <c r="VOH89" s="99"/>
      <c r="VOI89" s="99"/>
      <c r="VOJ89" s="99"/>
      <c r="VOK89" s="99"/>
      <c r="VOL89" s="99"/>
      <c r="VOM89" s="99"/>
      <c r="VON89" s="99"/>
      <c r="VOO89" s="99"/>
      <c r="VOP89" s="99"/>
      <c r="VOQ89" s="99"/>
      <c r="VOR89" s="99"/>
      <c r="VOS89" s="99"/>
      <c r="VOT89" s="99"/>
      <c r="VOU89" s="99"/>
      <c r="VOV89" s="99"/>
      <c r="VOW89" s="99"/>
      <c r="VOX89" s="99"/>
      <c r="VOY89" s="99"/>
      <c r="VOZ89" s="99"/>
      <c r="VPA89" s="99"/>
      <c r="VPB89" s="99"/>
      <c r="VPC89" s="99"/>
      <c r="VPD89" s="99"/>
      <c r="VPE89" s="99"/>
      <c r="VPF89" s="99"/>
      <c r="VPG89" s="99"/>
      <c r="VPH89" s="99"/>
      <c r="VPI89" s="99"/>
      <c r="VPJ89" s="99"/>
      <c r="VPK89" s="99"/>
      <c r="VPL89" s="99"/>
      <c r="VPM89" s="99"/>
      <c r="VPN89" s="99"/>
      <c r="VPO89" s="99"/>
      <c r="VPP89" s="99"/>
      <c r="VPQ89" s="99"/>
      <c r="VPR89" s="99"/>
      <c r="VPS89" s="99"/>
      <c r="VPT89" s="99"/>
      <c r="VPU89" s="99"/>
      <c r="VPV89" s="99"/>
      <c r="VPW89" s="99"/>
      <c r="VPX89" s="99"/>
      <c r="VPY89" s="99"/>
      <c r="VPZ89" s="99"/>
      <c r="VQA89" s="99"/>
      <c r="VQB89" s="99"/>
      <c r="VQC89" s="99"/>
      <c r="VQD89" s="99"/>
      <c r="VQE89" s="99"/>
      <c r="VQF89" s="99"/>
      <c r="VQG89" s="99"/>
      <c r="VQH89" s="99"/>
      <c r="VQI89" s="99"/>
      <c r="VQJ89" s="99"/>
      <c r="VQK89" s="99"/>
      <c r="VQL89" s="99"/>
      <c r="VQM89" s="99"/>
      <c r="VQN89" s="99"/>
      <c r="VQO89" s="99"/>
      <c r="VQP89" s="99"/>
      <c r="VQQ89" s="99"/>
      <c r="VQR89" s="99"/>
      <c r="VQS89" s="99"/>
      <c r="VQT89" s="99"/>
      <c r="VQU89" s="99"/>
      <c r="VQV89" s="99"/>
      <c r="VQW89" s="99"/>
      <c r="VQX89" s="99"/>
      <c r="VQY89" s="99"/>
      <c r="VQZ89" s="99"/>
      <c r="VRA89" s="99"/>
      <c r="VRB89" s="99"/>
      <c r="VRC89" s="99"/>
      <c r="VRD89" s="99"/>
      <c r="VRE89" s="99"/>
      <c r="VRF89" s="99"/>
      <c r="VRG89" s="99"/>
      <c r="VRH89" s="99"/>
      <c r="VRI89" s="99"/>
      <c r="VRJ89" s="99"/>
      <c r="VRK89" s="99"/>
      <c r="VRL89" s="99"/>
      <c r="VRM89" s="99"/>
      <c r="VRN89" s="99"/>
      <c r="VRO89" s="99"/>
      <c r="VRP89" s="99"/>
      <c r="VRQ89" s="99"/>
      <c r="VRR89" s="99"/>
      <c r="VRS89" s="99"/>
      <c r="VRT89" s="99"/>
      <c r="VRU89" s="99"/>
      <c r="VRV89" s="99"/>
      <c r="VRW89" s="99"/>
      <c r="VRX89" s="99"/>
      <c r="VRY89" s="99"/>
      <c r="VRZ89" s="99"/>
      <c r="VSA89" s="99"/>
      <c r="VSB89" s="99"/>
      <c r="VSC89" s="99"/>
      <c r="VSD89" s="99"/>
      <c r="VSE89" s="99"/>
      <c r="VSF89" s="99"/>
      <c r="VSG89" s="99"/>
      <c r="VSH89" s="99"/>
      <c r="VSI89" s="99"/>
      <c r="VSJ89" s="99"/>
      <c r="VSK89" s="99"/>
      <c r="VSL89" s="99"/>
      <c r="VSM89" s="99"/>
      <c r="VSN89" s="99"/>
      <c r="VSO89" s="99"/>
      <c r="VSP89" s="99"/>
      <c r="VSQ89" s="99"/>
      <c r="VSR89" s="99"/>
      <c r="VSS89" s="99"/>
      <c r="VST89" s="99"/>
      <c r="VSU89" s="99"/>
      <c r="VSV89" s="99"/>
      <c r="VSW89" s="99"/>
      <c r="VSX89" s="99"/>
      <c r="VSY89" s="99"/>
      <c r="VSZ89" s="99"/>
      <c r="VTA89" s="99"/>
      <c r="VTB89" s="99"/>
      <c r="VTC89" s="99"/>
      <c r="VTD89" s="99"/>
      <c r="VTE89" s="99"/>
      <c r="VTF89" s="99"/>
      <c r="VTG89" s="99"/>
      <c r="VTH89" s="99"/>
      <c r="VTI89" s="99"/>
      <c r="VTJ89" s="99"/>
      <c r="VTK89" s="99"/>
      <c r="VTL89" s="99"/>
      <c r="VTM89" s="99"/>
      <c r="VTN89" s="99"/>
      <c r="VTO89" s="99"/>
      <c r="VTP89" s="99"/>
      <c r="VTQ89" s="99"/>
      <c r="VTR89" s="99"/>
      <c r="VTS89" s="99"/>
      <c r="VTT89" s="99"/>
      <c r="VTU89" s="99"/>
      <c r="VTV89" s="99"/>
      <c r="VTW89" s="99"/>
      <c r="VTX89" s="99"/>
      <c r="VTY89" s="99"/>
      <c r="VTZ89" s="99"/>
      <c r="VUA89" s="99"/>
      <c r="VUB89" s="99"/>
      <c r="VUC89" s="99"/>
      <c r="VUD89" s="99"/>
      <c r="VUE89" s="99"/>
      <c r="VUF89" s="99"/>
      <c r="VUG89" s="99"/>
      <c r="VUH89" s="99"/>
      <c r="VUI89" s="99"/>
      <c r="VUJ89" s="99"/>
      <c r="VUK89" s="99"/>
      <c r="VUL89" s="99"/>
      <c r="VUM89" s="99"/>
      <c r="VUN89" s="99"/>
      <c r="VUO89" s="99"/>
      <c r="VUP89" s="99"/>
      <c r="VUQ89" s="99"/>
      <c r="VUR89" s="99"/>
      <c r="VUS89" s="99"/>
      <c r="VUT89" s="99"/>
      <c r="VUU89" s="99"/>
      <c r="VUV89" s="99"/>
      <c r="VUW89" s="99"/>
      <c r="VUX89" s="99"/>
      <c r="VUY89" s="99"/>
      <c r="VUZ89" s="99"/>
      <c r="VVA89" s="99"/>
      <c r="VVB89" s="99"/>
      <c r="VVC89" s="99"/>
      <c r="VVD89" s="99"/>
      <c r="VVE89" s="99"/>
      <c r="VVF89" s="99"/>
      <c r="VVG89" s="99"/>
      <c r="VVH89" s="99"/>
      <c r="VVI89" s="99"/>
      <c r="VVJ89" s="99"/>
      <c r="VVK89" s="99"/>
      <c r="VVL89" s="99"/>
      <c r="VVM89" s="99"/>
      <c r="VVN89" s="99"/>
      <c r="VVO89" s="99"/>
      <c r="VVP89" s="99"/>
      <c r="VVQ89" s="99"/>
      <c r="VVR89" s="99"/>
      <c r="VVS89" s="99"/>
      <c r="VVT89" s="99"/>
      <c r="VVU89" s="99"/>
      <c r="VVV89" s="99"/>
      <c r="VVW89" s="99"/>
      <c r="VVX89" s="99"/>
      <c r="VVY89" s="99"/>
      <c r="VVZ89" s="99"/>
      <c r="VWA89" s="99"/>
      <c r="VWB89" s="99"/>
      <c r="VWC89" s="99"/>
      <c r="VWD89" s="99"/>
      <c r="VWE89" s="99"/>
      <c r="VWF89" s="99"/>
      <c r="VWG89" s="99"/>
      <c r="VWH89" s="99"/>
      <c r="VWI89" s="99"/>
      <c r="VWJ89" s="99"/>
      <c r="VWK89" s="99"/>
      <c r="VWL89" s="99"/>
      <c r="VWM89" s="99"/>
      <c r="VWN89" s="99"/>
      <c r="VWO89" s="99"/>
      <c r="VWP89" s="99"/>
      <c r="VWQ89" s="99"/>
      <c r="VWR89" s="99"/>
      <c r="VWS89" s="99"/>
      <c r="VWT89" s="99"/>
      <c r="VWU89" s="99"/>
      <c r="VWV89" s="99"/>
      <c r="VWW89" s="99"/>
      <c r="VWX89" s="99"/>
      <c r="VWY89" s="99"/>
      <c r="VWZ89" s="99"/>
      <c r="VXA89" s="99"/>
      <c r="VXB89" s="99"/>
      <c r="VXC89" s="99"/>
      <c r="VXD89" s="99"/>
      <c r="VXE89" s="99"/>
      <c r="VXF89" s="99"/>
      <c r="VXG89" s="99"/>
      <c r="VXH89" s="99"/>
      <c r="VXI89" s="99"/>
      <c r="VXJ89" s="99"/>
      <c r="VXK89" s="99"/>
      <c r="VXL89" s="99"/>
      <c r="VXM89" s="99"/>
      <c r="VXN89" s="99"/>
      <c r="VXO89" s="99"/>
      <c r="VXP89" s="99"/>
      <c r="VXQ89" s="99"/>
      <c r="VXR89" s="99"/>
      <c r="VXS89" s="99"/>
      <c r="VXT89" s="99"/>
      <c r="VXU89" s="99"/>
      <c r="VXV89" s="99"/>
      <c r="VXW89" s="99"/>
      <c r="VXX89" s="99"/>
      <c r="VXY89" s="99"/>
      <c r="VXZ89" s="99"/>
      <c r="VYA89" s="99"/>
      <c r="VYB89" s="99"/>
      <c r="VYC89" s="99"/>
      <c r="VYD89" s="99"/>
      <c r="VYE89" s="99"/>
      <c r="VYF89" s="99"/>
      <c r="VYG89" s="99"/>
      <c r="VYH89" s="99"/>
      <c r="VYI89" s="99"/>
      <c r="VYJ89" s="99"/>
      <c r="VYK89" s="99"/>
      <c r="VYL89" s="99"/>
      <c r="VYM89" s="99"/>
      <c r="VYN89" s="99"/>
      <c r="VYO89" s="99"/>
      <c r="VYP89" s="99"/>
      <c r="VYQ89" s="99"/>
      <c r="VYR89" s="99"/>
      <c r="VYS89" s="99"/>
      <c r="VYT89" s="99"/>
      <c r="VYU89" s="99"/>
      <c r="VYV89" s="99"/>
      <c r="VYW89" s="99"/>
      <c r="VYX89" s="99"/>
      <c r="VYY89" s="99"/>
      <c r="VYZ89" s="99"/>
      <c r="VZA89" s="99"/>
      <c r="VZB89" s="99"/>
      <c r="VZC89" s="99"/>
      <c r="VZD89" s="99"/>
      <c r="VZE89" s="99"/>
      <c r="VZF89" s="99"/>
      <c r="VZG89" s="99"/>
      <c r="VZH89" s="99"/>
      <c r="VZI89" s="99"/>
      <c r="VZJ89" s="99"/>
      <c r="VZK89" s="99"/>
      <c r="VZL89" s="99"/>
      <c r="VZM89" s="99"/>
      <c r="VZN89" s="99"/>
      <c r="VZO89" s="99"/>
      <c r="VZP89" s="99"/>
      <c r="VZQ89" s="99"/>
      <c r="VZR89" s="99"/>
      <c r="VZS89" s="99"/>
      <c r="VZT89" s="99"/>
      <c r="VZU89" s="99"/>
      <c r="VZV89" s="99"/>
      <c r="VZW89" s="99"/>
      <c r="VZX89" s="99"/>
      <c r="VZY89" s="99"/>
      <c r="VZZ89" s="99"/>
      <c r="WAA89" s="99"/>
      <c r="WAB89" s="99"/>
      <c r="WAC89" s="99"/>
      <c r="WAD89" s="99"/>
      <c r="WAE89" s="99"/>
      <c r="WAF89" s="99"/>
      <c r="WAG89" s="99"/>
      <c r="WAH89" s="99"/>
      <c r="WAI89" s="99"/>
      <c r="WAJ89" s="99"/>
      <c r="WAK89" s="99"/>
      <c r="WAL89" s="99"/>
      <c r="WAM89" s="99"/>
      <c r="WAN89" s="99"/>
      <c r="WAO89" s="99"/>
      <c r="WAP89" s="99"/>
      <c r="WAQ89" s="99"/>
      <c r="WAR89" s="99"/>
      <c r="WAS89" s="99"/>
      <c r="WAT89" s="99"/>
      <c r="WAU89" s="99"/>
      <c r="WAV89" s="99"/>
      <c r="WAW89" s="99"/>
      <c r="WAX89" s="99"/>
      <c r="WAY89" s="99"/>
      <c r="WAZ89" s="99"/>
      <c r="WBA89" s="99"/>
      <c r="WBB89" s="99"/>
      <c r="WBC89" s="99"/>
      <c r="WBD89" s="99"/>
      <c r="WBE89" s="99"/>
      <c r="WBF89" s="99"/>
      <c r="WBG89" s="99"/>
      <c r="WBH89" s="99"/>
      <c r="WBI89" s="99"/>
      <c r="WBJ89" s="99"/>
      <c r="WBK89" s="99"/>
      <c r="WBL89" s="99"/>
      <c r="WBM89" s="99"/>
      <c r="WBN89" s="99"/>
      <c r="WBO89" s="99"/>
      <c r="WBP89" s="99"/>
      <c r="WBQ89" s="99"/>
      <c r="WBR89" s="99"/>
      <c r="WBS89" s="99"/>
      <c r="WBT89" s="99"/>
      <c r="WBU89" s="99"/>
      <c r="WBV89" s="99"/>
      <c r="WBW89" s="99"/>
      <c r="WBX89" s="99"/>
      <c r="WBY89" s="99"/>
      <c r="WBZ89" s="99"/>
      <c r="WCA89" s="99"/>
      <c r="WCB89" s="99"/>
      <c r="WCC89" s="99"/>
      <c r="WCD89" s="99"/>
      <c r="WCE89" s="99"/>
      <c r="WCF89" s="99"/>
      <c r="WCG89" s="99"/>
      <c r="WCH89" s="99"/>
      <c r="WCI89" s="99"/>
      <c r="WCJ89" s="99"/>
      <c r="WCK89" s="99"/>
      <c r="WCL89" s="99"/>
      <c r="WCM89" s="99"/>
      <c r="WCN89" s="99"/>
      <c r="WCO89" s="99"/>
      <c r="WCP89" s="99"/>
      <c r="WCQ89" s="99"/>
      <c r="WCR89" s="99"/>
      <c r="WCS89" s="99"/>
      <c r="WCT89" s="99"/>
      <c r="WCU89" s="99"/>
      <c r="WCV89" s="99"/>
      <c r="WCW89" s="99"/>
      <c r="WCX89" s="99"/>
      <c r="WCY89" s="99"/>
      <c r="WCZ89" s="99"/>
      <c r="WDA89" s="99"/>
      <c r="WDB89" s="99"/>
      <c r="WDC89" s="99"/>
      <c r="WDD89" s="99"/>
      <c r="WDE89" s="99"/>
      <c r="WDF89" s="99"/>
      <c r="WDG89" s="99"/>
      <c r="WDH89" s="99"/>
      <c r="WDI89" s="99"/>
      <c r="WDJ89" s="99"/>
      <c r="WDK89" s="99"/>
      <c r="WDL89" s="99"/>
      <c r="WDM89" s="99"/>
      <c r="WDN89" s="99"/>
      <c r="WDO89" s="99"/>
      <c r="WDP89" s="99"/>
      <c r="WDQ89" s="99"/>
      <c r="WDR89" s="99"/>
      <c r="WDS89" s="99"/>
      <c r="WDT89" s="99"/>
      <c r="WDU89" s="99"/>
      <c r="WDV89" s="99"/>
      <c r="WDW89" s="99"/>
      <c r="WDX89" s="99"/>
      <c r="WDY89" s="99"/>
      <c r="WDZ89" s="99"/>
      <c r="WEA89" s="99"/>
      <c r="WEB89" s="99"/>
      <c r="WEC89" s="99"/>
      <c r="WED89" s="99"/>
      <c r="WEE89" s="99"/>
      <c r="WEF89" s="99"/>
      <c r="WEG89" s="99"/>
      <c r="WEH89" s="99"/>
      <c r="WEI89" s="99"/>
      <c r="WEJ89" s="99"/>
      <c r="WEK89" s="99"/>
      <c r="WEL89" s="99"/>
      <c r="WEM89" s="99"/>
      <c r="WEN89" s="99"/>
      <c r="WEO89" s="99"/>
      <c r="WEP89" s="99"/>
      <c r="WEQ89" s="99"/>
      <c r="WER89" s="99"/>
      <c r="WES89" s="99"/>
      <c r="WET89" s="99"/>
      <c r="WEU89" s="99"/>
      <c r="WEV89" s="99"/>
      <c r="WEW89" s="99"/>
      <c r="WEX89" s="99"/>
      <c r="WEY89" s="99"/>
      <c r="WEZ89" s="99"/>
      <c r="WFA89" s="99"/>
      <c r="WFB89" s="99"/>
      <c r="WFC89" s="99"/>
      <c r="WFD89" s="99"/>
      <c r="WFE89" s="99"/>
      <c r="WFF89" s="99"/>
      <c r="WFG89" s="99"/>
      <c r="WFH89" s="99"/>
      <c r="WFI89" s="99"/>
      <c r="WFJ89" s="99"/>
      <c r="WFK89" s="99"/>
      <c r="WFL89" s="99"/>
      <c r="WFM89" s="99"/>
      <c r="WFN89" s="99"/>
      <c r="WFO89" s="99"/>
      <c r="WFP89" s="99"/>
      <c r="WFQ89" s="99"/>
      <c r="WFR89" s="99"/>
      <c r="WFS89" s="99"/>
      <c r="WFT89" s="99"/>
      <c r="WFU89" s="99"/>
      <c r="WFV89" s="99"/>
      <c r="WFW89" s="99"/>
      <c r="WFX89" s="99"/>
      <c r="WFY89" s="99"/>
      <c r="WFZ89" s="99"/>
      <c r="WGA89" s="99"/>
      <c r="WGB89" s="99"/>
      <c r="WGC89" s="99"/>
      <c r="WGD89" s="99"/>
      <c r="WGE89" s="99"/>
      <c r="WGF89" s="99"/>
      <c r="WGG89" s="99"/>
      <c r="WGH89" s="99"/>
      <c r="WGI89" s="99"/>
      <c r="WGJ89" s="99"/>
      <c r="WGK89" s="99"/>
      <c r="WGL89" s="99"/>
      <c r="WGM89" s="99"/>
      <c r="WGN89" s="99"/>
      <c r="WGO89" s="99"/>
      <c r="WGP89" s="99"/>
      <c r="WGQ89" s="99"/>
      <c r="WGR89" s="99"/>
      <c r="WGS89" s="99"/>
      <c r="WGT89" s="99"/>
      <c r="WGU89" s="99"/>
      <c r="WGV89" s="99"/>
      <c r="WGW89" s="99"/>
      <c r="WGX89" s="99"/>
      <c r="WGY89" s="99"/>
      <c r="WGZ89" s="99"/>
      <c r="WHA89" s="99"/>
      <c r="WHB89" s="99"/>
      <c r="WHC89" s="99"/>
      <c r="WHD89" s="99"/>
      <c r="WHE89" s="99"/>
      <c r="WHF89" s="99"/>
      <c r="WHG89" s="99"/>
      <c r="WHH89" s="99"/>
      <c r="WHI89" s="99"/>
      <c r="WHJ89" s="99"/>
      <c r="WHK89" s="99"/>
      <c r="WHL89" s="99"/>
      <c r="WHM89" s="99"/>
      <c r="WHN89" s="99"/>
      <c r="WHO89" s="99"/>
      <c r="WHP89" s="99"/>
      <c r="WHQ89" s="99"/>
      <c r="WHR89" s="99"/>
      <c r="WHS89" s="99"/>
      <c r="WHT89" s="99"/>
      <c r="WHU89" s="99"/>
      <c r="WHV89" s="99"/>
      <c r="WHW89" s="99"/>
      <c r="WHX89" s="99"/>
      <c r="WHY89" s="99"/>
      <c r="WHZ89" s="99"/>
      <c r="WIA89" s="99"/>
      <c r="WIB89" s="99"/>
      <c r="WIC89" s="99"/>
      <c r="WID89" s="99"/>
      <c r="WIE89" s="99"/>
      <c r="WIF89" s="99"/>
      <c r="WIG89" s="99"/>
      <c r="WIH89" s="99"/>
      <c r="WII89" s="99"/>
      <c r="WIJ89" s="99"/>
      <c r="WIK89" s="99"/>
      <c r="WIL89" s="99"/>
      <c r="WIM89" s="99"/>
      <c r="WIN89" s="99"/>
      <c r="WIO89" s="99"/>
      <c r="WIP89" s="99"/>
      <c r="WIQ89" s="99"/>
      <c r="WIR89" s="99"/>
      <c r="WIS89" s="99"/>
      <c r="WIT89" s="99"/>
      <c r="WIU89" s="99"/>
      <c r="WIV89" s="99"/>
      <c r="WIW89" s="99"/>
      <c r="WIX89" s="99"/>
      <c r="WIY89" s="99"/>
      <c r="WIZ89" s="99"/>
      <c r="WJA89" s="99"/>
      <c r="WJB89" s="99"/>
      <c r="WJC89" s="99"/>
      <c r="WJD89" s="99"/>
      <c r="WJE89" s="99"/>
      <c r="WJF89" s="99"/>
      <c r="WJG89" s="99"/>
      <c r="WJH89" s="99"/>
      <c r="WJI89" s="99"/>
      <c r="WJJ89" s="99"/>
      <c r="WJK89" s="99"/>
      <c r="WJL89" s="99"/>
      <c r="WJM89" s="99"/>
      <c r="WJN89" s="99"/>
      <c r="WJO89" s="99"/>
      <c r="WJP89" s="99"/>
      <c r="WJQ89" s="99"/>
      <c r="WJR89" s="99"/>
      <c r="WJS89" s="99"/>
      <c r="WJT89" s="99"/>
      <c r="WJU89" s="99"/>
      <c r="WJV89" s="99"/>
      <c r="WJW89" s="99"/>
      <c r="WJX89" s="99"/>
      <c r="WJY89" s="99"/>
      <c r="WJZ89" s="99"/>
      <c r="WKA89" s="99"/>
      <c r="WKB89" s="99"/>
      <c r="WKC89" s="99"/>
      <c r="WKD89" s="99"/>
      <c r="WKE89" s="99"/>
      <c r="WKF89" s="99"/>
      <c r="WKG89" s="99"/>
      <c r="WKH89" s="99"/>
      <c r="WKI89" s="99"/>
      <c r="WKJ89" s="99"/>
      <c r="WKK89" s="99"/>
      <c r="WKL89" s="99"/>
      <c r="WKM89" s="99"/>
      <c r="WKN89" s="99"/>
      <c r="WKO89" s="99"/>
      <c r="WKP89" s="99"/>
      <c r="WKQ89" s="99"/>
      <c r="WKR89" s="99"/>
      <c r="WKS89" s="99"/>
      <c r="WKT89" s="99"/>
      <c r="WKU89" s="99"/>
      <c r="WKV89" s="99"/>
      <c r="WKW89" s="99"/>
      <c r="WKX89" s="99"/>
      <c r="WKY89" s="99"/>
      <c r="WKZ89" s="99"/>
      <c r="WLA89" s="99"/>
      <c r="WLB89" s="99"/>
      <c r="WLC89" s="99"/>
      <c r="WLD89" s="99"/>
      <c r="WLE89" s="99"/>
      <c r="WLF89" s="99"/>
      <c r="WLG89" s="99"/>
      <c r="WLH89" s="99"/>
      <c r="WLI89" s="99"/>
      <c r="WLJ89" s="99"/>
      <c r="WLK89" s="99"/>
      <c r="WLL89" s="99"/>
      <c r="WLM89" s="99"/>
      <c r="WLN89" s="99"/>
      <c r="WLO89" s="99"/>
      <c r="WLP89" s="99"/>
      <c r="WLQ89" s="99"/>
      <c r="WLR89" s="99"/>
      <c r="WLS89" s="99"/>
      <c r="WLT89" s="99"/>
      <c r="WLU89" s="99"/>
      <c r="WLV89" s="99"/>
      <c r="WLW89" s="99"/>
      <c r="WLX89" s="99"/>
      <c r="WLY89" s="99"/>
      <c r="WLZ89" s="99"/>
      <c r="WMA89" s="99"/>
      <c r="WMB89" s="99"/>
      <c r="WMC89" s="99"/>
      <c r="WMD89" s="99"/>
      <c r="WME89" s="99"/>
      <c r="WMF89" s="99"/>
      <c r="WMG89" s="99"/>
      <c r="WMH89" s="99"/>
      <c r="WMI89" s="99"/>
      <c r="WMJ89" s="99"/>
      <c r="WMK89" s="99"/>
      <c r="WML89" s="99"/>
      <c r="WMM89" s="99"/>
      <c r="WMN89" s="99"/>
      <c r="WMO89" s="99"/>
      <c r="WMP89" s="99"/>
      <c r="WMQ89" s="99"/>
      <c r="WMR89" s="99"/>
      <c r="WMS89" s="99"/>
      <c r="WMT89" s="99"/>
      <c r="WMU89" s="99"/>
      <c r="WMV89" s="99"/>
      <c r="WMW89" s="99"/>
      <c r="WMX89" s="99"/>
      <c r="WMY89" s="99"/>
      <c r="WMZ89" s="99"/>
      <c r="WNA89" s="99"/>
      <c r="WNB89" s="99"/>
      <c r="WNC89" s="99"/>
      <c r="WND89" s="99"/>
      <c r="WNE89" s="99"/>
      <c r="WNF89" s="99"/>
      <c r="WNG89" s="99"/>
      <c r="WNH89" s="99"/>
      <c r="WNI89" s="99"/>
      <c r="WNJ89" s="99"/>
      <c r="WNK89" s="99"/>
      <c r="WNL89" s="99"/>
      <c r="WNM89" s="99"/>
      <c r="WNN89" s="99"/>
      <c r="WNO89" s="99"/>
      <c r="WNP89" s="99"/>
      <c r="WNQ89" s="99"/>
      <c r="WNR89" s="99"/>
      <c r="WNS89" s="99"/>
      <c r="WNT89" s="99"/>
      <c r="WNU89" s="99"/>
      <c r="WNV89" s="99"/>
      <c r="WNW89" s="99"/>
      <c r="WNX89" s="99"/>
      <c r="WNY89" s="99"/>
      <c r="WNZ89" s="99"/>
      <c r="WOA89" s="99"/>
      <c r="WOB89" s="99"/>
      <c r="WOC89" s="99"/>
      <c r="WOD89" s="99"/>
      <c r="WOE89" s="99"/>
      <c r="WOF89" s="99"/>
      <c r="WOG89" s="99"/>
      <c r="WOH89" s="99"/>
      <c r="WOI89" s="99"/>
      <c r="WOJ89" s="99"/>
      <c r="WOK89" s="99"/>
      <c r="WOL89" s="99"/>
      <c r="WOM89" s="99"/>
      <c r="WON89" s="99"/>
      <c r="WOO89" s="99"/>
      <c r="WOP89" s="99"/>
      <c r="WOQ89" s="99"/>
      <c r="WOR89" s="99"/>
      <c r="WOS89" s="99"/>
      <c r="WOT89" s="99"/>
      <c r="WOU89" s="99"/>
      <c r="WOV89" s="99"/>
      <c r="WOW89" s="99"/>
      <c r="WOX89" s="99"/>
      <c r="WOY89" s="99"/>
      <c r="WOZ89" s="99"/>
      <c r="WPA89" s="99"/>
      <c r="WPB89" s="99"/>
      <c r="WPC89" s="99"/>
      <c r="WPD89" s="99"/>
      <c r="WPE89" s="99"/>
      <c r="WPF89" s="99"/>
      <c r="WPG89" s="99"/>
      <c r="WPH89" s="99"/>
      <c r="WPI89" s="99"/>
      <c r="WPJ89" s="99"/>
      <c r="WPK89" s="99"/>
      <c r="WPL89" s="99"/>
      <c r="WPM89" s="99"/>
      <c r="WPN89" s="99"/>
      <c r="WPO89" s="99"/>
      <c r="WPP89" s="99"/>
      <c r="WPQ89" s="99"/>
      <c r="WPR89" s="99"/>
      <c r="WPS89" s="99"/>
      <c r="WPT89" s="99"/>
      <c r="WPU89" s="99"/>
      <c r="WPV89" s="99"/>
      <c r="WPW89" s="99"/>
      <c r="WPX89" s="99"/>
      <c r="WPY89" s="99"/>
      <c r="WPZ89" s="99"/>
      <c r="WQA89" s="99"/>
      <c r="WQB89" s="99"/>
      <c r="WQC89" s="99"/>
      <c r="WQD89" s="99"/>
      <c r="WQE89" s="99"/>
      <c r="WQF89" s="99"/>
      <c r="WQG89" s="99"/>
      <c r="WQH89" s="99"/>
      <c r="WQI89" s="99"/>
      <c r="WQJ89" s="99"/>
      <c r="WQK89" s="99"/>
      <c r="WQL89" s="99"/>
      <c r="WQM89" s="99"/>
      <c r="WQN89" s="99"/>
      <c r="WQO89" s="99"/>
      <c r="WQP89" s="99"/>
      <c r="WQQ89" s="99"/>
      <c r="WQR89" s="99"/>
      <c r="WQS89" s="99"/>
      <c r="WQT89" s="99"/>
      <c r="WQU89" s="99"/>
      <c r="WQV89" s="99"/>
      <c r="WQW89" s="99"/>
      <c r="WQX89" s="99"/>
      <c r="WQY89" s="99"/>
      <c r="WQZ89" s="99"/>
      <c r="WRA89" s="99"/>
      <c r="WRB89" s="99"/>
      <c r="WRC89" s="99"/>
      <c r="WRD89" s="99"/>
      <c r="WRE89" s="99"/>
      <c r="WRF89" s="99"/>
      <c r="WRG89" s="99"/>
      <c r="WRH89" s="99"/>
      <c r="WRI89" s="99"/>
      <c r="WRJ89" s="99"/>
      <c r="WRK89" s="99"/>
      <c r="WRL89" s="99"/>
      <c r="WRM89" s="99"/>
      <c r="WRN89" s="99"/>
      <c r="WRO89" s="99"/>
      <c r="WRP89" s="99"/>
      <c r="WRQ89" s="99"/>
      <c r="WRR89" s="99"/>
      <c r="WRS89" s="99"/>
      <c r="WRT89" s="99"/>
      <c r="WRU89" s="99"/>
      <c r="WRV89" s="99"/>
      <c r="WRW89" s="99"/>
      <c r="WRX89" s="99"/>
      <c r="WRY89" s="99"/>
      <c r="WRZ89" s="99"/>
      <c r="WSA89" s="99"/>
      <c r="WSB89" s="99"/>
      <c r="WSC89" s="99"/>
      <c r="WSD89" s="99"/>
      <c r="WSE89" s="99"/>
      <c r="WSF89" s="99"/>
      <c r="WSG89" s="99"/>
      <c r="WSH89" s="99"/>
      <c r="WSI89" s="99"/>
      <c r="WSJ89" s="99"/>
      <c r="WSK89" s="99"/>
      <c r="WSL89" s="99"/>
      <c r="WSM89" s="99"/>
      <c r="WSN89" s="99"/>
      <c r="WSO89" s="99"/>
      <c r="WSP89" s="99"/>
      <c r="WSQ89" s="99"/>
      <c r="WSR89" s="99"/>
      <c r="WSS89" s="99"/>
      <c r="WST89" s="99"/>
      <c r="WSU89" s="99"/>
      <c r="WSV89" s="99"/>
      <c r="WSW89" s="99"/>
      <c r="WSX89" s="99"/>
      <c r="WSY89" s="99"/>
      <c r="WSZ89" s="99"/>
      <c r="WTA89" s="99"/>
      <c r="WTB89" s="99"/>
      <c r="WTC89" s="99"/>
      <c r="WTD89" s="99"/>
      <c r="WTE89" s="99"/>
      <c r="WTF89" s="99"/>
      <c r="WTG89" s="99"/>
      <c r="WTH89" s="99"/>
      <c r="WTI89" s="99"/>
      <c r="WTJ89" s="99"/>
      <c r="WTK89" s="99"/>
      <c r="WTL89" s="99"/>
      <c r="WTM89" s="99"/>
      <c r="WTN89" s="99"/>
      <c r="WTO89" s="99"/>
      <c r="WTP89" s="99"/>
      <c r="WTQ89" s="99"/>
      <c r="WTR89" s="99"/>
      <c r="WTS89" s="99"/>
      <c r="WTT89" s="99"/>
      <c r="WTU89" s="99"/>
      <c r="WTV89" s="99"/>
      <c r="WTW89" s="99"/>
      <c r="WTX89" s="99"/>
      <c r="WTY89" s="99"/>
      <c r="WTZ89" s="99"/>
      <c r="WUA89" s="99"/>
      <c r="WUB89" s="99"/>
      <c r="WUC89" s="99"/>
      <c r="WUD89" s="99"/>
      <c r="WUE89" s="99"/>
      <c r="WUF89" s="99"/>
      <c r="WUG89" s="99"/>
      <c r="WUH89" s="99"/>
      <c r="WUI89" s="99"/>
      <c r="WUJ89" s="99"/>
      <c r="WUK89" s="99"/>
      <c r="WUL89" s="99"/>
      <c r="WUM89" s="99"/>
      <c r="WUN89" s="99"/>
      <c r="WUO89" s="99"/>
      <c r="WUP89" s="99"/>
      <c r="WUQ89" s="99"/>
      <c r="WUR89" s="99"/>
      <c r="WUS89" s="99"/>
      <c r="WUT89" s="99"/>
      <c r="WUU89" s="99"/>
      <c r="WUV89" s="99"/>
      <c r="WUW89" s="99"/>
      <c r="WUX89" s="99"/>
      <c r="WUY89" s="99"/>
      <c r="WUZ89" s="99"/>
      <c r="WVA89" s="99"/>
      <c r="WVB89" s="99"/>
      <c r="WVC89" s="99"/>
      <c r="WVD89" s="99"/>
      <c r="WVE89" s="99"/>
      <c r="WVF89" s="99"/>
      <c r="WVG89" s="99"/>
      <c r="WVH89" s="99"/>
      <c r="WVI89" s="99"/>
      <c r="WVJ89" s="99"/>
      <c r="WVK89" s="99"/>
      <c r="WVL89" s="99"/>
      <c r="WVM89" s="99"/>
      <c r="WVN89" s="99"/>
      <c r="WVO89" s="99"/>
      <c r="WVP89" s="99"/>
      <c r="WVQ89" s="99"/>
      <c r="WVR89" s="99"/>
      <c r="WVS89" s="99"/>
      <c r="WVT89" s="99"/>
      <c r="WVU89" s="99"/>
      <c r="WVV89" s="99"/>
      <c r="WVW89" s="99"/>
      <c r="WVX89" s="99"/>
      <c r="WVY89" s="99"/>
      <c r="WVZ89" s="99"/>
      <c r="WWA89" s="99"/>
      <c r="WWB89" s="99"/>
      <c r="WWC89" s="99"/>
      <c r="WWD89" s="99"/>
      <c r="WWE89" s="99"/>
      <c r="WWF89" s="99"/>
      <c r="WWG89" s="99"/>
      <c r="WWH89" s="99"/>
      <c r="WWI89" s="99"/>
      <c r="WWJ89" s="99"/>
      <c r="WWK89" s="99"/>
      <c r="WWL89" s="99"/>
      <c r="WWM89" s="99"/>
      <c r="WWN89" s="99"/>
      <c r="WWO89" s="99"/>
      <c r="WWP89" s="99"/>
      <c r="WWQ89" s="99"/>
      <c r="WWR89" s="99"/>
      <c r="WWS89" s="99"/>
      <c r="WWT89" s="99"/>
      <c r="WWU89" s="99"/>
      <c r="WWV89" s="99"/>
      <c r="WWW89" s="99"/>
      <c r="WWX89" s="99"/>
      <c r="WWY89" s="99"/>
      <c r="WWZ89" s="99"/>
      <c r="WXA89" s="99"/>
      <c r="WXB89" s="99"/>
      <c r="WXC89" s="99"/>
      <c r="WXD89" s="99"/>
      <c r="WXE89" s="99"/>
      <c r="WXF89" s="99"/>
      <c r="WXG89" s="99"/>
      <c r="WXH89" s="99"/>
      <c r="WXI89" s="99"/>
      <c r="WXJ89" s="99"/>
      <c r="WXK89" s="99"/>
      <c r="WXL89" s="99"/>
      <c r="WXM89" s="99"/>
      <c r="WXN89" s="99"/>
      <c r="WXO89" s="99"/>
      <c r="WXP89" s="99"/>
      <c r="WXQ89" s="99"/>
      <c r="WXR89" s="99"/>
      <c r="WXS89" s="99"/>
      <c r="WXT89" s="99"/>
      <c r="WXU89" s="99"/>
      <c r="WXV89" s="99"/>
      <c r="WXW89" s="99"/>
      <c r="WXX89" s="99"/>
      <c r="WXY89" s="99"/>
      <c r="WXZ89" s="99"/>
      <c r="WYA89" s="99"/>
      <c r="WYB89" s="99"/>
      <c r="WYC89" s="99"/>
      <c r="WYD89" s="99"/>
      <c r="WYE89" s="99"/>
      <c r="WYF89" s="99"/>
      <c r="WYG89" s="99"/>
      <c r="WYH89" s="99"/>
      <c r="WYI89" s="99"/>
      <c r="WYJ89" s="99"/>
      <c r="WYK89" s="99"/>
      <c r="WYL89" s="99"/>
      <c r="WYM89" s="99"/>
      <c r="WYN89" s="99"/>
      <c r="WYO89" s="99"/>
      <c r="WYP89" s="99"/>
      <c r="WYQ89" s="99"/>
      <c r="WYR89" s="99"/>
      <c r="WYS89" s="99"/>
      <c r="WYT89" s="99"/>
      <c r="WYU89" s="99"/>
      <c r="WYV89" s="99"/>
      <c r="WYW89" s="99"/>
      <c r="WYX89" s="99"/>
      <c r="WYY89" s="99"/>
      <c r="WYZ89" s="99"/>
      <c r="WZA89" s="99"/>
      <c r="WZB89" s="99"/>
      <c r="WZC89" s="99"/>
      <c r="WZD89" s="99"/>
      <c r="WZE89" s="99"/>
      <c r="WZF89" s="99"/>
      <c r="WZG89" s="99"/>
      <c r="WZH89" s="99"/>
      <c r="WZI89" s="99"/>
      <c r="WZJ89" s="99"/>
      <c r="WZK89" s="99"/>
      <c r="WZL89" s="99"/>
      <c r="WZM89" s="99"/>
      <c r="WZN89" s="99"/>
      <c r="WZO89" s="99"/>
      <c r="WZP89" s="99"/>
      <c r="WZQ89" s="99"/>
      <c r="WZR89" s="99"/>
      <c r="WZS89" s="99"/>
      <c r="WZT89" s="99"/>
      <c r="WZU89" s="99"/>
      <c r="WZV89" s="99"/>
      <c r="WZW89" s="99"/>
      <c r="WZX89" s="99"/>
      <c r="WZY89" s="99"/>
      <c r="WZZ89" s="99"/>
      <c r="XAA89" s="99"/>
      <c r="XAB89" s="99"/>
      <c r="XAC89" s="99"/>
      <c r="XAD89" s="99"/>
      <c r="XAE89" s="99"/>
      <c r="XAF89" s="99"/>
      <c r="XAG89" s="99"/>
      <c r="XAH89" s="99"/>
      <c r="XAI89" s="99"/>
      <c r="XAJ89" s="99"/>
      <c r="XAK89" s="99"/>
      <c r="XAL89" s="99"/>
      <c r="XAM89" s="99"/>
      <c r="XAN89" s="99"/>
      <c r="XAO89" s="99"/>
      <c r="XAP89" s="99"/>
      <c r="XAQ89" s="99"/>
      <c r="XAR89" s="99"/>
      <c r="XAS89" s="99"/>
      <c r="XAT89" s="99"/>
      <c r="XAU89" s="99"/>
      <c r="XAV89" s="99"/>
      <c r="XAW89" s="99"/>
      <c r="XAX89" s="99"/>
      <c r="XAY89" s="99"/>
      <c r="XAZ89" s="99"/>
      <c r="XBA89" s="99"/>
      <c r="XBB89" s="99"/>
      <c r="XBC89" s="99"/>
      <c r="XBD89" s="99"/>
      <c r="XBE89" s="99"/>
      <c r="XBF89" s="99"/>
      <c r="XBG89" s="99"/>
      <c r="XBH89" s="99"/>
      <c r="XBI89" s="99"/>
      <c r="XBJ89" s="99"/>
      <c r="XBK89" s="99"/>
      <c r="XBL89" s="99"/>
      <c r="XBM89" s="99"/>
      <c r="XBN89" s="99"/>
      <c r="XBO89" s="99"/>
      <c r="XBP89" s="99"/>
      <c r="XBQ89" s="99"/>
      <c r="XBR89" s="99"/>
      <c r="XBS89" s="99"/>
      <c r="XBT89" s="99"/>
      <c r="XBU89" s="99"/>
      <c r="XBV89" s="99"/>
      <c r="XBW89" s="99"/>
      <c r="XBX89" s="99"/>
      <c r="XBY89" s="99"/>
      <c r="XBZ89" s="99"/>
      <c r="XCA89" s="99"/>
      <c r="XCB89" s="99"/>
      <c r="XCC89" s="99"/>
      <c r="XCD89" s="99"/>
      <c r="XCE89" s="99"/>
      <c r="XCF89" s="99"/>
      <c r="XCG89" s="99"/>
      <c r="XCH89" s="99"/>
      <c r="XCI89" s="99"/>
      <c r="XCJ89" s="99"/>
      <c r="XCK89" s="99"/>
      <c r="XCL89" s="99"/>
      <c r="XCM89" s="99"/>
      <c r="XCN89" s="99"/>
      <c r="XCO89" s="99"/>
      <c r="XCP89" s="99"/>
      <c r="XCQ89" s="99"/>
      <c r="XCR89" s="99"/>
      <c r="XCS89" s="99"/>
      <c r="XCT89" s="99"/>
      <c r="XCU89" s="99"/>
      <c r="XCV89" s="99"/>
      <c r="XCW89" s="99"/>
      <c r="XCX89" s="99"/>
      <c r="XCY89" s="99"/>
      <c r="XCZ89" s="99"/>
      <c r="XDA89" s="99"/>
      <c r="XDB89" s="99"/>
      <c r="XDC89" s="99"/>
      <c r="XDD89" s="99"/>
      <c r="XDE89" s="99"/>
      <c r="XDF89" s="99"/>
      <c r="XDG89" s="99"/>
      <c r="XDH89" s="99"/>
      <c r="XDI89" s="99"/>
      <c r="XDJ89" s="99"/>
      <c r="XDK89" s="99"/>
      <c r="XDL89" s="99"/>
      <c r="XDM89" s="99"/>
      <c r="XDN89" s="99"/>
      <c r="XDO89" s="99"/>
      <c r="XDP89" s="99"/>
      <c r="XDQ89" s="99"/>
      <c r="XDR89" s="99"/>
      <c r="XDS89" s="99"/>
      <c r="XDT89" s="99"/>
      <c r="XDU89" s="99"/>
      <c r="XDV89" s="99"/>
      <c r="XDW89" s="99"/>
      <c r="XDX89" s="99"/>
      <c r="XDY89" s="99"/>
      <c r="XDZ89" s="99"/>
      <c r="XEA89" s="99"/>
      <c r="XEB89" s="99"/>
      <c r="XEC89" s="99"/>
      <c r="XED89" s="99"/>
      <c r="XEE89" s="99"/>
      <c r="XEF89" s="99"/>
      <c r="XEG89" s="99"/>
      <c r="XEH89" s="99"/>
      <c r="XEI89" s="99"/>
      <c r="XEJ89" s="99"/>
      <c r="XEK89" s="99"/>
      <c r="XEL89" s="99"/>
      <c r="XEM89" s="99"/>
      <c r="XEN89" s="99"/>
      <c r="XEO89" s="99"/>
      <c r="XEP89" s="99"/>
      <c r="XEQ89" s="99"/>
      <c r="XER89" s="99"/>
      <c r="XES89" s="99"/>
      <c r="XET89" s="99"/>
      <c r="XEU89" s="99"/>
      <c r="XEV89" s="99"/>
      <c r="XEW89" s="99"/>
      <c r="XEX89" s="99"/>
      <c r="XEY89" s="99"/>
      <c r="XEZ89" s="99"/>
    </row>
    <row r="90" spans="1:16380" ht="23.25" x14ac:dyDescent="0.35">
      <c r="A90" s="910"/>
      <c r="B90" s="1530"/>
      <c r="C90" s="1545"/>
      <c r="D90" s="1585"/>
      <c r="E90" s="86"/>
      <c r="F90" s="49"/>
      <c r="G90" s="39"/>
      <c r="H90" s="39"/>
      <c r="I90" s="281">
        <f>+I89-R24</f>
        <v>50000</v>
      </c>
      <c r="J90" s="832"/>
      <c r="K90" s="832"/>
      <c r="L90" s="832"/>
      <c r="M90" s="832"/>
      <c r="N90" s="139"/>
      <c r="P90" s="154"/>
      <c r="Q90" s="154"/>
    </row>
    <row r="91" spans="1:16380" ht="23.25" x14ac:dyDescent="0.35">
      <c r="A91" s="910"/>
      <c r="B91" s="1530"/>
      <c r="C91" s="326"/>
      <c r="D91" s="1534"/>
      <c r="E91" s="86"/>
      <c r="F91" s="49"/>
      <c r="G91" s="250"/>
      <c r="H91" s="1270"/>
      <c r="I91" s="250"/>
      <c r="J91" s="832"/>
      <c r="K91" s="832"/>
      <c r="L91" s="832"/>
      <c r="M91" s="832"/>
      <c r="N91" s="139"/>
      <c r="P91" s="154"/>
      <c r="Q91" s="154"/>
    </row>
    <row r="92" spans="1:16380" ht="23.25" x14ac:dyDescent="0.35">
      <c r="A92" s="910"/>
      <c r="B92" s="1134"/>
      <c r="C92" s="780"/>
      <c r="D92" s="1534"/>
      <c r="E92" s="86"/>
      <c r="F92" s="49"/>
      <c r="G92" s="139">
        <f>5237575-1104000</f>
        <v>4133575</v>
      </c>
      <c r="H92" s="139"/>
      <c r="I92" s="139"/>
      <c r="J92" s="832"/>
      <c r="K92" s="832"/>
      <c r="L92" s="832"/>
      <c r="M92" s="832"/>
      <c r="N92" s="139"/>
      <c r="P92" s="154"/>
      <c r="Q92" s="154"/>
    </row>
    <row r="93" spans="1:16380" ht="23.25" x14ac:dyDescent="0.35">
      <c r="A93" s="789"/>
      <c r="B93" s="1134"/>
      <c r="C93" s="780"/>
      <c r="D93" s="1534"/>
      <c r="E93" s="114"/>
      <c r="F93" s="49"/>
      <c r="G93" s="139">
        <v>-552000</v>
      </c>
      <c r="H93" s="139">
        <v>-1104000</v>
      </c>
      <c r="I93" s="139"/>
      <c r="J93" s="832"/>
      <c r="K93" s="832"/>
      <c r="L93" s="832"/>
      <c r="M93" s="832"/>
      <c r="N93" s="139"/>
      <c r="P93" s="154"/>
      <c r="Q93" s="154"/>
    </row>
    <row r="94" spans="1:16380" ht="23.25" x14ac:dyDescent="0.35">
      <c r="A94" s="789"/>
      <c r="B94" s="1136"/>
      <c r="C94" s="780"/>
      <c r="D94" s="1534"/>
      <c r="E94" s="1560"/>
      <c r="F94" s="49"/>
      <c r="G94" s="984">
        <f>SUM(G92:G93)</f>
        <v>3581575</v>
      </c>
      <c r="I94" s="784"/>
      <c r="J94" s="832"/>
      <c r="K94" s="832"/>
      <c r="L94" s="832"/>
      <c r="M94" s="832"/>
      <c r="N94" s="139"/>
      <c r="P94" s="154"/>
      <c r="Q94" s="154"/>
    </row>
    <row r="95" spans="1:16380" ht="23.25" x14ac:dyDescent="0.35">
      <c r="A95" s="789"/>
      <c r="B95" s="1136"/>
      <c r="C95" s="780"/>
      <c r="D95" s="1534"/>
      <c r="E95" s="1560"/>
      <c r="F95" s="49">
        <v>10080</v>
      </c>
      <c r="G95" s="1462"/>
      <c r="H95" s="786">
        <v>158993250</v>
      </c>
      <c r="I95" s="985">
        <f>1318100+53800</f>
        <v>1371900</v>
      </c>
      <c r="J95" s="832"/>
      <c r="K95" s="832"/>
      <c r="L95" s="832"/>
      <c r="M95" s="832"/>
      <c r="N95" s="139"/>
      <c r="P95" s="154"/>
      <c r="Q95" s="154"/>
    </row>
    <row r="96" spans="1:16380" ht="23.25" x14ac:dyDescent="0.35">
      <c r="A96" s="789"/>
      <c r="B96" s="1136"/>
      <c r="C96" s="780"/>
      <c r="D96"/>
      <c r="E96" s="1676"/>
      <c r="F96" s="49">
        <v>9990</v>
      </c>
      <c r="G96" s="49"/>
      <c r="H96" s="787" t="e">
        <f>+#REF!-H95</f>
        <v>#REF!</v>
      </c>
      <c r="I96" s="788">
        <f>21+H6086</f>
        <v>21</v>
      </c>
      <c r="J96" s="832"/>
      <c r="K96" s="832"/>
      <c r="L96" s="832"/>
      <c r="M96" s="832"/>
      <c r="N96" s="139"/>
      <c r="P96" s="154"/>
      <c r="Q96" s="154"/>
    </row>
    <row r="97" spans="1:17" ht="23.25" x14ac:dyDescent="0.35">
      <c r="A97" s="789"/>
      <c r="B97" s="1136"/>
      <c r="C97" s="780"/>
      <c r="D97" s="1534"/>
      <c r="E97" s="1560"/>
      <c r="F97" s="49"/>
      <c r="G97" s="49"/>
      <c r="H97" s="835"/>
      <c r="I97" s="835"/>
      <c r="J97" s="832"/>
      <c r="K97" s="832"/>
      <c r="L97" s="832"/>
      <c r="M97" s="832"/>
      <c r="N97" s="139"/>
      <c r="P97" s="154"/>
      <c r="Q97" s="154"/>
    </row>
    <row r="98" spans="1:17" ht="23.25" x14ac:dyDescent="0.35">
      <c r="A98" s="789"/>
      <c r="B98" s="414"/>
      <c r="C98" s="780"/>
      <c r="D98" s="1534"/>
      <c r="E98" s="1560"/>
      <c r="F98" s="49"/>
      <c r="G98" s="49"/>
      <c r="H98" s="785"/>
      <c r="I98" s="785"/>
      <c r="J98" s="832"/>
      <c r="K98" s="832"/>
      <c r="L98" s="832"/>
      <c r="M98" s="832"/>
      <c r="N98" s="139"/>
      <c r="P98" s="154"/>
      <c r="Q98" s="154"/>
    </row>
    <row r="99" spans="1:17" ht="23.25" x14ac:dyDescent="0.35">
      <c r="A99" s="789"/>
      <c r="B99" s="414"/>
      <c r="C99" s="780"/>
      <c r="D99" s="804"/>
      <c r="E99" s="171"/>
      <c r="F99" s="49"/>
      <c r="G99" s="369"/>
      <c r="H99" s="835">
        <f>80*600</f>
        <v>48000</v>
      </c>
      <c r="I99" s="835"/>
      <c r="J99" s="832"/>
      <c r="K99" s="832"/>
      <c r="L99" s="832"/>
      <c r="M99" s="832"/>
      <c r="N99" s="139"/>
      <c r="P99" s="154"/>
      <c r="Q99" s="154"/>
    </row>
    <row r="100" spans="1:17" ht="23.25" x14ac:dyDescent="0.35">
      <c r="A100" s="1546"/>
      <c r="B100" s="414"/>
      <c r="C100" s="780"/>
      <c r="D100" s="115"/>
      <c r="E100" s="147"/>
      <c r="F100" s="49"/>
      <c r="G100" s="49"/>
      <c r="H100" s="835"/>
      <c r="I100" s="835"/>
      <c r="J100" s="832"/>
      <c r="K100" s="832"/>
      <c r="L100" s="832"/>
      <c r="M100" s="832"/>
      <c r="N100" s="139"/>
      <c r="P100" s="154"/>
      <c r="Q100" s="154"/>
    </row>
    <row r="101" spans="1:17" ht="23.25" x14ac:dyDescent="0.35">
      <c r="A101" s="789"/>
      <c r="B101" s="414"/>
      <c r="C101" s="780"/>
      <c r="D101" s="115"/>
      <c r="E101" s="1696"/>
      <c r="F101" s="49"/>
      <c r="G101" s="49"/>
      <c r="H101" s="74"/>
      <c r="I101" s="835"/>
      <c r="J101" s="832"/>
      <c r="K101" s="832"/>
      <c r="L101" s="832"/>
      <c r="M101" s="832"/>
      <c r="N101" s="139"/>
      <c r="P101" s="154"/>
      <c r="Q101" s="154"/>
    </row>
    <row r="102" spans="1:17" ht="23.25" x14ac:dyDescent="0.35">
      <c r="A102" s="789"/>
      <c r="B102" s="414"/>
      <c r="C102" s="780"/>
      <c r="D102" s="1534"/>
      <c r="E102" s="1696"/>
      <c r="F102" s="49"/>
      <c r="G102" s="49"/>
      <c r="H102" s="835"/>
      <c r="I102" s="835"/>
      <c r="J102" s="832"/>
      <c r="K102" s="832"/>
      <c r="L102" s="832"/>
      <c r="M102" s="832"/>
      <c r="N102" s="139"/>
      <c r="P102" s="154"/>
      <c r="Q102" s="154"/>
    </row>
    <row r="103" spans="1:17" ht="23.25" x14ac:dyDescent="0.35">
      <c r="A103" s="789"/>
      <c r="B103" s="414"/>
      <c r="C103" s="780"/>
      <c r="D103" s="1534"/>
      <c r="E103" s="1696"/>
      <c r="F103" s="49"/>
      <c r="G103" s="49"/>
      <c r="H103" s="832"/>
      <c r="I103" s="832"/>
      <c r="J103" s="832"/>
      <c r="K103" s="832"/>
      <c r="L103" s="832"/>
      <c r="M103" s="832"/>
      <c r="N103" s="139"/>
      <c r="P103" s="154"/>
      <c r="Q103" s="154"/>
    </row>
    <row r="104" spans="1:17" ht="23.25" x14ac:dyDescent="0.35">
      <c r="A104" s="789"/>
      <c r="B104" s="414"/>
      <c r="C104" s="780"/>
      <c r="D104" s="1534"/>
      <c r="E104" s="1696"/>
      <c r="F104" s="49"/>
      <c r="G104" s="369"/>
      <c r="H104" s="835"/>
      <c r="I104" s="835"/>
      <c r="J104" s="832"/>
      <c r="K104" s="832"/>
      <c r="L104" s="832"/>
      <c r="M104" s="832"/>
      <c r="N104" s="139"/>
      <c r="P104" s="154"/>
      <c r="Q104" s="154"/>
    </row>
    <row r="105" spans="1:17" ht="23.25" x14ac:dyDescent="0.35">
      <c r="A105" s="789"/>
      <c r="B105" s="414"/>
      <c r="C105" s="780"/>
      <c r="D105" s="1534"/>
      <c r="E105" s="1696"/>
      <c r="F105" s="49"/>
      <c r="G105" s="49"/>
      <c r="H105" s="835">
        <v>21</v>
      </c>
      <c r="I105" s="835"/>
      <c r="J105" s="832"/>
      <c r="K105" s="832"/>
      <c r="L105" s="832"/>
      <c r="M105" s="832"/>
      <c r="N105" s="139"/>
      <c r="P105" s="154"/>
      <c r="Q105" s="154"/>
    </row>
    <row r="106" spans="1:17" ht="23.25" x14ac:dyDescent="0.35">
      <c r="A106" s="789"/>
      <c r="B106" s="414"/>
      <c r="C106" s="780"/>
      <c r="D106" s="1534"/>
      <c r="E106" s="1716"/>
      <c r="F106" s="49"/>
      <c r="G106" s="49"/>
      <c r="H106" s="1299"/>
      <c r="I106" s="835"/>
      <c r="J106" s="832"/>
      <c r="K106" s="832"/>
      <c r="L106" s="832"/>
      <c r="M106" s="832"/>
      <c r="N106" s="139"/>
      <c r="P106" s="154"/>
      <c r="Q106" s="154"/>
    </row>
    <row r="107" spans="1:17" ht="23.25" x14ac:dyDescent="0.35">
      <c r="A107" s="789"/>
      <c r="B107" s="414"/>
      <c r="C107" s="780"/>
      <c r="D107" s="1534"/>
      <c r="E107" s="1696"/>
      <c r="F107" s="49"/>
      <c r="G107" s="49"/>
      <c r="H107" s="835"/>
      <c r="I107" s="835"/>
      <c r="J107" s="832"/>
      <c r="K107" s="832"/>
      <c r="L107" s="832"/>
      <c r="M107" s="832"/>
      <c r="N107" s="139"/>
      <c r="P107" s="154"/>
      <c r="Q107" s="154"/>
    </row>
    <row r="108" spans="1:17" ht="23.25" x14ac:dyDescent="0.35">
      <c r="A108" s="789"/>
      <c r="B108" s="414"/>
      <c r="C108" s="780"/>
      <c r="D108" s="1534"/>
      <c r="E108" s="1560"/>
      <c r="F108" s="49"/>
      <c r="G108" s="49"/>
      <c r="H108" s="835"/>
      <c r="I108" s="835"/>
      <c r="J108" s="832"/>
      <c r="K108" s="832"/>
      <c r="L108" s="832"/>
      <c r="M108" s="832"/>
      <c r="N108" s="139"/>
      <c r="P108" s="154"/>
      <c r="Q108" s="154"/>
    </row>
    <row r="109" spans="1:17" ht="23.25" x14ac:dyDescent="0.35">
      <c r="A109" s="989"/>
      <c r="B109" s="414"/>
      <c r="C109" s="780"/>
      <c r="D109" s="1534"/>
      <c r="E109" s="1697"/>
      <c r="F109" s="49"/>
      <c r="G109" s="49"/>
      <c r="H109" s="835"/>
      <c r="I109" s="835"/>
      <c r="J109" s="38"/>
      <c r="K109" s="38"/>
      <c r="L109" s="38"/>
      <c r="M109" s="38"/>
      <c r="N109" s="139"/>
      <c r="P109" s="154"/>
      <c r="Q109" s="154"/>
    </row>
    <row r="110" spans="1:17" ht="23.25" x14ac:dyDescent="0.35">
      <c r="A110" s="989"/>
      <c r="B110" s="414"/>
      <c r="C110" s="780"/>
      <c r="D110" s="1541"/>
      <c r="E110" s="1697"/>
      <c r="F110" s="49"/>
      <c r="G110" s="49"/>
      <c r="H110" s="835"/>
      <c r="I110" s="835"/>
      <c r="J110" s="38"/>
      <c r="K110" s="38"/>
      <c r="L110" s="38"/>
      <c r="M110" s="38"/>
      <c r="N110" s="139"/>
      <c r="P110" s="154"/>
      <c r="Q110" s="154"/>
    </row>
    <row r="111" spans="1:17" ht="23.25" x14ac:dyDescent="0.35">
      <c r="A111" s="989"/>
      <c r="B111" s="414"/>
      <c r="C111" s="780"/>
      <c r="D111" s="1541"/>
      <c r="E111" s="1697"/>
      <c r="F111" s="49"/>
      <c r="G111" s="49"/>
      <c r="H111" s="835"/>
      <c r="I111" s="835"/>
      <c r="J111" s="38"/>
      <c r="K111" s="38"/>
      <c r="L111" s="38"/>
      <c r="M111" s="38"/>
      <c r="N111" s="139"/>
      <c r="P111" s="154"/>
      <c r="Q111" s="154"/>
    </row>
    <row r="112" spans="1:17" ht="23.25" x14ac:dyDescent="0.35">
      <c r="A112" s="989"/>
      <c r="B112" s="414"/>
      <c r="C112" s="780"/>
      <c r="D112" s="1541"/>
      <c r="E112" s="1696"/>
      <c r="F112" s="49"/>
      <c r="G112" s="49"/>
      <c r="H112" s="835"/>
      <c r="I112" s="835"/>
      <c r="J112" s="38"/>
      <c r="K112" s="38"/>
      <c r="L112" s="38"/>
      <c r="M112" s="38"/>
      <c r="N112" s="139"/>
      <c r="P112" s="154"/>
      <c r="Q112" s="154"/>
    </row>
    <row r="113" spans="1:17" ht="23.25" x14ac:dyDescent="0.35">
      <c r="A113" s="989"/>
      <c r="B113" s="414"/>
      <c r="C113" s="780"/>
      <c r="D113" s="1541"/>
      <c r="E113" s="1696"/>
      <c r="F113" s="49"/>
      <c r="G113" s="49"/>
      <c r="H113" s="835"/>
      <c r="I113" s="835"/>
      <c r="J113" s="38"/>
      <c r="K113" s="38"/>
      <c r="L113" s="38"/>
      <c r="M113" s="38"/>
      <c r="N113" s="139"/>
      <c r="P113" s="154"/>
      <c r="Q113" s="154"/>
    </row>
    <row r="114" spans="1:17" ht="23.25" x14ac:dyDescent="0.35">
      <c r="A114" s="989"/>
      <c r="B114" s="414"/>
      <c r="C114" s="780"/>
      <c r="D114" s="1541"/>
      <c r="E114" s="1696"/>
      <c r="F114" s="49"/>
      <c r="G114" s="49"/>
      <c r="H114" s="832"/>
      <c r="I114" s="832"/>
      <c r="J114" s="38"/>
      <c r="K114" s="38"/>
      <c r="L114" s="38"/>
      <c r="M114" s="38"/>
      <c r="N114" s="139"/>
      <c r="P114" s="154"/>
      <c r="Q114" s="154"/>
    </row>
    <row r="115" spans="1:17" ht="23.25" x14ac:dyDescent="0.35">
      <c r="A115" s="989"/>
      <c r="B115" s="414"/>
      <c r="C115" s="780"/>
      <c r="D115" s="1541"/>
      <c r="E115" s="1696"/>
      <c r="F115" s="49"/>
      <c r="G115" s="49"/>
      <c r="H115" s="832"/>
      <c r="I115" s="832"/>
      <c r="J115" s="38"/>
      <c r="K115" s="38"/>
      <c r="L115" s="38"/>
      <c r="M115" s="38"/>
      <c r="N115" s="139"/>
      <c r="P115" s="154"/>
      <c r="Q115" s="154"/>
    </row>
    <row r="116" spans="1:17" ht="23.25" x14ac:dyDescent="0.35">
      <c r="A116" s="789"/>
      <c r="B116" s="414"/>
      <c r="C116" s="780"/>
      <c r="D116" s="1534"/>
      <c r="E116" s="1696"/>
      <c r="F116" s="49"/>
      <c r="G116" s="49"/>
      <c r="H116" s="832"/>
      <c r="I116" s="832"/>
      <c r="J116" s="832"/>
      <c r="K116" s="832"/>
      <c r="L116" s="832"/>
      <c r="M116" s="832"/>
      <c r="N116" s="139"/>
      <c r="P116" s="154"/>
      <c r="Q116" s="154"/>
    </row>
    <row r="117" spans="1:17" ht="23.25" x14ac:dyDescent="0.35">
      <c r="A117" s="789"/>
      <c r="B117" s="414"/>
      <c r="C117" s="780"/>
      <c r="D117" s="1534"/>
      <c r="E117" s="1560"/>
      <c r="F117" s="49"/>
      <c r="G117" s="49"/>
      <c r="H117" s="832"/>
      <c r="I117" s="832"/>
      <c r="J117" s="832"/>
      <c r="K117" s="832"/>
      <c r="L117" s="832"/>
      <c r="M117" s="832"/>
      <c r="N117" s="139"/>
      <c r="P117" s="154"/>
      <c r="Q117" s="154"/>
    </row>
    <row r="118" spans="1:17" ht="23.25" x14ac:dyDescent="0.35">
      <c r="A118" s="989"/>
      <c r="B118" s="414"/>
      <c r="C118" s="780"/>
      <c r="D118" s="1541"/>
      <c r="E118" s="184"/>
      <c r="F118" s="49"/>
      <c r="G118" s="49"/>
      <c r="H118" s="832"/>
      <c r="I118" s="832"/>
      <c r="J118" s="38"/>
      <c r="K118" s="38"/>
      <c r="L118" s="38"/>
      <c r="M118" s="38"/>
      <c r="N118" s="139"/>
      <c r="P118" s="154"/>
      <c r="Q118" s="154"/>
    </row>
    <row r="119" spans="1:17" ht="19.5" x14ac:dyDescent="0.35">
      <c r="A119" s="989"/>
      <c r="B119" s="414"/>
      <c r="C119" s="780"/>
      <c r="D119" s="1541"/>
      <c r="E119" s="184"/>
      <c r="F119" s="49"/>
      <c r="G119" s="99"/>
      <c r="H119" s="99"/>
      <c r="I119" s="99"/>
      <c r="J119" s="38"/>
      <c r="K119" s="38"/>
      <c r="L119" s="38"/>
      <c r="M119" s="38"/>
      <c r="N119" s="139"/>
      <c r="P119" s="154"/>
      <c r="Q119" s="154"/>
    </row>
    <row r="120" spans="1:17" ht="23.25" x14ac:dyDescent="0.35">
      <c r="A120" s="989"/>
      <c r="B120" s="414"/>
      <c r="C120" s="780"/>
      <c r="D120" s="1541"/>
      <c r="E120" s="184"/>
      <c r="F120" s="49"/>
      <c r="G120" s="49"/>
      <c r="H120" s="832"/>
      <c r="I120" s="832"/>
      <c r="J120" s="38"/>
      <c r="K120" s="38"/>
      <c r="L120" s="38"/>
      <c r="M120" s="38"/>
      <c r="N120" s="139"/>
      <c r="P120" s="154"/>
      <c r="Q120" s="154"/>
    </row>
    <row r="121" spans="1:17" ht="23.25" x14ac:dyDescent="0.35">
      <c r="A121" s="989"/>
      <c r="B121" s="414"/>
      <c r="C121" s="780"/>
      <c r="D121" s="1541"/>
      <c r="E121" s="1716"/>
      <c r="F121" s="49"/>
      <c r="G121" s="49"/>
      <c r="H121" s="832"/>
      <c r="I121" s="832"/>
      <c r="J121" s="38"/>
      <c r="K121" s="38"/>
      <c r="L121" s="38"/>
      <c r="M121" s="38"/>
      <c r="N121" s="139"/>
      <c r="P121" s="154"/>
      <c r="Q121" s="154"/>
    </row>
    <row r="122" spans="1:17" ht="23.25" x14ac:dyDescent="0.35">
      <c r="A122" s="989"/>
      <c r="B122" s="414"/>
      <c r="C122" s="780"/>
      <c r="D122" s="1541"/>
      <c r="E122" s="86"/>
      <c r="F122" s="49"/>
      <c r="G122" s="49"/>
      <c r="H122" s="832"/>
      <c r="I122" s="832"/>
      <c r="J122" s="38"/>
      <c r="K122" s="38"/>
      <c r="L122" s="38"/>
      <c r="M122" s="38"/>
      <c r="N122" s="139"/>
      <c r="P122" s="154"/>
      <c r="Q122" s="154"/>
    </row>
    <row r="123" spans="1:17" ht="23.25" x14ac:dyDescent="0.35">
      <c r="A123" s="989"/>
      <c r="B123" s="414"/>
      <c r="C123" s="780"/>
      <c r="D123" s="1541"/>
      <c r="E123" s="184"/>
      <c r="F123" s="49"/>
      <c r="G123" s="49"/>
      <c r="H123" s="832"/>
      <c r="I123" s="832"/>
      <c r="J123" s="38"/>
      <c r="K123" s="38"/>
      <c r="L123" s="38"/>
      <c r="M123" s="38"/>
      <c r="N123" s="139"/>
      <c r="P123" s="154"/>
      <c r="Q123" s="154"/>
    </row>
    <row r="124" spans="1:17" ht="23.25" x14ac:dyDescent="0.35">
      <c r="A124" s="989"/>
      <c r="B124" s="414"/>
      <c r="C124" s="780"/>
      <c r="D124" s="1541"/>
      <c r="E124" s="184"/>
      <c r="F124" s="49"/>
      <c r="G124" s="49"/>
      <c r="H124" s="832"/>
      <c r="I124" s="832"/>
      <c r="J124" s="38"/>
      <c r="K124" s="38"/>
      <c r="L124" s="38"/>
      <c r="M124" s="38"/>
      <c r="N124" s="139"/>
      <c r="P124" s="154"/>
      <c r="Q124" s="154"/>
    </row>
    <row r="125" spans="1:17" ht="23.25" x14ac:dyDescent="0.35">
      <c r="A125" s="989"/>
      <c r="B125" s="414"/>
      <c r="C125" s="780"/>
      <c r="D125" s="1541"/>
      <c r="E125" s="1994"/>
      <c r="F125" s="49"/>
      <c r="G125" s="49"/>
      <c r="H125" s="832"/>
      <c r="I125" s="832"/>
      <c r="J125" s="38"/>
      <c r="K125" s="38"/>
      <c r="L125" s="38"/>
      <c r="M125" s="38"/>
      <c r="N125" s="139"/>
      <c r="P125" s="154"/>
      <c r="Q125" s="154"/>
    </row>
    <row r="126" spans="1:17" ht="23.25" x14ac:dyDescent="0.35">
      <c r="A126" s="2973" t="s">
        <v>50</v>
      </c>
      <c r="B126" s="2974"/>
      <c r="C126" s="778"/>
      <c r="D126" s="53"/>
      <c r="E126" s="1995">
        <f>SUM(E66:E125)</f>
        <v>0</v>
      </c>
      <c r="F126" s="49"/>
      <c r="G126" s="49"/>
      <c r="H126" s="832"/>
      <c r="I126" s="832"/>
      <c r="J126" s="38"/>
      <c r="K126" s="38"/>
      <c r="L126" s="38"/>
      <c r="M126" s="38"/>
      <c r="N126" s="139"/>
    </row>
    <row r="127" spans="1:17" ht="23.25" x14ac:dyDescent="0.35">
      <c r="A127" s="2975" t="s">
        <v>125</v>
      </c>
      <c r="B127" s="2976"/>
      <c r="C127" s="779"/>
      <c r="D127" s="55"/>
      <c r="E127" s="1735">
        <f>D58+E126</f>
        <v>14700975</v>
      </c>
      <c r="F127" s="49"/>
      <c r="G127" s="49"/>
      <c r="H127" s="832"/>
      <c r="I127" s="832"/>
    </row>
    <row r="128" spans="1:17" ht="23.25" x14ac:dyDescent="0.35">
      <c r="E128" s="49"/>
      <c r="F128" s="49"/>
      <c r="G128" s="49"/>
      <c r="H128" s="832"/>
      <c r="I128" s="832"/>
    </row>
    <row r="129" spans="2:9" ht="23.25" x14ac:dyDescent="0.35">
      <c r="B129" s="284"/>
      <c r="C129" s="674"/>
      <c r="D129" s="861"/>
      <c r="E129" s="49"/>
      <c r="F129" s="49"/>
      <c r="G129" s="49"/>
      <c r="H129" s="832"/>
      <c r="I129" s="832"/>
    </row>
    <row r="130" spans="2:9" ht="23.25" x14ac:dyDescent="0.35">
      <c r="C130" s="283"/>
      <c r="E130" s="49"/>
      <c r="F130" s="49"/>
      <c r="G130" s="49"/>
      <c r="H130" s="832"/>
      <c r="I130" s="832"/>
    </row>
    <row r="131" spans="2:9" ht="23.25" x14ac:dyDescent="0.35">
      <c r="C131" s="862"/>
      <c r="D131" s="863"/>
      <c r="E131" s="49"/>
      <c r="F131" s="49"/>
      <c r="G131" s="49"/>
      <c r="H131" s="832"/>
      <c r="I131" s="832"/>
    </row>
    <row r="132" spans="2:9" ht="23.25" x14ac:dyDescent="0.35">
      <c r="C132" s="283"/>
      <c r="D132" s="283"/>
      <c r="E132" s="49"/>
      <c r="F132" s="49"/>
      <c r="G132" s="49"/>
      <c r="H132" s="832"/>
      <c r="I132" s="832"/>
    </row>
    <row r="133" spans="2:9" ht="23.25" x14ac:dyDescent="0.35">
      <c r="E133" s="49"/>
      <c r="F133" s="49"/>
      <c r="G133" s="49"/>
      <c r="H133" s="832"/>
      <c r="I133" s="832"/>
    </row>
    <row r="134" spans="2:9" ht="23.25" x14ac:dyDescent="0.35">
      <c r="E134" s="49"/>
      <c r="F134" s="49"/>
      <c r="G134" s="49"/>
      <c r="H134" s="832"/>
      <c r="I134" s="832"/>
    </row>
    <row r="135" spans="2:9" ht="23.25" x14ac:dyDescent="0.35">
      <c r="E135" s="49"/>
      <c r="G135" s="49"/>
      <c r="H135" s="832"/>
      <c r="I135" s="832"/>
    </row>
    <row r="136" spans="2:9" ht="23.25" x14ac:dyDescent="0.35">
      <c r="E136" s="49"/>
      <c r="G136" s="49">
        <f>+G134-G135</f>
        <v>0</v>
      </c>
      <c r="H136" s="832"/>
      <c r="I136" s="832"/>
    </row>
    <row r="137" spans="2:9" ht="23.25" x14ac:dyDescent="0.35">
      <c r="E137" s="49"/>
      <c r="G137" s="49"/>
      <c r="H137" s="832"/>
      <c r="I137" s="832"/>
    </row>
    <row r="138" spans="2:9" ht="23.25" x14ac:dyDescent="0.35">
      <c r="E138" s="49"/>
      <c r="G138" s="49"/>
      <c r="H138" s="832"/>
      <c r="I138" s="832"/>
    </row>
    <row r="139" spans="2:9" ht="23.25" x14ac:dyDescent="0.35">
      <c r="E139" s="49"/>
      <c r="G139" s="49"/>
      <c r="H139" s="832"/>
      <c r="I139" s="832"/>
    </row>
    <row r="140" spans="2:9" ht="23.25" x14ac:dyDescent="0.35">
      <c r="G140" s="49"/>
      <c r="H140" s="832"/>
      <c r="I140" s="832"/>
    </row>
    <row r="141" spans="2:9" ht="23.25" x14ac:dyDescent="0.35">
      <c r="G141" s="49"/>
      <c r="H141" s="832"/>
      <c r="I141" s="832"/>
    </row>
    <row r="142" spans="2:9" ht="23.25" x14ac:dyDescent="0.35">
      <c r="G142" s="49"/>
      <c r="H142" s="832"/>
      <c r="I142" s="832"/>
    </row>
    <row r="143" spans="2:9" ht="23.25" x14ac:dyDescent="0.35">
      <c r="G143" s="49"/>
      <c r="H143" s="832"/>
      <c r="I143" s="832"/>
    </row>
    <row r="144" spans="2:9" ht="23.25" x14ac:dyDescent="0.35">
      <c r="G144" s="49"/>
      <c r="H144" s="832"/>
      <c r="I144" s="832"/>
    </row>
    <row r="145" spans="7:9" ht="23.25" x14ac:dyDescent="0.35">
      <c r="G145" s="49"/>
      <c r="H145" s="832"/>
      <c r="I145" s="832"/>
    </row>
    <row r="146" spans="7:9" ht="23.25" x14ac:dyDescent="0.35">
      <c r="G146" s="49"/>
      <c r="H146" s="832"/>
      <c r="I146" s="832"/>
    </row>
    <row r="147" spans="7:9" ht="23.25" x14ac:dyDescent="0.35">
      <c r="G147" s="49"/>
      <c r="H147" s="832"/>
      <c r="I147" s="832"/>
    </row>
    <row r="148" spans="7:9" ht="23.25" x14ac:dyDescent="0.35">
      <c r="G148" s="49"/>
      <c r="H148" s="832"/>
      <c r="I148" s="832"/>
    </row>
    <row r="149" spans="7:9" ht="23.25" x14ac:dyDescent="0.35">
      <c r="G149" s="49"/>
      <c r="H149" s="832"/>
      <c r="I149" s="832"/>
    </row>
    <row r="150" spans="7:9" ht="23.25" x14ac:dyDescent="0.35">
      <c r="G150" s="49"/>
      <c r="H150" s="832"/>
      <c r="I150" s="832"/>
    </row>
    <row r="151" spans="7:9" ht="23.25" x14ac:dyDescent="0.35">
      <c r="G151" s="49"/>
      <c r="H151" s="832"/>
      <c r="I151" s="832"/>
    </row>
    <row r="152" spans="7:9" ht="23.25" x14ac:dyDescent="0.35">
      <c r="G152" s="49"/>
      <c r="H152" s="832"/>
      <c r="I152" s="832"/>
    </row>
    <row r="153" spans="7:9" ht="23.25" x14ac:dyDescent="0.35">
      <c r="G153" s="49"/>
      <c r="H153" s="832"/>
      <c r="I153" s="832"/>
    </row>
    <row r="154" spans="7:9" ht="23.25" x14ac:dyDescent="0.35">
      <c r="G154" s="49"/>
      <c r="H154" s="832"/>
      <c r="I154" s="832"/>
    </row>
    <row r="155" spans="7:9" ht="23.25" x14ac:dyDescent="0.35">
      <c r="G155" s="49"/>
      <c r="H155" s="832"/>
      <c r="I155" s="832"/>
    </row>
    <row r="156" spans="7:9" ht="23.25" x14ac:dyDescent="0.35">
      <c r="G156" s="49"/>
      <c r="H156" s="1009"/>
      <c r="I156" s="832"/>
    </row>
    <row r="157" spans="7:9" ht="19.5" x14ac:dyDescent="0.35">
      <c r="G157" s="49"/>
    </row>
    <row r="158" spans="7:9" ht="19.5" x14ac:dyDescent="0.35">
      <c r="G158" s="151"/>
    </row>
  </sheetData>
  <mergeCells count="13">
    <mergeCell ref="A126:B126"/>
    <mergeCell ref="A127:B127"/>
    <mergeCell ref="A61:E61"/>
    <mergeCell ref="A64:E64"/>
    <mergeCell ref="N10:T10"/>
    <mergeCell ref="N5:T5"/>
    <mergeCell ref="A58:B58"/>
    <mergeCell ref="G5:I5"/>
    <mergeCell ref="G10:I10"/>
    <mergeCell ref="G43:I43"/>
    <mergeCell ref="A5:D5"/>
    <mergeCell ref="K5:L5"/>
    <mergeCell ref="K10:L10"/>
  </mergeCells>
  <pageMargins left="0.70866141732283472" right="0.99" top="0.39370078740157483" bottom="0.74803149606299213" header="0.31" footer="0.31496062992125984"/>
  <pageSetup paperSize="9" fitToWidth="100" fitToHeight="100" orientation="portrait"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pageSetUpPr fitToPage="1"/>
  </sheetPr>
  <dimension ref="A1:P533"/>
  <sheetViews>
    <sheetView topLeftCell="A3" zoomScaleNormal="100" workbookViewId="0">
      <selection activeCell="H24" sqref="H23:H24"/>
    </sheetView>
  </sheetViews>
  <sheetFormatPr baseColWidth="10" defaultRowHeight="33" customHeight="1" x14ac:dyDescent="0.2"/>
  <cols>
    <col min="1" max="1" width="38.85546875" style="39" customWidth="1"/>
    <col min="2" max="2" width="10.7109375" style="39" customWidth="1"/>
    <col min="3" max="3" width="11.7109375" style="39" customWidth="1"/>
    <col min="4" max="4" width="20.7109375" style="39" customWidth="1"/>
    <col min="5" max="5" width="16.140625" style="39" customWidth="1"/>
    <col min="6" max="6" width="13.85546875" style="39" customWidth="1"/>
    <col min="7" max="7" width="12.28515625" style="39" customWidth="1"/>
    <col min="8" max="8" width="12.85546875" style="39" customWidth="1"/>
    <col min="9" max="9" width="12" style="39" customWidth="1"/>
    <col min="10" max="10" width="23.42578125" style="39" customWidth="1"/>
    <col min="11" max="11" width="13.5703125" style="39" hidden="1" customWidth="1"/>
    <col min="12" max="12" width="0" style="39" hidden="1" customWidth="1"/>
    <col min="13" max="16384" width="11.42578125" style="39"/>
  </cols>
  <sheetData>
    <row r="1" spans="1:14" ht="17.100000000000001" customHeight="1" x14ac:dyDescent="0.2">
      <c r="A1" s="649" t="s">
        <v>171</v>
      </c>
      <c r="B1" s="46"/>
      <c r="C1" s="293"/>
      <c r="D1" s="293"/>
      <c r="E1" s="46"/>
      <c r="F1" s="46"/>
      <c r="G1" s="46"/>
    </row>
    <row r="2" spans="1:14" ht="17.100000000000001" customHeight="1" x14ac:dyDescent="0.25">
      <c r="A2" s="794"/>
      <c r="B2" s="48"/>
      <c r="C2" s="293"/>
      <c r="D2" s="372" t="s">
        <v>65</v>
      </c>
      <c r="E2" s="48"/>
      <c r="F2" s="48"/>
      <c r="G2" s="48"/>
      <c r="H2" s="8"/>
      <c r="I2" s="48"/>
    </row>
    <row r="3" spans="1:14" ht="17.100000000000001" customHeight="1" x14ac:dyDescent="0.25">
      <c r="A3" s="48" t="s">
        <v>216</v>
      </c>
      <c r="B3" s="48"/>
      <c r="C3" s="791"/>
      <c r="D3" s="792" t="s">
        <v>21</v>
      </c>
      <c r="E3" s="46"/>
      <c r="F3" s="48"/>
      <c r="G3" s="48"/>
      <c r="H3" s="8"/>
      <c r="J3" s="3000" t="s">
        <v>344</v>
      </c>
      <c r="K3" s="3000"/>
    </row>
    <row r="4" spans="1:14" ht="17.100000000000001" customHeight="1" x14ac:dyDescent="0.25">
      <c r="A4" s="48"/>
      <c r="B4" s="48"/>
      <c r="C4" s="792" t="s">
        <v>22</v>
      </c>
      <c r="D4" s="373" t="s">
        <v>214</v>
      </c>
      <c r="E4" s="46"/>
      <c r="F4" s="48"/>
      <c r="G4" s="48"/>
      <c r="H4" s="8"/>
    </row>
    <row r="5" spans="1:14" ht="17.100000000000001" customHeight="1" x14ac:dyDescent="0.3">
      <c r="A5" s="48"/>
      <c r="B5" s="48"/>
      <c r="C5" s="792" t="s">
        <v>23</v>
      </c>
      <c r="D5" s="221" t="s">
        <v>1758</v>
      </c>
      <c r="E5" s="46"/>
      <c r="F5" s="48"/>
      <c r="G5" s="48"/>
      <c r="H5" s="8"/>
    </row>
    <row r="6" spans="1:14" ht="17.100000000000001" customHeight="1" x14ac:dyDescent="0.25">
      <c r="A6" s="48"/>
      <c r="B6" s="48"/>
      <c r="C6" s="262" t="s">
        <v>24</v>
      </c>
      <c r="D6" s="48" t="s">
        <v>25</v>
      </c>
      <c r="E6" s="2044"/>
      <c r="F6" s="48"/>
      <c r="G6" s="48"/>
      <c r="H6" s="8"/>
      <c r="J6" s="92"/>
    </row>
    <row r="7" spans="1:14" ht="17.100000000000001" customHeight="1" x14ac:dyDescent="0.25">
      <c r="A7" s="69" t="s">
        <v>1020</v>
      </c>
      <c r="B7" s="48"/>
      <c r="C7" s="48" t="s">
        <v>19</v>
      </c>
      <c r="D7" s="763">
        <f>+'vers&amp;dépenses '!B7</f>
        <v>43221</v>
      </c>
      <c r="E7" s="46"/>
      <c r="F7" s="48"/>
      <c r="G7" s="48"/>
      <c r="H7" s="8"/>
      <c r="J7" s="92"/>
      <c r="K7" s="4"/>
    </row>
    <row r="8" spans="1:14" ht="17.100000000000001" customHeight="1" thickBot="1" x14ac:dyDescent="0.3">
      <c r="A8" s="81"/>
      <c r="B8" s="81"/>
      <c r="C8" s="81"/>
      <c r="D8" s="81"/>
      <c r="E8" s="81"/>
      <c r="F8" s="82"/>
      <c r="G8" s="82"/>
      <c r="H8" s="4"/>
      <c r="I8" s="4"/>
      <c r="J8" s="4"/>
      <c r="K8" s="4"/>
    </row>
    <row r="9" spans="1:14" ht="17.100000000000001" customHeight="1" thickTop="1" thickBot="1" x14ac:dyDescent="0.25">
      <c r="A9" s="83" t="s">
        <v>66</v>
      </c>
      <c r="B9" s="288" t="s">
        <v>796</v>
      </c>
      <c r="C9" s="288" t="s">
        <v>797</v>
      </c>
      <c r="D9" s="288" t="s">
        <v>798</v>
      </c>
      <c r="E9" s="383" t="s">
        <v>17</v>
      </c>
      <c r="F9" s="288" t="s">
        <v>67</v>
      </c>
      <c r="G9" s="288" t="s">
        <v>68</v>
      </c>
      <c r="H9" s="288" t="s">
        <v>2018</v>
      </c>
      <c r="I9" s="288" t="s">
        <v>172</v>
      </c>
      <c r="J9" s="288" t="s">
        <v>188</v>
      </c>
      <c r="K9" s="288" t="s">
        <v>189</v>
      </c>
      <c r="L9" s="288" t="s">
        <v>1387</v>
      </c>
      <c r="M9" s="2235" t="s">
        <v>1426</v>
      </c>
      <c r="N9" s="92"/>
    </row>
    <row r="10" spans="1:14" ht="17.100000000000001" customHeight="1" thickTop="1" thickBot="1" x14ac:dyDescent="0.3">
      <c r="A10" s="84" t="s">
        <v>69</v>
      </c>
      <c r="B10" s="1262">
        <v>14616</v>
      </c>
      <c r="C10" s="1262">
        <v>293861</v>
      </c>
      <c r="D10" s="1262">
        <v>599866</v>
      </c>
      <c r="E10" s="1441"/>
      <c r="F10" s="1440">
        <v>1156177</v>
      </c>
      <c r="G10" s="1440">
        <v>2468809</v>
      </c>
      <c r="H10" s="1442">
        <v>2659933</v>
      </c>
      <c r="I10" s="267"/>
      <c r="J10" s="1988"/>
      <c r="K10" s="2037">
        <v>2902323</v>
      </c>
      <c r="L10" s="2037"/>
    </row>
    <row r="11" spans="1:14" ht="17.100000000000001" customHeight="1" thickTop="1" thickBot="1" x14ac:dyDescent="0.25">
      <c r="A11" s="84" t="s">
        <v>70</v>
      </c>
      <c r="B11" s="647">
        <v>14385</v>
      </c>
      <c r="C11" s="647">
        <v>289828</v>
      </c>
      <c r="D11" s="1987">
        <v>599866</v>
      </c>
      <c r="E11" s="2141"/>
      <c r="F11" s="647">
        <v>1139139</v>
      </c>
      <c r="G11" s="647">
        <v>2448999</v>
      </c>
      <c r="H11" s="647">
        <v>2659933</v>
      </c>
      <c r="I11" s="647"/>
      <c r="J11" s="647"/>
      <c r="K11" s="647"/>
      <c r="L11" s="647"/>
    </row>
    <row r="12" spans="1:14" ht="17.100000000000001" customHeight="1" thickTop="1" thickBot="1" x14ac:dyDescent="0.25">
      <c r="A12" s="84" t="s">
        <v>71</v>
      </c>
      <c r="B12" s="647">
        <f t="shared" ref="B12:K12" si="0">IF((B10-B11)&lt;0,,IF(B11=0,,B10-B11))</f>
        <v>231</v>
      </c>
      <c r="C12" s="647">
        <f t="shared" si="0"/>
        <v>4033</v>
      </c>
      <c r="D12" s="1987">
        <f t="shared" si="0"/>
        <v>0</v>
      </c>
      <c r="E12" s="2141">
        <f>IF((E10-E11)&lt;0,,IF(E11=0,,E10-E11))</f>
        <v>0</v>
      </c>
      <c r="F12" s="2141">
        <f>IF((F10-F11)&lt;0,,IF(F11=0,,F10-F11))</f>
        <v>17038</v>
      </c>
      <c r="G12" s="2141">
        <f>IF((G10-G11)&lt;0,,IF(G11=0,,G10-G11))</f>
        <v>19810</v>
      </c>
      <c r="H12" s="647">
        <f t="shared" si="0"/>
        <v>0</v>
      </c>
      <c r="I12" s="647">
        <f t="shared" si="0"/>
        <v>0</v>
      </c>
      <c r="J12" s="647">
        <f t="shared" si="0"/>
        <v>0</v>
      </c>
      <c r="K12" s="647">
        <f t="shared" si="0"/>
        <v>0</v>
      </c>
      <c r="L12" s="647">
        <f>IF((L10-L11)&lt;0,,IF(L11=0,,L10-L11))</f>
        <v>0</v>
      </c>
    </row>
    <row r="13" spans="1:14" ht="17.100000000000001" customHeight="1" thickTop="1" thickBot="1" x14ac:dyDescent="0.25">
      <c r="A13" s="84" t="s">
        <v>72</v>
      </c>
      <c r="B13" s="1469">
        <f>'RC'!B14</f>
        <v>60</v>
      </c>
      <c r="C13" s="1469">
        <f>'RC'!C14</f>
        <v>60</v>
      </c>
      <c r="D13" s="1469">
        <f>'RC'!D14</f>
        <v>0</v>
      </c>
      <c r="E13" s="1470">
        <f>'RC'!H15</f>
        <v>0</v>
      </c>
      <c r="F13" s="1469">
        <f>'RC'!I14</f>
        <v>80</v>
      </c>
      <c r="G13" s="1469">
        <f>'RC'!J14</f>
        <v>60</v>
      </c>
      <c r="H13" s="1469">
        <f>'RC'!K14</f>
        <v>0</v>
      </c>
      <c r="I13" s="1469">
        <f>'RC'!L14</f>
        <v>0</v>
      </c>
      <c r="J13" s="1469">
        <f>'RC'!M14</f>
        <v>0</v>
      </c>
      <c r="K13" s="1469">
        <f>'RC'!N14</f>
        <v>0</v>
      </c>
      <c r="L13" s="1469">
        <f>'RC'!O14</f>
        <v>0</v>
      </c>
    </row>
    <row r="14" spans="1:14" ht="17.100000000000001" customHeight="1" thickTop="1" thickBot="1" x14ac:dyDescent="0.25">
      <c r="A14" s="84" t="s">
        <v>73</v>
      </c>
      <c r="B14" s="647">
        <f t="shared" ref="B14:K14" si="1">IF(B12-B13&lt;0,,B12-B13)</f>
        <v>171</v>
      </c>
      <c r="C14" s="647">
        <f t="shared" si="1"/>
        <v>3973</v>
      </c>
      <c r="D14" s="647">
        <f t="shared" si="1"/>
        <v>0</v>
      </c>
      <c r="E14" s="2141">
        <f t="shared" si="1"/>
        <v>0</v>
      </c>
      <c r="F14" s="715">
        <f t="shared" si="1"/>
        <v>16958</v>
      </c>
      <c r="G14" s="715">
        <f t="shared" si="1"/>
        <v>19750</v>
      </c>
      <c r="H14" s="647">
        <f t="shared" si="1"/>
        <v>0</v>
      </c>
      <c r="I14" s="647">
        <f t="shared" si="1"/>
        <v>0</v>
      </c>
      <c r="J14" s="647">
        <f>IF(J12-J13&lt;0,,J12-J13)</f>
        <v>0</v>
      </c>
      <c r="K14" s="647">
        <f t="shared" si="1"/>
        <v>0</v>
      </c>
      <c r="L14" s="647">
        <f>IF(L12-L13&lt;0,,L12-L13)</f>
        <v>0</v>
      </c>
    </row>
    <row r="15" spans="1:14" ht="17.100000000000001" customHeight="1" thickTop="1" thickBot="1" x14ac:dyDescent="0.25">
      <c r="A15" s="85" t="s">
        <v>74</v>
      </c>
      <c r="B15" s="3001">
        <f>SUM(B14:D14)</f>
        <v>4144</v>
      </c>
      <c r="C15" s="3002"/>
      <c r="D15" s="3002"/>
      <c r="E15" s="381">
        <f>+E14</f>
        <v>0</v>
      </c>
      <c r="F15" s="3007">
        <f>SUM(F14:L14)</f>
        <v>36708</v>
      </c>
      <c r="G15" s="3008"/>
      <c r="H15" s="3008"/>
      <c r="I15" s="3008"/>
      <c r="J15" s="3008"/>
      <c r="K15" s="3008"/>
      <c r="L15" s="3009"/>
    </row>
    <row r="16" spans="1:14" ht="17.100000000000001" customHeight="1" thickTop="1" thickBot="1" x14ac:dyDescent="0.25">
      <c r="A16" s="289" t="s">
        <v>75</v>
      </c>
      <c r="B16" s="3003">
        <v>630</v>
      </c>
      <c r="C16" s="3003"/>
      <c r="D16" s="3003"/>
      <c r="E16" s="341">
        <v>350</v>
      </c>
      <c r="F16" s="3010">
        <v>575</v>
      </c>
      <c r="G16" s="3011"/>
      <c r="H16" s="3011"/>
      <c r="I16" s="3011"/>
      <c r="J16" s="3011"/>
      <c r="K16" s="3011"/>
      <c r="L16" s="3012"/>
    </row>
    <row r="17" spans="1:16" ht="17.100000000000001" customHeight="1" thickTop="1" thickBot="1" x14ac:dyDescent="0.25">
      <c r="A17" s="289" t="s">
        <v>76</v>
      </c>
      <c r="B17" s="3003">
        <f>B15*B16</f>
        <v>2610720</v>
      </c>
      <c r="C17" s="3003"/>
      <c r="D17" s="3004"/>
      <c r="E17" s="2023">
        <f>E15*E16</f>
        <v>0</v>
      </c>
      <c r="F17" s="3005">
        <f>F15*F16</f>
        <v>21107100</v>
      </c>
      <c r="G17" s="3006"/>
      <c r="H17" s="3005"/>
      <c r="I17" s="3005"/>
      <c r="J17" s="3005"/>
      <c r="K17" s="3005"/>
      <c r="L17" s="2138"/>
    </row>
    <row r="18" spans="1:16" ht="17.100000000000001" customHeight="1" thickTop="1" thickBot="1" x14ac:dyDescent="0.25">
      <c r="A18" s="289" t="s">
        <v>77</v>
      </c>
      <c r="B18" s="289"/>
      <c r="C18" s="289"/>
      <c r="D18" s="2020">
        <f>B17+E17+F17</f>
        <v>23717820</v>
      </c>
      <c r="E18" s="85"/>
      <c r="F18" s="2024"/>
      <c r="G18" s="2025"/>
      <c r="H18" s="2026"/>
      <c r="I18" s="2026"/>
      <c r="J18" s="2026"/>
      <c r="K18" s="2026"/>
      <c r="L18" s="92"/>
      <c r="N18" s="281"/>
      <c r="O18" s="281"/>
      <c r="P18" s="281"/>
    </row>
    <row r="19" spans="1:16" ht="17.100000000000001" customHeight="1" thickTop="1" thickBot="1" x14ac:dyDescent="0.25">
      <c r="A19" s="289" t="s">
        <v>79</v>
      </c>
      <c r="B19" s="289"/>
      <c r="C19" s="289"/>
      <c r="D19" s="2020">
        <f>+Lub!K40</f>
        <v>188650</v>
      </c>
      <c r="E19" s="2028"/>
      <c r="F19" s="2998">
        <f>+D35</f>
        <v>0</v>
      </c>
      <c r="G19" s="2999"/>
      <c r="H19" s="92"/>
      <c r="I19" s="92"/>
      <c r="J19" s="92"/>
      <c r="K19" s="92"/>
      <c r="L19" s="92"/>
    </row>
    <row r="20" spans="1:16" ht="17.100000000000001" customHeight="1" thickTop="1" thickBot="1" x14ac:dyDescent="0.25">
      <c r="A20" s="289" t="s">
        <v>80</v>
      </c>
      <c r="B20" s="289"/>
      <c r="C20" s="289"/>
      <c r="D20" s="2020">
        <v>0</v>
      </c>
      <c r="E20" s="2030"/>
      <c r="F20" s="82"/>
      <c r="G20" s="2019"/>
      <c r="H20" s="92"/>
      <c r="I20" s="92"/>
      <c r="J20" s="92"/>
      <c r="K20" s="92"/>
      <c r="L20" s="92"/>
    </row>
    <row r="21" spans="1:16" ht="17.100000000000001" customHeight="1" thickTop="1" thickBot="1" x14ac:dyDescent="0.25">
      <c r="A21" s="289" t="s">
        <v>81</v>
      </c>
      <c r="B21" s="289"/>
      <c r="C21" s="289"/>
      <c r="D21" s="2020">
        <f>-LC!J60</f>
        <v>0</v>
      </c>
      <c r="E21" s="2028"/>
      <c r="F21" s="92"/>
      <c r="G21" s="2019"/>
      <c r="H21" s="92"/>
      <c r="I21" s="92"/>
      <c r="J21" s="92"/>
      <c r="K21" s="92"/>
      <c r="L21" s="92"/>
    </row>
    <row r="22" spans="1:16" ht="17.100000000000001" customHeight="1" thickTop="1" thickBot="1" x14ac:dyDescent="0.25">
      <c r="A22" s="289" t="s">
        <v>82</v>
      </c>
      <c r="B22" s="289"/>
      <c r="C22" s="289"/>
      <c r="D22" s="2020">
        <f>+'ecart pp'!D40</f>
        <v>-20604</v>
      </c>
      <c r="E22" s="2028"/>
      <c r="F22" s="92"/>
      <c r="G22" s="2019"/>
      <c r="H22" s="92"/>
      <c r="I22" s="92"/>
      <c r="J22" s="92"/>
      <c r="K22" s="92"/>
      <c r="L22" s="92"/>
    </row>
    <row r="23" spans="1:16" ht="17.100000000000001" customHeight="1" thickTop="1" thickBot="1" x14ac:dyDescent="0.25">
      <c r="A23" s="2989" t="s">
        <v>83</v>
      </c>
      <c r="B23" s="2990"/>
      <c r="C23" s="2991"/>
      <c r="D23" s="2021">
        <f>SUM(D18:D22)</f>
        <v>23885866</v>
      </c>
      <c r="E23" s="2031" t="s">
        <v>78</v>
      </c>
      <c r="F23" s="82"/>
      <c r="G23" s="2019"/>
      <c r="H23" s="92"/>
      <c r="I23" s="92"/>
      <c r="J23" s="92"/>
      <c r="K23" s="92"/>
      <c r="L23" s="92"/>
    </row>
    <row r="24" spans="1:16" ht="17.100000000000001" customHeight="1" thickTop="1" thickBot="1" x14ac:dyDescent="0.25">
      <c r="A24" s="2986" t="s">
        <v>163</v>
      </c>
      <c r="B24" s="2987"/>
      <c r="C24" s="2988"/>
      <c r="D24" s="2022">
        <f>'client station'!O63</f>
        <v>443307473</v>
      </c>
      <c r="E24" s="2032" t="s">
        <v>683</v>
      </c>
      <c r="F24" s="92"/>
      <c r="G24" s="2019"/>
      <c r="H24" s="92"/>
      <c r="I24" s="2027"/>
      <c r="J24" s="325"/>
      <c r="K24" s="92"/>
      <c r="L24" s="92"/>
    </row>
    <row r="25" spans="1:16" ht="17.100000000000001" customHeight="1" thickTop="1" thickBot="1" x14ac:dyDescent="0.25">
      <c r="A25" s="315" t="s">
        <v>84</v>
      </c>
      <c r="B25" s="560"/>
      <c r="C25" s="561"/>
      <c r="D25" s="2020">
        <f>'client station'!N63</f>
        <v>432282532</v>
      </c>
      <c r="E25" s="2028"/>
      <c r="F25" s="92"/>
      <c r="G25" s="2019"/>
      <c r="H25" s="92"/>
      <c r="I25" s="92"/>
      <c r="K25" s="92"/>
      <c r="L25" s="92"/>
    </row>
    <row r="26" spans="1:16" ht="17.100000000000001" customHeight="1" thickTop="1" thickBot="1" x14ac:dyDescent="0.25">
      <c r="A26" s="2992" t="s">
        <v>85</v>
      </c>
      <c r="B26" s="2993"/>
      <c r="C26" s="2994"/>
      <c r="D26" s="2270">
        <f>D23-D24+D25</f>
        <v>12860925</v>
      </c>
      <c r="E26" s="646" t="s">
        <v>402</v>
      </c>
      <c r="F26" s="82"/>
      <c r="G26" s="2019"/>
      <c r="H26" s="92"/>
      <c r="I26" s="92"/>
      <c r="J26" s="325"/>
      <c r="K26" s="92"/>
      <c r="L26" s="92"/>
    </row>
    <row r="27" spans="1:16" ht="17.100000000000001" customHeight="1" thickTop="1" thickBot="1" x14ac:dyDescent="0.25">
      <c r="A27" s="648" t="s">
        <v>343</v>
      </c>
      <c r="B27" s="315"/>
      <c r="C27" s="315"/>
      <c r="D27" s="2271">
        <v>1890050</v>
      </c>
      <c r="E27" s="82" t="s">
        <v>62</v>
      </c>
      <c r="F27" s="82"/>
      <c r="G27" s="2019"/>
      <c r="H27" s="92"/>
      <c r="I27" s="92"/>
      <c r="J27" s="92"/>
      <c r="K27" s="92"/>
      <c r="L27" s="92"/>
    </row>
    <row r="28" spans="1:16" ht="17.100000000000001" customHeight="1" thickTop="1" thickBot="1" x14ac:dyDescent="0.25">
      <c r="A28" s="316" t="s">
        <v>86</v>
      </c>
      <c r="B28" s="316"/>
      <c r="C28" s="316"/>
      <c r="D28" s="2272">
        <f>SUM(D26:D27)</f>
        <v>14750975</v>
      </c>
      <c r="E28" s="2273"/>
      <c r="F28" s="263"/>
      <c r="G28" s="290" t="s">
        <v>0</v>
      </c>
      <c r="H28" s="719" t="s">
        <v>2</v>
      </c>
      <c r="I28" s="290" t="s">
        <v>1</v>
      </c>
      <c r="J28" s="290" t="s">
        <v>130</v>
      </c>
    </row>
    <row r="29" spans="1:16" ht="17.100000000000001" customHeight="1" thickTop="1" thickBot="1" x14ac:dyDescent="0.25">
      <c r="A29" s="2995" t="s">
        <v>87</v>
      </c>
      <c r="B29" s="2996"/>
      <c r="C29" s="2997"/>
      <c r="D29" s="2271"/>
      <c r="E29" s="2266" t="s">
        <v>131</v>
      </c>
      <c r="F29" s="2265"/>
      <c r="G29" s="2038">
        <f>+ventes!B42</f>
        <v>4144</v>
      </c>
      <c r="H29" s="2039">
        <f>+ventes!C42</f>
        <v>36708</v>
      </c>
      <c r="I29" s="2039">
        <f>+ventes!D42</f>
        <v>0</v>
      </c>
      <c r="J29" s="668">
        <f>+G29+H29+I29</f>
        <v>40852</v>
      </c>
    </row>
    <row r="30" spans="1:16" ht="17.100000000000001" customHeight="1" thickTop="1" thickBot="1" x14ac:dyDescent="0.25">
      <c r="A30" s="2986" t="s">
        <v>88</v>
      </c>
      <c r="B30" s="2987"/>
      <c r="C30" s="2988"/>
      <c r="D30" s="2270">
        <f>'vers&amp;dépenses '!E127</f>
        <v>14700975</v>
      </c>
      <c r="E30" s="2268" t="s">
        <v>132</v>
      </c>
      <c r="F30" s="2267"/>
      <c r="G30" s="2038">
        <v>35000</v>
      </c>
      <c r="H30" s="2039">
        <v>300000</v>
      </c>
      <c r="I30" s="2039">
        <v>5000</v>
      </c>
      <c r="J30" s="668">
        <f>+G30+H30+I30</f>
        <v>340000</v>
      </c>
    </row>
    <row r="31" spans="1:16" ht="17.100000000000001" customHeight="1" thickTop="1" thickBot="1" x14ac:dyDescent="0.25">
      <c r="A31" s="2986" t="s">
        <v>89</v>
      </c>
      <c r="B31" s="2987"/>
      <c r="C31" s="2988"/>
      <c r="D31" s="2271">
        <f>+'vers&amp;dépenses '!I89</f>
        <v>50000</v>
      </c>
      <c r="E31" s="2269" t="s">
        <v>71</v>
      </c>
      <c r="F31" s="2266"/>
      <c r="G31" s="2040">
        <f>+G29-G30</f>
        <v>-30856</v>
      </c>
      <c r="H31" s="2041">
        <f>+H29-H30</f>
        <v>-263292</v>
      </c>
      <c r="I31" s="2041">
        <f>+I29-I30</f>
        <v>-5000</v>
      </c>
      <c r="J31" s="668">
        <f>+G31+H31+I31</f>
        <v>-299148</v>
      </c>
      <c r="L31" s="281"/>
    </row>
    <row r="32" spans="1:16" ht="25.5" customHeight="1" thickTop="1" thickBot="1" x14ac:dyDescent="0.25">
      <c r="A32" s="2989" t="s">
        <v>90</v>
      </c>
      <c r="B32" s="2990"/>
      <c r="C32" s="2991"/>
      <c r="D32" s="2021">
        <f>SUM(D29:D31)</f>
        <v>14750975</v>
      </c>
      <c r="E32" s="2263" t="s">
        <v>133</v>
      </c>
      <c r="F32" s="2264"/>
      <c r="G32" s="2262" t="str">
        <f>IF(G30&lt;G29,"objectif atteint","objectif non atteint")</f>
        <v>objectif non atteint</v>
      </c>
      <c r="H32" s="2262" t="str">
        <f>IF(H30&lt;H29,"objectif atteint","objectif non atteint")</f>
        <v>objectif non atteint</v>
      </c>
      <c r="I32" s="2262" t="str">
        <f>IF(I30&lt;I29,"objectif atteint","objectif non atteint")</f>
        <v>objectif non atteint</v>
      </c>
      <c r="J32" s="2262" t="str">
        <f>IF(J30&lt;J29,"objectif atteint","objectif non atteint")</f>
        <v>objectif non atteint</v>
      </c>
      <c r="M32" s="2028"/>
    </row>
    <row r="33" spans="1:11" ht="17.100000000000001" customHeight="1" thickTop="1" thickBot="1" x14ac:dyDescent="0.3">
      <c r="A33" s="2986" t="s">
        <v>91</v>
      </c>
      <c r="B33" s="2987"/>
      <c r="C33" s="2988"/>
      <c r="D33" s="2020">
        <f>D28-D32</f>
        <v>0</v>
      </c>
      <c r="E33" s="2033"/>
      <c r="F33" s="350"/>
      <c r="G33" s="718"/>
      <c r="H33" s="92"/>
      <c r="I33" s="92"/>
      <c r="J33" s="92"/>
      <c r="K33" s="2034"/>
    </row>
    <row r="34" spans="1:11" ht="17.100000000000001" customHeight="1" thickTop="1" thickBot="1" x14ac:dyDescent="0.25">
      <c r="A34" s="2986" t="s">
        <v>92</v>
      </c>
      <c r="B34" s="2987"/>
      <c r="C34" s="2988"/>
      <c r="D34" s="2022"/>
      <c r="E34" s="2035"/>
      <c r="F34" s="350"/>
      <c r="G34" s="718"/>
      <c r="H34" s="92"/>
      <c r="I34" s="92"/>
      <c r="J34" s="92"/>
      <c r="K34" s="2029"/>
    </row>
    <row r="35" spans="1:11" ht="17.100000000000001" customHeight="1" thickTop="1" thickBot="1" x14ac:dyDescent="0.25">
      <c r="A35" s="2986" t="s">
        <v>93</v>
      </c>
      <c r="B35" s="2987"/>
      <c r="C35" s="2988"/>
      <c r="D35" s="2022">
        <f>+D34-D33</f>
        <v>0</v>
      </c>
      <c r="E35" s="2495"/>
      <c r="F35" s="82"/>
      <c r="G35" s="2340"/>
      <c r="H35" s="2342"/>
      <c r="I35" s="2339"/>
      <c r="J35" s="2342"/>
      <c r="K35" s="2036"/>
    </row>
    <row r="36" spans="1:11" ht="17.100000000000001" customHeight="1" thickTop="1" x14ac:dyDescent="0.25">
      <c r="A36" s="17"/>
      <c r="D36" s="717"/>
      <c r="E36" s="2342"/>
      <c r="F36" s="2342"/>
      <c r="G36" s="2338"/>
      <c r="H36" s="2342"/>
      <c r="I36" s="2342"/>
      <c r="J36" s="2342"/>
    </row>
    <row r="37" spans="1:11" ht="20.100000000000001" customHeight="1" x14ac:dyDescent="0.2">
      <c r="A37" s="917"/>
      <c r="E37" s="2342"/>
      <c r="F37" s="2342"/>
      <c r="G37" s="2342"/>
      <c r="H37" s="2342"/>
      <c r="I37" s="2342"/>
      <c r="J37" s="2342"/>
    </row>
    <row r="38" spans="1:11" ht="20.100000000000001" customHeight="1" x14ac:dyDescent="0.25">
      <c r="A38" s="17"/>
    </row>
    <row r="39" spans="1:11" ht="20.100000000000001" customHeight="1" x14ac:dyDescent="0.25">
      <c r="A39" s="17"/>
    </row>
    <row r="40" spans="1:11" ht="20.100000000000001" customHeight="1" x14ac:dyDescent="0.25">
      <c r="A40" s="17"/>
    </row>
    <row r="41" spans="1:11" ht="20.100000000000001" customHeight="1" x14ac:dyDescent="0.25">
      <c r="A41" s="17"/>
    </row>
    <row r="42" spans="1:11" ht="20.100000000000001" customHeight="1" x14ac:dyDescent="0.25">
      <c r="A42" s="17"/>
    </row>
    <row r="43" spans="1:11" ht="20.100000000000001" customHeight="1" x14ac:dyDescent="0.25">
      <c r="A43" s="17"/>
    </row>
    <row r="44" spans="1:11" ht="20.100000000000001" customHeight="1" x14ac:dyDescent="0.25">
      <c r="A44" s="17"/>
    </row>
    <row r="45" spans="1:11" ht="20.100000000000001" customHeight="1" x14ac:dyDescent="0.25">
      <c r="A45" s="17"/>
    </row>
    <row r="46" spans="1:11" ht="20.100000000000001" customHeight="1" x14ac:dyDescent="0.25">
      <c r="A46" s="17"/>
    </row>
    <row r="47" spans="1:11" ht="20.100000000000001" customHeight="1" x14ac:dyDescent="0.25">
      <c r="A47" s="17"/>
    </row>
    <row r="48" spans="1:11" ht="20.100000000000001" customHeight="1" x14ac:dyDescent="0.25">
      <c r="A48" s="17"/>
    </row>
    <row r="49" spans="1:1" ht="20.100000000000001" customHeight="1" x14ac:dyDescent="0.25">
      <c r="A49" s="17"/>
    </row>
    <row r="50" spans="1:1" ht="20.100000000000001" customHeight="1" x14ac:dyDescent="0.25">
      <c r="A50" s="17"/>
    </row>
    <row r="51" spans="1:1" ht="20.100000000000001" customHeight="1" x14ac:dyDescent="0.25">
      <c r="A51" s="17"/>
    </row>
    <row r="52" spans="1:1" ht="20.100000000000001" customHeight="1" x14ac:dyDescent="0.25">
      <c r="A52" s="17"/>
    </row>
    <row r="53" spans="1:1" ht="20.100000000000001" customHeight="1" x14ac:dyDescent="0.25">
      <c r="A53" s="17"/>
    </row>
    <row r="54" spans="1:1" ht="20.100000000000001" customHeight="1" x14ac:dyDescent="0.25">
      <c r="A54" s="17"/>
    </row>
    <row r="55" spans="1:1" ht="20.100000000000001" customHeight="1" x14ac:dyDescent="0.25">
      <c r="A55" s="17"/>
    </row>
    <row r="56" spans="1:1" ht="20.100000000000001" customHeight="1" x14ac:dyDescent="0.25">
      <c r="A56" s="17"/>
    </row>
    <row r="57" spans="1:1" ht="20.100000000000001" customHeight="1" x14ac:dyDescent="0.25">
      <c r="A57" s="17"/>
    </row>
    <row r="58" spans="1:1" ht="20.100000000000001" customHeight="1" x14ac:dyDescent="0.25">
      <c r="A58" s="17"/>
    </row>
    <row r="59" spans="1:1" ht="20.100000000000001" customHeight="1" x14ac:dyDescent="0.25">
      <c r="A59" s="17"/>
    </row>
    <row r="60" spans="1:1" ht="20.100000000000001" customHeight="1" x14ac:dyDescent="0.25">
      <c r="A60" s="17"/>
    </row>
    <row r="61" spans="1:1" ht="20.100000000000001" customHeight="1" x14ac:dyDescent="0.25">
      <c r="A61" s="17"/>
    </row>
    <row r="62" spans="1:1" ht="20.100000000000001" customHeight="1" x14ac:dyDescent="0.25">
      <c r="A62" s="17"/>
    </row>
    <row r="63" spans="1:1" ht="20.100000000000001" customHeight="1" x14ac:dyDescent="0.25">
      <c r="A63" s="17"/>
    </row>
    <row r="64" spans="1:1" ht="20.100000000000001" customHeight="1" x14ac:dyDescent="0.25">
      <c r="A64" s="17"/>
    </row>
    <row r="65" spans="1:1" ht="20.100000000000001" customHeight="1" x14ac:dyDescent="0.25">
      <c r="A65" s="17"/>
    </row>
    <row r="66" spans="1:1" ht="20.100000000000001" customHeight="1" x14ac:dyDescent="0.25">
      <c r="A66" s="17"/>
    </row>
    <row r="67" spans="1:1" ht="20.100000000000001" customHeight="1" x14ac:dyDescent="0.25">
      <c r="A67" s="17"/>
    </row>
    <row r="68" spans="1:1" ht="20.100000000000001" customHeight="1" x14ac:dyDescent="0.25">
      <c r="A68" s="17"/>
    </row>
    <row r="69" spans="1:1" ht="20.100000000000001" customHeight="1" x14ac:dyDescent="0.25">
      <c r="A69" s="17"/>
    </row>
    <row r="70" spans="1:1" ht="20.100000000000001" customHeight="1" x14ac:dyDescent="0.25">
      <c r="A70" s="17"/>
    </row>
    <row r="71" spans="1:1" ht="20.100000000000001" customHeight="1" x14ac:dyDescent="0.25">
      <c r="A71" s="17"/>
    </row>
    <row r="72" spans="1:1" ht="20.100000000000001" customHeight="1" x14ac:dyDescent="0.25">
      <c r="A72" s="17"/>
    </row>
    <row r="73" spans="1:1" ht="20.100000000000001" customHeight="1" x14ac:dyDescent="0.25">
      <c r="A73" s="17"/>
    </row>
    <row r="74" spans="1:1" ht="20.100000000000001" customHeight="1" x14ac:dyDescent="0.25">
      <c r="A74" s="17"/>
    </row>
    <row r="75" spans="1:1" ht="20.100000000000001" customHeight="1" x14ac:dyDescent="0.25">
      <c r="A75" s="17"/>
    </row>
    <row r="76" spans="1:1" ht="20.100000000000001" customHeight="1" x14ac:dyDescent="0.25">
      <c r="A76" s="17"/>
    </row>
    <row r="77" spans="1:1" ht="20.100000000000001" customHeight="1" x14ac:dyDescent="0.25">
      <c r="A77" s="17"/>
    </row>
    <row r="78" spans="1:1" ht="20.100000000000001" customHeight="1" x14ac:dyDescent="0.25">
      <c r="A78" s="17"/>
    </row>
    <row r="79" spans="1:1" ht="20.100000000000001" customHeight="1" x14ac:dyDescent="0.25">
      <c r="A79" s="17"/>
    </row>
    <row r="80" spans="1:1" ht="20.100000000000001" customHeight="1" x14ac:dyDescent="0.25">
      <c r="A80" s="17"/>
    </row>
    <row r="81" spans="1:1" ht="20.100000000000001" customHeight="1" x14ac:dyDescent="0.25">
      <c r="A81" s="17"/>
    </row>
    <row r="82" spans="1:1" ht="20.100000000000001" customHeight="1" x14ac:dyDescent="0.25">
      <c r="A82" s="17"/>
    </row>
    <row r="83" spans="1:1" ht="20.100000000000001" customHeight="1" x14ac:dyDescent="0.25">
      <c r="A83" s="17"/>
    </row>
    <row r="84" spans="1:1" ht="20.100000000000001" customHeight="1" x14ac:dyDescent="0.25">
      <c r="A84" s="17"/>
    </row>
    <row r="85" spans="1:1" ht="20.100000000000001" customHeight="1" x14ac:dyDescent="0.25">
      <c r="A85" s="17"/>
    </row>
    <row r="86" spans="1:1" ht="20.100000000000001" customHeight="1" x14ac:dyDescent="0.25">
      <c r="A86" s="17"/>
    </row>
    <row r="87" spans="1:1" ht="20.100000000000001" customHeight="1" x14ac:dyDescent="0.25">
      <c r="A87" s="17"/>
    </row>
    <row r="88" spans="1:1" ht="20.100000000000001" customHeight="1" x14ac:dyDescent="0.25">
      <c r="A88" s="17"/>
    </row>
    <row r="89" spans="1:1" ht="20.100000000000001" customHeight="1" x14ac:dyDescent="0.25">
      <c r="A89" s="17"/>
    </row>
    <row r="90" spans="1:1" ht="20.100000000000001" customHeight="1" x14ac:dyDescent="0.25">
      <c r="A90" s="17"/>
    </row>
    <row r="91" spans="1:1" ht="20.100000000000001" customHeight="1" x14ac:dyDescent="0.25">
      <c r="A91" s="17"/>
    </row>
    <row r="92" spans="1:1" ht="20.100000000000001" customHeight="1" x14ac:dyDescent="0.25">
      <c r="A92" s="17"/>
    </row>
    <row r="93" spans="1:1" ht="20.100000000000001" customHeight="1" x14ac:dyDescent="0.25">
      <c r="A93" s="17"/>
    </row>
    <row r="94" spans="1:1" ht="20.100000000000001" customHeight="1" x14ac:dyDescent="0.25">
      <c r="A94" s="17"/>
    </row>
    <row r="95" spans="1:1" ht="20.100000000000001" customHeight="1" x14ac:dyDescent="0.25">
      <c r="A95" s="17"/>
    </row>
    <row r="96" spans="1:1" ht="20.100000000000001" customHeight="1" x14ac:dyDescent="0.25">
      <c r="A96" s="17"/>
    </row>
    <row r="97" spans="1:1" ht="20.100000000000001" customHeight="1" x14ac:dyDescent="0.25">
      <c r="A97" s="17"/>
    </row>
    <row r="98" spans="1:1" ht="20.100000000000001" customHeight="1" x14ac:dyDescent="0.25">
      <c r="A98" s="17"/>
    </row>
    <row r="99" spans="1:1" ht="20.100000000000001" customHeight="1" x14ac:dyDescent="0.25">
      <c r="A99" s="17"/>
    </row>
    <row r="100" spans="1:1" ht="20.100000000000001" customHeight="1" x14ac:dyDescent="0.25">
      <c r="A100" s="17"/>
    </row>
    <row r="101" spans="1:1" ht="20.100000000000001" customHeight="1" x14ac:dyDescent="0.25">
      <c r="A101" s="17"/>
    </row>
    <row r="102" spans="1:1" ht="20.100000000000001" customHeight="1" x14ac:dyDescent="0.25">
      <c r="A102" s="17"/>
    </row>
    <row r="103" spans="1:1" ht="20.100000000000001" customHeight="1" x14ac:dyDescent="0.25">
      <c r="A103" s="17"/>
    </row>
    <row r="104" spans="1:1" ht="20.100000000000001" customHeight="1" x14ac:dyDescent="0.25">
      <c r="A104" s="17"/>
    </row>
    <row r="105" spans="1:1" ht="20.100000000000001" customHeight="1" x14ac:dyDescent="0.25">
      <c r="A105" s="17"/>
    </row>
    <row r="106" spans="1:1" ht="20.100000000000001" customHeight="1" x14ac:dyDescent="0.25">
      <c r="A106" s="17"/>
    </row>
    <row r="107" spans="1:1" ht="20.100000000000001" customHeight="1" x14ac:dyDescent="0.25">
      <c r="A107" s="17"/>
    </row>
    <row r="108" spans="1:1" ht="20.100000000000001" customHeight="1" x14ac:dyDescent="0.25">
      <c r="A108" s="17"/>
    </row>
    <row r="109" spans="1:1" ht="20.100000000000001" customHeight="1" x14ac:dyDescent="0.25">
      <c r="A109" s="17"/>
    </row>
    <row r="110" spans="1:1" ht="20.100000000000001" customHeight="1" x14ac:dyDescent="0.25">
      <c r="A110" s="17"/>
    </row>
    <row r="111" spans="1:1" ht="20.100000000000001" customHeight="1" x14ac:dyDescent="0.25">
      <c r="A111" s="17"/>
    </row>
    <row r="112" spans="1:1" ht="20.100000000000001" customHeight="1" x14ac:dyDescent="0.25">
      <c r="A112" s="17"/>
    </row>
    <row r="113" spans="1:1" ht="20.100000000000001" customHeight="1" x14ac:dyDescent="0.25">
      <c r="A113" s="17"/>
    </row>
    <row r="114" spans="1:1" ht="20.100000000000001" customHeight="1" x14ac:dyDescent="0.25">
      <c r="A114" s="17"/>
    </row>
    <row r="115" spans="1:1" ht="20.100000000000001" customHeight="1" x14ac:dyDescent="0.25">
      <c r="A115" s="17"/>
    </row>
    <row r="116" spans="1:1" ht="20.100000000000001" customHeight="1" x14ac:dyDescent="0.25">
      <c r="A116" s="17"/>
    </row>
    <row r="117" spans="1:1" ht="20.100000000000001" customHeight="1" x14ac:dyDescent="0.2"/>
    <row r="118" spans="1:1" ht="20.100000000000001" customHeight="1" x14ac:dyDescent="0.2"/>
    <row r="119" spans="1:1" ht="20.100000000000001" customHeight="1" x14ac:dyDescent="0.2"/>
    <row r="120" spans="1:1" ht="20.100000000000001" customHeight="1" x14ac:dyDescent="0.2"/>
    <row r="121" spans="1:1" ht="20.100000000000001" customHeight="1" x14ac:dyDescent="0.2"/>
    <row r="122" spans="1:1" ht="20.100000000000001" customHeight="1" x14ac:dyDescent="0.2"/>
    <row r="123" spans="1:1" ht="20.100000000000001" customHeight="1" x14ac:dyDescent="0.2"/>
    <row r="124" spans="1:1" ht="20.100000000000001" customHeight="1" x14ac:dyDescent="0.2"/>
    <row r="125" spans="1:1" ht="20.100000000000001" customHeight="1" x14ac:dyDescent="0.2"/>
    <row r="126" spans="1:1" ht="20.100000000000001" customHeight="1" x14ac:dyDescent="0.2"/>
    <row r="127" spans="1:1" ht="20.100000000000001" customHeight="1" x14ac:dyDescent="0.2"/>
    <row r="128" spans="1:1" ht="20.100000000000001" customHeight="1" x14ac:dyDescent="0.2"/>
    <row r="129" ht="20.100000000000001" customHeight="1" x14ac:dyDescent="0.2"/>
    <row r="130" ht="20.100000000000001" customHeight="1" x14ac:dyDescent="0.2"/>
    <row r="131" ht="20.100000000000001" customHeight="1" x14ac:dyDescent="0.2"/>
    <row r="132" ht="20.100000000000001" customHeight="1" x14ac:dyDescent="0.2"/>
    <row r="133" ht="20.100000000000001" customHeight="1" x14ac:dyDescent="0.2"/>
    <row r="134" ht="20.100000000000001" customHeight="1" x14ac:dyDescent="0.2"/>
    <row r="135" ht="20.100000000000001" customHeight="1" x14ac:dyDescent="0.2"/>
    <row r="136" ht="20.100000000000001" customHeight="1" x14ac:dyDescent="0.2"/>
    <row r="137" ht="20.100000000000001" customHeight="1" x14ac:dyDescent="0.2"/>
    <row r="138" ht="20.100000000000001" customHeight="1" x14ac:dyDescent="0.2"/>
    <row r="139" ht="20.100000000000001" customHeight="1" x14ac:dyDescent="0.2"/>
    <row r="140" ht="20.100000000000001" customHeight="1" x14ac:dyDescent="0.2"/>
    <row r="141" ht="20.100000000000001" customHeight="1" x14ac:dyDescent="0.2"/>
    <row r="142" ht="20.100000000000001" customHeight="1" x14ac:dyDescent="0.2"/>
    <row r="143" ht="20.100000000000001" customHeight="1" x14ac:dyDescent="0.2"/>
    <row r="144" ht="20.100000000000001" customHeight="1" x14ac:dyDescent="0.2"/>
    <row r="145" ht="20.100000000000001" customHeight="1" x14ac:dyDescent="0.2"/>
    <row r="146" ht="20.100000000000001" customHeight="1" x14ac:dyDescent="0.2"/>
    <row r="147" ht="20.100000000000001" customHeight="1" x14ac:dyDescent="0.2"/>
    <row r="148" ht="20.100000000000001" customHeight="1" x14ac:dyDescent="0.2"/>
    <row r="149" ht="20.100000000000001" customHeight="1" x14ac:dyDescent="0.2"/>
    <row r="150" ht="20.100000000000001" customHeight="1" x14ac:dyDescent="0.2"/>
    <row r="151" ht="20.100000000000001" customHeight="1" x14ac:dyDescent="0.2"/>
    <row r="152" ht="20.100000000000001" customHeight="1" x14ac:dyDescent="0.2"/>
    <row r="153" ht="20.100000000000001" customHeight="1" x14ac:dyDescent="0.2"/>
    <row r="154" ht="20.100000000000001" customHeight="1" x14ac:dyDescent="0.2"/>
    <row r="155" ht="20.100000000000001" customHeight="1" x14ac:dyDescent="0.2"/>
    <row r="156" ht="20.100000000000001" customHeight="1" x14ac:dyDescent="0.2"/>
    <row r="157" ht="20.100000000000001" customHeight="1" x14ac:dyDescent="0.2"/>
    <row r="158" ht="20.100000000000001" customHeight="1" x14ac:dyDescent="0.2"/>
    <row r="159" ht="20.100000000000001" customHeight="1" x14ac:dyDescent="0.2"/>
    <row r="160" ht="20.100000000000001" customHeight="1" x14ac:dyDescent="0.2"/>
    <row r="161" ht="20.100000000000001" customHeight="1" x14ac:dyDescent="0.2"/>
    <row r="162" ht="20.100000000000001" customHeight="1" x14ac:dyDescent="0.2"/>
    <row r="163" ht="20.100000000000001" customHeight="1" x14ac:dyDescent="0.2"/>
    <row r="164" ht="20.100000000000001" customHeight="1" x14ac:dyDescent="0.2"/>
    <row r="165" ht="20.100000000000001" customHeight="1" x14ac:dyDescent="0.2"/>
    <row r="166" ht="20.100000000000001" customHeight="1" x14ac:dyDescent="0.2"/>
    <row r="167" ht="20.100000000000001" customHeight="1" x14ac:dyDescent="0.2"/>
    <row r="168" ht="20.100000000000001" customHeight="1" x14ac:dyDescent="0.2"/>
    <row r="169" ht="20.100000000000001" customHeight="1" x14ac:dyDescent="0.2"/>
    <row r="170" ht="20.100000000000001" customHeight="1" x14ac:dyDescent="0.2"/>
    <row r="171" ht="20.100000000000001" customHeight="1" x14ac:dyDescent="0.2"/>
    <row r="172" ht="20.100000000000001" customHeight="1" x14ac:dyDescent="0.2"/>
    <row r="173" ht="20.100000000000001" customHeight="1" x14ac:dyDescent="0.2"/>
    <row r="174" ht="20.100000000000001" customHeight="1" x14ac:dyDescent="0.2"/>
    <row r="175" ht="20.100000000000001" customHeight="1" x14ac:dyDescent="0.2"/>
    <row r="176" ht="20.100000000000001" customHeight="1" x14ac:dyDescent="0.2"/>
    <row r="177" ht="20.100000000000001" customHeight="1" x14ac:dyDescent="0.2"/>
    <row r="178" ht="20.100000000000001" customHeight="1" x14ac:dyDescent="0.2"/>
    <row r="179" ht="20.100000000000001" customHeight="1" x14ac:dyDescent="0.2"/>
    <row r="180" ht="20.100000000000001" customHeight="1" x14ac:dyDescent="0.2"/>
    <row r="181" ht="20.100000000000001" customHeight="1" x14ac:dyDescent="0.2"/>
    <row r="182" ht="20.100000000000001" customHeight="1" x14ac:dyDescent="0.2"/>
    <row r="183" ht="20.100000000000001" customHeight="1" x14ac:dyDescent="0.2"/>
    <row r="184" ht="20.100000000000001" customHeight="1" x14ac:dyDescent="0.2"/>
    <row r="185" ht="20.100000000000001" customHeight="1" x14ac:dyDescent="0.2"/>
    <row r="186" ht="20.100000000000001" customHeight="1" x14ac:dyDescent="0.2"/>
    <row r="187" ht="20.100000000000001" customHeight="1" x14ac:dyDescent="0.2"/>
    <row r="188" ht="20.100000000000001" customHeight="1" x14ac:dyDescent="0.2"/>
    <row r="189" ht="20.100000000000001" customHeight="1" x14ac:dyDescent="0.2"/>
    <row r="190" ht="20.100000000000001" customHeight="1" x14ac:dyDescent="0.2"/>
    <row r="191" ht="20.100000000000001" customHeight="1" x14ac:dyDescent="0.2"/>
    <row r="192" ht="20.100000000000001" customHeight="1" x14ac:dyDescent="0.2"/>
    <row r="193" ht="20.100000000000001" customHeight="1" x14ac:dyDescent="0.2"/>
    <row r="194" ht="20.100000000000001" customHeight="1" x14ac:dyDescent="0.2"/>
    <row r="195" ht="20.100000000000001" customHeight="1" x14ac:dyDescent="0.2"/>
    <row r="196" ht="20.100000000000001" customHeight="1" x14ac:dyDescent="0.2"/>
    <row r="197" ht="20.100000000000001" customHeight="1" x14ac:dyDescent="0.2"/>
    <row r="198" ht="20.100000000000001" customHeight="1" x14ac:dyDescent="0.2"/>
    <row r="199" ht="20.100000000000001" customHeight="1" x14ac:dyDescent="0.2"/>
    <row r="200" ht="20.100000000000001" customHeight="1" x14ac:dyDescent="0.2"/>
    <row r="201" ht="20.100000000000001" customHeight="1" x14ac:dyDescent="0.2"/>
    <row r="202" ht="20.100000000000001" customHeight="1" x14ac:dyDescent="0.2"/>
    <row r="203" ht="20.100000000000001" customHeight="1" x14ac:dyDescent="0.2"/>
    <row r="204" ht="20.100000000000001" customHeight="1" x14ac:dyDescent="0.2"/>
    <row r="205" ht="20.100000000000001" customHeight="1" x14ac:dyDescent="0.2"/>
    <row r="206" ht="20.100000000000001" customHeight="1" x14ac:dyDescent="0.2"/>
    <row r="207" ht="20.100000000000001" customHeight="1" x14ac:dyDescent="0.2"/>
    <row r="208" ht="20.100000000000001" customHeight="1" x14ac:dyDescent="0.2"/>
    <row r="209" ht="20.100000000000001" customHeight="1" x14ac:dyDescent="0.2"/>
    <row r="210" ht="20.100000000000001" customHeight="1" x14ac:dyDescent="0.2"/>
    <row r="211" ht="20.100000000000001" customHeight="1" x14ac:dyDescent="0.2"/>
    <row r="212" ht="20.100000000000001" customHeight="1" x14ac:dyDescent="0.2"/>
    <row r="213" ht="20.100000000000001" customHeight="1" x14ac:dyDescent="0.2"/>
    <row r="214" ht="20.100000000000001" customHeight="1" x14ac:dyDescent="0.2"/>
    <row r="215" ht="20.100000000000001" customHeight="1" x14ac:dyDescent="0.2"/>
    <row r="216" ht="20.100000000000001" customHeight="1" x14ac:dyDescent="0.2"/>
    <row r="217" ht="20.100000000000001" customHeight="1" x14ac:dyDescent="0.2"/>
    <row r="218" ht="20.100000000000001" customHeight="1" x14ac:dyDescent="0.2"/>
    <row r="219" ht="20.100000000000001" customHeight="1" x14ac:dyDescent="0.2"/>
    <row r="220" ht="20.100000000000001" customHeight="1" x14ac:dyDescent="0.2"/>
    <row r="221" ht="20.100000000000001" customHeight="1" x14ac:dyDescent="0.2"/>
    <row r="222" ht="20.100000000000001" customHeight="1" x14ac:dyDescent="0.2"/>
    <row r="223" ht="20.100000000000001" customHeight="1" x14ac:dyDescent="0.2"/>
    <row r="224" ht="20.100000000000001" customHeight="1" x14ac:dyDescent="0.2"/>
    <row r="225" ht="20.100000000000001" customHeight="1" x14ac:dyDescent="0.2"/>
    <row r="226" ht="20.100000000000001" customHeight="1" x14ac:dyDescent="0.2"/>
    <row r="227" ht="20.100000000000001" customHeight="1" x14ac:dyDescent="0.2"/>
    <row r="228" ht="20.100000000000001" customHeight="1" x14ac:dyDescent="0.2"/>
    <row r="229" ht="20.100000000000001" customHeight="1" x14ac:dyDescent="0.2"/>
    <row r="230" ht="20.100000000000001" customHeight="1" x14ac:dyDescent="0.2"/>
    <row r="231" ht="20.100000000000001" customHeight="1" x14ac:dyDescent="0.2"/>
    <row r="232" ht="20.100000000000001" customHeight="1" x14ac:dyDescent="0.2"/>
    <row r="233" ht="20.100000000000001" customHeight="1" x14ac:dyDescent="0.2"/>
    <row r="234" ht="20.100000000000001" customHeight="1" x14ac:dyDescent="0.2"/>
    <row r="235" ht="20.100000000000001" customHeight="1" x14ac:dyDescent="0.2"/>
    <row r="236" ht="20.100000000000001" customHeight="1" x14ac:dyDescent="0.2"/>
    <row r="237" ht="20.100000000000001" customHeight="1" x14ac:dyDescent="0.2"/>
    <row r="238" ht="20.100000000000001" customHeight="1" x14ac:dyDescent="0.2"/>
    <row r="239" ht="20.100000000000001" customHeight="1" x14ac:dyDescent="0.2"/>
    <row r="240" ht="20.100000000000001" customHeight="1" x14ac:dyDescent="0.2"/>
    <row r="241" ht="20.100000000000001" customHeight="1" x14ac:dyDescent="0.2"/>
    <row r="242" ht="20.100000000000001" customHeight="1" x14ac:dyDescent="0.2"/>
    <row r="243" ht="20.100000000000001" customHeight="1" x14ac:dyDescent="0.2"/>
    <row r="244" ht="20.100000000000001" customHeight="1" x14ac:dyDescent="0.2"/>
    <row r="245" ht="20.100000000000001" customHeight="1" x14ac:dyDescent="0.2"/>
    <row r="246" ht="20.100000000000001" customHeight="1" x14ac:dyDescent="0.2"/>
    <row r="247" ht="20.100000000000001" customHeight="1" x14ac:dyDescent="0.2"/>
    <row r="248" ht="20.100000000000001" customHeight="1" x14ac:dyDescent="0.2"/>
    <row r="249" ht="20.100000000000001" customHeight="1" x14ac:dyDescent="0.2"/>
    <row r="250" ht="20.100000000000001" customHeight="1" x14ac:dyDescent="0.2"/>
    <row r="251" ht="20.100000000000001" customHeight="1" x14ac:dyDescent="0.2"/>
    <row r="252" ht="20.100000000000001" customHeight="1" x14ac:dyDescent="0.2"/>
    <row r="253" ht="20.100000000000001" customHeight="1" x14ac:dyDescent="0.2"/>
    <row r="254" ht="20.100000000000001" customHeight="1" x14ac:dyDescent="0.2"/>
    <row r="255" ht="20.100000000000001" customHeight="1" x14ac:dyDescent="0.2"/>
    <row r="256" ht="20.100000000000001" customHeight="1" x14ac:dyDescent="0.2"/>
    <row r="257" ht="20.100000000000001" customHeight="1" x14ac:dyDescent="0.2"/>
    <row r="258" ht="20.100000000000001" customHeight="1" x14ac:dyDescent="0.2"/>
    <row r="259" ht="20.100000000000001" customHeight="1" x14ac:dyDescent="0.2"/>
    <row r="260" ht="20.100000000000001" customHeight="1" x14ac:dyDescent="0.2"/>
    <row r="261" ht="20.100000000000001" customHeight="1" x14ac:dyDescent="0.2"/>
    <row r="262" ht="20.100000000000001" customHeight="1" x14ac:dyDescent="0.2"/>
    <row r="263" ht="20.100000000000001" customHeight="1" x14ac:dyDescent="0.2"/>
    <row r="264" ht="20.100000000000001" customHeight="1" x14ac:dyDescent="0.2"/>
    <row r="265" ht="20.100000000000001" customHeight="1" x14ac:dyDescent="0.2"/>
    <row r="266" ht="20.100000000000001" customHeight="1" x14ac:dyDescent="0.2"/>
    <row r="267" ht="20.100000000000001" customHeight="1" x14ac:dyDescent="0.2"/>
    <row r="268" ht="20.100000000000001" customHeight="1" x14ac:dyDescent="0.2"/>
    <row r="269" ht="20.100000000000001" customHeight="1" x14ac:dyDescent="0.2"/>
    <row r="270" ht="20.100000000000001" customHeight="1" x14ac:dyDescent="0.2"/>
    <row r="271" ht="20.100000000000001" customHeight="1" x14ac:dyDescent="0.2"/>
    <row r="272" ht="20.100000000000001" customHeight="1" x14ac:dyDescent="0.2"/>
    <row r="273" ht="20.100000000000001" customHeight="1" x14ac:dyDescent="0.2"/>
    <row r="274" ht="20.100000000000001" customHeight="1" x14ac:dyDescent="0.2"/>
    <row r="275" ht="20.100000000000001" customHeight="1" x14ac:dyDescent="0.2"/>
    <row r="276" ht="20.100000000000001" customHeight="1" x14ac:dyDescent="0.2"/>
    <row r="277" ht="20.100000000000001" customHeight="1" x14ac:dyDescent="0.2"/>
    <row r="278" ht="20.100000000000001" customHeight="1" x14ac:dyDescent="0.2"/>
    <row r="279" ht="20.100000000000001" customHeight="1" x14ac:dyDescent="0.2"/>
    <row r="280" ht="20.100000000000001" customHeight="1" x14ac:dyDescent="0.2"/>
    <row r="281" ht="20.100000000000001" customHeight="1" x14ac:dyDescent="0.2"/>
    <row r="282" ht="20.100000000000001" customHeight="1" x14ac:dyDescent="0.2"/>
    <row r="283" ht="20.100000000000001" customHeight="1" x14ac:dyDescent="0.2"/>
    <row r="284" ht="20.100000000000001" customHeight="1" x14ac:dyDescent="0.2"/>
    <row r="285" ht="20.100000000000001" customHeight="1" x14ac:dyDescent="0.2"/>
    <row r="286" ht="20.100000000000001" customHeight="1" x14ac:dyDescent="0.2"/>
    <row r="287" ht="20.100000000000001" customHeight="1" x14ac:dyDescent="0.2"/>
    <row r="288" ht="20.100000000000001" customHeight="1" x14ac:dyDescent="0.2"/>
    <row r="289" ht="20.100000000000001" customHeight="1" x14ac:dyDescent="0.2"/>
    <row r="290" ht="20.100000000000001" customHeight="1" x14ac:dyDescent="0.2"/>
    <row r="291" ht="20.100000000000001" customHeight="1" x14ac:dyDescent="0.2"/>
    <row r="292" ht="20.100000000000001" customHeight="1" x14ac:dyDescent="0.2"/>
    <row r="293" ht="20.100000000000001" customHeight="1" x14ac:dyDescent="0.2"/>
    <row r="294" ht="20.100000000000001" customHeight="1" x14ac:dyDescent="0.2"/>
    <row r="295" ht="20.100000000000001" customHeight="1" x14ac:dyDescent="0.2"/>
    <row r="296" ht="20.100000000000001" customHeight="1" x14ac:dyDescent="0.2"/>
    <row r="297" ht="20.100000000000001" customHeight="1" x14ac:dyDescent="0.2"/>
    <row r="298" ht="20.100000000000001" customHeight="1" x14ac:dyDescent="0.2"/>
    <row r="299" ht="20.100000000000001" customHeight="1" x14ac:dyDescent="0.2"/>
    <row r="300" ht="20.100000000000001" customHeight="1" x14ac:dyDescent="0.2"/>
    <row r="301" ht="20.100000000000001" customHeight="1" x14ac:dyDescent="0.2"/>
    <row r="302" ht="20.100000000000001" customHeight="1" x14ac:dyDescent="0.2"/>
    <row r="303" ht="20.100000000000001" customHeight="1" x14ac:dyDescent="0.2"/>
    <row r="304" ht="20.100000000000001" customHeight="1" x14ac:dyDescent="0.2"/>
    <row r="305" ht="20.100000000000001" customHeight="1" x14ac:dyDescent="0.2"/>
    <row r="306" ht="20.100000000000001" customHeight="1" x14ac:dyDescent="0.2"/>
    <row r="307" ht="20.100000000000001" customHeight="1" x14ac:dyDescent="0.2"/>
    <row r="308" ht="20.100000000000001" customHeight="1" x14ac:dyDescent="0.2"/>
    <row r="309" ht="20.100000000000001" customHeight="1" x14ac:dyDescent="0.2"/>
    <row r="310" ht="20.100000000000001" customHeight="1" x14ac:dyDescent="0.2"/>
    <row r="311" ht="20.100000000000001" customHeight="1" x14ac:dyDescent="0.2"/>
    <row r="312" ht="20.100000000000001" customHeight="1" x14ac:dyDescent="0.2"/>
    <row r="313" ht="20.100000000000001" customHeight="1" x14ac:dyDescent="0.2"/>
    <row r="314" ht="20.100000000000001" customHeight="1" x14ac:dyDescent="0.2"/>
    <row r="315" ht="20.100000000000001" customHeight="1" x14ac:dyDescent="0.2"/>
    <row r="316" ht="20.100000000000001" customHeight="1" x14ac:dyDescent="0.2"/>
    <row r="317" ht="20.100000000000001" customHeight="1" x14ac:dyDescent="0.2"/>
    <row r="318" ht="20.100000000000001" customHeight="1" x14ac:dyDescent="0.2"/>
    <row r="319" ht="20.100000000000001" customHeight="1" x14ac:dyDescent="0.2"/>
    <row r="320" ht="20.100000000000001" customHeight="1" x14ac:dyDescent="0.2"/>
    <row r="321" ht="20.100000000000001" customHeight="1" x14ac:dyDescent="0.2"/>
    <row r="322" ht="20.100000000000001" customHeight="1" x14ac:dyDescent="0.2"/>
    <row r="323" ht="20.100000000000001" customHeight="1" x14ac:dyDescent="0.2"/>
    <row r="324" ht="20.100000000000001" customHeight="1" x14ac:dyDescent="0.2"/>
    <row r="325" ht="20.100000000000001" customHeight="1" x14ac:dyDescent="0.2"/>
    <row r="326" ht="20.100000000000001" customHeight="1" x14ac:dyDescent="0.2"/>
    <row r="327" ht="20.100000000000001" customHeight="1" x14ac:dyDescent="0.2"/>
    <row r="328" ht="20.100000000000001" customHeight="1" x14ac:dyDescent="0.2"/>
    <row r="329" ht="20.100000000000001" customHeight="1" x14ac:dyDescent="0.2"/>
    <row r="330" ht="20.100000000000001" customHeight="1" x14ac:dyDescent="0.2"/>
    <row r="331" ht="20.100000000000001" customHeight="1" x14ac:dyDescent="0.2"/>
    <row r="332" ht="20.100000000000001" customHeight="1" x14ac:dyDescent="0.2"/>
    <row r="333" ht="20.100000000000001" customHeight="1" x14ac:dyDescent="0.2"/>
    <row r="334" ht="20.100000000000001" customHeight="1" x14ac:dyDescent="0.2"/>
    <row r="335" ht="20.100000000000001" customHeight="1" x14ac:dyDescent="0.2"/>
    <row r="336" ht="20.100000000000001" customHeight="1" x14ac:dyDescent="0.2"/>
    <row r="337" ht="20.100000000000001" customHeight="1" x14ac:dyDescent="0.2"/>
    <row r="338" ht="20.100000000000001" customHeight="1" x14ac:dyDescent="0.2"/>
    <row r="339" ht="20.100000000000001" customHeight="1" x14ac:dyDescent="0.2"/>
    <row r="340" ht="20.100000000000001" customHeight="1" x14ac:dyDescent="0.2"/>
    <row r="341" ht="20.100000000000001" customHeight="1" x14ac:dyDescent="0.2"/>
    <row r="342" ht="20.100000000000001" customHeight="1" x14ac:dyDescent="0.2"/>
    <row r="343" ht="20.100000000000001" customHeight="1" x14ac:dyDescent="0.2"/>
    <row r="344" ht="20.100000000000001" customHeight="1" x14ac:dyDescent="0.2"/>
    <row r="345" ht="20.100000000000001" customHeight="1" x14ac:dyDescent="0.2"/>
    <row r="346" ht="20.100000000000001" customHeight="1" x14ac:dyDescent="0.2"/>
    <row r="347" ht="20.100000000000001" customHeight="1" x14ac:dyDescent="0.2"/>
    <row r="348" ht="20.100000000000001" customHeight="1" x14ac:dyDescent="0.2"/>
    <row r="349" ht="20.100000000000001" customHeight="1" x14ac:dyDescent="0.2"/>
    <row r="350" ht="20.100000000000001" customHeight="1" x14ac:dyDescent="0.2"/>
    <row r="351" ht="20.100000000000001" customHeight="1" x14ac:dyDescent="0.2"/>
    <row r="352" ht="20.100000000000001" customHeight="1" x14ac:dyDescent="0.2"/>
    <row r="353" ht="20.100000000000001" customHeight="1" x14ac:dyDescent="0.2"/>
    <row r="354" ht="20.100000000000001" customHeight="1" x14ac:dyDescent="0.2"/>
    <row r="355" ht="20.100000000000001" customHeight="1" x14ac:dyDescent="0.2"/>
    <row r="356" ht="20.100000000000001" customHeight="1" x14ac:dyDescent="0.2"/>
    <row r="357" ht="20.100000000000001" customHeight="1" x14ac:dyDescent="0.2"/>
    <row r="358" ht="20.100000000000001" customHeight="1" x14ac:dyDescent="0.2"/>
    <row r="359" ht="20.100000000000001" customHeight="1" x14ac:dyDescent="0.2"/>
    <row r="360" ht="20.100000000000001" customHeight="1" x14ac:dyDescent="0.2"/>
    <row r="361" ht="20.100000000000001" customHeight="1" x14ac:dyDescent="0.2"/>
    <row r="362" ht="20.100000000000001" customHeight="1" x14ac:dyDescent="0.2"/>
    <row r="363" ht="20.100000000000001" customHeight="1" x14ac:dyDescent="0.2"/>
    <row r="364" ht="20.100000000000001" customHeight="1" x14ac:dyDescent="0.2"/>
    <row r="365" ht="20.100000000000001" customHeight="1" x14ac:dyDescent="0.2"/>
    <row r="366" ht="20.100000000000001" customHeight="1" x14ac:dyDescent="0.2"/>
    <row r="367" ht="20.100000000000001" customHeight="1" x14ac:dyDescent="0.2"/>
    <row r="368" ht="20.100000000000001" customHeight="1" x14ac:dyDescent="0.2"/>
    <row r="369" ht="20.100000000000001" customHeight="1" x14ac:dyDescent="0.2"/>
    <row r="370" ht="20.100000000000001" customHeight="1" x14ac:dyDescent="0.2"/>
    <row r="371" ht="20.100000000000001" customHeight="1" x14ac:dyDescent="0.2"/>
    <row r="372" ht="20.100000000000001" customHeight="1" x14ac:dyDescent="0.2"/>
    <row r="373" ht="20.100000000000001" customHeight="1" x14ac:dyDescent="0.2"/>
    <row r="374" ht="20.100000000000001" customHeight="1" x14ac:dyDescent="0.2"/>
    <row r="375" ht="20.100000000000001" customHeight="1" x14ac:dyDescent="0.2"/>
    <row r="376" ht="20.100000000000001" customHeight="1" x14ac:dyDescent="0.2"/>
    <row r="377" ht="20.100000000000001" customHeight="1" x14ac:dyDescent="0.2"/>
    <row r="378" ht="20.100000000000001" customHeight="1" x14ac:dyDescent="0.2"/>
    <row r="379" ht="20.100000000000001" customHeight="1" x14ac:dyDescent="0.2"/>
    <row r="380" ht="20.100000000000001" customHeight="1" x14ac:dyDescent="0.2"/>
    <row r="381" ht="20.100000000000001" customHeight="1" x14ac:dyDescent="0.2"/>
    <row r="382" ht="20.100000000000001" customHeight="1" x14ac:dyDescent="0.2"/>
    <row r="383" ht="20.100000000000001" customHeight="1" x14ac:dyDescent="0.2"/>
    <row r="384" ht="20.100000000000001" customHeight="1" x14ac:dyDescent="0.2"/>
    <row r="385" ht="20.100000000000001" customHeight="1" x14ac:dyDescent="0.2"/>
    <row r="386" ht="20.100000000000001" customHeight="1" x14ac:dyDescent="0.2"/>
    <row r="387" ht="20.100000000000001" customHeight="1" x14ac:dyDescent="0.2"/>
    <row r="388" ht="20.100000000000001" customHeight="1" x14ac:dyDescent="0.2"/>
    <row r="389" ht="20.100000000000001" customHeight="1" x14ac:dyDescent="0.2"/>
    <row r="390" ht="20.100000000000001" customHeight="1" x14ac:dyDescent="0.2"/>
    <row r="391" ht="20.100000000000001" customHeight="1" x14ac:dyDescent="0.2"/>
    <row r="392" ht="20.100000000000001" customHeight="1" x14ac:dyDescent="0.2"/>
    <row r="393" ht="20.100000000000001" customHeight="1" x14ac:dyDescent="0.2"/>
    <row r="394" ht="20.100000000000001" customHeight="1" x14ac:dyDescent="0.2"/>
    <row r="395" ht="20.100000000000001" customHeight="1" x14ac:dyDescent="0.2"/>
    <row r="396" ht="20.100000000000001" customHeight="1" x14ac:dyDescent="0.2"/>
    <row r="397" ht="20.100000000000001" customHeight="1" x14ac:dyDescent="0.2"/>
    <row r="398" ht="20.100000000000001" customHeight="1" x14ac:dyDescent="0.2"/>
    <row r="399" ht="20.100000000000001" customHeight="1" x14ac:dyDescent="0.2"/>
    <row r="400" ht="20.100000000000001" customHeight="1" x14ac:dyDescent="0.2"/>
    <row r="401" ht="20.100000000000001" customHeight="1" x14ac:dyDescent="0.2"/>
    <row r="402" ht="20.100000000000001" customHeight="1" x14ac:dyDescent="0.2"/>
    <row r="403" ht="20.100000000000001" customHeight="1" x14ac:dyDescent="0.2"/>
    <row r="404" ht="20.100000000000001" customHeight="1" x14ac:dyDescent="0.2"/>
    <row r="405" ht="20.100000000000001" customHeight="1" x14ac:dyDescent="0.2"/>
    <row r="406" ht="20.100000000000001" customHeight="1" x14ac:dyDescent="0.2"/>
    <row r="407" ht="20.100000000000001" customHeight="1" x14ac:dyDescent="0.2"/>
    <row r="408" ht="20.100000000000001" customHeight="1" x14ac:dyDescent="0.2"/>
    <row r="409" ht="20.100000000000001" customHeight="1" x14ac:dyDescent="0.2"/>
    <row r="410" ht="20.100000000000001" customHeight="1" x14ac:dyDescent="0.2"/>
    <row r="411" ht="20.100000000000001" customHeight="1" x14ac:dyDescent="0.2"/>
    <row r="412" ht="20.100000000000001" customHeight="1" x14ac:dyDescent="0.2"/>
    <row r="413" ht="20.100000000000001" customHeight="1" x14ac:dyDescent="0.2"/>
    <row r="414" ht="20.100000000000001" customHeight="1" x14ac:dyDescent="0.2"/>
    <row r="415" ht="20.100000000000001" customHeight="1" x14ac:dyDescent="0.2"/>
    <row r="416" ht="20.100000000000001" customHeight="1" x14ac:dyDescent="0.2"/>
    <row r="417" ht="20.100000000000001" customHeight="1" x14ac:dyDescent="0.2"/>
    <row r="418" ht="20.100000000000001" customHeight="1" x14ac:dyDescent="0.2"/>
    <row r="419" ht="20.100000000000001" customHeight="1" x14ac:dyDescent="0.2"/>
    <row r="420" ht="20.100000000000001" customHeight="1" x14ac:dyDescent="0.2"/>
    <row r="421" ht="20.100000000000001" customHeight="1" x14ac:dyDescent="0.2"/>
    <row r="422" ht="20.100000000000001" customHeight="1" x14ac:dyDescent="0.2"/>
    <row r="423" ht="20.100000000000001" customHeight="1" x14ac:dyDescent="0.2"/>
    <row r="424" ht="20.100000000000001" customHeight="1" x14ac:dyDescent="0.2"/>
    <row r="425" ht="20.100000000000001" customHeight="1" x14ac:dyDescent="0.2"/>
    <row r="426" ht="20.100000000000001" customHeight="1" x14ac:dyDescent="0.2"/>
    <row r="427" ht="20.100000000000001" customHeight="1" x14ac:dyDescent="0.2"/>
    <row r="428" ht="20.100000000000001" customHeight="1" x14ac:dyDescent="0.2"/>
    <row r="429" ht="20.100000000000001" customHeight="1" x14ac:dyDescent="0.2"/>
    <row r="430" ht="20.100000000000001" customHeight="1" x14ac:dyDescent="0.2"/>
    <row r="431" ht="20.100000000000001" customHeight="1" x14ac:dyDescent="0.2"/>
    <row r="432" ht="20.100000000000001" customHeight="1" x14ac:dyDescent="0.2"/>
    <row r="433" ht="20.100000000000001" customHeight="1" x14ac:dyDescent="0.2"/>
    <row r="434" ht="20.100000000000001" customHeight="1" x14ac:dyDescent="0.2"/>
    <row r="435" ht="20.100000000000001" customHeight="1" x14ac:dyDescent="0.2"/>
    <row r="436" ht="20.100000000000001" customHeight="1" x14ac:dyDescent="0.2"/>
    <row r="437" ht="20.100000000000001" customHeight="1" x14ac:dyDescent="0.2"/>
    <row r="438" ht="20.100000000000001" customHeight="1" x14ac:dyDescent="0.2"/>
    <row r="439" ht="20.100000000000001" customHeight="1" x14ac:dyDescent="0.2"/>
    <row r="440" ht="20.100000000000001" customHeight="1" x14ac:dyDescent="0.2"/>
    <row r="441" ht="20.100000000000001" customHeight="1" x14ac:dyDescent="0.2"/>
    <row r="442" ht="20.100000000000001" customHeight="1" x14ac:dyDescent="0.2"/>
    <row r="443" ht="20.100000000000001" customHeight="1" x14ac:dyDescent="0.2"/>
    <row r="444" ht="20.100000000000001" customHeight="1" x14ac:dyDescent="0.2"/>
    <row r="445" ht="20.100000000000001" customHeight="1" x14ac:dyDescent="0.2"/>
    <row r="446" ht="20.100000000000001" customHeight="1" x14ac:dyDescent="0.2"/>
    <row r="447" ht="20.100000000000001" customHeight="1" x14ac:dyDescent="0.2"/>
    <row r="448" ht="20.100000000000001" customHeight="1" x14ac:dyDescent="0.2"/>
    <row r="449" ht="20.100000000000001" customHeight="1" x14ac:dyDescent="0.2"/>
    <row r="450" ht="20.100000000000001" customHeight="1" x14ac:dyDescent="0.2"/>
    <row r="451" ht="20.100000000000001" customHeight="1" x14ac:dyDescent="0.2"/>
    <row r="452" ht="20.100000000000001" customHeight="1" x14ac:dyDescent="0.2"/>
    <row r="453" ht="20.100000000000001" customHeight="1" x14ac:dyDescent="0.2"/>
    <row r="454" ht="20.100000000000001" customHeight="1" x14ac:dyDescent="0.2"/>
    <row r="455" ht="20.100000000000001" customHeight="1" x14ac:dyDescent="0.2"/>
    <row r="456" ht="20.100000000000001" customHeight="1" x14ac:dyDescent="0.2"/>
    <row r="457" ht="20.100000000000001" customHeight="1" x14ac:dyDescent="0.2"/>
    <row r="458" ht="20.100000000000001" customHeight="1" x14ac:dyDescent="0.2"/>
    <row r="459" ht="20.100000000000001" customHeight="1" x14ac:dyDescent="0.2"/>
    <row r="460" ht="20.100000000000001" customHeight="1" x14ac:dyDescent="0.2"/>
    <row r="461" ht="20.100000000000001" customHeight="1" x14ac:dyDescent="0.2"/>
    <row r="462" ht="20.100000000000001" customHeight="1" x14ac:dyDescent="0.2"/>
    <row r="463" ht="20.100000000000001" customHeight="1" x14ac:dyDescent="0.2"/>
    <row r="464" ht="20.100000000000001" customHeight="1" x14ac:dyDescent="0.2"/>
    <row r="465" ht="20.100000000000001" customHeight="1" x14ac:dyDescent="0.2"/>
    <row r="466" ht="20.100000000000001" customHeight="1" x14ac:dyDescent="0.2"/>
    <row r="467" ht="20.100000000000001" customHeight="1" x14ac:dyDescent="0.2"/>
    <row r="468" ht="20.100000000000001" customHeight="1" x14ac:dyDescent="0.2"/>
    <row r="469" ht="20.100000000000001" customHeight="1" x14ac:dyDescent="0.2"/>
    <row r="470" ht="20.100000000000001" customHeight="1" x14ac:dyDescent="0.2"/>
    <row r="471" ht="20.100000000000001" customHeight="1" x14ac:dyDescent="0.2"/>
    <row r="472" ht="20.100000000000001" customHeight="1" x14ac:dyDescent="0.2"/>
    <row r="473" ht="20.100000000000001" customHeight="1" x14ac:dyDescent="0.2"/>
    <row r="474" ht="20.100000000000001" customHeight="1" x14ac:dyDescent="0.2"/>
    <row r="475" ht="20.100000000000001" customHeight="1" x14ac:dyDescent="0.2"/>
    <row r="476" ht="20.100000000000001" customHeight="1" x14ac:dyDescent="0.2"/>
    <row r="477" ht="20.100000000000001" customHeight="1" x14ac:dyDescent="0.2"/>
    <row r="478" ht="20.100000000000001" customHeight="1" x14ac:dyDescent="0.2"/>
    <row r="479" ht="20.100000000000001" customHeight="1" x14ac:dyDescent="0.2"/>
    <row r="480" ht="20.100000000000001" customHeight="1" x14ac:dyDescent="0.2"/>
    <row r="481" ht="20.100000000000001" customHeight="1" x14ac:dyDescent="0.2"/>
    <row r="482" ht="20.100000000000001" customHeight="1" x14ac:dyDescent="0.2"/>
    <row r="483" ht="20.100000000000001" customHeight="1" x14ac:dyDescent="0.2"/>
    <row r="484" ht="20.100000000000001" customHeight="1" x14ac:dyDescent="0.2"/>
    <row r="485" ht="20.100000000000001" customHeight="1" x14ac:dyDescent="0.2"/>
    <row r="486" ht="20.100000000000001" customHeight="1" x14ac:dyDescent="0.2"/>
    <row r="487" ht="20.100000000000001" customHeight="1" x14ac:dyDescent="0.2"/>
    <row r="488" ht="20.100000000000001" customHeight="1" x14ac:dyDescent="0.2"/>
    <row r="489" ht="20.100000000000001" customHeight="1" x14ac:dyDescent="0.2"/>
    <row r="490" ht="20.100000000000001" customHeight="1" x14ac:dyDescent="0.2"/>
    <row r="491" ht="20.100000000000001" customHeight="1" x14ac:dyDescent="0.2"/>
    <row r="492" ht="20.100000000000001" customHeight="1" x14ac:dyDescent="0.2"/>
    <row r="493" ht="20.100000000000001" customHeight="1" x14ac:dyDescent="0.2"/>
    <row r="494" ht="20.100000000000001" customHeight="1" x14ac:dyDescent="0.2"/>
    <row r="495" ht="20.100000000000001" customHeight="1" x14ac:dyDescent="0.2"/>
    <row r="496" ht="20.100000000000001" customHeight="1" x14ac:dyDescent="0.2"/>
    <row r="497" ht="20.100000000000001" customHeight="1" x14ac:dyDescent="0.2"/>
    <row r="498" ht="20.100000000000001" customHeight="1" x14ac:dyDescent="0.2"/>
    <row r="499" ht="20.100000000000001" customHeight="1" x14ac:dyDescent="0.2"/>
    <row r="500" ht="20.100000000000001" customHeight="1" x14ac:dyDescent="0.2"/>
    <row r="501" ht="20.100000000000001" customHeight="1" x14ac:dyDescent="0.2"/>
    <row r="502" ht="20.100000000000001" customHeight="1" x14ac:dyDescent="0.2"/>
    <row r="503" ht="20.100000000000001" customHeight="1" x14ac:dyDescent="0.2"/>
    <row r="504" ht="20.100000000000001" customHeight="1" x14ac:dyDescent="0.2"/>
    <row r="505" ht="20.100000000000001" customHeight="1" x14ac:dyDescent="0.2"/>
    <row r="506" ht="20.100000000000001" customHeight="1" x14ac:dyDescent="0.2"/>
    <row r="507" ht="20.100000000000001" customHeight="1" x14ac:dyDescent="0.2"/>
    <row r="508" ht="20.100000000000001" customHeight="1" x14ac:dyDescent="0.2"/>
    <row r="509" ht="20.100000000000001" customHeight="1" x14ac:dyDescent="0.2"/>
    <row r="510" ht="20.100000000000001" customHeight="1" x14ac:dyDescent="0.2"/>
    <row r="511" ht="20.100000000000001" customHeight="1" x14ac:dyDescent="0.2"/>
    <row r="512" ht="20.100000000000001" customHeight="1" x14ac:dyDescent="0.2"/>
    <row r="513" ht="20.100000000000001" customHeight="1" x14ac:dyDescent="0.2"/>
    <row r="514" ht="20.100000000000001" customHeight="1" x14ac:dyDescent="0.2"/>
    <row r="515" ht="20.100000000000001" customHeight="1" x14ac:dyDescent="0.2"/>
    <row r="516" ht="20.100000000000001" customHeight="1" x14ac:dyDescent="0.2"/>
    <row r="517" ht="20.100000000000001" customHeight="1" x14ac:dyDescent="0.2"/>
    <row r="518" ht="20.100000000000001" customHeight="1" x14ac:dyDescent="0.2"/>
    <row r="519" ht="20.100000000000001" customHeight="1" x14ac:dyDescent="0.2"/>
    <row r="520" ht="20.100000000000001" customHeight="1" x14ac:dyDescent="0.2"/>
    <row r="521" ht="20.100000000000001" customHeight="1" x14ac:dyDescent="0.2"/>
    <row r="522" ht="20.100000000000001" customHeight="1" x14ac:dyDescent="0.2"/>
    <row r="523" ht="20.100000000000001" customHeight="1" x14ac:dyDescent="0.2"/>
    <row r="524" ht="20.100000000000001" customHeight="1" x14ac:dyDescent="0.2"/>
    <row r="525" ht="20.100000000000001" customHeight="1" x14ac:dyDescent="0.2"/>
    <row r="526" ht="20.100000000000001" customHeight="1" x14ac:dyDescent="0.2"/>
    <row r="527" ht="20.100000000000001" customHeight="1" x14ac:dyDescent="0.2"/>
    <row r="528" ht="20.100000000000001" customHeight="1" x14ac:dyDescent="0.2"/>
    <row r="529" ht="20.100000000000001" customHeight="1" x14ac:dyDescent="0.2"/>
    <row r="530" ht="20.100000000000001" customHeight="1" x14ac:dyDescent="0.2"/>
    <row r="531" ht="20.100000000000001" customHeight="1" x14ac:dyDescent="0.2"/>
    <row r="532" ht="20.100000000000001" customHeight="1" x14ac:dyDescent="0.2"/>
    <row r="533" ht="20.100000000000001" customHeight="1" x14ac:dyDescent="0.2"/>
  </sheetData>
  <mergeCells count="18">
    <mergeCell ref="F19:G19"/>
    <mergeCell ref="J3:K3"/>
    <mergeCell ref="B15:D15"/>
    <mergeCell ref="B16:D16"/>
    <mergeCell ref="B17:D17"/>
    <mergeCell ref="F17:K17"/>
    <mergeCell ref="F15:L15"/>
    <mergeCell ref="F16:L16"/>
    <mergeCell ref="A33:C33"/>
    <mergeCell ref="A34:C34"/>
    <mergeCell ref="A35:C35"/>
    <mergeCell ref="A24:C24"/>
    <mergeCell ref="A23:C23"/>
    <mergeCell ref="A26:C26"/>
    <mergeCell ref="A29:C29"/>
    <mergeCell ref="A30:C30"/>
    <mergeCell ref="A31:C31"/>
    <mergeCell ref="A32:C32"/>
  </mergeCells>
  <printOptions horizontalCentered="1"/>
  <pageMargins left="0.39370078740157483" right="0.39370078740157483" top="0.39370078740157483" bottom="0.39370078740157483" header="0.31496062992125984" footer="0.31496062992125984"/>
  <pageSetup paperSize="9" scale="82"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Y77"/>
  <sheetViews>
    <sheetView topLeftCell="A4" zoomScaleNormal="100" workbookViewId="0">
      <pane xSplit="1" ySplit="5" topLeftCell="B47" activePane="bottomRight" state="frozen"/>
      <selection activeCell="J18" sqref="J18"/>
      <selection pane="topRight" activeCell="J18" sqref="J18"/>
      <selection pane="bottomLeft" activeCell="J18" sqref="J18"/>
      <selection pane="bottomRight" activeCell="E61" sqref="E61"/>
    </sheetView>
  </sheetViews>
  <sheetFormatPr baseColWidth="10" defaultRowHeight="15.75" outlineLevelCol="1" x14ac:dyDescent="0.25"/>
  <cols>
    <col min="1" max="1" width="20" style="39" customWidth="1"/>
    <col min="2" max="2" width="11.42578125" style="39" customWidth="1" outlineLevel="1"/>
    <col min="3" max="3" width="13.5703125" style="39" customWidth="1" outlineLevel="1"/>
    <col min="4" max="4" width="14.85546875" style="39" customWidth="1" outlineLevel="1"/>
    <col min="5" max="5" width="16.42578125" style="39" customWidth="1" outlineLevel="1"/>
    <col min="6" max="6" width="12.42578125" style="39" customWidth="1" outlineLevel="1"/>
    <col min="7" max="7" width="15" style="39" customWidth="1" outlineLevel="1"/>
    <col min="8" max="9" width="11.42578125" style="39" customWidth="1" outlineLevel="1"/>
    <col min="10" max="10" width="12.85546875" style="39" customWidth="1" outlineLevel="1"/>
    <col min="11" max="11" width="23.28515625" style="39" customWidth="1"/>
    <col min="12" max="13" width="17.5703125" style="39" customWidth="1"/>
    <col min="14" max="14" width="20.5703125" style="39" customWidth="1"/>
    <col min="15" max="15" width="21.140625" style="60" customWidth="1"/>
    <col min="16" max="16" width="17.5703125" style="39" hidden="1" customWidth="1"/>
    <col min="17" max="17" width="15.42578125" style="233" hidden="1" customWidth="1"/>
    <col min="18" max="18" width="15" style="233" hidden="1" customWidth="1"/>
    <col min="19" max="16384" width="11.42578125" style="233"/>
  </cols>
  <sheetData>
    <row r="1" spans="1:19" ht="23.25" customHeight="1" x14ac:dyDescent="0.25">
      <c r="A1" s="868" t="s">
        <v>228</v>
      </c>
      <c r="B1" s="868"/>
      <c r="C1" s="868"/>
      <c r="D1" s="868"/>
      <c r="E1" s="868"/>
      <c r="F1" s="868"/>
      <c r="G1" s="868"/>
      <c r="H1" s="868"/>
      <c r="I1" s="868"/>
      <c r="J1" s="868"/>
      <c r="K1" s="868"/>
    </row>
    <row r="2" spans="1:19" ht="21.75" customHeight="1" x14ac:dyDescent="0.25">
      <c r="A2" s="868" t="s">
        <v>170</v>
      </c>
      <c r="B2" s="868"/>
      <c r="C2" s="868"/>
      <c r="D2" s="868"/>
      <c r="E2" s="868"/>
      <c r="F2" s="868"/>
      <c r="G2" s="868"/>
      <c r="H2" s="868"/>
      <c r="I2" s="868"/>
      <c r="J2" s="868"/>
      <c r="K2" s="868"/>
      <c r="N2" s="39" t="s">
        <v>62</v>
      </c>
    </row>
    <row r="3" spans="1:19" ht="21.75" customHeight="1" x14ac:dyDescent="0.25">
      <c r="A3" s="93"/>
      <c r="B3" s="397"/>
      <c r="C3" s="397"/>
      <c r="D3" s="397"/>
      <c r="E3" s="250"/>
      <c r="F3" s="250"/>
      <c r="G3" s="250"/>
      <c r="H3" s="250"/>
      <c r="I3" s="250"/>
      <c r="J3" s="250"/>
      <c r="K3" s="250"/>
      <c r="R3" s="387" t="s">
        <v>190</v>
      </c>
    </row>
    <row r="4" spans="1:19" ht="16.5" x14ac:dyDescent="0.3">
      <c r="A4" s="15" t="s">
        <v>19</v>
      </c>
      <c r="B4" s="15"/>
      <c r="C4" s="639">
        <f>+'Cont recet ss'!D7</f>
        <v>43221</v>
      </c>
      <c r="D4" s="15"/>
      <c r="E4" s="15"/>
      <c r="F4" s="15"/>
      <c r="G4" s="15"/>
      <c r="H4" s="15"/>
      <c r="I4" s="15"/>
      <c r="J4" s="15"/>
      <c r="K4" s="15"/>
      <c r="L4" s="15"/>
      <c r="M4" s="15"/>
      <c r="N4" s="251" t="s">
        <v>165</v>
      </c>
      <c r="O4" s="839"/>
      <c r="R4" s="234"/>
    </row>
    <row r="5" spans="1:19" ht="16.5" x14ac:dyDescent="0.3">
      <c r="A5" s="15"/>
      <c r="B5" s="15"/>
      <c r="C5" s="15"/>
      <c r="D5" s="15"/>
      <c r="E5" s="15"/>
      <c r="F5" s="15"/>
      <c r="G5" s="15"/>
      <c r="H5" s="15"/>
      <c r="I5" s="15"/>
      <c r="J5" s="15">
        <f>1402521-K40</f>
        <v>1349521</v>
      </c>
      <c r="K5" s="15">
        <f>5382000-K14</f>
        <v>5382000</v>
      </c>
      <c r="L5" s="15"/>
      <c r="M5" s="15"/>
      <c r="N5" s="15"/>
      <c r="O5" s="839"/>
      <c r="Q5" s="234"/>
      <c r="R5" s="234"/>
    </row>
    <row r="6" spans="1:19" s="843" customFormat="1" ht="20.100000000000001" customHeight="1" x14ac:dyDescent="0.3">
      <c r="A6" s="3013" t="s">
        <v>58</v>
      </c>
      <c r="B6" s="3028" t="s">
        <v>15</v>
      </c>
      <c r="C6" s="3029"/>
      <c r="D6" s="3028" t="s">
        <v>16</v>
      </c>
      <c r="E6" s="3029"/>
      <c r="F6" s="3028" t="s">
        <v>17</v>
      </c>
      <c r="G6" s="3029"/>
      <c r="H6" s="3037" t="s">
        <v>52</v>
      </c>
      <c r="I6" s="3040" t="s">
        <v>53</v>
      </c>
      <c r="J6" s="3013" t="s">
        <v>54</v>
      </c>
      <c r="K6" s="3013" t="s">
        <v>152</v>
      </c>
      <c r="L6" s="3019" t="s">
        <v>60</v>
      </c>
      <c r="M6" s="3013" t="s">
        <v>55</v>
      </c>
      <c r="N6" s="3022" t="s">
        <v>1018</v>
      </c>
      <c r="O6" s="3025" t="s">
        <v>1019</v>
      </c>
      <c r="P6" s="3016" t="s">
        <v>59</v>
      </c>
      <c r="Q6" s="3016" t="s">
        <v>107</v>
      </c>
      <c r="R6" s="3016" t="s">
        <v>108</v>
      </c>
    </row>
    <row r="7" spans="1:19" s="843" customFormat="1" ht="20.100000000000001" customHeight="1" x14ac:dyDescent="0.3">
      <c r="A7" s="3014"/>
      <c r="B7" s="844">
        <v>630</v>
      </c>
      <c r="C7" s="845"/>
      <c r="D7" s="846">
        <v>575</v>
      </c>
      <c r="E7" s="847"/>
      <c r="F7" s="844">
        <v>350</v>
      </c>
      <c r="G7" s="845"/>
      <c r="H7" s="3038"/>
      <c r="I7" s="3041"/>
      <c r="J7" s="3014"/>
      <c r="K7" s="3014"/>
      <c r="L7" s="3020"/>
      <c r="M7" s="3014"/>
      <c r="N7" s="3023"/>
      <c r="O7" s="3026"/>
      <c r="P7" s="3017"/>
      <c r="Q7" s="3017"/>
      <c r="R7" s="3017"/>
    </row>
    <row r="8" spans="1:19" s="843" customFormat="1" ht="20.100000000000001" customHeight="1" x14ac:dyDescent="0.3">
      <c r="A8" s="3015"/>
      <c r="B8" s="848" t="s">
        <v>56</v>
      </c>
      <c r="C8" s="848" t="s">
        <v>37</v>
      </c>
      <c r="D8" s="848" t="s">
        <v>56</v>
      </c>
      <c r="E8" s="848" t="s">
        <v>37</v>
      </c>
      <c r="F8" s="848" t="s">
        <v>56</v>
      </c>
      <c r="G8" s="848" t="s">
        <v>37</v>
      </c>
      <c r="H8" s="3039"/>
      <c r="I8" s="3042"/>
      <c r="J8" s="3015"/>
      <c r="K8" s="3015"/>
      <c r="L8" s="3021"/>
      <c r="M8" s="3015"/>
      <c r="N8" s="3024"/>
      <c r="O8" s="3027"/>
      <c r="P8" s="3018"/>
      <c r="Q8" s="3018"/>
      <c r="R8" s="3018"/>
    </row>
    <row r="9" spans="1:19" ht="20.100000000000001" customHeight="1" x14ac:dyDescent="0.3">
      <c r="A9" s="730" t="s">
        <v>213</v>
      </c>
      <c r="B9" s="256">
        <f>+C9/520</f>
        <v>0</v>
      </c>
      <c r="C9" s="22">
        <f>+SODITRAT!C40</f>
        <v>0</v>
      </c>
      <c r="D9" s="256">
        <f>+E9/520</f>
        <v>0</v>
      </c>
      <c r="E9" s="22">
        <f>+SODITRAT!K40</f>
        <v>0</v>
      </c>
      <c r="F9" s="256">
        <f>+G9/520</f>
        <v>0</v>
      </c>
      <c r="G9" s="22">
        <f>+SODITRAT!G40</f>
        <v>0</v>
      </c>
      <c r="H9" s="22">
        <f>+SODITRAT!H40</f>
        <v>0</v>
      </c>
      <c r="I9" s="22">
        <f>+BLESSING!I40</f>
        <v>0</v>
      </c>
      <c r="J9" s="22">
        <f>+BLESSING!J40</f>
        <v>0</v>
      </c>
      <c r="K9" s="256">
        <f t="shared" ref="K9:K62" si="0">+C9+E9+G9+H9+J9</f>
        <v>0</v>
      </c>
      <c r="L9" s="22">
        <f>SODITRAT!M40</f>
        <v>0</v>
      </c>
      <c r="M9" s="22">
        <f>K9-L9</f>
        <v>0</v>
      </c>
      <c r="N9" s="255">
        <f>+SODITRAT!N8</f>
        <v>-1622049</v>
      </c>
      <c r="O9" s="837">
        <f>M9+N9</f>
        <v>-1622049</v>
      </c>
      <c r="P9" s="22">
        <f t="shared" ref="P9:P46" si="1">O9-N9</f>
        <v>0</v>
      </c>
      <c r="Q9" s="810">
        <f t="shared" ref="Q9:Q20" si="2">IF(O9&lt;0,,O9)</f>
        <v>0</v>
      </c>
      <c r="R9" s="810">
        <f t="shared" ref="R9:R22" si="3">IF(O9&gt;0,,-O9)</f>
        <v>1622049</v>
      </c>
      <c r="S9" s="842"/>
    </row>
    <row r="10" spans="1:19" ht="20.100000000000001" customHeight="1" x14ac:dyDescent="0.3">
      <c r="A10" s="730" t="s">
        <v>609</v>
      </c>
      <c r="B10" s="256">
        <f>+C10/520</f>
        <v>0</v>
      </c>
      <c r="C10" s="22">
        <f>'GREEN OIL'!C40</f>
        <v>0</v>
      </c>
      <c r="D10" s="22">
        <f>'GREEN OIL'!D40</f>
        <v>0</v>
      </c>
      <c r="E10" s="22">
        <f>'GREEN OIL'!E40</f>
        <v>0</v>
      </c>
      <c r="F10" s="22">
        <f>'GREEN OIL'!F40</f>
        <v>0</v>
      </c>
      <c r="G10" s="22">
        <f>'GREEN OIL'!G40</f>
        <v>0</v>
      </c>
      <c r="H10" s="22">
        <f>'GREEN OIL'!H40</f>
        <v>0</v>
      </c>
      <c r="I10" s="22">
        <f>'GREEN OIL'!I40</f>
        <v>0</v>
      </c>
      <c r="J10" s="22">
        <f>'GREEN OIL'!J40</f>
        <v>0</v>
      </c>
      <c r="K10" s="256">
        <f t="shared" si="0"/>
        <v>0</v>
      </c>
      <c r="L10" s="256">
        <f>'GREEN OIL'!L40</f>
        <v>0</v>
      </c>
      <c r="M10" s="22">
        <f t="shared" ref="M10:M62" si="4">K10-L10</f>
        <v>0</v>
      </c>
      <c r="N10" s="255">
        <f>+'GREEN OIL'!N8</f>
        <v>0</v>
      </c>
      <c r="O10" s="837">
        <f t="shared" ref="O10:O62" si="5">M10+N10</f>
        <v>0</v>
      </c>
      <c r="P10" s="22">
        <f t="shared" si="1"/>
        <v>0</v>
      </c>
      <c r="Q10" s="810">
        <f t="shared" si="2"/>
        <v>0</v>
      </c>
      <c r="R10" s="810">
        <f t="shared" si="3"/>
        <v>0</v>
      </c>
      <c r="S10" s="842"/>
    </row>
    <row r="11" spans="1:19" ht="20.100000000000001" customHeight="1" x14ac:dyDescent="0.3">
      <c r="A11" s="730" t="s">
        <v>610</v>
      </c>
      <c r="B11" s="22">
        <f>'PROGRES AUTO'!B39</f>
        <v>0</v>
      </c>
      <c r="C11" s="22">
        <f>'PROGRES AUTO'!C39</f>
        <v>0</v>
      </c>
      <c r="D11" s="22">
        <f>'PROGRES AUTO'!D39</f>
        <v>0</v>
      </c>
      <c r="E11" s="22">
        <f>'PROGRES AUTO'!E39</f>
        <v>0</v>
      </c>
      <c r="F11" s="22">
        <f>'PROGRES AUTO'!F39</f>
        <v>0</v>
      </c>
      <c r="G11" s="22">
        <f>'PROGRES AUTO'!G39</f>
        <v>0</v>
      </c>
      <c r="H11" s="22">
        <f>'PROGRES AUTO'!H39</f>
        <v>0</v>
      </c>
      <c r="I11" s="22">
        <f>'PROGRES AUTO'!I39</f>
        <v>0</v>
      </c>
      <c r="J11" s="22">
        <f>'PROGRES AUTO'!J39</f>
        <v>0</v>
      </c>
      <c r="K11" s="256">
        <f t="shared" si="0"/>
        <v>0</v>
      </c>
      <c r="L11" s="256">
        <f>'PROGRES AUTO'!M39</f>
        <v>0</v>
      </c>
      <c r="M11" s="22">
        <f t="shared" si="4"/>
        <v>0</v>
      </c>
      <c r="N11" s="255">
        <f>+'PROGRES AUTO'!N7</f>
        <v>-1600790</v>
      </c>
      <c r="O11" s="837">
        <f>M11+N11</f>
        <v>-1600790</v>
      </c>
      <c r="P11" s="22">
        <f t="shared" si="1"/>
        <v>0</v>
      </c>
      <c r="Q11" s="810">
        <f t="shared" si="2"/>
        <v>0</v>
      </c>
      <c r="R11" s="810">
        <f t="shared" si="3"/>
        <v>1600790</v>
      </c>
      <c r="S11" s="842"/>
    </row>
    <row r="12" spans="1:19" ht="20.100000000000001" customHeight="1" x14ac:dyDescent="0.3">
      <c r="A12" s="730" t="s">
        <v>818</v>
      </c>
      <c r="B12" s="22">
        <f>+COTRAM!B40</f>
        <v>0</v>
      </c>
      <c r="C12" s="22">
        <f>+COTRAM!C40</f>
        <v>0</v>
      </c>
      <c r="D12" s="22">
        <f>+COTRAM!D40</f>
        <v>0</v>
      </c>
      <c r="E12" s="22">
        <f>+COTRAM!E40</f>
        <v>0</v>
      </c>
      <c r="F12" s="22">
        <f>+COTRAM!F40</f>
        <v>0</v>
      </c>
      <c r="G12" s="22">
        <f>+COTRAM!G40</f>
        <v>0</v>
      </c>
      <c r="H12" s="22">
        <f>+COTRAM!H40</f>
        <v>0</v>
      </c>
      <c r="I12" s="22">
        <f>+COTRAM!I40</f>
        <v>0</v>
      </c>
      <c r="J12" s="22">
        <f>+COTRAM!J40</f>
        <v>0</v>
      </c>
      <c r="K12" s="256">
        <f t="shared" si="0"/>
        <v>0</v>
      </c>
      <c r="L12" s="256">
        <f>+COTRAM!M40</f>
        <v>0</v>
      </c>
      <c r="M12" s="22">
        <f t="shared" si="4"/>
        <v>0</v>
      </c>
      <c r="N12" s="255">
        <f>+COTRAM!N8</f>
        <v>-5</v>
      </c>
      <c r="O12" s="837">
        <f t="shared" si="5"/>
        <v>-5</v>
      </c>
      <c r="P12" s="22"/>
      <c r="Q12" s="810"/>
      <c r="R12" s="810"/>
      <c r="S12" s="842"/>
    </row>
    <row r="13" spans="1:19" ht="20.100000000000001" customHeight="1" x14ac:dyDescent="0.3">
      <c r="A13" s="730" t="s">
        <v>959</v>
      </c>
      <c r="B13" s="22">
        <f>CTS!B40</f>
        <v>0</v>
      </c>
      <c r="C13" s="22">
        <f>CTS!C40</f>
        <v>0</v>
      </c>
      <c r="D13" s="22">
        <f>CTS!D40</f>
        <v>0</v>
      </c>
      <c r="E13" s="22">
        <f>CTS!E40</f>
        <v>0</v>
      </c>
      <c r="F13" s="22">
        <f>CTS!F40</f>
        <v>0</v>
      </c>
      <c r="G13" s="22">
        <f>CTS!G40</f>
        <v>0</v>
      </c>
      <c r="H13" s="22">
        <f>CTS!H40</f>
        <v>0</v>
      </c>
      <c r="I13" s="22">
        <f>CTS!I40</f>
        <v>0</v>
      </c>
      <c r="J13" s="22">
        <f>CTS!J40</f>
        <v>0</v>
      </c>
      <c r="K13" s="256">
        <f t="shared" si="0"/>
        <v>0</v>
      </c>
      <c r="L13" s="256">
        <f>CTS!M40</f>
        <v>0</v>
      </c>
      <c r="M13" s="22">
        <f t="shared" si="4"/>
        <v>0</v>
      </c>
      <c r="N13" s="255">
        <f>CTS!N8</f>
        <v>1894514</v>
      </c>
      <c r="O13" s="837">
        <f t="shared" si="5"/>
        <v>1894514</v>
      </c>
      <c r="P13" s="22"/>
      <c r="Q13" s="810"/>
      <c r="R13" s="810"/>
      <c r="S13" s="842"/>
    </row>
    <row r="14" spans="1:19" ht="20.100000000000001" customHeight="1" x14ac:dyDescent="0.3">
      <c r="A14" s="730" t="s">
        <v>456</v>
      </c>
      <c r="B14" s="256">
        <f>STC!B39</f>
        <v>0</v>
      </c>
      <c r="C14" s="256">
        <f>STC!C39</f>
        <v>0</v>
      </c>
      <c r="D14" s="256">
        <f>STC!D39</f>
        <v>0</v>
      </c>
      <c r="E14" s="1021">
        <f>STC!E39</f>
        <v>0</v>
      </c>
      <c r="F14" s="256">
        <f>STC!F39</f>
        <v>0</v>
      </c>
      <c r="G14" s="256">
        <f>STC!G39</f>
        <v>0</v>
      </c>
      <c r="H14" s="256">
        <f>STC!H39</f>
        <v>0</v>
      </c>
      <c r="I14" s="256">
        <f>STC!I39</f>
        <v>0</v>
      </c>
      <c r="J14" s="256">
        <f>STC!J39</f>
        <v>0</v>
      </c>
      <c r="K14" s="256">
        <f t="shared" si="0"/>
        <v>0</v>
      </c>
      <c r="L14" s="22">
        <f>STC!M39</f>
        <v>0</v>
      </c>
      <c r="M14" s="22">
        <f t="shared" si="4"/>
        <v>0</v>
      </c>
      <c r="N14" s="255">
        <f>+STC!N7</f>
        <v>141718532</v>
      </c>
      <c r="O14" s="837">
        <f t="shared" si="5"/>
        <v>141718532</v>
      </c>
      <c r="P14" s="22">
        <f t="shared" si="1"/>
        <v>0</v>
      </c>
      <c r="Q14" s="810">
        <f t="shared" si="2"/>
        <v>141718532</v>
      </c>
      <c r="R14" s="810">
        <f t="shared" si="3"/>
        <v>0</v>
      </c>
      <c r="S14" s="842"/>
    </row>
    <row r="15" spans="1:19" ht="20.100000000000001" customHeight="1" x14ac:dyDescent="0.3">
      <c r="A15" s="730" t="s">
        <v>483</v>
      </c>
      <c r="B15" s="256">
        <f>CTC!B40</f>
        <v>0</v>
      </c>
      <c r="C15" s="256">
        <f>CTC!C40</f>
        <v>0</v>
      </c>
      <c r="D15" s="256">
        <f>CTC!D40</f>
        <v>0</v>
      </c>
      <c r="E15" s="256">
        <f>CTC!E40</f>
        <v>0</v>
      </c>
      <c r="F15" s="256">
        <f>CTC!F40</f>
        <v>0</v>
      </c>
      <c r="G15" s="256">
        <f>CTC!G40</f>
        <v>0</v>
      </c>
      <c r="H15" s="256">
        <f>CTC!H40</f>
        <v>0</v>
      </c>
      <c r="I15" s="256">
        <f>CTC!I40</f>
        <v>0</v>
      </c>
      <c r="J15" s="256">
        <f>CTC!J40</f>
        <v>0</v>
      </c>
      <c r="K15" s="256">
        <f t="shared" si="0"/>
        <v>0</v>
      </c>
      <c r="L15" s="22">
        <f>+CTC!M40</f>
        <v>0</v>
      </c>
      <c r="M15" s="22">
        <f t="shared" si="4"/>
        <v>0</v>
      </c>
      <c r="N15" s="255">
        <f>CTC!N8</f>
        <v>14908500</v>
      </c>
      <c r="O15" s="837">
        <f t="shared" si="5"/>
        <v>14908500</v>
      </c>
      <c r="P15" s="22">
        <f t="shared" si="1"/>
        <v>0</v>
      </c>
      <c r="Q15" s="810">
        <f t="shared" si="2"/>
        <v>14908500</v>
      </c>
      <c r="R15" s="810">
        <f t="shared" si="3"/>
        <v>0</v>
      </c>
      <c r="S15" s="842"/>
    </row>
    <row r="16" spans="1:19" ht="20.100000000000001" customHeight="1" x14ac:dyDescent="0.3">
      <c r="A16" s="730" t="s">
        <v>957</v>
      </c>
      <c r="B16" s="256"/>
      <c r="C16" s="256"/>
      <c r="D16" s="256">
        <f>+GOLAR!B41</f>
        <v>0</v>
      </c>
      <c r="E16" s="256">
        <f>+GOLAR!C41</f>
        <v>0</v>
      </c>
      <c r="F16" s="256">
        <f>+GOLAR!D41</f>
        <v>8000</v>
      </c>
      <c r="G16" s="256">
        <f>+GOLAR!E41</f>
        <v>4600000</v>
      </c>
      <c r="H16" s="256">
        <f>+GOLAR!F41</f>
        <v>0</v>
      </c>
      <c r="I16" s="256">
        <f>+GOLAR!G41</f>
        <v>0</v>
      </c>
      <c r="J16" s="256">
        <f>+GOLAR!H41</f>
        <v>0</v>
      </c>
      <c r="K16" s="256">
        <f t="shared" si="0"/>
        <v>4600000</v>
      </c>
      <c r="L16" s="22">
        <f>+GOLAR!M41</f>
        <v>0</v>
      </c>
      <c r="M16" s="22">
        <f>+K16-L16</f>
        <v>4600000</v>
      </c>
      <c r="N16" s="255">
        <f>+GOLAR!N9</f>
        <v>0</v>
      </c>
      <c r="O16" s="837">
        <f t="shared" si="5"/>
        <v>4600000</v>
      </c>
      <c r="P16" s="22"/>
      <c r="Q16" s="810"/>
      <c r="R16" s="810"/>
      <c r="S16" s="842"/>
    </row>
    <row r="17" spans="1:19" ht="20.100000000000001" customHeight="1" x14ac:dyDescent="0.3">
      <c r="A17" s="730" t="s">
        <v>963</v>
      </c>
      <c r="B17" s="256">
        <f>+DJOMETCHOUA!B41</f>
        <v>0</v>
      </c>
      <c r="C17" s="256">
        <f>+DJOMETCHOUA!C41</f>
        <v>0</v>
      </c>
      <c r="D17" s="256">
        <f>+DJOMETCHOUA!D41</f>
        <v>0</v>
      </c>
      <c r="E17" s="256">
        <f>+DJOMETCHOUA!E41</f>
        <v>0</v>
      </c>
      <c r="F17" s="256">
        <f>+DJOMETCHOUA!F41</f>
        <v>0</v>
      </c>
      <c r="G17" s="256">
        <f>+DJOMETCHOUA!G41</f>
        <v>0</v>
      </c>
      <c r="H17" s="256">
        <f>+DJOMETCHOUA!H41</f>
        <v>0</v>
      </c>
      <c r="I17" s="256">
        <f>+DJOMETCHOUA!I41</f>
        <v>0</v>
      </c>
      <c r="J17" s="256">
        <f>+DJOMETCHOUA!J41</f>
        <v>0</v>
      </c>
      <c r="K17" s="256">
        <f t="shared" si="0"/>
        <v>0</v>
      </c>
      <c r="L17" s="22">
        <f>+DJOMETCHOUA!M41</f>
        <v>0</v>
      </c>
      <c r="M17" s="22">
        <f>+K17-L17</f>
        <v>0</v>
      </c>
      <c r="N17" s="255">
        <f>+DJOMETCHOUA!N9</f>
        <v>-191</v>
      </c>
      <c r="O17" s="837">
        <f t="shared" si="5"/>
        <v>-191</v>
      </c>
      <c r="P17" s="22"/>
      <c r="Q17" s="810"/>
      <c r="R17" s="810"/>
      <c r="S17" s="842"/>
    </row>
    <row r="18" spans="1:19" ht="20.100000000000001" customHeight="1" x14ac:dyDescent="0.3">
      <c r="A18" s="730" t="s">
        <v>2019</v>
      </c>
      <c r="B18" s="256">
        <f>+AFRICURE!B42</f>
        <v>0</v>
      </c>
      <c r="C18" s="256">
        <f>+AFRICURE!C42</f>
        <v>0</v>
      </c>
      <c r="D18" s="256">
        <f>+AFRICURE!D42</f>
        <v>2000</v>
      </c>
      <c r="E18" s="256">
        <f>+AFRICURE!E42</f>
        <v>1150000</v>
      </c>
      <c r="F18" s="256">
        <f>+AFRICURE!F42</f>
        <v>0</v>
      </c>
      <c r="G18" s="256">
        <f>+AFRICURE!G42</f>
        <v>0</v>
      </c>
      <c r="H18" s="256">
        <f>+AFRICURE!H42</f>
        <v>0</v>
      </c>
      <c r="I18" s="256">
        <f>+AFRICURE!I42</f>
        <v>0</v>
      </c>
      <c r="J18" s="256">
        <f>+AFRICURE!J42</f>
        <v>0</v>
      </c>
      <c r="K18" s="256">
        <f t="shared" si="0"/>
        <v>1150000</v>
      </c>
      <c r="L18" s="22">
        <f>+AFRICURE!M42</f>
        <v>0</v>
      </c>
      <c r="M18" s="22">
        <f>+K18-L18</f>
        <v>1150000</v>
      </c>
      <c r="N18" s="255">
        <f>+AFRICURE!N9</f>
        <v>0</v>
      </c>
      <c r="O18" s="837">
        <f t="shared" si="5"/>
        <v>1150000</v>
      </c>
      <c r="P18" s="22"/>
      <c r="Q18" s="810"/>
      <c r="R18" s="810"/>
      <c r="S18" s="842"/>
    </row>
    <row r="19" spans="1:19" ht="20.100000000000001" customHeight="1" x14ac:dyDescent="0.3">
      <c r="A19" s="730" t="s">
        <v>1958</v>
      </c>
      <c r="B19" s="256">
        <f>+CIC!B41</f>
        <v>0</v>
      </c>
      <c r="C19" s="256">
        <f>+CIC!C41</f>
        <v>0</v>
      </c>
      <c r="D19" s="256">
        <f>+CIC!D41</f>
        <v>1342.4347826086955</v>
      </c>
      <c r="E19" s="256">
        <f>+CIC!E41</f>
        <v>771900</v>
      </c>
      <c r="F19" s="256">
        <f>+CIC!F41</f>
        <v>0</v>
      </c>
      <c r="G19" s="256">
        <f>+CIC!G41</f>
        <v>0</v>
      </c>
      <c r="H19" s="256">
        <f>+CIC!H41</f>
        <v>0</v>
      </c>
      <c r="I19" s="256">
        <f>+CIC!I41</f>
        <v>0</v>
      </c>
      <c r="J19" s="256">
        <f>+CIC!J41</f>
        <v>0</v>
      </c>
      <c r="K19" s="256">
        <f t="shared" si="0"/>
        <v>771900</v>
      </c>
      <c r="L19" s="22">
        <f>+CIC!M41</f>
        <v>0</v>
      </c>
      <c r="M19" s="22">
        <f>+K19-L19</f>
        <v>771900</v>
      </c>
      <c r="N19" s="255">
        <f>+CIC!N9</f>
        <v>0</v>
      </c>
      <c r="O19" s="837">
        <f>+M19+N19</f>
        <v>771900</v>
      </c>
      <c r="P19" s="22">
        <f t="shared" si="1"/>
        <v>771900</v>
      </c>
      <c r="Q19" s="810">
        <f t="shared" si="2"/>
        <v>771900</v>
      </c>
      <c r="R19" s="810">
        <f t="shared" si="3"/>
        <v>0</v>
      </c>
      <c r="S19" s="842"/>
    </row>
    <row r="20" spans="1:19" s="337" customFormat="1" ht="20.100000000000001" customHeight="1" x14ac:dyDescent="0.3">
      <c r="A20" s="731" t="s">
        <v>1727</v>
      </c>
      <c r="B20" s="254">
        <f t="shared" ref="B20:B32" si="6">+C20/520</f>
        <v>0</v>
      </c>
      <c r="C20" s="254">
        <f>+SOCOPAT!C40</f>
        <v>0</v>
      </c>
      <c r="D20" s="254">
        <f t="shared" ref="D20:D32" si="7">+E20/520</f>
        <v>0</v>
      </c>
      <c r="E20" s="254">
        <f>+SOCOPAT!E40</f>
        <v>0</v>
      </c>
      <c r="F20" s="254">
        <f t="shared" ref="F20:F32" si="8">+G20/520</f>
        <v>0</v>
      </c>
      <c r="G20" s="254">
        <f>+SOCOPAT!G40</f>
        <v>0</v>
      </c>
      <c r="H20" s="254">
        <f>+SOCOPAT!H40</f>
        <v>0</v>
      </c>
      <c r="I20" s="254">
        <f>+SOCOPAT!I40</f>
        <v>0</v>
      </c>
      <c r="J20" s="254">
        <f>+SOCOPAT!J40</f>
        <v>0</v>
      </c>
      <c r="K20" s="256">
        <f t="shared" si="0"/>
        <v>0</v>
      </c>
      <c r="L20" s="254">
        <f>+SOCOPAT!M40</f>
        <v>0</v>
      </c>
      <c r="M20" s="22">
        <f t="shared" si="4"/>
        <v>0</v>
      </c>
      <c r="N20" s="255">
        <f>+SOCOPAT!N8</f>
        <v>0</v>
      </c>
      <c r="O20" s="837">
        <f t="shared" si="5"/>
        <v>0</v>
      </c>
      <c r="P20" s="22">
        <f t="shared" si="1"/>
        <v>0</v>
      </c>
      <c r="Q20" s="810">
        <f t="shared" si="2"/>
        <v>0</v>
      </c>
      <c r="R20" s="810">
        <f t="shared" si="3"/>
        <v>0</v>
      </c>
    </row>
    <row r="21" spans="1:19" s="337" customFormat="1" ht="20.100000000000001" customHeight="1" x14ac:dyDescent="0.3">
      <c r="A21" s="732" t="s">
        <v>221</v>
      </c>
      <c r="B21" s="254">
        <f t="shared" si="6"/>
        <v>0</v>
      </c>
      <c r="C21" s="254">
        <f>+BONIMEX!C40</f>
        <v>0</v>
      </c>
      <c r="D21" s="254">
        <f t="shared" si="7"/>
        <v>0</v>
      </c>
      <c r="E21" s="254">
        <f>+BONIMEX!K40</f>
        <v>0</v>
      </c>
      <c r="F21" s="254">
        <f t="shared" si="8"/>
        <v>0</v>
      </c>
      <c r="G21" s="254">
        <f>+BONIMEX!G40</f>
        <v>0</v>
      </c>
      <c r="H21" s="254">
        <f>+BONIMEX!H40</f>
        <v>0</v>
      </c>
      <c r="I21" s="254">
        <f>+BONIMEX!I40</f>
        <v>0</v>
      </c>
      <c r="J21" s="254">
        <f>+BONIMEX!J40</f>
        <v>0</v>
      </c>
      <c r="K21" s="256">
        <f t="shared" si="0"/>
        <v>0</v>
      </c>
      <c r="L21" s="254">
        <f>+BONIMEX!L40</f>
        <v>0</v>
      </c>
      <c r="M21" s="22">
        <f t="shared" si="4"/>
        <v>0</v>
      </c>
      <c r="N21" s="255">
        <f>+BONIMEX!M8</f>
        <v>0</v>
      </c>
      <c r="O21" s="837">
        <f t="shared" si="5"/>
        <v>0</v>
      </c>
      <c r="P21" s="22">
        <f t="shared" si="1"/>
        <v>0</v>
      </c>
      <c r="Q21" s="810"/>
      <c r="R21" s="810">
        <f t="shared" si="3"/>
        <v>0</v>
      </c>
    </row>
    <row r="22" spans="1:19" s="337" customFormat="1" ht="20.100000000000001" customHeight="1" x14ac:dyDescent="0.3">
      <c r="A22" s="693" t="s">
        <v>190</v>
      </c>
      <c r="B22" s="254">
        <f t="shared" si="6"/>
        <v>0</v>
      </c>
      <c r="C22" s="254">
        <f>BLESSING!C40</f>
        <v>0</v>
      </c>
      <c r="D22" s="254">
        <f t="shared" si="7"/>
        <v>0</v>
      </c>
      <c r="E22" s="254">
        <f>+BLESSING!K40</f>
        <v>0</v>
      </c>
      <c r="F22" s="254">
        <f t="shared" si="8"/>
        <v>0</v>
      </c>
      <c r="G22" s="254">
        <f>BLESSING!G40</f>
        <v>0</v>
      </c>
      <c r="H22" s="254">
        <f>BLESSING!H40</f>
        <v>0</v>
      </c>
      <c r="I22" s="254"/>
      <c r="J22" s="254"/>
      <c r="K22" s="256">
        <f t="shared" si="0"/>
        <v>0</v>
      </c>
      <c r="L22" s="254">
        <f>+BLESSING!L40</f>
        <v>0</v>
      </c>
      <c r="M22" s="22">
        <f t="shared" si="4"/>
        <v>0</v>
      </c>
      <c r="N22" s="255">
        <f>+BLESSING!M8</f>
        <v>707905</v>
      </c>
      <c r="O22" s="837">
        <f t="shared" si="5"/>
        <v>707905</v>
      </c>
      <c r="P22" s="22">
        <f t="shared" si="1"/>
        <v>0</v>
      </c>
      <c r="Q22" s="810">
        <f t="shared" ref="Q22:Q46" si="9">IF(O22&lt;0,,O22)</f>
        <v>707905</v>
      </c>
      <c r="R22" s="810">
        <f t="shared" si="3"/>
        <v>0</v>
      </c>
    </row>
    <row r="23" spans="1:19" s="337" customFormat="1" ht="20.100000000000001" customHeight="1" x14ac:dyDescent="0.3">
      <c r="A23" s="733" t="s">
        <v>311</v>
      </c>
      <c r="B23" s="254">
        <f t="shared" si="6"/>
        <v>0</v>
      </c>
      <c r="C23" s="254">
        <f>+HERAKLESS!C39</f>
        <v>0</v>
      </c>
      <c r="D23" s="254">
        <f t="shared" si="7"/>
        <v>0</v>
      </c>
      <c r="E23" s="254">
        <f>+HERAKLESS!E39</f>
        <v>0</v>
      </c>
      <c r="F23" s="254">
        <f t="shared" si="8"/>
        <v>0</v>
      </c>
      <c r="G23" s="254">
        <f>+HERAKLESS!G39</f>
        <v>0</v>
      </c>
      <c r="H23" s="254">
        <f>+HERAKLESS!H39</f>
        <v>0</v>
      </c>
      <c r="I23" s="254">
        <f>+HERAKLESS!I39</f>
        <v>0</v>
      </c>
      <c r="J23" s="254">
        <f>+HERAKLESS!J39</f>
        <v>0</v>
      </c>
      <c r="K23" s="256">
        <f t="shared" si="0"/>
        <v>0</v>
      </c>
      <c r="L23" s="254">
        <f>+HERAKLESS!M39</f>
        <v>0</v>
      </c>
      <c r="M23" s="22">
        <f t="shared" si="4"/>
        <v>0</v>
      </c>
      <c r="N23" s="255">
        <f>+HERAKLESS!N7</f>
        <v>-207454</v>
      </c>
      <c r="O23" s="837">
        <f t="shared" si="5"/>
        <v>-207454</v>
      </c>
      <c r="P23" s="22">
        <f t="shared" si="1"/>
        <v>0</v>
      </c>
      <c r="Q23" s="810">
        <f t="shared" si="9"/>
        <v>0</v>
      </c>
      <c r="R23" s="810">
        <f t="shared" ref="R23:R46" si="10">IF(O23&gt;0,,-O23)</f>
        <v>207454</v>
      </c>
    </row>
    <row r="24" spans="1:19" s="337" customFormat="1" ht="20.100000000000001" customHeight="1" x14ac:dyDescent="0.3">
      <c r="A24" s="733" t="s">
        <v>870</v>
      </c>
      <c r="B24" s="254">
        <f>+'ATLAS '!B42</f>
        <v>0</v>
      </c>
      <c r="C24" s="254">
        <f>+'ATLAS '!C42</f>
        <v>0</v>
      </c>
      <c r="D24" s="254">
        <f>+'ATLAS '!D42</f>
        <v>0</v>
      </c>
      <c r="E24" s="254">
        <f>+'ATLAS '!E42</f>
        <v>0</v>
      </c>
      <c r="F24" s="254">
        <f>+'ATLAS '!F42</f>
        <v>0</v>
      </c>
      <c r="G24" s="254">
        <f>+'ATLAS '!G42</f>
        <v>0</v>
      </c>
      <c r="H24" s="254">
        <f>+'ATLAS '!H42</f>
        <v>0</v>
      </c>
      <c r="I24" s="254">
        <f>+'ATLAS '!I42</f>
        <v>0</v>
      </c>
      <c r="J24" s="254">
        <f>+'ATLAS '!J42</f>
        <v>0</v>
      </c>
      <c r="K24" s="256">
        <f t="shared" si="0"/>
        <v>0</v>
      </c>
      <c r="L24" s="254">
        <f>+'ATLAS '!M42</f>
        <v>0</v>
      </c>
      <c r="M24" s="22">
        <f t="shared" si="4"/>
        <v>0</v>
      </c>
      <c r="N24" s="255">
        <f>+'ATLAS '!N9</f>
        <v>0</v>
      </c>
      <c r="O24" s="837">
        <f>+'ATLAS '!O40</f>
        <v>0</v>
      </c>
      <c r="P24" s="22">
        <f t="shared" si="1"/>
        <v>0</v>
      </c>
      <c r="Q24" s="810">
        <f t="shared" si="9"/>
        <v>0</v>
      </c>
      <c r="R24" s="810">
        <f t="shared" si="10"/>
        <v>0</v>
      </c>
    </row>
    <row r="25" spans="1:19" s="337" customFormat="1" ht="20.100000000000001" customHeight="1" x14ac:dyDescent="0.3">
      <c r="A25" s="733" t="s">
        <v>930</v>
      </c>
      <c r="B25" s="254"/>
      <c r="C25" s="254"/>
      <c r="D25" s="254"/>
      <c r="E25" s="254">
        <f>+'NEW GEX'!B42</f>
        <v>0</v>
      </c>
      <c r="F25" s="254">
        <f>+'NEW GEX'!C42</f>
        <v>0</v>
      </c>
      <c r="G25" s="254">
        <f>+'NEW GEX'!D42</f>
        <v>0</v>
      </c>
      <c r="H25" s="254">
        <f>+'NEW GEX'!E42</f>
        <v>0</v>
      </c>
      <c r="I25" s="254">
        <f>+'NEW GEX'!F42</f>
        <v>0</v>
      </c>
      <c r="J25" s="254">
        <f>+'NEW GEX'!G42</f>
        <v>0</v>
      </c>
      <c r="K25" s="256">
        <f t="shared" si="0"/>
        <v>0</v>
      </c>
      <c r="L25" s="254">
        <f>+'NEW GEX'!M42</f>
        <v>0</v>
      </c>
      <c r="M25" s="22">
        <f>K25-L25</f>
        <v>0</v>
      </c>
      <c r="N25" s="255">
        <f>+'NEW GEX'!N9</f>
        <v>0</v>
      </c>
      <c r="O25" s="837">
        <f>+'NEW GEX'!O40</f>
        <v>0</v>
      </c>
      <c r="P25" s="22">
        <f t="shared" si="1"/>
        <v>0</v>
      </c>
      <c r="Q25" s="810">
        <f t="shared" si="9"/>
        <v>0</v>
      </c>
      <c r="R25" s="810">
        <f t="shared" si="10"/>
        <v>0</v>
      </c>
    </row>
    <row r="26" spans="1:19" s="337" customFormat="1" ht="20.100000000000001" customHeight="1" x14ac:dyDescent="0.3">
      <c r="A26" s="733" t="s">
        <v>615</v>
      </c>
      <c r="B26" s="254">
        <f>'GRAND BETON'!B42</f>
        <v>0</v>
      </c>
      <c r="C26" s="254">
        <f>'GRAND BETON'!C42</f>
        <v>0</v>
      </c>
      <c r="D26" s="254">
        <f>'GRAND BETON'!D42</f>
        <v>0</v>
      </c>
      <c r="E26" s="254">
        <f>'GRAND BETON'!E42</f>
        <v>0</v>
      </c>
      <c r="F26" s="254">
        <f>'GRAND BETON'!F42</f>
        <v>0</v>
      </c>
      <c r="G26" s="254">
        <f>'GRAND BETON'!G42</f>
        <v>0</v>
      </c>
      <c r="H26" s="254">
        <f>'GRAND BETON'!H42</f>
        <v>0</v>
      </c>
      <c r="I26" s="254">
        <f>'GRAND BETON'!I42</f>
        <v>0</v>
      </c>
      <c r="J26" s="254">
        <f>'GRAND BETON'!J42</f>
        <v>0</v>
      </c>
      <c r="K26" s="256">
        <f t="shared" si="0"/>
        <v>0</v>
      </c>
      <c r="L26" s="254">
        <f>'GRAND BETON'!M42</f>
        <v>0</v>
      </c>
      <c r="M26" s="22">
        <f t="shared" si="4"/>
        <v>0</v>
      </c>
      <c r="N26" s="255">
        <f>+'GRAND BETON'!N9</f>
        <v>155289</v>
      </c>
      <c r="O26" s="837">
        <f>M26+N26</f>
        <v>155289</v>
      </c>
      <c r="P26" s="22">
        <f t="shared" si="1"/>
        <v>0</v>
      </c>
      <c r="Q26" s="810">
        <f t="shared" si="9"/>
        <v>155289</v>
      </c>
      <c r="R26" s="810">
        <f t="shared" si="10"/>
        <v>0</v>
      </c>
    </row>
    <row r="27" spans="1:19" s="337" customFormat="1" ht="20.100000000000001" customHeight="1" x14ac:dyDescent="0.3">
      <c r="A27" s="733" t="s">
        <v>1828</v>
      </c>
      <c r="B27" s="254">
        <f>+GOLDENNESS!B41</f>
        <v>0</v>
      </c>
      <c r="C27" s="254">
        <f>+GOLDENNESS!C41</f>
        <v>0</v>
      </c>
      <c r="D27" s="254">
        <f>+GOLDENNESS!D41</f>
        <v>0</v>
      </c>
      <c r="E27" s="254">
        <f>+GOLDENNESS!E41</f>
        <v>0</v>
      </c>
      <c r="F27" s="254">
        <f>+GOLDENNESS!F41</f>
        <v>0</v>
      </c>
      <c r="G27" s="254">
        <f>+GOLDENNESS!G41</f>
        <v>0</v>
      </c>
      <c r="H27" s="254">
        <f>+GOLDENNESS!H41</f>
        <v>0</v>
      </c>
      <c r="I27" s="254">
        <f>+GOLDENNESS!I41</f>
        <v>0</v>
      </c>
      <c r="J27" s="254">
        <f>+GOLDENNESS!J41</f>
        <v>0</v>
      </c>
      <c r="K27" s="256">
        <f t="shared" si="0"/>
        <v>0</v>
      </c>
      <c r="L27" s="254">
        <f>+GOLDENNESS!M41</f>
        <v>0</v>
      </c>
      <c r="M27" s="22">
        <f t="shared" si="4"/>
        <v>0</v>
      </c>
      <c r="N27" s="255">
        <f>+GOLDENNESS!N9</f>
        <v>0</v>
      </c>
      <c r="O27" s="837">
        <f>M27+N27</f>
        <v>0</v>
      </c>
      <c r="P27" s="22"/>
      <c r="Q27" s="810"/>
      <c r="R27" s="810"/>
    </row>
    <row r="28" spans="1:19" s="337" customFormat="1" ht="20.100000000000001" customHeight="1" x14ac:dyDescent="0.3">
      <c r="A28" s="733" t="s">
        <v>951</v>
      </c>
      <c r="B28" s="254"/>
      <c r="C28" s="254"/>
      <c r="D28" s="254">
        <f>+'HONG LIANG'!B40</f>
        <v>0</v>
      </c>
      <c r="E28" s="254">
        <f>+'HONG LIANG'!C40</f>
        <v>0</v>
      </c>
      <c r="F28" s="254">
        <f>+'HONG LIANG'!D40</f>
        <v>0</v>
      </c>
      <c r="G28" s="254">
        <f>+'HONG LIANG'!E40</f>
        <v>0</v>
      </c>
      <c r="H28" s="254">
        <f>+'HONG LIANG'!F40</f>
        <v>0</v>
      </c>
      <c r="I28" s="254">
        <f>+'HONG LIANG'!G40</f>
        <v>0</v>
      </c>
      <c r="J28" s="254">
        <f>+'HONG LIANG'!H40</f>
        <v>0</v>
      </c>
      <c r="K28" s="256">
        <f t="shared" si="0"/>
        <v>0</v>
      </c>
      <c r="L28" s="254">
        <f>+'HONG LIANG'!M40</f>
        <v>0</v>
      </c>
      <c r="M28" s="22">
        <f t="shared" si="4"/>
        <v>0</v>
      </c>
      <c r="N28" s="255">
        <f>+'HONG LIANG'!N8</f>
        <v>38926175</v>
      </c>
      <c r="O28" s="837">
        <f>M28+N28</f>
        <v>38926175</v>
      </c>
      <c r="P28" s="22"/>
      <c r="Q28" s="810"/>
      <c r="R28" s="810"/>
    </row>
    <row r="29" spans="1:19" s="337" customFormat="1" ht="20.100000000000001" customHeight="1" x14ac:dyDescent="0.3">
      <c r="A29" s="733" t="s">
        <v>863</v>
      </c>
      <c r="B29" s="254">
        <f t="shared" si="6"/>
        <v>0</v>
      </c>
      <c r="C29" s="254">
        <f>+JEAB!C42</f>
        <v>0</v>
      </c>
      <c r="D29" s="254">
        <f t="shared" si="7"/>
        <v>0</v>
      </c>
      <c r="E29" s="1021">
        <f>+JEAB!E42</f>
        <v>0</v>
      </c>
      <c r="F29" s="254">
        <f t="shared" si="8"/>
        <v>0</v>
      </c>
      <c r="G29" s="254">
        <f>+JEAB!G42</f>
        <v>0</v>
      </c>
      <c r="H29" s="254">
        <f>+JEAB!H42</f>
        <v>0</v>
      </c>
      <c r="I29" s="254"/>
      <c r="J29" s="254"/>
      <c r="K29" s="256">
        <f t="shared" si="0"/>
        <v>0</v>
      </c>
      <c r="L29" s="254">
        <f>+JEAB!M42</f>
        <v>0</v>
      </c>
      <c r="M29" s="22">
        <f t="shared" si="4"/>
        <v>0</v>
      </c>
      <c r="N29" s="255">
        <f>+JEAB!N9</f>
        <v>7973631</v>
      </c>
      <c r="O29" s="837">
        <f t="shared" si="5"/>
        <v>7973631</v>
      </c>
      <c r="P29" s="22">
        <f t="shared" si="1"/>
        <v>0</v>
      </c>
      <c r="Q29" s="810">
        <f t="shared" si="9"/>
        <v>7973631</v>
      </c>
      <c r="R29" s="810">
        <f>IF(O29&gt;0,,-O29)</f>
        <v>0</v>
      </c>
    </row>
    <row r="30" spans="1:19" s="337" customFormat="1" ht="20.100000000000001" customHeight="1" x14ac:dyDescent="0.3">
      <c r="A30" s="733" t="s">
        <v>1843</v>
      </c>
      <c r="B30" s="254">
        <f>'MTN MARCHAND'!B40</f>
        <v>0</v>
      </c>
      <c r="C30" s="254">
        <f>'MTN MARCHAND'!C40</f>
        <v>0</v>
      </c>
      <c r="D30" s="254">
        <f>'MTN MARCHAND'!D40</f>
        <v>173.39130434782609</v>
      </c>
      <c r="E30" s="254">
        <f>'MTN MARCHAND'!E40</f>
        <v>99700</v>
      </c>
      <c r="F30" s="254">
        <f>'MTN MARCHAND'!F40</f>
        <v>0</v>
      </c>
      <c r="G30" s="254">
        <f>'MTN MARCHAND'!G40</f>
        <v>0</v>
      </c>
      <c r="H30" s="254">
        <f>'MTN MARCHAND'!H40</f>
        <v>0</v>
      </c>
      <c r="I30" s="254">
        <f>'MTN MARCHAND'!I40</f>
        <v>0</v>
      </c>
      <c r="J30" s="254">
        <f>'MTN MARCHAND'!J40</f>
        <v>0</v>
      </c>
      <c r="K30" s="256">
        <f t="shared" si="0"/>
        <v>99700</v>
      </c>
      <c r="L30" s="254">
        <f>'MTN MARCHAND'!M40</f>
        <v>0</v>
      </c>
      <c r="M30" s="22">
        <f t="shared" si="4"/>
        <v>99700</v>
      </c>
      <c r="N30" s="255">
        <f>'MTN MARCHAND'!N8</f>
        <v>1011900</v>
      </c>
      <c r="O30" s="837">
        <f>M30+N30</f>
        <v>1111600</v>
      </c>
      <c r="P30" s="22"/>
      <c r="Q30" s="810"/>
      <c r="R30" s="810"/>
    </row>
    <row r="31" spans="1:19" s="337" customFormat="1" ht="20.100000000000001" customHeight="1" x14ac:dyDescent="0.3">
      <c r="A31" s="733" t="s">
        <v>1818</v>
      </c>
      <c r="B31" s="254">
        <f>SCAFS!B40</f>
        <v>0</v>
      </c>
      <c r="C31" s="254">
        <f>SCAFS!C40</f>
        <v>0</v>
      </c>
      <c r="D31" s="254">
        <f>SCAFS!D40</f>
        <v>0</v>
      </c>
      <c r="E31" s="254">
        <f>SCAFS!E40</f>
        <v>0</v>
      </c>
      <c r="F31" s="254">
        <f>SCAFS!F40</f>
        <v>0</v>
      </c>
      <c r="G31" s="254">
        <f>SCAFS!G40</f>
        <v>0</v>
      </c>
      <c r="H31" s="254">
        <f>SCAFS!H40</f>
        <v>0</v>
      </c>
      <c r="I31" s="254">
        <f>SCAFS!I40</f>
        <v>0</v>
      </c>
      <c r="J31" s="254">
        <f>SCAFS!J40</f>
        <v>0</v>
      </c>
      <c r="K31" s="256">
        <f t="shared" si="0"/>
        <v>0</v>
      </c>
      <c r="L31" s="254">
        <f>SCAFS!M40</f>
        <v>0</v>
      </c>
      <c r="M31" s="22">
        <f t="shared" si="4"/>
        <v>0</v>
      </c>
      <c r="N31" s="255">
        <v>0</v>
      </c>
      <c r="O31" s="837">
        <f t="shared" si="5"/>
        <v>0</v>
      </c>
      <c r="P31" s="22"/>
      <c r="Q31" s="810"/>
      <c r="R31" s="810"/>
    </row>
    <row r="32" spans="1:19" s="337" customFormat="1" ht="20.100000000000001" customHeight="1" x14ac:dyDescent="0.3">
      <c r="A32" s="733" t="s">
        <v>253</v>
      </c>
      <c r="B32" s="254">
        <f t="shared" si="6"/>
        <v>0</v>
      </c>
      <c r="C32" s="338">
        <f>SOFOCAM!C40</f>
        <v>0</v>
      </c>
      <c r="D32" s="254">
        <f t="shared" si="7"/>
        <v>0</v>
      </c>
      <c r="E32" s="338">
        <f>SOFOCAM!E40</f>
        <v>0</v>
      </c>
      <c r="F32" s="254">
        <f t="shared" si="8"/>
        <v>0</v>
      </c>
      <c r="G32" s="338">
        <f>SOFOCAM!G40</f>
        <v>0</v>
      </c>
      <c r="H32" s="254">
        <f>SOFOCAM!H40</f>
        <v>0</v>
      </c>
      <c r="I32" s="338">
        <f>SOFOCAM!I40</f>
        <v>0</v>
      </c>
      <c r="J32" s="254">
        <f>SOFOCAM!J40</f>
        <v>0</v>
      </c>
      <c r="K32" s="256">
        <f t="shared" si="0"/>
        <v>0</v>
      </c>
      <c r="L32" s="254">
        <f>+SOFOCAM!M40</f>
        <v>0</v>
      </c>
      <c r="M32" s="22">
        <f t="shared" si="4"/>
        <v>0</v>
      </c>
      <c r="N32" s="255">
        <f>+SOFOCAM!N8</f>
        <v>4662675</v>
      </c>
      <c r="O32" s="837">
        <f t="shared" si="5"/>
        <v>4662675</v>
      </c>
      <c r="P32" s="22">
        <f t="shared" si="1"/>
        <v>0</v>
      </c>
      <c r="Q32" s="810">
        <f>IF(O32&lt;0,,O32)</f>
        <v>4662675</v>
      </c>
      <c r="R32" s="810">
        <f>IF(O32&gt;0,,-O32)</f>
        <v>0</v>
      </c>
    </row>
    <row r="33" spans="1:25" s="337" customFormat="1" ht="20.100000000000001" customHeight="1" x14ac:dyDescent="0.3">
      <c r="A33" s="733" t="s">
        <v>225</v>
      </c>
      <c r="B33" s="254">
        <f>+KONGFU!B47</f>
        <v>0</v>
      </c>
      <c r="C33" s="254">
        <f>+KONGFU!C47</f>
        <v>0</v>
      </c>
      <c r="D33" s="254">
        <f>+KONGFU!D47</f>
        <v>0</v>
      </c>
      <c r="E33" s="1021">
        <f>+KONGFU!E47</f>
        <v>0</v>
      </c>
      <c r="F33" s="254">
        <f>+KONGFU!F47</f>
        <v>0</v>
      </c>
      <c r="G33" s="254">
        <f>+KONGFU!G47</f>
        <v>0</v>
      </c>
      <c r="H33" s="254">
        <f>+KONGFU!H47</f>
        <v>0</v>
      </c>
      <c r="I33" s="254">
        <f>+KONGFU!I47</f>
        <v>0</v>
      </c>
      <c r="J33" s="254">
        <f>+KONGFU!J47</f>
        <v>0</v>
      </c>
      <c r="K33" s="256">
        <f t="shared" si="0"/>
        <v>0</v>
      </c>
      <c r="L33" s="254">
        <f>+KONGFU!M47</f>
        <v>0</v>
      </c>
      <c r="M33" s="22">
        <f t="shared" si="4"/>
        <v>0</v>
      </c>
      <c r="N33" s="255">
        <f>+KONGFU!N7</f>
        <v>66395967</v>
      </c>
      <c r="O33" s="837">
        <f t="shared" si="5"/>
        <v>66395967</v>
      </c>
      <c r="P33" s="22">
        <f t="shared" si="1"/>
        <v>0</v>
      </c>
      <c r="Q33" s="810">
        <f t="shared" si="9"/>
        <v>66395967</v>
      </c>
      <c r="R33" s="810">
        <f t="shared" si="10"/>
        <v>0</v>
      </c>
    </row>
    <row r="34" spans="1:25" s="337" customFormat="1" ht="20.100000000000001" customHeight="1" x14ac:dyDescent="0.3">
      <c r="A34" s="734" t="s">
        <v>987</v>
      </c>
      <c r="B34" s="254">
        <f>COTRACO!B42</f>
        <v>0</v>
      </c>
      <c r="C34" s="254">
        <f>COTRACO!C42</f>
        <v>0</v>
      </c>
      <c r="D34" s="254">
        <f>COTRACO!D42</f>
        <v>0</v>
      </c>
      <c r="E34" s="254">
        <f>COTRACO!E42</f>
        <v>0</v>
      </c>
      <c r="F34" s="254">
        <f>COTRACO!F42</f>
        <v>0</v>
      </c>
      <c r="G34" s="254">
        <f>COTRACO!G42</f>
        <v>0</v>
      </c>
      <c r="H34" s="254">
        <f>COTRACO!H42</f>
        <v>0</v>
      </c>
      <c r="I34" s="254">
        <f>COTRACO!I42</f>
        <v>0</v>
      </c>
      <c r="J34" s="254">
        <f>COTRACO!J42</f>
        <v>0</v>
      </c>
      <c r="K34" s="256">
        <f t="shared" si="0"/>
        <v>0</v>
      </c>
      <c r="L34" s="254">
        <f>COTRACO!M42</f>
        <v>0</v>
      </c>
      <c r="M34" s="22">
        <f t="shared" si="4"/>
        <v>0</v>
      </c>
      <c r="N34" s="255">
        <f>+COTRACO!N9</f>
        <v>0</v>
      </c>
      <c r="O34" s="837">
        <f t="shared" si="5"/>
        <v>0</v>
      </c>
      <c r="P34" s="22"/>
      <c r="Q34" s="810"/>
      <c r="R34" s="810"/>
    </row>
    <row r="35" spans="1:25" ht="20.100000000000001" customHeight="1" x14ac:dyDescent="0.3">
      <c r="A35" s="729" t="s">
        <v>434</v>
      </c>
      <c r="B35" s="256">
        <f>+'BNB-HAMED'!B39</f>
        <v>0</v>
      </c>
      <c r="C35" s="256">
        <f>+'BNB-HAMED'!C39</f>
        <v>0</v>
      </c>
      <c r="D35" s="256">
        <f>+'BNB-HAMED'!D39</f>
        <v>4200</v>
      </c>
      <c r="E35" s="1021">
        <f>+'BNB-HAMED'!E39</f>
        <v>2415000</v>
      </c>
      <c r="F35" s="256">
        <f>+'BNB-HAMED'!F39</f>
        <v>0</v>
      </c>
      <c r="G35" s="256">
        <f>+'BNB-HAMED'!G39</f>
        <v>0</v>
      </c>
      <c r="H35" s="256">
        <f>+'BNB-HAMED'!H39</f>
        <v>0</v>
      </c>
      <c r="I35" s="256">
        <f>+'BNB-HAMED'!I39</f>
        <v>0</v>
      </c>
      <c r="J35" s="256">
        <f>+'BNB-HAMED'!J39</f>
        <v>0</v>
      </c>
      <c r="K35" s="256">
        <f t="shared" si="0"/>
        <v>2415000</v>
      </c>
      <c r="L35" s="256">
        <f>'BNB-HAMED'!L39</f>
        <v>2415000</v>
      </c>
      <c r="M35" s="22">
        <f t="shared" si="4"/>
        <v>0</v>
      </c>
      <c r="N35" s="255">
        <f>+'BNB-HAMED'!M7</f>
        <v>0</v>
      </c>
      <c r="O35" s="837">
        <f t="shared" si="5"/>
        <v>0</v>
      </c>
      <c r="P35" s="22">
        <f t="shared" si="1"/>
        <v>0</v>
      </c>
      <c r="Q35" s="811">
        <f t="shared" si="9"/>
        <v>0</v>
      </c>
      <c r="R35" s="811">
        <f t="shared" si="10"/>
        <v>0</v>
      </c>
    </row>
    <row r="36" spans="1:25" ht="20.100000000000001" customHeight="1" x14ac:dyDescent="0.3">
      <c r="A36" s="727" t="s">
        <v>252</v>
      </c>
      <c r="B36" s="256">
        <f>+C36/520</f>
        <v>0</v>
      </c>
      <c r="C36" s="256">
        <f>+ACHOU!C39</f>
        <v>0</v>
      </c>
      <c r="D36" s="256">
        <f>+ACHOU!D39</f>
        <v>0</v>
      </c>
      <c r="E36" s="256">
        <f>+ACHOU!E39</f>
        <v>0</v>
      </c>
      <c r="F36" s="256">
        <f>+ACHOU!F39</f>
        <v>0</v>
      </c>
      <c r="G36" s="256">
        <f>+ACHOU!G39</f>
        <v>0</v>
      </c>
      <c r="H36" s="256">
        <f>+ACHOU!H39</f>
        <v>0</v>
      </c>
      <c r="I36" s="256">
        <f>+ACHOU!I39</f>
        <v>0</v>
      </c>
      <c r="J36" s="256">
        <f>+ACHOU!J39</f>
        <v>0</v>
      </c>
      <c r="K36" s="256">
        <f t="shared" si="0"/>
        <v>0</v>
      </c>
      <c r="L36" s="256">
        <f>+ACHOU!L39</f>
        <v>0</v>
      </c>
      <c r="M36" s="22">
        <f t="shared" si="4"/>
        <v>0</v>
      </c>
      <c r="N36" s="255"/>
      <c r="O36" s="837">
        <f t="shared" si="5"/>
        <v>0</v>
      </c>
      <c r="P36" s="22">
        <f t="shared" si="1"/>
        <v>0</v>
      </c>
      <c r="Q36" s="811">
        <f t="shared" si="9"/>
        <v>0</v>
      </c>
      <c r="R36" s="811">
        <f t="shared" si="10"/>
        <v>0</v>
      </c>
    </row>
    <row r="37" spans="1:25" ht="20.100000000000001" customHeight="1" thickBot="1" x14ac:dyDescent="0.35">
      <c r="A37" s="727" t="s">
        <v>516</v>
      </c>
      <c r="B37" s="256">
        <f>+CAMTAIL!B39</f>
        <v>0</v>
      </c>
      <c r="C37" s="256">
        <f>+CAMTAIL!C39</f>
        <v>0</v>
      </c>
      <c r="D37" s="256">
        <f>+CAMTAIL!D39</f>
        <v>0</v>
      </c>
      <c r="E37" s="256">
        <f>+CAMTAIL!E39</f>
        <v>0</v>
      </c>
      <c r="F37" s="256">
        <f>+CAMTAIL!F39</f>
        <v>0</v>
      </c>
      <c r="G37" s="256">
        <f>+CAMTAIL!G39</f>
        <v>0</v>
      </c>
      <c r="H37" s="256">
        <f>+CAMTAIL!H39</f>
        <v>0</v>
      </c>
      <c r="I37" s="256">
        <f>+CAMTAIL!I39</f>
        <v>0</v>
      </c>
      <c r="J37" s="256">
        <f>+CAMTAIL!J39</f>
        <v>0</v>
      </c>
      <c r="K37" s="256">
        <f t="shared" si="0"/>
        <v>0</v>
      </c>
      <c r="L37" s="256">
        <f>CAMTAIL!L39</f>
        <v>0</v>
      </c>
      <c r="M37" s="22">
        <f t="shared" si="4"/>
        <v>0</v>
      </c>
      <c r="N37" s="255">
        <f>CAMTAIL!M7</f>
        <v>0</v>
      </c>
      <c r="O37" s="837">
        <f t="shared" si="5"/>
        <v>0</v>
      </c>
      <c r="P37" s="22">
        <f t="shared" si="1"/>
        <v>0</v>
      </c>
      <c r="Q37" s="811">
        <f t="shared" si="9"/>
        <v>0</v>
      </c>
      <c r="R37" s="811">
        <f t="shared" si="10"/>
        <v>0</v>
      </c>
    </row>
    <row r="38" spans="1:25" ht="20.100000000000001" customHeight="1" thickBot="1" x14ac:dyDescent="0.35">
      <c r="A38" s="729" t="s">
        <v>1162</v>
      </c>
      <c r="B38" s="256">
        <f>+KHALIFA!B41</f>
        <v>0</v>
      </c>
      <c r="C38" s="256">
        <f>+KHALIFA!C41</f>
        <v>0</v>
      </c>
      <c r="D38" s="256">
        <f>+KHALIFA!D41</f>
        <v>0</v>
      </c>
      <c r="E38" s="256">
        <f>+KHALIFA!E41</f>
        <v>0</v>
      </c>
      <c r="F38" s="256">
        <f>+KHALIFA!F41</f>
        <v>0</v>
      </c>
      <c r="G38" s="256">
        <f>+KHALIFA!G41</f>
        <v>0</v>
      </c>
      <c r="H38" s="256">
        <f>+KHALIFA!H41</f>
        <v>0</v>
      </c>
      <c r="I38" s="256">
        <f>+KHALIFA!I41</f>
        <v>0</v>
      </c>
      <c r="J38" s="256">
        <f>+KHALIFA!J41</f>
        <v>0</v>
      </c>
      <c r="K38" s="256">
        <f t="shared" si="0"/>
        <v>0</v>
      </c>
      <c r="L38" s="256">
        <f>+KHALIFA!L41</f>
        <v>0</v>
      </c>
      <c r="M38" s="22">
        <f t="shared" si="4"/>
        <v>0</v>
      </c>
      <c r="N38" s="255">
        <f>+KHALIFA!M7</f>
        <v>19</v>
      </c>
      <c r="O38" s="837">
        <f t="shared" si="5"/>
        <v>19</v>
      </c>
      <c r="P38" s="22">
        <f t="shared" si="1"/>
        <v>0</v>
      </c>
      <c r="Q38" s="811">
        <f t="shared" si="9"/>
        <v>19</v>
      </c>
      <c r="R38" s="811">
        <f t="shared" si="10"/>
        <v>0</v>
      </c>
      <c r="T38" s="1512" t="s">
        <v>149</v>
      </c>
      <c r="U38" s="1777" t="s">
        <v>282</v>
      </c>
      <c r="V38" s="1777" t="s">
        <v>823</v>
      </c>
      <c r="W38" s="1777" t="s">
        <v>624</v>
      </c>
      <c r="X38" s="1777" t="s">
        <v>824</v>
      </c>
      <c r="Y38" s="1777" t="s">
        <v>825</v>
      </c>
    </row>
    <row r="39" spans="1:25" ht="20.100000000000001" customHeight="1" thickBot="1" x14ac:dyDescent="0.35">
      <c r="A39" s="729" t="s">
        <v>270</v>
      </c>
      <c r="B39" s="256">
        <f>+KESTRAL!B39</f>
        <v>0</v>
      </c>
      <c r="C39" s="256">
        <f>+KESTRAL!C39</f>
        <v>0</v>
      </c>
      <c r="D39" s="256">
        <f>+KESTRAL!D39</f>
        <v>0</v>
      </c>
      <c r="E39" s="256">
        <f>+KESTRAL!E39</f>
        <v>0</v>
      </c>
      <c r="F39" s="256">
        <f>+KESTRAL!F39</f>
        <v>0</v>
      </c>
      <c r="G39" s="256">
        <f>+KESTRAL!G39</f>
        <v>0</v>
      </c>
      <c r="H39" s="256">
        <f>+KESTRAL!H39</f>
        <v>0</v>
      </c>
      <c r="I39" s="256">
        <f>+KESTRAL!I39</f>
        <v>0</v>
      </c>
      <c r="J39" s="256">
        <f>+KESTRAL!J39</f>
        <v>0</v>
      </c>
      <c r="K39" s="256">
        <f t="shared" si="0"/>
        <v>0</v>
      </c>
      <c r="L39" s="256">
        <f>+KESTRAL!L39</f>
        <v>0</v>
      </c>
      <c r="M39" s="22">
        <f t="shared" si="4"/>
        <v>0</v>
      </c>
      <c r="N39" s="255">
        <f>+KESTRAL!M7</f>
        <v>78595</v>
      </c>
      <c r="O39" s="837">
        <f t="shared" si="5"/>
        <v>78595</v>
      </c>
      <c r="P39" s="22">
        <f t="shared" si="1"/>
        <v>0</v>
      </c>
      <c r="Q39" s="811">
        <f t="shared" si="9"/>
        <v>78595</v>
      </c>
      <c r="R39" s="811">
        <f t="shared" si="10"/>
        <v>0</v>
      </c>
      <c r="T39" s="3034" t="s">
        <v>250</v>
      </c>
      <c r="U39" s="1778" t="s">
        <v>960</v>
      </c>
      <c r="V39" s="1782">
        <v>60</v>
      </c>
      <c r="W39" s="1785">
        <f>9+575</f>
        <v>584</v>
      </c>
      <c r="X39" s="1778">
        <f>+W39*V39</f>
        <v>35040</v>
      </c>
      <c r="Y39" s="3034" t="s">
        <v>875</v>
      </c>
    </row>
    <row r="40" spans="1:25" ht="20.100000000000001" customHeight="1" thickBot="1" x14ac:dyDescent="0.35">
      <c r="A40" s="729" t="s">
        <v>352</v>
      </c>
      <c r="B40" s="256">
        <f>+YOSSI!B40</f>
        <v>0</v>
      </c>
      <c r="C40" s="256">
        <f>+YOSSI!C40</f>
        <v>0</v>
      </c>
      <c r="D40" s="256">
        <f>+YOSSI!D40</f>
        <v>92.173913043478265</v>
      </c>
      <c r="E40" s="1021">
        <f>+YOSSI!E40</f>
        <v>53000</v>
      </c>
      <c r="F40" s="256">
        <f>+YOSSI!F40</f>
        <v>0</v>
      </c>
      <c r="G40" s="256">
        <f>+YOSSI!G40</f>
        <v>0</v>
      </c>
      <c r="H40" s="256">
        <f>+YOSSI!H40</f>
        <v>0</v>
      </c>
      <c r="I40" s="256">
        <f>+YOSSI!I40</f>
        <v>0</v>
      </c>
      <c r="J40" s="256">
        <f>+YOSSI!J40</f>
        <v>0</v>
      </c>
      <c r="K40" s="256">
        <f t="shared" si="0"/>
        <v>53000</v>
      </c>
      <c r="L40" s="256">
        <f>+YOSSI!M40</f>
        <v>0</v>
      </c>
      <c r="M40" s="22">
        <f t="shared" si="4"/>
        <v>53000</v>
      </c>
      <c r="N40" s="255">
        <f>+YOSSI!N8</f>
        <v>19615089</v>
      </c>
      <c r="O40" s="837">
        <f t="shared" si="5"/>
        <v>19668089</v>
      </c>
      <c r="P40" s="22">
        <f t="shared" si="1"/>
        <v>53000</v>
      </c>
      <c r="Q40" s="811">
        <f t="shared" si="9"/>
        <v>19668089</v>
      </c>
      <c r="R40" s="811">
        <f t="shared" si="10"/>
        <v>0</v>
      </c>
      <c r="T40" s="3035"/>
      <c r="U40" s="1779" t="s">
        <v>961</v>
      </c>
      <c r="V40" s="1784">
        <v>60</v>
      </c>
      <c r="W40" s="1785">
        <f>9+575</f>
        <v>584</v>
      </c>
      <c r="X40" s="1778">
        <f>+W40*V40</f>
        <v>35040</v>
      </c>
      <c r="Y40" s="3036"/>
    </row>
    <row r="41" spans="1:25" ht="20.100000000000001" customHeight="1" thickBot="1" x14ac:dyDescent="0.35">
      <c r="A41" s="728" t="s">
        <v>1660</v>
      </c>
      <c r="B41" s="256">
        <f>+TJK!B39</f>
        <v>0</v>
      </c>
      <c r="C41" s="256">
        <f>+TJK!C39</f>
        <v>0</v>
      </c>
      <c r="D41" s="256">
        <f>+TJK!D39</f>
        <v>0</v>
      </c>
      <c r="E41" s="256">
        <f>+TJK!E39</f>
        <v>0</v>
      </c>
      <c r="F41" s="256">
        <f>+TJK!F39</f>
        <v>0</v>
      </c>
      <c r="G41" s="256">
        <f>+TJK!G39</f>
        <v>0</v>
      </c>
      <c r="H41" s="256">
        <f>+TJK!H39</f>
        <v>0</v>
      </c>
      <c r="I41" s="256">
        <f>+TJK!I39</f>
        <v>0</v>
      </c>
      <c r="J41" s="256">
        <f>+TJK!J39</f>
        <v>0</v>
      </c>
      <c r="K41" s="256">
        <f t="shared" si="0"/>
        <v>0</v>
      </c>
      <c r="L41" s="256">
        <f>+TJK!M39</f>
        <v>0</v>
      </c>
      <c r="M41" s="22">
        <f t="shared" si="4"/>
        <v>0</v>
      </c>
      <c r="N41" s="255">
        <f>+TJK!N7</f>
        <v>1621280</v>
      </c>
      <c r="O41" s="837">
        <f t="shared" si="5"/>
        <v>1621280</v>
      </c>
      <c r="P41" s="22">
        <f>O41-N41</f>
        <v>0</v>
      </c>
      <c r="Q41" s="811">
        <f t="shared" si="9"/>
        <v>1621280</v>
      </c>
      <c r="R41" s="811">
        <f t="shared" si="10"/>
        <v>0</v>
      </c>
      <c r="T41" s="3032" t="s">
        <v>18</v>
      </c>
      <c r="U41" s="3033"/>
      <c r="V41" s="1783">
        <v>120</v>
      </c>
      <c r="W41" s="1781"/>
      <c r="X41" s="1780">
        <v>70080</v>
      </c>
      <c r="Y41" s="3035"/>
    </row>
    <row r="42" spans="1:25" ht="20.100000000000001" customHeight="1" x14ac:dyDescent="0.3">
      <c r="A42" s="728" t="s">
        <v>407</v>
      </c>
      <c r="B42" s="256">
        <f>+'SAP-TRANS'!B39</f>
        <v>0</v>
      </c>
      <c r="C42" s="256">
        <f>+'SAP-TRANS'!C39</f>
        <v>0</v>
      </c>
      <c r="D42" s="256">
        <f>+'SAP-TRANS'!D39</f>
        <v>0</v>
      </c>
      <c r="E42" s="1021">
        <f>+'SAP-TRANS'!E39</f>
        <v>0</v>
      </c>
      <c r="F42" s="256">
        <f>+'SAP-TRANS'!F39</f>
        <v>0</v>
      </c>
      <c r="G42" s="256">
        <f>+'SAP-TRANS'!G39</f>
        <v>0</v>
      </c>
      <c r="H42" s="256">
        <f>+'SAP-TRANS'!H39</f>
        <v>0</v>
      </c>
      <c r="I42" s="256">
        <f>+'SAP-TRANS'!I39</f>
        <v>0</v>
      </c>
      <c r="J42" s="256">
        <f>+'SAP-TRANS'!J39</f>
        <v>0</v>
      </c>
      <c r="K42" s="256">
        <f t="shared" si="0"/>
        <v>0</v>
      </c>
      <c r="L42" s="256">
        <f>+'SAP-TRANS'!M39</f>
        <v>0</v>
      </c>
      <c r="M42" s="22">
        <f t="shared" si="4"/>
        <v>0</v>
      </c>
      <c r="N42" s="255">
        <f>+'SAP-TRANS'!N7</f>
        <v>9828042</v>
      </c>
      <c r="O42" s="837">
        <f t="shared" si="5"/>
        <v>9828042</v>
      </c>
      <c r="P42" s="22">
        <f t="shared" si="1"/>
        <v>0</v>
      </c>
      <c r="Q42" s="811">
        <f t="shared" si="9"/>
        <v>9828042</v>
      </c>
      <c r="R42" s="811">
        <f t="shared" si="10"/>
        <v>0</v>
      </c>
    </row>
    <row r="43" spans="1:25" ht="20.100000000000001" customHeight="1" x14ac:dyDescent="0.3">
      <c r="A43" s="1000" t="s">
        <v>396</v>
      </c>
      <c r="B43" s="418">
        <f>'MEZATRANS - E-TRANCO'!B584</f>
        <v>0</v>
      </c>
      <c r="C43" s="418">
        <f>'MEZATRANS - E-TRANCO'!C584</f>
        <v>0</v>
      </c>
      <c r="D43" s="418">
        <f>'MEZATRANS - E-TRANCO'!D584</f>
        <v>0</v>
      </c>
      <c r="E43" s="418">
        <f>'MEZATRANS - E-TRANCO'!E584</f>
        <v>0</v>
      </c>
      <c r="F43" s="418">
        <f>'MEZATRANS - E-TRANCO'!F584</f>
        <v>0</v>
      </c>
      <c r="G43" s="418"/>
      <c r="H43" s="418"/>
      <c r="I43" s="418"/>
      <c r="J43" s="418"/>
      <c r="K43" s="256">
        <f t="shared" si="0"/>
        <v>0</v>
      </c>
      <c r="L43" s="418">
        <f>'MEZATRANS - E-TRANCO'!G584</f>
        <v>0</v>
      </c>
      <c r="M43" s="22">
        <f t="shared" si="4"/>
        <v>0</v>
      </c>
      <c r="N43" s="1001">
        <f>+'MEZATRANS - E-TRANCO'!H8</f>
        <v>5731033</v>
      </c>
      <c r="O43" s="837">
        <f t="shared" si="5"/>
        <v>5731033</v>
      </c>
      <c r="P43" s="418">
        <f t="shared" si="1"/>
        <v>0</v>
      </c>
      <c r="Q43" s="1002">
        <f t="shared" si="9"/>
        <v>5731033</v>
      </c>
      <c r="R43" s="1002">
        <f t="shared" si="10"/>
        <v>0</v>
      </c>
    </row>
    <row r="44" spans="1:25" ht="20.100000000000001" customHeight="1" x14ac:dyDescent="0.3">
      <c r="A44" s="1000" t="s">
        <v>405</v>
      </c>
      <c r="B44" s="418"/>
      <c r="C44" s="418"/>
      <c r="D44" s="418">
        <f>+E44/600</f>
        <v>0</v>
      </c>
      <c r="E44" s="1021">
        <f>+'MEZATRANS - E-TRANCO'!J40</f>
        <v>0</v>
      </c>
      <c r="F44" s="418"/>
      <c r="G44" s="418"/>
      <c r="H44" s="418"/>
      <c r="I44" s="418"/>
      <c r="J44" s="418"/>
      <c r="K44" s="256">
        <f t="shared" si="0"/>
        <v>0</v>
      </c>
      <c r="L44" s="418">
        <f>+'MEZATRANS - E-TRANCO'!L40</f>
        <v>0</v>
      </c>
      <c r="M44" s="22">
        <f t="shared" si="4"/>
        <v>0</v>
      </c>
      <c r="N44" s="1001">
        <f>+'MEZATRANS - E-TRANCO'!M8</f>
        <v>20152177</v>
      </c>
      <c r="O44" s="837">
        <f t="shared" si="5"/>
        <v>20152177</v>
      </c>
      <c r="P44" s="418">
        <f t="shared" si="1"/>
        <v>0</v>
      </c>
      <c r="Q44" s="1002">
        <f t="shared" si="9"/>
        <v>20152177</v>
      </c>
      <c r="R44" s="1002">
        <f t="shared" si="10"/>
        <v>0</v>
      </c>
      <c r="W44" s="233">
        <f>120*584</f>
        <v>70080</v>
      </c>
    </row>
    <row r="45" spans="1:25" ht="20.100000000000001" customHeight="1" x14ac:dyDescent="0.3">
      <c r="A45" s="728" t="s">
        <v>400</v>
      </c>
      <c r="B45" s="256">
        <f>+'H-SERVICE'!B39</f>
        <v>0</v>
      </c>
      <c r="C45" s="256">
        <f>+'H-SERVICE'!C39</f>
        <v>0</v>
      </c>
      <c r="D45" s="256">
        <f>+'H-SERVICE'!D39</f>
        <v>0</v>
      </c>
      <c r="E45" s="256">
        <f>+'H-SERVICE'!E39</f>
        <v>0</v>
      </c>
      <c r="F45" s="256">
        <f>+'H-SERVICE'!F39</f>
        <v>0</v>
      </c>
      <c r="G45" s="256">
        <f>+'H-SERVICE'!G39</f>
        <v>0</v>
      </c>
      <c r="H45" s="256">
        <f>+'H-SERVICE'!H39</f>
        <v>0</v>
      </c>
      <c r="I45" s="256">
        <f>+'H-SERVICE'!I39</f>
        <v>0</v>
      </c>
      <c r="J45" s="256">
        <f>+'H-SERVICE'!J39</f>
        <v>0</v>
      </c>
      <c r="K45" s="256">
        <f t="shared" si="0"/>
        <v>0</v>
      </c>
      <c r="L45" s="256">
        <f>+'H-SERVICE'!L39</f>
        <v>0</v>
      </c>
      <c r="M45" s="22">
        <f t="shared" si="4"/>
        <v>0</v>
      </c>
      <c r="N45" s="255">
        <f>+'H-SERVICE'!M7</f>
        <v>152839</v>
      </c>
      <c r="O45" s="837">
        <f t="shared" si="5"/>
        <v>152839</v>
      </c>
      <c r="P45" s="22">
        <f t="shared" si="1"/>
        <v>0</v>
      </c>
      <c r="Q45" s="811">
        <f t="shared" si="9"/>
        <v>152839</v>
      </c>
      <c r="R45" s="811">
        <f t="shared" si="10"/>
        <v>0</v>
      </c>
    </row>
    <row r="46" spans="1:25" ht="19.5" customHeight="1" x14ac:dyDescent="0.3">
      <c r="A46" s="728" t="s">
        <v>417</v>
      </c>
      <c r="B46" s="256">
        <f>+'DIGIPAY TERMINAL'!B40</f>
        <v>0</v>
      </c>
      <c r="C46" s="256">
        <f>+'DIGIPAY TERMINAL'!C40</f>
        <v>0</v>
      </c>
      <c r="D46" s="256">
        <f>+'DIGIPAY TERMINAL'!D40</f>
        <v>5570.5930434782613</v>
      </c>
      <c r="E46" s="256">
        <f>+'DIGIPAY TERMINAL'!E40</f>
        <v>3203091</v>
      </c>
      <c r="F46" s="256">
        <f>+'DIGIPAY TERMINAL'!F40</f>
        <v>0</v>
      </c>
      <c r="G46" s="256">
        <f>+'DIGIPAY TERMINAL'!G40</f>
        <v>0</v>
      </c>
      <c r="H46" s="256">
        <f>+'DIGIPAY TERMINAL'!H40</f>
        <v>0</v>
      </c>
      <c r="I46" s="256">
        <f>+'DIGIPAY TERMINAL'!I40</f>
        <v>0</v>
      </c>
      <c r="J46" s="256">
        <f>+'DIGIPAY TERMINAL'!J40</f>
        <v>0</v>
      </c>
      <c r="K46" s="256">
        <f t="shared" si="0"/>
        <v>3203091</v>
      </c>
      <c r="L46" s="256">
        <f>'DIGIPAY TERMINAL'!M40</f>
        <v>0</v>
      </c>
      <c r="M46" s="22">
        <f t="shared" si="4"/>
        <v>3203091</v>
      </c>
      <c r="N46" s="255">
        <f>+'DIGIPAY TERMINAL'!N7</f>
        <v>0</v>
      </c>
      <c r="O46" s="837">
        <f t="shared" si="5"/>
        <v>3203091</v>
      </c>
      <c r="P46" s="22">
        <f t="shared" si="1"/>
        <v>3203091</v>
      </c>
      <c r="Q46" s="811">
        <f t="shared" si="9"/>
        <v>3203091</v>
      </c>
      <c r="R46" s="811">
        <f t="shared" si="10"/>
        <v>0</v>
      </c>
    </row>
    <row r="47" spans="1:25" ht="18.75" customHeight="1" x14ac:dyDescent="0.3">
      <c r="A47" s="728" t="s">
        <v>491</v>
      </c>
      <c r="B47" s="256">
        <f>+'X TRADE'!B41</f>
        <v>0</v>
      </c>
      <c r="C47" s="256">
        <f>+'X TRADE'!C41</f>
        <v>0</v>
      </c>
      <c r="D47" s="256">
        <f>+'X TRADE'!D41</f>
        <v>0</v>
      </c>
      <c r="E47" s="256">
        <f>+'X TRADE'!E41</f>
        <v>0</v>
      </c>
      <c r="F47" s="256">
        <f>+'X TRADE'!F41</f>
        <v>0</v>
      </c>
      <c r="G47" s="256">
        <f>+'X TRADE'!G41</f>
        <v>0</v>
      </c>
      <c r="H47" s="256">
        <f>+'X TRADE'!H41</f>
        <v>0</v>
      </c>
      <c r="I47" s="256">
        <f>+'X TRADE'!I41</f>
        <v>0</v>
      </c>
      <c r="J47" s="256">
        <f>+'X TRADE'!J41</f>
        <v>0</v>
      </c>
      <c r="K47" s="256">
        <f t="shared" si="0"/>
        <v>0</v>
      </c>
      <c r="L47" s="256">
        <f>+'X TRADE'!M41</f>
        <v>0</v>
      </c>
      <c r="M47" s="22">
        <f t="shared" si="4"/>
        <v>0</v>
      </c>
      <c r="N47" s="255">
        <f>+'X TRADE'!N9</f>
        <v>-12719</v>
      </c>
      <c r="O47" s="837">
        <f t="shared" si="5"/>
        <v>-12719</v>
      </c>
      <c r="P47" s="22">
        <f>O47-N47</f>
        <v>0</v>
      </c>
      <c r="Q47" s="811">
        <f>IF(O47&lt;0,,O47)</f>
        <v>0</v>
      </c>
      <c r="R47" s="811">
        <f>IF(O47&gt;0,,-O47)</f>
        <v>12719</v>
      </c>
    </row>
    <row r="48" spans="1:25" ht="20.100000000000001" customHeight="1" x14ac:dyDescent="0.3">
      <c r="A48" s="860" t="s">
        <v>424</v>
      </c>
      <c r="B48" s="256">
        <f>+'BOUTIQUE le babone'!B41</f>
        <v>0</v>
      </c>
      <c r="C48" s="256">
        <f>+'BOUTIQUE le babone'!C41</f>
        <v>0</v>
      </c>
      <c r="D48" s="256">
        <f>+'BOUTIQUE le babone'!D41</f>
        <v>0</v>
      </c>
      <c r="E48" s="256">
        <f>+'BOUTIQUE le babone'!E41</f>
        <v>0</v>
      </c>
      <c r="F48" s="256">
        <f>+'BOUTIQUE le babone'!F41</f>
        <v>0</v>
      </c>
      <c r="G48" s="256">
        <f>+'BOUTIQUE le babone'!G41</f>
        <v>0</v>
      </c>
      <c r="H48" s="256">
        <f>+'BOUTIQUE le babone'!H41</f>
        <v>0</v>
      </c>
      <c r="I48" s="256">
        <f>+'BOUTIQUE le babone'!I41</f>
        <v>0</v>
      </c>
      <c r="J48" s="256">
        <f>+'BOUTIQUE le babone'!J41</f>
        <v>0</v>
      </c>
      <c r="K48" s="256">
        <f t="shared" si="0"/>
        <v>0</v>
      </c>
      <c r="L48" s="256">
        <f>+'X TRADE'!M42</f>
        <v>0</v>
      </c>
      <c r="M48" s="22">
        <f t="shared" si="4"/>
        <v>0</v>
      </c>
      <c r="N48" s="255">
        <f>+'BOUTIQUE le babone'!N9</f>
        <v>1935300</v>
      </c>
      <c r="O48" s="837">
        <f t="shared" si="5"/>
        <v>1935300</v>
      </c>
      <c r="P48" s="22">
        <f t="shared" ref="P48:P59" si="11">O48-N48</f>
        <v>0</v>
      </c>
      <c r="Q48" s="811">
        <f t="shared" ref="Q48:Q59" si="12">IF(O48&lt;0,,O48)</f>
        <v>1935300</v>
      </c>
      <c r="R48" s="811">
        <f t="shared" ref="R48:R59" si="13">IF(O48&gt;0,,-O48)</f>
        <v>0</v>
      </c>
    </row>
    <row r="49" spans="1:18" ht="20.100000000000001" customHeight="1" x14ac:dyDescent="0.3">
      <c r="A49" s="860" t="s">
        <v>684</v>
      </c>
      <c r="B49" s="256">
        <f>+SOFERCO!B40</f>
        <v>0</v>
      </c>
      <c r="C49" s="256">
        <f>+SOFERCO!C40</f>
        <v>0</v>
      </c>
      <c r="D49" s="256">
        <f>+SOFERCO!D40</f>
        <v>0</v>
      </c>
      <c r="E49" s="1021">
        <f>+SOFERCO!E40</f>
        <v>0</v>
      </c>
      <c r="F49" s="256">
        <f>+SOFERCO!F40</f>
        <v>0</v>
      </c>
      <c r="G49" s="256">
        <f>+SOFERCO!G40</f>
        <v>0</v>
      </c>
      <c r="H49" s="256">
        <f>+SOFERCO!H40</f>
        <v>0</v>
      </c>
      <c r="I49" s="256">
        <f>+SOFERCO!I40</f>
        <v>0</v>
      </c>
      <c r="J49" s="256">
        <f>+SOFERCO!J40</f>
        <v>0</v>
      </c>
      <c r="K49" s="256">
        <f t="shared" si="0"/>
        <v>0</v>
      </c>
      <c r="L49" s="256">
        <f>+SOFERCO!M40</f>
        <v>0</v>
      </c>
      <c r="M49" s="22">
        <f t="shared" si="4"/>
        <v>0</v>
      </c>
      <c r="N49" s="255">
        <f>+SOFERCO!O8</f>
        <v>8308418</v>
      </c>
      <c r="O49" s="837">
        <f t="shared" si="5"/>
        <v>8308418</v>
      </c>
      <c r="P49" s="22"/>
      <c r="Q49" s="811"/>
      <c r="R49" s="811"/>
    </row>
    <row r="50" spans="1:18" ht="20.100000000000001" customHeight="1" x14ac:dyDescent="0.3">
      <c r="A50" s="728" t="s">
        <v>433</v>
      </c>
      <c r="B50" s="256">
        <f>+'BOUTIQUE le babone'!B41</f>
        <v>0</v>
      </c>
      <c r="C50" s="256">
        <f>+GSCI!C41</f>
        <v>0</v>
      </c>
      <c r="D50" s="256">
        <f>+GSCI!D41</f>
        <v>0</v>
      </c>
      <c r="E50" s="1021">
        <f>+GSCI!E41</f>
        <v>0</v>
      </c>
      <c r="F50" s="256">
        <f>+GSCI!F41</f>
        <v>0</v>
      </c>
      <c r="G50" s="256">
        <f>+GSCI!G41</f>
        <v>0</v>
      </c>
      <c r="H50" s="256">
        <f>+GSCI!H41</f>
        <v>0</v>
      </c>
      <c r="I50" s="256">
        <f>+GSCI!I41</f>
        <v>0</v>
      </c>
      <c r="J50" s="256">
        <f>+GSCI!J41</f>
        <v>0</v>
      </c>
      <c r="K50" s="256">
        <f t="shared" si="0"/>
        <v>0</v>
      </c>
      <c r="L50" s="256">
        <f>GSCI!M41</f>
        <v>0</v>
      </c>
      <c r="M50" s="22">
        <f t="shared" si="4"/>
        <v>0</v>
      </c>
      <c r="N50" s="255">
        <f>+GSCI!N9</f>
        <v>8756991</v>
      </c>
      <c r="O50" s="837">
        <f t="shared" si="5"/>
        <v>8756991</v>
      </c>
      <c r="P50" s="22">
        <f t="shared" si="11"/>
        <v>0</v>
      </c>
      <c r="Q50" s="811">
        <f t="shared" si="12"/>
        <v>8756991</v>
      </c>
      <c r="R50" s="811">
        <f t="shared" si="13"/>
        <v>0</v>
      </c>
    </row>
    <row r="51" spans="1:18" ht="20.100000000000001" customHeight="1" x14ac:dyDescent="0.3">
      <c r="A51" s="728" t="s">
        <v>446</v>
      </c>
      <c r="B51" s="256">
        <f>+COMCO!B41</f>
        <v>0</v>
      </c>
      <c r="C51" s="256">
        <f>+COMCO!C41</f>
        <v>0</v>
      </c>
      <c r="D51" s="256">
        <f>+COMCO!D41</f>
        <v>0</v>
      </c>
      <c r="E51" s="256">
        <f>+COMCO!E41</f>
        <v>0</v>
      </c>
      <c r="F51" s="256">
        <f>+COMCO!F41</f>
        <v>0</v>
      </c>
      <c r="G51" s="256">
        <f>+COMCO!G41</f>
        <v>0</v>
      </c>
      <c r="H51" s="256">
        <f>+COMCO!H41</f>
        <v>0</v>
      </c>
      <c r="I51" s="256">
        <f>+COMCO!I41</f>
        <v>0</v>
      </c>
      <c r="J51" s="256">
        <f>+COMCO!J41</f>
        <v>0</v>
      </c>
      <c r="K51" s="256">
        <f t="shared" si="0"/>
        <v>0</v>
      </c>
      <c r="L51" s="256">
        <f>+COMCO!M41</f>
        <v>0</v>
      </c>
      <c r="M51" s="22">
        <f t="shared" si="4"/>
        <v>0</v>
      </c>
      <c r="N51" s="255">
        <f>+COMCO!N9</f>
        <v>1203965</v>
      </c>
      <c r="O51" s="837">
        <f t="shared" si="5"/>
        <v>1203965</v>
      </c>
      <c r="P51" s="22">
        <f t="shared" si="11"/>
        <v>0</v>
      </c>
      <c r="Q51" s="811">
        <f t="shared" si="12"/>
        <v>1203965</v>
      </c>
      <c r="R51" s="811">
        <f t="shared" si="13"/>
        <v>0</v>
      </c>
    </row>
    <row r="52" spans="1:18" ht="20.100000000000001" customHeight="1" x14ac:dyDescent="0.3">
      <c r="A52" s="728" t="s">
        <v>459</v>
      </c>
      <c r="B52" s="256">
        <f>STBL!B41</f>
        <v>0</v>
      </c>
      <c r="C52" s="256">
        <f>STBL!C41</f>
        <v>0</v>
      </c>
      <c r="D52" s="256">
        <f>STBL!D41</f>
        <v>0</v>
      </c>
      <c r="E52" s="256">
        <f>STBL!E41</f>
        <v>0</v>
      </c>
      <c r="F52" s="256">
        <f>STBL!F41</f>
        <v>0</v>
      </c>
      <c r="G52" s="256">
        <f>STBL!G41</f>
        <v>0</v>
      </c>
      <c r="H52" s="256">
        <f>STBL!H41</f>
        <v>0</v>
      </c>
      <c r="I52" s="256">
        <f>STBL!I41</f>
        <v>0</v>
      </c>
      <c r="J52" s="256">
        <f>STBL!J41</f>
        <v>0</v>
      </c>
      <c r="K52" s="256">
        <f t="shared" si="0"/>
        <v>0</v>
      </c>
      <c r="L52" s="256">
        <f>STBL!M41</f>
        <v>0</v>
      </c>
      <c r="M52" s="22">
        <f t="shared" si="4"/>
        <v>0</v>
      </c>
      <c r="N52" s="256">
        <f>STBL!N9</f>
        <v>630000</v>
      </c>
      <c r="O52" s="837">
        <f t="shared" si="5"/>
        <v>630000</v>
      </c>
      <c r="P52" s="22">
        <f t="shared" si="11"/>
        <v>0</v>
      </c>
      <c r="Q52" s="811">
        <f t="shared" si="12"/>
        <v>630000</v>
      </c>
      <c r="R52" s="811">
        <f t="shared" si="13"/>
        <v>0</v>
      </c>
    </row>
    <row r="53" spans="1:18" ht="20.100000000000001" customHeight="1" x14ac:dyDescent="0.3">
      <c r="A53" s="728" t="s">
        <v>593</v>
      </c>
      <c r="B53" s="256">
        <f>PROPALM!B40</f>
        <v>0</v>
      </c>
      <c r="C53" s="256">
        <f>PROPALM!C40</f>
        <v>0</v>
      </c>
      <c r="D53" s="256">
        <f>PROPALM!D40</f>
        <v>0</v>
      </c>
      <c r="E53" s="1021">
        <f>PROPALM!E40</f>
        <v>0</v>
      </c>
      <c r="F53" s="256">
        <f>PROPALM!F40</f>
        <v>0</v>
      </c>
      <c r="G53" s="256">
        <f>PROPALM!G40</f>
        <v>0</v>
      </c>
      <c r="H53" s="256">
        <f>PROPALM!H40</f>
        <v>0</v>
      </c>
      <c r="I53" s="256">
        <f>PROPALM!I40</f>
        <v>0</v>
      </c>
      <c r="J53" s="256">
        <f>PROPALM!J40</f>
        <v>0</v>
      </c>
      <c r="K53" s="256">
        <f t="shared" si="0"/>
        <v>0</v>
      </c>
      <c r="L53" s="256">
        <f>PROPALM!L40</f>
        <v>0</v>
      </c>
      <c r="M53" s="22">
        <f t="shared" si="4"/>
        <v>0</v>
      </c>
      <c r="N53" s="255">
        <f>PROPALM!M8</f>
        <v>1843887</v>
      </c>
      <c r="O53" s="837">
        <f t="shared" si="5"/>
        <v>1843887</v>
      </c>
      <c r="P53" s="22">
        <f t="shared" si="11"/>
        <v>0</v>
      </c>
      <c r="Q53" s="811">
        <f t="shared" si="12"/>
        <v>1843887</v>
      </c>
      <c r="R53" s="811">
        <f t="shared" si="13"/>
        <v>0</v>
      </c>
    </row>
    <row r="54" spans="1:18" ht="20.100000000000001" customHeight="1" x14ac:dyDescent="0.3">
      <c r="A54" s="728" t="s">
        <v>937</v>
      </c>
      <c r="B54" s="256">
        <f>+ATC!B40</f>
        <v>0</v>
      </c>
      <c r="C54" s="256">
        <f>+ATC!C40</f>
        <v>0</v>
      </c>
      <c r="D54" s="256">
        <f>+ATC!D40</f>
        <v>0</v>
      </c>
      <c r="E54" s="1021">
        <f>+ATC!E40</f>
        <v>0</v>
      </c>
      <c r="F54" s="256">
        <f>+ATC!F40</f>
        <v>0</v>
      </c>
      <c r="G54" s="256">
        <f>+ATC!G40</f>
        <v>0</v>
      </c>
      <c r="H54" s="256">
        <f>+ATC!H40</f>
        <v>0</v>
      </c>
      <c r="I54" s="256">
        <f>+ATC!I40</f>
        <v>0</v>
      </c>
      <c r="J54" s="256">
        <f>+ATC!J40</f>
        <v>0</v>
      </c>
      <c r="K54" s="256">
        <f t="shared" si="0"/>
        <v>0</v>
      </c>
      <c r="L54" s="256">
        <f>+ATC!M40</f>
        <v>0</v>
      </c>
      <c r="M54" s="22">
        <f t="shared" si="4"/>
        <v>0</v>
      </c>
      <c r="N54" s="22">
        <f>+ATC!N8</f>
        <v>72385039</v>
      </c>
      <c r="O54" s="837">
        <f t="shared" si="5"/>
        <v>72385039</v>
      </c>
      <c r="P54" s="22">
        <f t="shared" si="11"/>
        <v>0</v>
      </c>
      <c r="Q54" s="811">
        <f t="shared" si="12"/>
        <v>72385039</v>
      </c>
      <c r="R54" s="811">
        <f t="shared" si="13"/>
        <v>0</v>
      </c>
    </row>
    <row r="55" spans="1:18" ht="20.100000000000001" customHeight="1" x14ac:dyDescent="0.3">
      <c r="A55" s="728" t="s">
        <v>782</v>
      </c>
      <c r="B55" s="256">
        <f>COTRAM!B40</f>
        <v>0</v>
      </c>
      <c r="C55" s="256">
        <f>COTRAM!C40</f>
        <v>0</v>
      </c>
      <c r="D55" s="256">
        <f>COTRAM!D40</f>
        <v>0</v>
      </c>
      <c r="E55" s="256">
        <f>+SMATCOM!E40</f>
        <v>0</v>
      </c>
      <c r="F55" s="256">
        <f>COTRAM!F40</f>
        <v>0</v>
      </c>
      <c r="G55" s="256">
        <f>COTRAM!G40</f>
        <v>0</v>
      </c>
      <c r="H55" s="256">
        <f>COTRAM!H40</f>
        <v>0</v>
      </c>
      <c r="I55" s="256">
        <f>COTRAM!I40</f>
        <v>0</v>
      </c>
      <c r="J55" s="256">
        <f>COTRAM!J40</f>
        <v>0</v>
      </c>
      <c r="K55" s="256">
        <f t="shared" si="0"/>
        <v>0</v>
      </c>
      <c r="L55" s="256">
        <f>+SMATCOM!M40</f>
        <v>0</v>
      </c>
      <c r="M55" s="22">
        <f t="shared" si="4"/>
        <v>0</v>
      </c>
      <c r="N55" s="255">
        <f>COTRAM!N8</f>
        <v>-5</v>
      </c>
      <c r="O55" s="837">
        <f t="shared" si="5"/>
        <v>-5</v>
      </c>
      <c r="P55" s="22">
        <f t="shared" si="11"/>
        <v>0</v>
      </c>
      <c r="Q55" s="811">
        <f t="shared" si="12"/>
        <v>0</v>
      </c>
      <c r="R55" s="811">
        <f t="shared" si="13"/>
        <v>5</v>
      </c>
    </row>
    <row r="56" spans="1:18" ht="20.100000000000001" customHeight="1" x14ac:dyDescent="0.3">
      <c r="A56" s="728" t="s">
        <v>484</v>
      </c>
      <c r="B56" s="256">
        <f>'CENTRAL VOYAGE'!B41</f>
        <v>0</v>
      </c>
      <c r="C56" s="256">
        <f>+'CENTRAL VOYAGE'!C41</f>
        <v>0</v>
      </c>
      <c r="D56" s="256">
        <f>+'CENTRAL VOYAGE'!D41</f>
        <v>0</v>
      </c>
      <c r="E56" s="256">
        <f>+'CENTRAL VOYAGE'!E41</f>
        <v>0</v>
      </c>
      <c r="F56" s="256">
        <f>+'CENTRAL VOYAGE'!F41</f>
        <v>0</v>
      </c>
      <c r="G56" s="256">
        <f>+'CENTRAL VOYAGE'!G41</f>
        <v>0</v>
      </c>
      <c r="H56" s="256">
        <f>+'CENTRAL VOYAGE'!H41</f>
        <v>0</v>
      </c>
      <c r="I56" s="256">
        <f>+'CENTRAL VOYAGE'!I41</f>
        <v>0</v>
      </c>
      <c r="J56" s="256">
        <f>+'CENTRAL VOYAGE'!J41</f>
        <v>0</v>
      </c>
      <c r="K56" s="256">
        <f t="shared" si="0"/>
        <v>0</v>
      </c>
      <c r="L56" s="256">
        <f>+'CENTRAL VOYAGE'!M41</f>
        <v>0</v>
      </c>
      <c r="M56" s="22">
        <f t="shared" si="4"/>
        <v>0</v>
      </c>
      <c r="N56" s="255">
        <f>+'CENTRAL VOYAGE'!N8</f>
        <v>0</v>
      </c>
      <c r="O56" s="837">
        <f t="shared" si="5"/>
        <v>0</v>
      </c>
      <c r="P56" s="22">
        <f t="shared" si="11"/>
        <v>0</v>
      </c>
      <c r="Q56" s="811">
        <f t="shared" si="12"/>
        <v>0</v>
      </c>
      <c r="R56" s="811">
        <f t="shared" si="13"/>
        <v>0</v>
      </c>
    </row>
    <row r="57" spans="1:18" ht="20.100000000000001" customHeight="1" x14ac:dyDescent="0.3">
      <c r="A57" s="728" t="s">
        <v>452</v>
      </c>
      <c r="B57" s="256">
        <f>+ABS!B41</f>
        <v>0</v>
      </c>
      <c r="C57" s="256">
        <f>+ABS!C41</f>
        <v>0</v>
      </c>
      <c r="D57" s="256">
        <f>+ABS!D41</f>
        <v>0</v>
      </c>
      <c r="E57" s="256">
        <f>+ABS!E41</f>
        <v>0</v>
      </c>
      <c r="F57" s="256">
        <f>+ABS!F41</f>
        <v>0</v>
      </c>
      <c r="G57" s="256">
        <f>+ABS!G41</f>
        <v>0</v>
      </c>
      <c r="H57" s="256">
        <f>+ABS!H41</f>
        <v>0</v>
      </c>
      <c r="I57" s="256">
        <f>+ABS!I41</f>
        <v>0</v>
      </c>
      <c r="J57" s="256">
        <f>+ABS!J41</f>
        <v>0</v>
      </c>
      <c r="K57" s="256">
        <f t="shared" si="0"/>
        <v>0</v>
      </c>
      <c r="L57" s="256">
        <f>+ABS!M41</f>
        <v>0</v>
      </c>
      <c r="M57" s="22">
        <f t="shared" si="4"/>
        <v>0</v>
      </c>
      <c r="N57" s="255">
        <f>+ABS!N8</f>
        <v>4155875</v>
      </c>
      <c r="O57" s="837">
        <f t="shared" si="5"/>
        <v>4155875</v>
      </c>
      <c r="P57" s="22">
        <f t="shared" si="11"/>
        <v>0</v>
      </c>
      <c r="Q57" s="811">
        <f t="shared" si="12"/>
        <v>4155875</v>
      </c>
      <c r="R57" s="811">
        <f t="shared" si="13"/>
        <v>0</v>
      </c>
    </row>
    <row r="58" spans="1:18" ht="20.100000000000001" customHeight="1" x14ac:dyDescent="0.3">
      <c r="A58" s="728" t="s">
        <v>661</v>
      </c>
      <c r="B58" s="256"/>
      <c r="C58" s="256"/>
      <c r="D58" s="256"/>
      <c r="E58" s="256"/>
      <c r="F58" s="256"/>
      <c r="G58" s="256"/>
      <c r="H58" s="256"/>
      <c r="I58" s="256"/>
      <c r="J58" s="256"/>
      <c r="K58" s="256">
        <f t="shared" si="0"/>
        <v>0</v>
      </c>
      <c r="L58" s="256">
        <f>+'vers&amp;dépenses '!S24</f>
        <v>0</v>
      </c>
      <c r="M58" s="22">
        <f t="shared" si="4"/>
        <v>0</v>
      </c>
      <c r="N58" s="255">
        <f>+'vers&amp;dépenses '!T12</f>
        <v>972108</v>
      </c>
      <c r="O58" s="837">
        <f t="shared" si="5"/>
        <v>972108</v>
      </c>
      <c r="P58" s="22">
        <f>O58-N58</f>
        <v>0</v>
      </c>
      <c r="Q58" s="811">
        <f>IF(O58&lt;0,,O58)</f>
        <v>972108</v>
      </c>
      <c r="R58" s="811">
        <f>IF(O58&gt;0,,-O58)</f>
        <v>0</v>
      </c>
    </row>
    <row r="59" spans="1:18" ht="20.100000000000001" customHeight="1" x14ac:dyDescent="0.3">
      <c r="A59" s="895" t="s">
        <v>455</v>
      </c>
      <c r="B59" s="256"/>
      <c r="C59" s="256"/>
      <c r="D59" s="256"/>
      <c r="E59" s="256">
        <f>+SOCAMBA!E40</f>
        <v>0</v>
      </c>
      <c r="F59" s="256">
        <f>+SOCAMBA!F40</f>
        <v>0</v>
      </c>
      <c r="G59" s="256">
        <f>+SOCAMBA!G40</f>
        <v>0</v>
      </c>
      <c r="H59" s="256">
        <f>+SOCAMBA!H40</f>
        <v>0</v>
      </c>
      <c r="I59" s="256">
        <f>+SOCAMBA!I40</f>
        <v>0</v>
      </c>
      <c r="J59" s="256">
        <f>+SOCAMBA!J40</f>
        <v>0</v>
      </c>
      <c r="K59" s="256">
        <f t="shared" si="0"/>
        <v>0</v>
      </c>
      <c r="L59" s="256">
        <f>+SOCAMBA!M40</f>
        <v>0</v>
      </c>
      <c r="M59" s="22">
        <f t="shared" si="4"/>
        <v>0</v>
      </c>
      <c r="N59" s="255">
        <f>+SOCAMBA!N8</f>
        <v>0</v>
      </c>
      <c r="O59" s="837">
        <f t="shared" si="5"/>
        <v>0</v>
      </c>
      <c r="P59" s="22">
        <f t="shared" si="11"/>
        <v>0</v>
      </c>
      <c r="Q59" s="811">
        <f t="shared" si="12"/>
        <v>0</v>
      </c>
      <c r="R59" s="811">
        <f t="shared" si="13"/>
        <v>0</v>
      </c>
    </row>
    <row r="60" spans="1:18" ht="18" customHeight="1" x14ac:dyDescent="0.3">
      <c r="A60" s="895" t="s">
        <v>1049</v>
      </c>
      <c r="B60" s="256">
        <f>'ERNO GC'!B40</f>
        <v>0</v>
      </c>
      <c r="C60" s="256">
        <f>'ERNO GC'!C40</f>
        <v>0</v>
      </c>
      <c r="D60" s="256">
        <f>'ERNO GC'!D40</f>
        <v>0</v>
      </c>
      <c r="E60" s="256">
        <f>'ERNO GC'!E40</f>
        <v>0</v>
      </c>
      <c r="F60" s="256">
        <f>'ERNO GC'!F40</f>
        <v>0</v>
      </c>
      <c r="G60" s="256">
        <f>'ERNO GC'!G40</f>
        <v>0</v>
      </c>
      <c r="H60" s="256">
        <f>'ERNO GC'!H40</f>
        <v>0</v>
      </c>
      <c r="I60" s="256">
        <f>'ERNO GC'!I40</f>
        <v>0</v>
      </c>
      <c r="J60" s="256">
        <f>'ERNO GC'!J40</f>
        <v>0</v>
      </c>
      <c r="K60" s="256">
        <f t="shared" si="0"/>
        <v>0</v>
      </c>
      <c r="L60" s="256">
        <f>+'ERNO GC'!M40</f>
        <v>0</v>
      </c>
      <c r="M60" s="22">
        <f t="shared" si="4"/>
        <v>0</v>
      </c>
      <c r="N60" s="255">
        <f>+'ERNO GC'!N8</f>
        <v>0</v>
      </c>
      <c r="O60" s="837">
        <f t="shared" si="5"/>
        <v>0</v>
      </c>
      <c r="P60" s="22"/>
      <c r="Q60" s="811"/>
      <c r="R60" s="811"/>
    </row>
    <row r="61" spans="1:18" ht="18" customHeight="1" x14ac:dyDescent="0.3">
      <c r="A61" s="895" t="s">
        <v>1154</v>
      </c>
      <c r="B61" s="256"/>
      <c r="C61" s="256"/>
      <c r="D61" s="256"/>
      <c r="E61" s="256">
        <f>'Orange Marchand'!D1487</f>
        <v>1147250</v>
      </c>
      <c r="F61" s="256">
        <f>'ERNO GC'!F41</f>
        <v>0</v>
      </c>
      <c r="G61" s="256">
        <f>'ERNO GC'!G41</f>
        <v>0</v>
      </c>
      <c r="H61" s="256">
        <f>'ERNO GC'!H41</f>
        <v>0</v>
      </c>
      <c r="I61" s="256">
        <f>'ERNO GC'!I41</f>
        <v>0</v>
      </c>
      <c r="J61" s="256">
        <f>'ERNO GC'!J41</f>
        <v>0</v>
      </c>
      <c r="K61" s="256">
        <f t="shared" si="0"/>
        <v>1147250</v>
      </c>
      <c r="L61" s="256"/>
      <c r="M61" s="22">
        <f t="shared" si="4"/>
        <v>1147250</v>
      </c>
      <c r="N61" s="255">
        <f>+'ERNO GC'!N9</f>
        <v>0</v>
      </c>
      <c r="O61" s="837">
        <f t="shared" si="5"/>
        <v>1147250</v>
      </c>
      <c r="P61" s="22"/>
      <c r="Q61" s="811"/>
      <c r="R61" s="811"/>
    </row>
    <row r="62" spans="1:18" ht="20.100000000000001" customHeight="1" x14ac:dyDescent="0.3">
      <c r="A62" s="767" t="s">
        <v>251</v>
      </c>
      <c r="B62" s="418"/>
      <c r="C62" s="418"/>
      <c r="D62" s="418"/>
      <c r="E62" s="418"/>
      <c r="F62" s="418"/>
      <c r="G62" s="418"/>
      <c r="H62" s="418"/>
      <c r="I62" s="418"/>
      <c r="J62" s="418"/>
      <c r="K62" s="256">
        <f t="shared" si="0"/>
        <v>0</v>
      </c>
      <c r="L62" s="418"/>
      <c r="M62" s="22">
        <f t="shared" si="4"/>
        <v>0</v>
      </c>
      <c r="N62" s="418"/>
      <c r="O62" s="837">
        <f t="shared" si="5"/>
        <v>0</v>
      </c>
      <c r="P62" s="418"/>
      <c r="Q62" s="235"/>
      <c r="R62" s="235"/>
    </row>
    <row r="63" spans="1:18" ht="20.100000000000001" customHeight="1" x14ac:dyDescent="0.3">
      <c r="A63" s="689" t="s">
        <v>18</v>
      </c>
      <c r="B63" s="23">
        <f t="shared" ref="B63:J63" si="14">SUM(B9:B62)</f>
        <v>0</v>
      </c>
      <c r="C63" s="23">
        <f t="shared" si="14"/>
        <v>0</v>
      </c>
      <c r="D63" s="23">
        <f t="shared" si="14"/>
        <v>13378.59304347826</v>
      </c>
      <c r="E63" s="23">
        <f>SUM(E9:E62)</f>
        <v>8839941</v>
      </c>
      <c r="F63" s="23">
        <f t="shared" si="14"/>
        <v>8000</v>
      </c>
      <c r="G63" s="23">
        <f t="shared" si="14"/>
        <v>4600000</v>
      </c>
      <c r="H63" s="23">
        <f t="shared" si="14"/>
        <v>0</v>
      </c>
      <c r="I63" s="23">
        <f t="shared" si="14"/>
        <v>0</v>
      </c>
      <c r="J63" s="23">
        <f t="shared" si="14"/>
        <v>0</v>
      </c>
      <c r="K63" s="23">
        <f>SUM(K9:K62)</f>
        <v>13439941</v>
      </c>
      <c r="L63" s="23">
        <f>SUM(L9:L62)</f>
        <v>2415000</v>
      </c>
      <c r="M63" s="23">
        <f t="shared" ref="M63:R63" si="15">SUM(M9:M62)</f>
        <v>11024941</v>
      </c>
      <c r="N63" s="23">
        <f t="shared" si="15"/>
        <v>432282532</v>
      </c>
      <c r="O63" s="23">
        <f>SUM(O9:O62)</f>
        <v>443307473</v>
      </c>
      <c r="P63" s="23">
        <f t="shared" si="15"/>
        <v>4027991</v>
      </c>
      <c r="Q63" s="23">
        <f t="shared" si="15"/>
        <v>389612729</v>
      </c>
      <c r="R63" s="23">
        <f t="shared" si="15"/>
        <v>3443017</v>
      </c>
    </row>
    <row r="64" spans="1:18" ht="5.25" customHeight="1" x14ac:dyDescent="0.3">
      <c r="E64" s="307" t="s">
        <v>869</v>
      </c>
      <c r="L64" s="281"/>
      <c r="O64" s="839"/>
      <c r="Q64" s="236"/>
      <c r="R64" s="236"/>
    </row>
    <row r="65" spans="1:18" ht="21.75" hidden="1" customHeight="1" x14ac:dyDescent="0.25">
      <c r="A65" s="79" t="s">
        <v>353</v>
      </c>
      <c r="B65" s="367">
        <v>218.84615384615384</v>
      </c>
      <c r="C65" s="367">
        <v>113800</v>
      </c>
      <c r="D65" s="367">
        <v>67183.163461538468</v>
      </c>
      <c r="E65" s="367">
        <v>34935245</v>
      </c>
      <c r="F65" s="367">
        <v>0</v>
      </c>
      <c r="G65" s="367">
        <v>0</v>
      </c>
      <c r="H65" s="367">
        <v>15250</v>
      </c>
      <c r="I65" s="367">
        <v>0</v>
      </c>
      <c r="J65" s="367">
        <v>20000</v>
      </c>
      <c r="K65" s="688">
        <v>35061245</v>
      </c>
      <c r="L65" s="367">
        <v>49791586</v>
      </c>
      <c r="M65" s="367">
        <v>-14730341</v>
      </c>
      <c r="N65" s="22">
        <v>29285441</v>
      </c>
      <c r="O65" s="838">
        <v>14555100</v>
      </c>
      <c r="P65" s="367">
        <v>-14730341</v>
      </c>
      <c r="Q65" s="367">
        <v>-14730341</v>
      </c>
      <c r="R65" s="367">
        <v>-14730341</v>
      </c>
    </row>
    <row r="66" spans="1:18" ht="19.5" hidden="1" customHeight="1" x14ac:dyDescent="0.3">
      <c r="A66" s="734" t="s">
        <v>64</v>
      </c>
      <c r="B66" s="64">
        <f>+B63-B65</f>
        <v>-218.84615384615384</v>
      </c>
      <c r="C66" s="64">
        <f t="shared" ref="C66:R66" si="16">+C63-C65</f>
        <v>-113800</v>
      </c>
      <c r="D66" s="64">
        <f t="shared" si="16"/>
        <v>-53804.570418060204</v>
      </c>
      <c r="E66" s="64">
        <f t="shared" si="16"/>
        <v>-26095304</v>
      </c>
      <c r="F66" s="64">
        <f t="shared" si="16"/>
        <v>8000</v>
      </c>
      <c r="G66" s="64">
        <f t="shared" si="16"/>
        <v>4600000</v>
      </c>
      <c r="H66" s="64">
        <f t="shared" si="16"/>
        <v>-15250</v>
      </c>
      <c r="I66" s="64">
        <f t="shared" si="16"/>
        <v>0</v>
      </c>
      <c r="J66" s="64">
        <f t="shared" si="16"/>
        <v>-20000</v>
      </c>
      <c r="K66" s="64">
        <f t="shared" si="16"/>
        <v>-21621304</v>
      </c>
      <c r="L66" s="64">
        <f t="shared" si="16"/>
        <v>-47376586</v>
      </c>
      <c r="M66" s="64">
        <f>+M63-M65</f>
        <v>25755282</v>
      </c>
      <c r="N66" s="64">
        <f t="shared" si="16"/>
        <v>402997091</v>
      </c>
      <c r="O66" s="838">
        <f t="shared" si="16"/>
        <v>428752373</v>
      </c>
      <c r="P66" s="64">
        <f t="shared" si="16"/>
        <v>18758332</v>
      </c>
      <c r="Q66" s="64">
        <f t="shared" si="16"/>
        <v>404343070</v>
      </c>
      <c r="R66" s="64">
        <f t="shared" si="16"/>
        <v>18173358</v>
      </c>
    </row>
    <row r="67" spans="1:18" ht="19.5" x14ac:dyDescent="0.35">
      <c r="L67" s="151"/>
      <c r="M67" s="281"/>
      <c r="N67" s="21"/>
      <c r="O67" s="839"/>
    </row>
    <row r="68" spans="1:18" ht="12.75" x14ac:dyDescent="0.2">
      <c r="A68" s="92"/>
      <c r="B68" s="92"/>
      <c r="C68" s="92"/>
      <c r="D68" s="92"/>
      <c r="E68" s="368"/>
      <c r="F68" s="92"/>
      <c r="G68" s="92"/>
      <c r="H68" s="92"/>
      <c r="I68" s="92"/>
      <c r="J68" s="92"/>
      <c r="K68" s="368"/>
      <c r="L68" s="368"/>
      <c r="M68" s="368"/>
      <c r="N68" s="368"/>
      <c r="O68" s="368"/>
      <c r="P68" s="368"/>
      <c r="Q68" s="368"/>
      <c r="R68" s="368"/>
    </row>
    <row r="69" spans="1:18" x14ac:dyDescent="0.25">
      <c r="A69" s="16"/>
      <c r="B69" s="92"/>
      <c r="C69" s="92"/>
      <c r="D69" s="92"/>
      <c r="E69" s="92"/>
      <c r="F69" s="92"/>
      <c r="G69" s="92"/>
      <c r="H69" s="92"/>
      <c r="I69" s="92"/>
      <c r="J69" s="92"/>
      <c r="K69" s="92"/>
      <c r="L69" s="92"/>
      <c r="M69" s="92"/>
      <c r="N69" s="253"/>
      <c r="O69" s="77"/>
      <c r="P69" s="92"/>
    </row>
    <row r="70" spans="1:18" ht="16.5" x14ac:dyDescent="0.25">
      <c r="A70" s="735"/>
      <c r="B70" s="3031"/>
      <c r="C70" s="3031"/>
      <c r="D70" s="3031"/>
      <c r="E70" s="3031"/>
      <c r="F70" s="3031"/>
      <c r="G70" s="3031"/>
      <c r="H70" s="735"/>
      <c r="I70" s="735"/>
      <c r="J70" s="735"/>
      <c r="K70" s="736"/>
      <c r="L70" s="735"/>
      <c r="M70" s="735"/>
      <c r="N70" s="735"/>
      <c r="O70" s="840"/>
      <c r="P70" s="737"/>
    </row>
    <row r="71" spans="1:18" ht="16.5" x14ac:dyDescent="0.25">
      <c r="A71" s="735"/>
      <c r="B71" s="382"/>
      <c r="C71" s="382"/>
      <c r="D71" s="3030"/>
      <c r="E71" s="3030"/>
      <c r="F71" s="382"/>
      <c r="G71" s="382"/>
      <c r="H71" s="735"/>
      <c r="I71" s="735"/>
      <c r="J71" s="735"/>
      <c r="K71" s="736"/>
      <c r="L71" s="735"/>
      <c r="M71" s="735"/>
      <c r="N71" s="735"/>
      <c r="O71" s="840"/>
      <c r="P71" s="737"/>
    </row>
    <row r="72" spans="1:18" ht="16.5" x14ac:dyDescent="0.25">
      <c r="A72" s="735"/>
      <c r="B72" s="344"/>
      <c r="C72" s="344"/>
      <c r="D72" s="344"/>
      <c r="E72" s="344"/>
      <c r="F72" s="344"/>
      <c r="G72" s="344"/>
      <c r="H72" s="735"/>
      <c r="I72" s="735"/>
      <c r="J72" s="735"/>
      <c r="K72" s="736"/>
      <c r="L72" s="735"/>
      <c r="M72" s="735"/>
      <c r="N72" s="735"/>
      <c r="O72" s="840"/>
      <c r="P72" s="737"/>
    </row>
    <row r="73" spans="1:18" ht="16.5" x14ac:dyDescent="0.25">
      <c r="A73" s="14"/>
      <c r="B73" s="14"/>
      <c r="C73" s="14"/>
      <c r="D73" s="14"/>
      <c r="E73" s="14"/>
      <c r="F73" s="14"/>
      <c r="G73" s="14"/>
      <c r="H73" s="14"/>
      <c r="I73" s="14"/>
      <c r="J73" s="14"/>
      <c r="K73" s="14"/>
      <c r="L73" s="14"/>
      <c r="M73" s="14"/>
      <c r="N73" s="342"/>
      <c r="O73" s="841"/>
      <c r="P73" s="14"/>
    </row>
    <row r="74" spans="1:18" ht="16.5" x14ac:dyDescent="0.2">
      <c r="A74" s="738"/>
      <c r="B74" s="738"/>
      <c r="C74" s="738"/>
      <c r="D74" s="738"/>
      <c r="E74" s="738"/>
      <c r="F74" s="738"/>
      <c r="G74" s="738"/>
      <c r="H74" s="738"/>
      <c r="I74" s="738"/>
      <c r="J74" s="738"/>
      <c r="K74" s="738"/>
      <c r="L74" s="738"/>
      <c r="M74" s="738"/>
      <c r="N74" s="342"/>
      <c r="O74" s="841"/>
      <c r="P74" s="343"/>
    </row>
    <row r="75" spans="1:18" x14ac:dyDescent="0.25">
      <c r="A75" s="92"/>
      <c r="B75" s="92"/>
      <c r="C75" s="92"/>
      <c r="D75" s="92"/>
      <c r="E75" s="92"/>
      <c r="F75" s="92"/>
      <c r="G75" s="92"/>
      <c r="H75" s="92"/>
      <c r="I75" s="92"/>
      <c r="J75" s="92"/>
      <c r="K75" s="92"/>
      <c r="L75" s="92"/>
      <c r="M75" s="92"/>
      <c r="N75" s="92"/>
      <c r="O75" s="77"/>
      <c r="P75" s="92"/>
    </row>
    <row r="76" spans="1:18" x14ac:dyDescent="0.25">
      <c r="A76" s="92"/>
      <c r="B76" s="92"/>
      <c r="C76" s="92"/>
      <c r="D76" s="92"/>
      <c r="E76" s="92"/>
      <c r="F76" s="92"/>
      <c r="G76" s="92"/>
      <c r="H76" s="92"/>
      <c r="I76" s="92"/>
      <c r="J76" s="92"/>
      <c r="K76" s="92"/>
      <c r="L76" s="92"/>
      <c r="M76" s="92"/>
      <c r="N76" s="92"/>
      <c r="O76" s="77"/>
      <c r="P76" s="92"/>
    </row>
    <row r="77" spans="1:18" x14ac:dyDescent="0.25">
      <c r="A77" s="92"/>
      <c r="B77" s="92"/>
      <c r="C77" s="92"/>
      <c r="D77" s="92"/>
      <c r="E77" s="92"/>
      <c r="F77" s="92"/>
      <c r="G77" s="92"/>
      <c r="H77" s="92"/>
      <c r="I77" s="92"/>
      <c r="J77" s="92"/>
      <c r="K77" s="92"/>
      <c r="L77" s="92"/>
      <c r="M77" s="92"/>
      <c r="N77" s="92"/>
      <c r="O77" s="77"/>
      <c r="P77" s="92"/>
    </row>
  </sheetData>
  <mergeCells count="22">
    <mergeCell ref="T39:T40"/>
    <mergeCell ref="Y39:Y41"/>
    <mergeCell ref="J6:J8"/>
    <mergeCell ref="H6:H8"/>
    <mergeCell ref="I6:I8"/>
    <mergeCell ref="D71:E71"/>
    <mergeCell ref="B70:C70"/>
    <mergeCell ref="D70:E70"/>
    <mergeCell ref="F70:G70"/>
    <mergeCell ref="T41:U41"/>
    <mergeCell ref="A6:A8"/>
    <mergeCell ref="P6:P8"/>
    <mergeCell ref="Q6:Q8"/>
    <mergeCell ref="R6:R8"/>
    <mergeCell ref="L6:L8"/>
    <mergeCell ref="K6:K8"/>
    <mergeCell ref="M6:M8"/>
    <mergeCell ref="N6:N8"/>
    <mergeCell ref="O6:O8"/>
    <mergeCell ref="B6:C6"/>
    <mergeCell ref="D6:E6"/>
    <mergeCell ref="F6:G6"/>
  </mergeCells>
  <printOptions horizontalCentered="1"/>
  <pageMargins left="0.39370078740157483" right="0.39370078740157483" top="0.39370078740157483" bottom="0.74803149606299213" header="0.31496062992125984" footer="0.31496062992125984"/>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pageSetUpPr fitToPage="1"/>
  </sheetPr>
  <dimension ref="A1:Q27"/>
  <sheetViews>
    <sheetView workbookViewId="0">
      <selection activeCell="J18" sqref="J18"/>
    </sheetView>
  </sheetViews>
  <sheetFormatPr baseColWidth="10" defaultRowHeight="12.75" x14ac:dyDescent="0.2"/>
  <cols>
    <col min="1" max="1" width="32.85546875" customWidth="1"/>
    <col min="2" max="5" width="20.7109375" customWidth="1"/>
    <col min="6" max="6" width="19.7109375" customWidth="1"/>
    <col min="8" max="8" width="18.85546875" customWidth="1"/>
  </cols>
  <sheetData>
    <row r="1" spans="1:17" s="39" customFormat="1" ht="15" x14ac:dyDescent="0.2">
      <c r="A1" s="335" t="s">
        <v>170</v>
      </c>
      <c r="B1" s="250"/>
      <c r="C1" s="250"/>
    </row>
    <row r="2" spans="1:17" s="39" customFormat="1" ht="18" x14ac:dyDescent="0.25">
      <c r="A2" s="331" t="s">
        <v>212</v>
      </c>
      <c r="B2" s="250"/>
      <c r="C2" s="250"/>
    </row>
    <row r="3" spans="1:17" s="39" customFormat="1" x14ac:dyDescent="0.2"/>
    <row r="4" spans="1:17" s="39" customFormat="1" ht="18.75" customHeight="1" x14ac:dyDescent="0.25">
      <c r="B4" s="384"/>
      <c r="C4" s="384"/>
      <c r="D4" s="384"/>
      <c r="E4" s="384"/>
      <c r="F4" s="511" t="s">
        <v>233</v>
      </c>
      <c r="I4" s="474"/>
      <c r="J4" s="474"/>
      <c r="P4" s="475"/>
      <c r="Q4" s="475"/>
    </row>
    <row r="5" spans="1:17" s="39" customFormat="1" ht="6.75" customHeight="1" x14ac:dyDescent="0.2">
      <c r="A5" s="250"/>
      <c r="B5" s="384"/>
      <c r="C5" s="384"/>
      <c r="D5" s="384"/>
      <c r="E5" s="384"/>
      <c r="F5" s="512"/>
      <c r="G5" s="512"/>
      <c r="H5" s="512"/>
      <c r="I5" s="512"/>
      <c r="J5" s="512"/>
      <c r="K5" s="512"/>
      <c r="L5" s="250"/>
      <c r="M5" s="250"/>
      <c r="N5" s="250"/>
      <c r="O5" s="250"/>
      <c r="P5" s="250"/>
      <c r="Q5" s="250"/>
    </row>
    <row r="6" spans="1:17" s="39" customFormat="1" ht="17.25" customHeight="1" x14ac:dyDescent="0.2">
      <c r="B6" s="3048" t="s">
        <v>345</v>
      </c>
      <c r="C6" s="3048"/>
      <c r="D6" s="3048"/>
      <c r="E6" s="653"/>
      <c r="F6" s="581"/>
      <c r="G6" s="581"/>
      <c r="H6" s="581"/>
      <c r="I6" s="581"/>
      <c r="J6" s="581"/>
      <c r="K6" s="581"/>
    </row>
    <row r="8" spans="1:17" x14ac:dyDescent="0.2">
      <c r="A8" s="39" t="str">
        <f>+LC!B6</f>
        <v>DU 01 AU 31/02/2017</v>
      </c>
    </row>
    <row r="9" spans="1:17" ht="13.5" thickBot="1" x14ac:dyDescent="0.25"/>
    <row r="10" spans="1:17" s="563" customFormat="1" ht="15" customHeight="1" thickBot="1" x14ac:dyDescent="0.25">
      <c r="A10" s="565"/>
      <c r="B10" s="3043" t="s">
        <v>316</v>
      </c>
      <c r="C10" s="3044"/>
      <c r="D10" s="3044"/>
      <c r="E10" s="3049" t="s">
        <v>341</v>
      </c>
      <c r="F10" s="3046" t="s">
        <v>317</v>
      </c>
    </row>
    <row r="11" spans="1:17" s="563" customFormat="1" ht="28.5" customHeight="1" thickBot="1" x14ac:dyDescent="0.3">
      <c r="A11" s="573" t="s">
        <v>126</v>
      </c>
      <c r="B11" s="587" t="s">
        <v>312</v>
      </c>
      <c r="C11" s="588" t="s">
        <v>313</v>
      </c>
      <c r="D11" s="650" t="s">
        <v>64</v>
      </c>
      <c r="E11" s="3049"/>
      <c r="F11" s="3047"/>
    </row>
    <row r="12" spans="1:17" s="563" customFormat="1" ht="20.100000000000001" customHeight="1" x14ac:dyDescent="0.25">
      <c r="A12" s="573" t="s">
        <v>213</v>
      </c>
      <c r="B12" s="575">
        <f>22560720/520</f>
        <v>43386</v>
      </c>
      <c r="C12" s="580">
        <f>11784210/520</f>
        <v>22661.942307692309</v>
      </c>
      <c r="D12" s="585">
        <f>+C12-B12</f>
        <v>-20724.057692307691</v>
      </c>
      <c r="E12" s="643">
        <f>+D12/B12*100</f>
        <v>-47.766693616161184</v>
      </c>
      <c r="F12" s="589">
        <f t="shared" ref="F12:F17" si="0">+D12*520</f>
        <v>-10776510</v>
      </c>
    </row>
    <row r="13" spans="1:17" s="563" customFormat="1" ht="20.100000000000001" customHeight="1" x14ac:dyDescent="0.25">
      <c r="A13" s="572" t="s">
        <v>222</v>
      </c>
      <c r="B13" s="576">
        <f>12084800/520</f>
        <v>23240</v>
      </c>
      <c r="C13" s="576">
        <f>2080000/520</f>
        <v>4000</v>
      </c>
      <c r="D13" s="585">
        <f t="shared" ref="D13:D18" si="1">+C13-B13</f>
        <v>-19240</v>
      </c>
      <c r="E13" s="643">
        <f>+D13/B13*100</f>
        <v>-82.788296041308087</v>
      </c>
      <c r="F13" s="590">
        <f t="shared" si="0"/>
        <v>-10004800</v>
      </c>
    </row>
    <row r="14" spans="1:17" s="563" customFormat="1" ht="20.100000000000001" customHeight="1" x14ac:dyDescent="0.25">
      <c r="A14" s="572" t="s">
        <v>250</v>
      </c>
      <c r="B14" s="576"/>
      <c r="C14" s="576">
        <f>8767200/520</f>
        <v>16860</v>
      </c>
      <c r="D14" s="586">
        <f t="shared" si="1"/>
        <v>16860</v>
      </c>
      <c r="E14" s="643" t="e">
        <f>+D14/B14*100</f>
        <v>#DIV/0!</v>
      </c>
      <c r="F14" s="590">
        <f t="shared" si="0"/>
        <v>8767200</v>
      </c>
    </row>
    <row r="15" spans="1:17" s="563" customFormat="1" ht="20.100000000000001" customHeight="1" x14ac:dyDescent="0.25">
      <c r="A15" s="572" t="s">
        <v>190</v>
      </c>
      <c r="B15" s="576">
        <f>99043/520</f>
        <v>190.46730769230768</v>
      </c>
      <c r="C15" s="576">
        <f>307691/520</f>
        <v>591.7134615384615</v>
      </c>
      <c r="D15" s="586">
        <f t="shared" si="1"/>
        <v>401.24615384615379</v>
      </c>
      <c r="E15" s="643">
        <f>+D15/B15*100</f>
        <v>210.66405500641133</v>
      </c>
      <c r="F15" s="590">
        <f t="shared" si="0"/>
        <v>208647.99999999997</v>
      </c>
    </row>
    <row r="16" spans="1:17" s="563" customFormat="1" ht="20.100000000000001" customHeight="1" x14ac:dyDescent="0.25">
      <c r="A16" s="572" t="s">
        <v>311</v>
      </c>
      <c r="B16" s="576">
        <f>77717/520</f>
        <v>149.45576923076922</v>
      </c>
      <c r="C16" s="576">
        <f>158203/520</f>
        <v>304.23653846153849</v>
      </c>
      <c r="D16" s="586">
        <f t="shared" si="1"/>
        <v>154.78076923076927</v>
      </c>
      <c r="E16" s="643">
        <f>+D16/B16*100</f>
        <v>103.56292703012213</v>
      </c>
      <c r="F16" s="590">
        <f t="shared" si="0"/>
        <v>80486.000000000015</v>
      </c>
    </row>
    <row r="17" spans="1:8" s="563" customFormat="1" ht="20.100000000000001" customHeight="1" x14ac:dyDescent="0.25">
      <c r="A17" s="572" t="s">
        <v>253</v>
      </c>
      <c r="B17" s="576"/>
      <c r="C17" s="576">
        <f>167600/520</f>
        <v>322.30769230769232</v>
      </c>
      <c r="D17" s="586">
        <f t="shared" si="1"/>
        <v>322.30769230769232</v>
      </c>
      <c r="E17" s="643"/>
      <c r="F17" s="590">
        <f t="shared" si="0"/>
        <v>167600</v>
      </c>
    </row>
    <row r="18" spans="1:8" s="563" customFormat="1" ht="20.100000000000001" customHeight="1" x14ac:dyDescent="0.25">
      <c r="A18" s="572" t="s">
        <v>314</v>
      </c>
      <c r="B18" s="576"/>
      <c r="C18" s="576">
        <f>520000/520</f>
        <v>1000</v>
      </c>
      <c r="D18" s="586">
        <f t="shared" si="1"/>
        <v>1000</v>
      </c>
      <c r="E18" s="643"/>
      <c r="F18" s="590">
        <f>+D18*569</f>
        <v>569000</v>
      </c>
    </row>
    <row r="19" spans="1:8" s="563" customFormat="1" ht="5.25" customHeight="1" x14ac:dyDescent="0.25">
      <c r="A19" s="573"/>
      <c r="B19" s="576"/>
      <c r="C19" s="576"/>
      <c r="D19" s="586"/>
      <c r="E19" s="644"/>
      <c r="F19" s="583"/>
    </row>
    <row r="20" spans="1:8" s="563" customFormat="1" ht="20.100000000000001" customHeight="1" thickBot="1" x14ac:dyDescent="0.3">
      <c r="A20" s="573" t="s">
        <v>18</v>
      </c>
      <c r="B20" s="577">
        <f>SUM(B12:B18)</f>
        <v>66965.923076923078</v>
      </c>
      <c r="C20" s="577">
        <f>SUM(C12:C18)</f>
        <v>45740.200000000012</v>
      </c>
      <c r="D20" s="645">
        <f>SUM(D12:D18)</f>
        <v>-21225.723076923074</v>
      </c>
      <c r="E20" s="579"/>
      <c r="F20" s="584">
        <f>SUM(F12:F19)</f>
        <v>-10988376</v>
      </c>
    </row>
    <row r="21" spans="1:8" s="563" customFormat="1" ht="20.100000000000001" customHeight="1" x14ac:dyDescent="0.25">
      <c r="A21" s="570"/>
      <c r="B21" s="578"/>
      <c r="C21" s="578"/>
      <c r="D21" s="578"/>
      <c r="E21" s="564"/>
      <c r="F21" s="565"/>
    </row>
    <row r="22" spans="1:8" s="563" customFormat="1" ht="15.75" thickBot="1" x14ac:dyDescent="0.3">
      <c r="A22" s="574" t="s">
        <v>315</v>
      </c>
      <c r="B22" s="577">
        <v>373855</v>
      </c>
      <c r="C22" s="577">
        <v>368921</v>
      </c>
      <c r="D22" s="579">
        <f>+C22-B22</f>
        <v>-4934</v>
      </c>
      <c r="E22" s="564"/>
      <c r="F22" s="565"/>
    </row>
    <row r="23" spans="1:8" s="563" customFormat="1" ht="33.75" thickBot="1" x14ac:dyDescent="0.3">
      <c r="A23" s="574" t="s">
        <v>318</v>
      </c>
      <c r="B23" s="582">
        <f>+B20/B22</f>
        <v>0.17912271623202333</v>
      </c>
      <c r="C23" s="582">
        <f>+C20/C22</f>
        <v>0.12398372551305024</v>
      </c>
      <c r="D23" s="591">
        <f>+C23-B23</f>
        <v>-5.5138990718973088E-2</v>
      </c>
      <c r="E23" s="641"/>
      <c r="F23" s="565"/>
    </row>
    <row r="24" spans="1:8" s="563" customFormat="1" ht="15" x14ac:dyDescent="0.25">
      <c r="A24" s="567"/>
      <c r="B24" s="564"/>
      <c r="C24" s="564"/>
      <c r="D24" s="564"/>
      <c r="E24" s="564"/>
      <c r="F24" s="565"/>
    </row>
    <row r="25" spans="1:8" s="563" customFormat="1" ht="15" x14ac:dyDescent="0.25">
      <c r="A25" s="642" t="s">
        <v>247</v>
      </c>
      <c r="F25" s="566"/>
      <c r="H25" s="571"/>
    </row>
    <row r="26" spans="1:8" s="563" customFormat="1" ht="111.75" customHeight="1" x14ac:dyDescent="0.25">
      <c r="A26" s="3050" t="s">
        <v>351</v>
      </c>
      <c r="B26" s="3050"/>
      <c r="C26" s="3050"/>
      <c r="D26" s="3050"/>
      <c r="E26" s="3050"/>
      <c r="F26" s="3050"/>
      <c r="G26" s="567"/>
    </row>
    <row r="27" spans="1:8" s="563" customFormat="1" ht="46.5" customHeight="1" x14ac:dyDescent="0.25">
      <c r="A27" s="567"/>
      <c r="B27" s="3045"/>
      <c r="C27" s="3045"/>
      <c r="D27" s="3045"/>
      <c r="E27" s="640"/>
      <c r="F27" s="565"/>
    </row>
  </sheetData>
  <mergeCells count="6">
    <mergeCell ref="B10:D10"/>
    <mergeCell ref="B27:D27"/>
    <mergeCell ref="F10:F11"/>
    <mergeCell ref="B6:D6"/>
    <mergeCell ref="E10:E11"/>
    <mergeCell ref="A26:F26"/>
  </mergeCells>
  <printOptions horizontalCentered="1"/>
  <pageMargins left="0.39370078740157483" right="0.39370078740157483" top="0.39370078740157483" bottom="0.74803149606299213" header="0.31496062992125984" footer="0.31496062992125984"/>
  <pageSetup paperSize="9" scale="96"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pageSetUpPr fitToPage="1"/>
  </sheetPr>
  <dimension ref="A1:T44"/>
  <sheetViews>
    <sheetView zoomScaleNormal="100" workbookViewId="0">
      <selection activeCell="L11" sqref="L11"/>
    </sheetView>
  </sheetViews>
  <sheetFormatPr baseColWidth="10" defaultRowHeight="12.75" x14ac:dyDescent="0.2"/>
  <cols>
    <col min="1" max="1" width="13.5703125" style="39" customWidth="1"/>
    <col min="2" max="16384" width="11.42578125" style="39"/>
  </cols>
  <sheetData>
    <row r="1" spans="1:20" ht="21" x14ac:dyDescent="0.25">
      <c r="A1" s="295" t="s">
        <v>170</v>
      </c>
      <c r="B1" s="296"/>
      <c r="C1" s="296"/>
      <c r="D1" s="296"/>
      <c r="E1" s="69" t="s">
        <v>1020</v>
      </c>
      <c r="F1" s="297"/>
      <c r="G1" s="292"/>
      <c r="H1" s="292"/>
      <c r="I1" s="292"/>
      <c r="J1" s="292"/>
      <c r="K1" s="292"/>
      <c r="L1" s="292"/>
      <c r="M1" s="292"/>
      <c r="N1" s="292"/>
      <c r="O1" s="46"/>
      <c r="P1" s="46"/>
      <c r="Q1" s="46"/>
      <c r="R1" s="46"/>
      <c r="S1" s="46"/>
    </row>
    <row r="2" spans="1:20" ht="27" x14ac:dyDescent="0.4">
      <c r="A2" s="294" t="s">
        <v>212</v>
      </c>
      <c r="B2" s="296"/>
      <c r="C2" s="296"/>
      <c r="D2" s="296"/>
      <c r="E2" s="298"/>
      <c r="F2" s="298"/>
      <c r="G2" s="293"/>
      <c r="H2" s="293"/>
      <c r="I2" s="293"/>
      <c r="J2" s="293"/>
      <c r="K2" s="293"/>
      <c r="L2" s="293"/>
      <c r="M2" s="293"/>
      <c r="N2" s="293"/>
      <c r="O2" s="46"/>
      <c r="P2" s="46"/>
      <c r="Q2" s="46"/>
      <c r="R2" s="46"/>
      <c r="S2" s="46"/>
    </row>
    <row r="3" spans="1:20" ht="19.5" x14ac:dyDescent="0.25">
      <c r="A3" s="44"/>
      <c r="B3" s="87"/>
      <c r="C3" s="46"/>
      <c r="D3" s="46"/>
      <c r="F3" s="45"/>
      <c r="G3" s="45"/>
      <c r="H3" s="45"/>
      <c r="I3" s="45" t="s">
        <v>129</v>
      </c>
      <c r="J3" s="45"/>
      <c r="K3" s="45"/>
      <c r="L3" s="45"/>
      <c r="M3" s="45"/>
      <c r="N3" s="45"/>
      <c r="O3" s="45"/>
      <c r="P3" s="46"/>
      <c r="Q3" s="46"/>
      <c r="R3" s="46"/>
      <c r="S3" s="46"/>
    </row>
    <row r="4" spans="1:20" ht="15" x14ac:dyDescent="0.2">
      <c r="A4" s="44" t="s">
        <v>19</v>
      </c>
      <c r="B4" s="87">
        <f>+LC!B5</f>
        <v>43221</v>
      </c>
      <c r="C4" s="46"/>
      <c r="D4" s="46"/>
      <c r="E4" s="46"/>
      <c r="F4" s="46"/>
      <c r="G4" s="46"/>
      <c r="H4" s="46"/>
      <c r="I4" s="46"/>
      <c r="J4" s="46"/>
      <c r="K4" s="46"/>
      <c r="L4" s="46"/>
      <c r="M4" s="46"/>
      <c r="N4" s="46"/>
      <c r="O4" s="46"/>
      <c r="P4" s="46"/>
      <c r="Q4" s="46"/>
      <c r="R4" s="46"/>
      <c r="S4" s="46"/>
    </row>
    <row r="5" spans="1:20" x14ac:dyDescent="0.2">
      <c r="A5" s="264" t="s">
        <v>3</v>
      </c>
      <c r="B5" s="264" t="s">
        <v>94</v>
      </c>
      <c r="C5" s="264" t="s">
        <v>95</v>
      </c>
      <c r="D5" s="264" t="s">
        <v>96</v>
      </c>
      <c r="E5" s="264" t="s">
        <v>97</v>
      </c>
      <c r="F5" s="264" t="s">
        <v>138</v>
      </c>
      <c r="G5" s="264" t="s">
        <v>203</v>
      </c>
      <c r="H5" s="264" t="s">
        <v>101</v>
      </c>
      <c r="I5" s="264" t="s">
        <v>98</v>
      </c>
      <c r="J5" s="264" t="s">
        <v>99</v>
      </c>
      <c r="K5" s="264" t="s">
        <v>100</v>
      </c>
      <c r="L5" s="264" t="s">
        <v>204</v>
      </c>
      <c r="M5" s="264" t="s">
        <v>205</v>
      </c>
      <c r="N5" s="264" t="s">
        <v>206</v>
      </c>
      <c r="O5" s="264" t="s">
        <v>207</v>
      </c>
      <c r="P5" s="264" t="s">
        <v>208</v>
      </c>
      <c r="Q5" s="264" t="s">
        <v>209</v>
      </c>
      <c r="R5" s="264" t="s">
        <v>210</v>
      </c>
      <c r="S5" s="264" t="s">
        <v>211</v>
      </c>
    </row>
    <row r="6" spans="1:20" x14ac:dyDescent="0.2">
      <c r="A6" s="90"/>
      <c r="B6" s="410">
        <v>60</v>
      </c>
      <c r="C6" s="410">
        <v>60</v>
      </c>
      <c r="D6" s="410"/>
      <c r="E6" s="410"/>
      <c r="F6" s="410"/>
      <c r="G6" s="410"/>
      <c r="H6" s="410"/>
      <c r="I6" s="410">
        <v>80</v>
      </c>
      <c r="J6" s="410">
        <v>60</v>
      </c>
      <c r="K6" s="410"/>
      <c r="L6" s="410"/>
      <c r="M6" s="410"/>
      <c r="N6" s="410"/>
      <c r="O6" s="410"/>
      <c r="P6" s="410"/>
      <c r="Q6" s="410"/>
      <c r="R6" s="410"/>
      <c r="S6" s="410"/>
    </row>
    <row r="7" spans="1:20" x14ac:dyDescent="0.2">
      <c r="A7" s="90"/>
      <c r="B7" s="2161"/>
      <c r="C7" s="2161"/>
      <c r="D7" s="2161"/>
      <c r="E7" s="410"/>
      <c r="F7" s="410"/>
      <c r="G7" s="410"/>
      <c r="H7" s="410"/>
      <c r="I7" s="410"/>
      <c r="J7" s="410"/>
      <c r="K7" s="410"/>
      <c r="L7" s="410"/>
      <c r="M7" s="410"/>
      <c r="N7" s="410"/>
      <c r="O7" s="410"/>
      <c r="P7" s="410"/>
      <c r="Q7" s="410"/>
      <c r="R7" s="410"/>
      <c r="S7" s="410"/>
    </row>
    <row r="8" spans="1:20" x14ac:dyDescent="0.2">
      <c r="A8" s="90"/>
      <c r="B8" s="410"/>
      <c r="C8" s="410"/>
      <c r="D8" s="410"/>
      <c r="E8" s="410"/>
      <c r="F8" s="410"/>
      <c r="G8" s="410"/>
      <c r="H8" s="410"/>
      <c r="I8" s="2529"/>
      <c r="J8" s="410"/>
      <c r="K8" s="410"/>
      <c r="L8" s="410"/>
      <c r="M8" s="410"/>
      <c r="N8" s="410"/>
      <c r="O8" s="410"/>
      <c r="P8" s="410"/>
      <c r="Q8" s="410"/>
      <c r="R8" s="410"/>
      <c r="S8" s="410"/>
    </row>
    <row r="9" spans="1:20" x14ac:dyDescent="0.2">
      <c r="A9" s="90"/>
      <c r="B9" s="410"/>
      <c r="C9" s="2626"/>
      <c r="D9" s="410"/>
      <c r="E9" s="410"/>
      <c r="F9" s="410"/>
      <c r="G9" s="410"/>
      <c r="H9" s="410"/>
      <c r="I9" s="410"/>
      <c r="J9" s="410"/>
      <c r="K9" s="410"/>
      <c r="L9" s="410"/>
      <c r="M9" s="410"/>
      <c r="N9" s="410"/>
      <c r="O9" s="410"/>
      <c r="P9" s="410"/>
      <c r="Q9" s="412"/>
      <c r="R9" s="1165"/>
      <c r="S9" s="411"/>
    </row>
    <row r="10" spans="1:20" x14ac:dyDescent="0.2">
      <c r="A10" s="90"/>
      <c r="B10" s="410"/>
      <c r="C10" s="410"/>
      <c r="D10" s="410"/>
      <c r="E10" s="410"/>
      <c r="F10" s="410"/>
      <c r="G10" s="410"/>
      <c r="H10" s="410"/>
      <c r="I10" s="410"/>
      <c r="J10" s="410"/>
      <c r="K10" s="410"/>
      <c r="L10" s="410"/>
      <c r="M10" s="410"/>
      <c r="N10" s="410"/>
      <c r="O10" s="410"/>
      <c r="P10" s="410"/>
      <c r="Q10" s="412"/>
      <c r="R10" s="1165"/>
      <c r="S10" s="411"/>
    </row>
    <row r="11" spans="1:20" x14ac:dyDescent="0.2">
      <c r="A11" s="90"/>
      <c r="B11" s="410"/>
      <c r="C11" s="410"/>
      <c r="D11" s="410"/>
      <c r="E11" s="410"/>
      <c r="F11" s="410"/>
      <c r="G11" s="410"/>
      <c r="H11" s="410"/>
      <c r="I11" s="410"/>
      <c r="J11" s="410"/>
      <c r="K11" s="410"/>
      <c r="L11" s="410"/>
      <c r="M11" s="410"/>
      <c r="N11" s="410"/>
      <c r="O11" s="410"/>
      <c r="P11" s="410"/>
      <c r="Q11" s="412"/>
      <c r="R11" s="1165"/>
      <c r="S11" s="411"/>
    </row>
    <row r="12" spans="1:20" x14ac:dyDescent="0.2">
      <c r="A12" s="90"/>
      <c r="B12" s="410"/>
      <c r="C12" s="410"/>
      <c r="D12" s="410"/>
      <c r="E12" s="410"/>
      <c r="F12" s="410"/>
      <c r="G12" s="410"/>
      <c r="H12" s="410"/>
      <c r="I12" s="410"/>
      <c r="J12" s="410"/>
      <c r="K12" s="410"/>
      <c r="L12" s="410"/>
      <c r="M12" s="410"/>
      <c r="N12" s="410"/>
      <c r="O12" s="410"/>
      <c r="P12" s="410"/>
      <c r="Q12" s="410"/>
      <c r="R12" s="410"/>
      <c r="S12" s="410"/>
    </row>
    <row r="13" spans="1:20" x14ac:dyDescent="0.2">
      <c r="A13" s="90"/>
      <c r="B13" s="410"/>
      <c r="C13" s="410"/>
      <c r="D13" s="410"/>
      <c r="E13" s="410"/>
      <c r="F13" s="410"/>
      <c r="G13" s="410"/>
      <c r="H13" s="410"/>
      <c r="I13" s="410"/>
      <c r="J13" s="410"/>
      <c r="K13" s="410"/>
      <c r="L13" s="410"/>
      <c r="M13" s="410"/>
      <c r="N13" s="410"/>
      <c r="O13" s="410"/>
      <c r="P13" s="410"/>
      <c r="Q13" s="412"/>
      <c r="R13" s="1165"/>
      <c r="S13" s="411"/>
    </row>
    <row r="14" spans="1:20" ht="13.5" thickBot="1" x14ac:dyDescent="0.25">
      <c r="A14" s="265" t="s">
        <v>18</v>
      </c>
      <c r="B14" s="1199">
        <f t="shared" ref="B14:P14" si="0">+B6+B7+B8+B9+B10+B11+B12+B13</f>
        <v>60</v>
      </c>
      <c r="C14" s="1199">
        <f t="shared" si="0"/>
        <v>60</v>
      </c>
      <c r="D14" s="1199">
        <f t="shared" si="0"/>
        <v>0</v>
      </c>
      <c r="E14" s="1199">
        <f t="shared" si="0"/>
        <v>0</v>
      </c>
      <c r="F14" s="1199">
        <f t="shared" si="0"/>
        <v>0</v>
      </c>
      <c r="G14" s="1199">
        <f t="shared" si="0"/>
        <v>0</v>
      </c>
      <c r="H14" s="266">
        <f t="shared" si="0"/>
        <v>0</v>
      </c>
      <c r="I14" s="1199">
        <f t="shared" si="0"/>
        <v>80</v>
      </c>
      <c r="J14" s="1199">
        <f t="shared" si="0"/>
        <v>60</v>
      </c>
      <c r="K14" s="1199">
        <f t="shared" si="0"/>
        <v>0</v>
      </c>
      <c r="L14" s="1199">
        <f t="shared" si="0"/>
        <v>0</v>
      </c>
      <c r="M14" s="1199">
        <f t="shared" si="0"/>
        <v>0</v>
      </c>
      <c r="N14" s="1199">
        <f t="shared" si="0"/>
        <v>0</v>
      </c>
      <c r="O14" s="1199">
        <f t="shared" si="0"/>
        <v>0</v>
      </c>
      <c r="P14" s="1199">
        <f t="shared" si="0"/>
        <v>0</v>
      </c>
      <c r="Q14" s="1199">
        <f>+Q6+Q7+Q8+Q9+Q10+Q11+Q12+Q13</f>
        <v>0</v>
      </c>
      <c r="R14" s="1199">
        <f>+R6+R7+R8+R9+R10+R11+R12+R13</f>
        <v>0</v>
      </c>
      <c r="S14" s="1199">
        <f>+S6+S7+S8+S9+S10+S11+S12+S13</f>
        <v>0</v>
      </c>
      <c r="T14" s="281">
        <f>SUM(B14:S14)</f>
        <v>260</v>
      </c>
    </row>
    <row r="15" spans="1:20" s="1200" customFormat="1" ht="16.5" thickBot="1" x14ac:dyDescent="0.3">
      <c r="B15" s="3051">
        <f>+B14+C14+D14</f>
        <v>120</v>
      </c>
      <c r="C15" s="3052"/>
      <c r="D15" s="3052"/>
      <c r="E15" s="3052"/>
      <c r="F15" s="3052"/>
      <c r="G15" s="3053"/>
      <c r="H15" s="2233">
        <f>SUM(H14)</f>
        <v>0</v>
      </c>
      <c r="I15" s="3054">
        <f>SUM(I14:S14)</f>
        <v>140</v>
      </c>
      <c r="J15" s="3055"/>
      <c r="K15" s="3055"/>
      <c r="L15" s="3055"/>
      <c r="M15" s="3055"/>
      <c r="N15" s="3055"/>
      <c r="O15" s="3055"/>
      <c r="P15" s="3055"/>
      <c r="Q15" s="3055"/>
      <c r="R15" s="3055"/>
      <c r="S15" s="3056"/>
    </row>
    <row r="16" spans="1:20" x14ac:dyDescent="0.2">
      <c r="A16" s="46"/>
      <c r="B16" s="46"/>
      <c r="C16" s="46"/>
      <c r="D16" s="46"/>
      <c r="E16" s="46"/>
      <c r="F16" s="46"/>
      <c r="G16" s="46"/>
      <c r="H16" s="46"/>
      <c r="I16" s="46"/>
      <c r="J16" s="46"/>
      <c r="K16" s="46"/>
      <c r="L16" s="46"/>
      <c r="M16" s="46"/>
      <c r="N16" s="46"/>
      <c r="O16" s="46"/>
      <c r="P16" s="46"/>
      <c r="Q16" s="46"/>
      <c r="R16" s="46"/>
      <c r="S16" s="46"/>
    </row>
    <row r="18" spans="8:8" x14ac:dyDescent="0.2">
      <c r="H18" s="39" t="s">
        <v>696</v>
      </c>
    </row>
    <row r="34" spans="1:18" ht="19.5" x14ac:dyDescent="0.25">
      <c r="A34" s="44"/>
      <c r="B34" s="87"/>
      <c r="C34" s="46"/>
      <c r="D34" s="46"/>
      <c r="E34" s="45"/>
      <c r="F34" s="45"/>
      <c r="G34" s="45"/>
      <c r="H34" s="45"/>
      <c r="I34" s="45"/>
      <c r="J34" s="45"/>
      <c r="K34" s="45"/>
      <c r="L34" s="45"/>
      <c r="M34" s="45"/>
      <c r="N34" s="45"/>
      <c r="O34" s="45"/>
      <c r="P34" s="46"/>
      <c r="Q34" s="46"/>
      <c r="R34" s="46"/>
    </row>
    <row r="35" spans="1:18" ht="15" customHeight="1" x14ac:dyDescent="0.2">
      <c r="A35" s="96"/>
      <c r="B35" s="96"/>
      <c r="C35" s="96"/>
      <c r="D35" s="96"/>
      <c r="E35" s="96"/>
      <c r="F35" s="96"/>
      <c r="G35" s="96"/>
      <c r="H35" s="96"/>
      <c r="I35" s="96"/>
      <c r="J35" s="96"/>
      <c r="K35" s="96"/>
      <c r="L35" s="96"/>
      <c r="M35" s="96"/>
      <c r="N35" s="96"/>
      <c r="O35" s="96"/>
      <c r="P35" s="96"/>
      <c r="Q35" s="96"/>
      <c r="R35" s="96"/>
    </row>
    <row r="36" spans="1:18" ht="12.75" customHeight="1" x14ac:dyDescent="0.2">
      <c r="A36" s="96"/>
      <c r="B36" s="96"/>
      <c r="C36" s="96"/>
      <c r="D36" s="96"/>
      <c r="E36" s="96"/>
      <c r="F36" s="96"/>
      <c r="G36" s="96"/>
      <c r="H36" s="96"/>
      <c r="I36" s="96"/>
      <c r="J36" s="96"/>
      <c r="K36" s="96"/>
      <c r="L36" s="96"/>
      <c r="M36" s="96"/>
      <c r="N36" s="96"/>
      <c r="O36" s="96"/>
      <c r="P36" s="96"/>
      <c r="Q36" s="96"/>
      <c r="R36" s="96"/>
    </row>
    <row r="37" spans="1:18" ht="12.75" customHeight="1" x14ac:dyDescent="0.2">
      <c r="A37" s="96"/>
      <c r="B37" s="96"/>
      <c r="C37" s="96"/>
      <c r="D37" s="96"/>
      <c r="E37" s="96"/>
      <c r="F37" s="96"/>
      <c r="G37" s="96"/>
      <c r="H37" s="96"/>
      <c r="I37" s="96"/>
      <c r="J37" s="96"/>
      <c r="K37" s="96"/>
      <c r="L37" s="96"/>
      <c r="M37" s="96"/>
      <c r="N37" s="96"/>
      <c r="O37" s="96"/>
      <c r="P37" s="96"/>
      <c r="Q37" s="96"/>
      <c r="R37" s="96"/>
    </row>
    <row r="38" spans="1:18" ht="12.75" customHeight="1" x14ac:dyDescent="0.2">
      <c r="A38" s="96"/>
      <c r="B38" s="96"/>
      <c r="C38" s="96"/>
      <c r="D38" s="96"/>
      <c r="E38" s="96"/>
      <c r="F38" s="96"/>
      <c r="G38" s="96"/>
      <c r="H38" s="96"/>
      <c r="I38" s="96"/>
      <c r="J38" s="96"/>
      <c r="K38" s="96"/>
      <c r="L38" s="96"/>
      <c r="M38" s="96"/>
      <c r="N38" s="96"/>
      <c r="O38" s="96"/>
      <c r="P38" s="96"/>
      <c r="Q38" s="96"/>
      <c r="R38" s="96"/>
    </row>
    <row r="39" spans="1:18" ht="12.75" customHeight="1" x14ac:dyDescent="0.2">
      <c r="A39" s="96"/>
      <c r="B39" s="96"/>
      <c r="C39" s="96"/>
      <c r="D39" s="96"/>
      <c r="E39" s="96"/>
      <c r="F39" s="96"/>
      <c r="G39" s="96"/>
      <c r="H39" s="96"/>
      <c r="I39" s="96"/>
      <c r="J39" s="96"/>
      <c r="K39" s="96"/>
      <c r="L39" s="96"/>
      <c r="M39" s="96"/>
      <c r="N39" s="96"/>
      <c r="O39" s="96"/>
      <c r="P39" s="96"/>
      <c r="Q39" s="96"/>
      <c r="R39" s="96"/>
    </row>
    <row r="40" spans="1:18" ht="12.75" customHeight="1" x14ac:dyDescent="0.2">
      <c r="A40" s="96"/>
      <c r="B40" s="96"/>
      <c r="C40" s="96"/>
      <c r="D40" s="96"/>
      <c r="E40" s="96"/>
      <c r="F40" s="96"/>
      <c r="G40" s="96"/>
      <c r="H40" s="96"/>
      <c r="I40" s="96"/>
      <c r="J40" s="96"/>
      <c r="K40" s="96"/>
      <c r="L40" s="96"/>
      <c r="M40" s="96"/>
      <c r="N40" s="96"/>
      <c r="O40" s="96"/>
      <c r="P40" s="96"/>
      <c r="Q40" s="96"/>
      <c r="R40" s="96"/>
    </row>
    <row r="41" spans="1:18" ht="12.75" customHeight="1" x14ac:dyDescent="0.2">
      <c r="A41" s="96"/>
      <c r="B41" s="96"/>
      <c r="C41" s="96"/>
      <c r="D41" s="96"/>
      <c r="E41" s="96"/>
      <c r="F41" s="96"/>
      <c r="G41" s="96"/>
      <c r="H41" s="96"/>
      <c r="I41" s="96"/>
      <c r="J41" s="96"/>
      <c r="K41" s="96"/>
      <c r="L41" s="96"/>
      <c r="M41" s="96"/>
      <c r="N41" s="96"/>
      <c r="O41" s="96"/>
      <c r="P41" s="96"/>
      <c r="Q41" s="96"/>
      <c r="R41" s="96"/>
    </row>
    <row r="42" spans="1:18" ht="12.75" customHeight="1" x14ac:dyDescent="0.2">
      <c r="A42" s="96"/>
      <c r="B42" s="96"/>
      <c r="C42" s="96"/>
      <c r="D42" s="96"/>
      <c r="E42" s="96"/>
      <c r="F42" s="96"/>
      <c r="G42" s="96"/>
      <c r="H42" s="96"/>
      <c r="I42" s="96"/>
      <c r="J42" s="96"/>
      <c r="K42" s="96"/>
      <c r="L42" s="96"/>
      <c r="M42" s="96"/>
      <c r="N42" s="96"/>
      <c r="O42" s="96"/>
      <c r="P42" s="96"/>
      <c r="Q42" s="96"/>
      <c r="R42" s="96"/>
    </row>
    <row r="43" spans="1:18" x14ac:dyDescent="0.2">
      <c r="A43" s="46"/>
      <c r="B43" s="46"/>
      <c r="C43" s="46"/>
      <c r="D43" s="46"/>
      <c r="E43" s="46"/>
      <c r="F43" s="46"/>
      <c r="G43" s="46"/>
      <c r="H43" s="46"/>
      <c r="I43" s="46"/>
      <c r="J43" s="46"/>
      <c r="K43" s="46"/>
      <c r="L43" s="46"/>
      <c r="M43" s="46"/>
      <c r="N43" s="46"/>
      <c r="O43" s="46"/>
      <c r="P43" s="46"/>
      <c r="Q43" s="46"/>
      <c r="R43" s="46"/>
    </row>
    <row r="44" spans="1:18" x14ac:dyDescent="0.2">
      <c r="A44" s="46"/>
      <c r="B44" s="46"/>
      <c r="C44" s="46"/>
      <c r="D44" s="46"/>
      <c r="E44" s="46"/>
      <c r="F44" s="46"/>
      <c r="G44" s="46"/>
      <c r="H44" s="46"/>
      <c r="I44" s="46"/>
      <c r="J44" s="46"/>
      <c r="K44" s="46"/>
      <c r="L44" s="46"/>
      <c r="M44" s="46"/>
      <c r="N44" s="46"/>
      <c r="O44" s="46"/>
      <c r="P44" s="46"/>
      <c r="Q44" s="46"/>
      <c r="R44" s="46"/>
    </row>
  </sheetData>
  <mergeCells count="2">
    <mergeCell ref="B15:G15"/>
    <mergeCell ref="I15:S15"/>
  </mergeCells>
  <pageMargins left="0.70866141732283472" right="0.70866141732283472" top="0.74803149606299213" bottom="0.74803149606299213" header="0.31496062992125984" footer="0.31496062992125984"/>
  <pageSetup paperSize="9" scale="22"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tabColor rgb="FFFF0000"/>
  </sheetPr>
  <dimension ref="A2:P48"/>
  <sheetViews>
    <sheetView zoomScaleNormal="100" workbookViewId="0">
      <selection activeCell="E9" sqref="E9:E17"/>
    </sheetView>
  </sheetViews>
  <sheetFormatPr baseColWidth="10" defaultRowHeight="18" x14ac:dyDescent="0.25"/>
  <cols>
    <col min="1" max="1" width="11.28515625" style="37" customWidth="1"/>
    <col min="2" max="2" width="13.5703125" style="37" customWidth="1"/>
    <col min="3" max="3" width="11.28515625" style="37" customWidth="1"/>
    <col min="4" max="4" width="15.42578125" style="37" bestFit="1" customWidth="1"/>
    <col min="5" max="5" width="15.5703125" style="37" customWidth="1"/>
    <col min="6" max="6" width="12.7109375" style="37" customWidth="1"/>
    <col min="7" max="7" width="11.85546875" style="37" customWidth="1"/>
    <col min="8" max="8" width="13.85546875" style="37" customWidth="1"/>
    <col min="9" max="10" width="13.28515625" style="37" customWidth="1"/>
    <col min="11" max="11" width="17.140625" style="37" customWidth="1"/>
    <col min="12" max="12" width="13.85546875" style="37" customWidth="1"/>
    <col min="13" max="13" width="15.5703125" style="37" customWidth="1"/>
    <col min="14" max="14" width="16.42578125" style="37" bestFit="1" customWidth="1"/>
    <col min="15" max="15" width="14.5703125" style="37" customWidth="1"/>
    <col min="16" max="16384" width="11.42578125" style="38"/>
  </cols>
  <sheetData>
    <row r="2" spans="1:16" ht="18.75" x14ac:dyDescent="0.3">
      <c r="A2" s="1" t="s">
        <v>118</v>
      </c>
      <c r="B2" s="1" t="s">
        <v>1845</v>
      </c>
    </row>
    <row r="3" spans="1:16" x14ac:dyDescent="0.25">
      <c r="C3" s="99"/>
      <c r="K3" s="116"/>
      <c r="L3" s="116"/>
    </row>
    <row r="4" spans="1:16" ht="18.75" x14ac:dyDescent="0.3">
      <c r="A4" s="1" t="s">
        <v>19</v>
      </c>
      <c r="B4" s="2">
        <f>+SOFOCAM!B4</f>
        <v>44105</v>
      </c>
      <c r="C4" s="1"/>
    </row>
    <row r="5" spans="1:16" ht="18.75" x14ac:dyDescent="0.3">
      <c r="A5" s="1"/>
      <c r="B5" s="1"/>
      <c r="C5" s="1"/>
      <c r="F5" s="37" t="s">
        <v>62</v>
      </c>
    </row>
    <row r="6" spans="1:16" ht="29.25" customHeight="1" x14ac:dyDescent="0.25">
      <c r="A6" s="100" t="s">
        <v>3</v>
      </c>
      <c r="B6" s="101" t="s">
        <v>15</v>
      </c>
      <c r="C6" s="102"/>
      <c r="D6" s="101" t="s">
        <v>16</v>
      </c>
      <c r="E6" s="102"/>
      <c r="F6" s="101" t="s">
        <v>17</v>
      </c>
      <c r="G6" s="102"/>
      <c r="H6" s="3057" t="s">
        <v>52</v>
      </c>
      <c r="I6" s="2910" t="s">
        <v>53</v>
      </c>
      <c r="J6" s="2910" t="s">
        <v>119</v>
      </c>
      <c r="K6" s="3060" t="s">
        <v>18</v>
      </c>
      <c r="L6" s="796" t="s">
        <v>897</v>
      </c>
      <c r="M6" s="658" t="s">
        <v>60</v>
      </c>
      <c r="N6" s="370" t="s">
        <v>55</v>
      </c>
      <c r="O6" s="370" t="s">
        <v>120</v>
      </c>
    </row>
    <row r="7" spans="1:16" ht="17.25" customHeight="1" x14ac:dyDescent="0.25">
      <c r="A7" s="103"/>
      <c r="B7" s="915">
        <v>630</v>
      </c>
      <c r="C7" s="916"/>
      <c r="D7" s="915">
        <v>575</v>
      </c>
      <c r="E7" s="916"/>
      <c r="F7" s="915">
        <v>350</v>
      </c>
      <c r="G7" s="916"/>
      <c r="H7" s="3058"/>
      <c r="I7" s="3059"/>
      <c r="J7" s="2911"/>
      <c r="K7" s="3061"/>
      <c r="L7" s="822"/>
      <c r="M7" s="656"/>
      <c r="N7" s="657"/>
      <c r="O7" s="118">
        <f>N7</f>
        <v>0</v>
      </c>
    </row>
    <row r="8" spans="1:16" x14ac:dyDescent="0.25">
      <c r="A8" s="105"/>
      <c r="B8" s="106" t="s">
        <v>56</v>
      </c>
      <c r="C8" s="106" t="s">
        <v>37</v>
      </c>
      <c r="D8" s="107" t="s">
        <v>56</v>
      </c>
      <c r="E8" s="106" t="s">
        <v>37</v>
      </c>
      <c r="F8" s="106" t="s">
        <v>56</v>
      </c>
      <c r="G8" s="106" t="s">
        <v>37</v>
      </c>
      <c r="H8" s="132"/>
      <c r="I8" s="132"/>
      <c r="J8" s="132"/>
      <c r="K8" s="370"/>
      <c r="L8" s="370"/>
      <c r="M8" s="134"/>
      <c r="N8" s="371"/>
      <c r="O8" s="118">
        <f t="shared" ref="O8:O38" si="0">+O7+K8-M8</f>
        <v>0</v>
      </c>
    </row>
    <row r="9" spans="1:16" ht="18.75" x14ac:dyDescent="0.3">
      <c r="A9" s="110">
        <f>+SOCOPAT!A9</f>
        <v>44105</v>
      </c>
      <c r="B9" s="111">
        <f>C9/B$7</f>
        <v>0</v>
      </c>
      <c r="C9" s="112"/>
      <c r="D9" s="111">
        <f>+E9/D$7</f>
        <v>0</v>
      </c>
      <c r="E9" s="279"/>
      <c r="F9" s="111">
        <f>+G9/F$7</f>
        <v>0</v>
      </c>
      <c r="G9" s="114"/>
      <c r="H9" s="114"/>
      <c r="I9" s="114"/>
      <c r="J9" s="114"/>
      <c r="K9" s="134">
        <f t="shared" ref="K9:K39" si="1">C9+E9+G9+H9+I9+J9</f>
        <v>0</v>
      </c>
      <c r="L9" s="134"/>
      <c r="M9" s="86"/>
      <c r="N9" s="118">
        <f>K9-M9</f>
        <v>0</v>
      </c>
      <c r="O9" s="118">
        <f t="shared" si="0"/>
        <v>0</v>
      </c>
    </row>
    <row r="10" spans="1:16" ht="18.75" x14ac:dyDescent="0.3">
      <c r="A10" s="110">
        <f>+A9+1</f>
        <v>44106</v>
      </c>
      <c r="B10" s="111">
        <f t="shared" ref="B10:B39" si="2">C10/B$7</f>
        <v>0</v>
      </c>
      <c r="C10" s="112"/>
      <c r="D10" s="111">
        <f t="shared" ref="D10:F25" si="3">+E10/D$7</f>
        <v>357.21739130434781</v>
      </c>
      <c r="E10" s="279">
        <v>205400</v>
      </c>
      <c r="F10" s="111">
        <f>+G10/F$7</f>
        <v>0</v>
      </c>
      <c r="G10" s="114"/>
      <c r="H10" s="114"/>
      <c r="I10" s="114"/>
      <c r="J10" s="114"/>
      <c r="K10" s="134">
        <f t="shared" si="1"/>
        <v>205400</v>
      </c>
      <c r="L10" s="134"/>
      <c r="M10" s="86"/>
      <c r="N10" s="118">
        <f t="shared" ref="N10:N39" si="4">K10-M10</f>
        <v>205400</v>
      </c>
      <c r="O10" s="118">
        <f t="shared" si="0"/>
        <v>205400</v>
      </c>
    </row>
    <row r="11" spans="1:16" x14ac:dyDescent="0.25">
      <c r="A11" s="110">
        <f t="shared" ref="A11:A39" si="5">+A10+1</f>
        <v>44107</v>
      </c>
      <c r="B11" s="111">
        <f t="shared" si="2"/>
        <v>0</v>
      </c>
      <c r="C11" s="113"/>
      <c r="D11" s="111">
        <f>+E11/D$7</f>
        <v>520.26086956521738</v>
      </c>
      <c r="E11" s="279">
        <v>299150</v>
      </c>
      <c r="F11" s="111">
        <f t="shared" si="3"/>
        <v>0</v>
      </c>
      <c r="G11" s="114"/>
      <c r="H11" s="114"/>
      <c r="I11" s="114"/>
      <c r="J11" s="114"/>
      <c r="K11" s="134">
        <f>C11+E11+G11+H11+I11+J11</f>
        <v>299150</v>
      </c>
      <c r="L11" s="134"/>
      <c r="M11" s="86"/>
      <c r="N11" s="118">
        <f t="shared" si="4"/>
        <v>299150</v>
      </c>
      <c r="O11" s="118">
        <f>+O10+K11-M11</f>
        <v>504550</v>
      </c>
    </row>
    <row r="12" spans="1:16" ht="19.5" x14ac:dyDescent="0.35">
      <c r="A12" s="110">
        <f t="shared" si="5"/>
        <v>44108</v>
      </c>
      <c r="B12" s="111">
        <f t="shared" si="2"/>
        <v>0</v>
      </c>
      <c r="C12" s="113"/>
      <c r="D12" s="111">
        <f t="shared" si="3"/>
        <v>197.88347826086957</v>
      </c>
      <c r="E12" s="279">
        <v>113783</v>
      </c>
      <c r="F12" s="111">
        <f t="shared" si="3"/>
        <v>0</v>
      </c>
      <c r="G12" s="114"/>
      <c r="H12" s="114"/>
      <c r="I12" s="114"/>
      <c r="J12" s="114"/>
      <c r="K12" s="134">
        <f t="shared" si="1"/>
        <v>113783</v>
      </c>
      <c r="L12" s="134"/>
      <c r="M12" s="86"/>
      <c r="N12" s="118">
        <f t="shared" si="4"/>
        <v>113783</v>
      </c>
      <c r="O12" s="118">
        <f t="shared" si="0"/>
        <v>618333</v>
      </c>
      <c r="P12" s="148"/>
    </row>
    <row r="13" spans="1:16" ht="18.75" x14ac:dyDescent="0.3">
      <c r="A13" s="110">
        <f t="shared" si="5"/>
        <v>44109</v>
      </c>
      <c r="B13" s="111">
        <f t="shared" si="2"/>
        <v>0</v>
      </c>
      <c r="C13" s="112"/>
      <c r="D13" s="111">
        <f t="shared" si="3"/>
        <v>508.43478260869563</v>
      </c>
      <c r="E13" s="279">
        <v>292350</v>
      </c>
      <c r="F13" s="111">
        <f t="shared" si="3"/>
        <v>0</v>
      </c>
      <c r="G13" s="114"/>
      <c r="H13" s="114"/>
      <c r="I13" s="114"/>
      <c r="J13" s="114"/>
      <c r="K13" s="134">
        <f t="shared" si="1"/>
        <v>292350</v>
      </c>
      <c r="L13" s="134"/>
      <c r="M13" s="86"/>
      <c r="N13" s="118">
        <f t="shared" si="4"/>
        <v>292350</v>
      </c>
      <c r="O13" s="118">
        <f t="shared" si="0"/>
        <v>910683</v>
      </c>
    </row>
    <row r="14" spans="1:16" ht="18.75" x14ac:dyDescent="0.3">
      <c r="A14" s="110">
        <f t="shared" si="5"/>
        <v>44110</v>
      </c>
      <c r="B14" s="111">
        <f t="shared" si="2"/>
        <v>0</v>
      </c>
      <c r="C14" s="112"/>
      <c r="D14" s="111">
        <f t="shared" si="3"/>
        <v>655.6521739130435</v>
      </c>
      <c r="E14" s="279">
        <v>377000</v>
      </c>
      <c r="F14" s="111">
        <f t="shared" si="3"/>
        <v>0</v>
      </c>
      <c r="G14" s="114"/>
      <c r="H14" s="114"/>
      <c r="I14" s="114"/>
      <c r="J14" s="114"/>
      <c r="K14" s="134">
        <f t="shared" si="1"/>
        <v>377000</v>
      </c>
      <c r="L14" s="134"/>
      <c r="M14" s="86"/>
      <c r="N14" s="118">
        <f t="shared" si="4"/>
        <v>377000</v>
      </c>
      <c r="O14" s="118">
        <f t="shared" si="0"/>
        <v>1287683</v>
      </c>
    </row>
    <row r="15" spans="1:16" x14ac:dyDescent="0.25">
      <c r="A15" s="110">
        <f t="shared" si="5"/>
        <v>44111</v>
      </c>
      <c r="B15" s="111">
        <f t="shared" si="2"/>
        <v>0</v>
      </c>
      <c r="C15" s="113"/>
      <c r="D15" s="111">
        <f t="shared" si="3"/>
        <v>1349.8695652173913</v>
      </c>
      <c r="E15" s="279">
        <v>776175</v>
      </c>
      <c r="F15" s="111">
        <f t="shared" si="3"/>
        <v>0</v>
      </c>
      <c r="G15" s="114"/>
      <c r="H15" s="114"/>
      <c r="I15" s="114"/>
      <c r="J15" s="114"/>
      <c r="K15" s="134">
        <f t="shared" si="1"/>
        <v>776175</v>
      </c>
      <c r="L15" s="134"/>
      <c r="M15" s="86"/>
      <c r="N15" s="118">
        <f t="shared" si="4"/>
        <v>776175</v>
      </c>
      <c r="O15" s="118">
        <f t="shared" si="0"/>
        <v>2063858</v>
      </c>
    </row>
    <row r="16" spans="1:16" x14ac:dyDescent="0.25">
      <c r="A16" s="110">
        <f t="shared" si="5"/>
        <v>44112</v>
      </c>
      <c r="B16" s="111">
        <f t="shared" si="2"/>
        <v>0</v>
      </c>
      <c r="C16" s="113"/>
      <c r="D16" s="111">
        <f t="shared" si="3"/>
        <v>1023.1304347826087</v>
      </c>
      <c r="E16" s="2861">
        <v>588300</v>
      </c>
      <c r="F16" s="111">
        <f t="shared" si="3"/>
        <v>0</v>
      </c>
      <c r="G16" s="114"/>
      <c r="H16" s="114"/>
      <c r="I16" s="114"/>
      <c r="J16" s="114"/>
      <c r="K16" s="134">
        <f t="shared" si="1"/>
        <v>588300</v>
      </c>
      <c r="L16" s="134"/>
      <c r="M16" s="86"/>
      <c r="N16" s="118">
        <f t="shared" si="4"/>
        <v>588300</v>
      </c>
      <c r="O16" s="118">
        <f t="shared" si="0"/>
        <v>2652158</v>
      </c>
    </row>
    <row r="17" spans="1:16" x14ac:dyDescent="0.25">
      <c r="A17" s="110">
        <f t="shared" si="5"/>
        <v>44113</v>
      </c>
      <c r="B17" s="117">
        <f t="shared" si="2"/>
        <v>0</v>
      </c>
      <c r="C17" s="86"/>
      <c r="D17" s="117">
        <f t="shared" si="3"/>
        <v>958.14434782608691</v>
      </c>
      <c r="E17" s="279">
        <v>550933</v>
      </c>
      <c r="F17" s="111">
        <f t="shared" si="3"/>
        <v>0</v>
      </c>
      <c r="G17" s="118"/>
      <c r="H17" s="118"/>
      <c r="I17" s="118"/>
      <c r="J17" s="118"/>
      <c r="K17" s="134">
        <f t="shared" si="1"/>
        <v>550933</v>
      </c>
      <c r="L17" s="134"/>
      <c r="M17" s="86"/>
      <c r="N17" s="118">
        <f t="shared" si="4"/>
        <v>550933</v>
      </c>
      <c r="O17" s="118">
        <f t="shared" si="0"/>
        <v>3203091</v>
      </c>
    </row>
    <row r="18" spans="1:16" x14ac:dyDescent="0.25">
      <c r="A18" s="110">
        <f t="shared" si="5"/>
        <v>44114</v>
      </c>
      <c r="B18" s="117">
        <f t="shared" si="2"/>
        <v>0</v>
      </c>
      <c r="C18" s="86"/>
      <c r="D18" s="117">
        <f t="shared" si="3"/>
        <v>0</v>
      </c>
      <c r="E18" s="279"/>
      <c r="F18" s="111">
        <f t="shared" si="3"/>
        <v>0</v>
      </c>
      <c r="G18" s="118"/>
      <c r="H18" s="118"/>
      <c r="I18" s="118"/>
      <c r="J18" s="118"/>
      <c r="K18" s="134">
        <f t="shared" si="1"/>
        <v>0</v>
      </c>
      <c r="L18" s="134"/>
      <c r="M18" s="86"/>
      <c r="N18" s="118">
        <f t="shared" si="4"/>
        <v>0</v>
      </c>
      <c r="O18" s="118">
        <f>+O17+K18-M18</f>
        <v>3203091</v>
      </c>
    </row>
    <row r="19" spans="1:16" x14ac:dyDescent="0.25">
      <c r="A19" s="110">
        <f t="shared" si="5"/>
        <v>44115</v>
      </c>
      <c r="B19" s="117">
        <f t="shared" si="2"/>
        <v>0</v>
      </c>
      <c r="C19" s="86"/>
      <c r="D19" s="117">
        <f t="shared" si="3"/>
        <v>0</v>
      </c>
      <c r="E19" s="279"/>
      <c r="F19" s="111">
        <f t="shared" si="3"/>
        <v>0</v>
      </c>
      <c r="G19" s="118"/>
      <c r="H19" s="118"/>
      <c r="I19" s="118"/>
      <c r="J19" s="118"/>
      <c r="K19" s="134">
        <f>C19+E19+G19+H19+I19+J19</f>
        <v>0</v>
      </c>
      <c r="L19" s="134"/>
      <c r="M19" s="86"/>
      <c r="N19" s="118">
        <f t="shared" si="4"/>
        <v>0</v>
      </c>
      <c r="O19" s="118">
        <f>+O18+K19-M19</f>
        <v>3203091</v>
      </c>
    </row>
    <row r="20" spans="1:16" x14ac:dyDescent="0.25">
      <c r="A20" s="110">
        <f t="shared" si="5"/>
        <v>44116</v>
      </c>
      <c r="B20" s="117">
        <f t="shared" si="2"/>
        <v>0</v>
      </c>
      <c r="C20" s="86"/>
      <c r="D20" s="117">
        <f t="shared" si="3"/>
        <v>0</v>
      </c>
      <c r="E20" s="279"/>
      <c r="F20" s="111">
        <f t="shared" si="3"/>
        <v>0</v>
      </c>
      <c r="G20" s="118"/>
      <c r="H20" s="118"/>
      <c r="I20" s="118"/>
      <c r="J20" s="118"/>
      <c r="K20" s="134">
        <f t="shared" si="1"/>
        <v>0</v>
      </c>
      <c r="L20" s="134"/>
      <c r="M20" s="86"/>
      <c r="N20" s="118">
        <f t="shared" si="4"/>
        <v>0</v>
      </c>
      <c r="O20" s="118">
        <f t="shared" si="0"/>
        <v>3203091</v>
      </c>
    </row>
    <row r="21" spans="1:16" x14ac:dyDescent="0.25">
      <c r="A21" s="110">
        <f t="shared" si="5"/>
        <v>44117</v>
      </c>
      <c r="B21" s="117">
        <f t="shared" si="2"/>
        <v>0</v>
      </c>
      <c r="C21" s="86"/>
      <c r="D21" s="117">
        <f t="shared" si="3"/>
        <v>0</v>
      </c>
      <c r="E21" s="279"/>
      <c r="F21" s="111">
        <f t="shared" si="3"/>
        <v>0</v>
      </c>
      <c r="G21" s="118"/>
      <c r="H21" s="118"/>
      <c r="I21" s="118"/>
      <c r="J21" s="118"/>
      <c r="K21" s="134">
        <f t="shared" si="1"/>
        <v>0</v>
      </c>
      <c r="L21" s="134"/>
      <c r="M21" s="86"/>
      <c r="N21" s="118">
        <f t="shared" si="4"/>
        <v>0</v>
      </c>
      <c r="O21" s="118">
        <f t="shared" si="0"/>
        <v>3203091</v>
      </c>
    </row>
    <row r="22" spans="1:16" x14ac:dyDescent="0.25">
      <c r="A22" s="110">
        <f t="shared" si="5"/>
        <v>44118</v>
      </c>
      <c r="B22" s="117">
        <f t="shared" si="2"/>
        <v>0</v>
      </c>
      <c r="C22" s="86"/>
      <c r="D22" s="117">
        <f t="shared" si="3"/>
        <v>0</v>
      </c>
      <c r="E22" s="279"/>
      <c r="F22" s="111">
        <f t="shared" si="3"/>
        <v>0</v>
      </c>
      <c r="G22" s="118"/>
      <c r="H22" s="118"/>
      <c r="I22" s="118"/>
      <c r="J22" s="118"/>
      <c r="K22" s="134">
        <f t="shared" si="1"/>
        <v>0</v>
      </c>
      <c r="L22" s="134"/>
      <c r="M22" s="86"/>
      <c r="N22" s="118">
        <f t="shared" si="4"/>
        <v>0</v>
      </c>
      <c r="O22" s="118">
        <f t="shared" si="0"/>
        <v>3203091</v>
      </c>
    </row>
    <row r="23" spans="1:16" x14ac:dyDescent="0.25">
      <c r="A23" s="110">
        <f t="shared" si="5"/>
        <v>44119</v>
      </c>
      <c r="B23" s="117">
        <f t="shared" si="2"/>
        <v>0</v>
      </c>
      <c r="C23" s="86"/>
      <c r="D23" s="117">
        <f t="shared" si="3"/>
        <v>0</v>
      </c>
      <c r="E23" s="279"/>
      <c r="F23" s="117">
        <f t="shared" si="3"/>
        <v>0</v>
      </c>
      <c r="G23" s="118"/>
      <c r="H23" s="118"/>
      <c r="I23" s="118"/>
      <c r="J23" s="118"/>
      <c r="K23" s="134">
        <f t="shared" si="1"/>
        <v>0</v>
      </c>
      <c r="L23" s="134"/>
      <c r="M23" s="86"/>
      <c r="N23" s="118">
        <f t="shared" si="4"/>
        <v>0</v>
      </c>
      <c r="O23" s="118">
        <f t="shared" si="0"/>
        <v>3203091</v>
      </c>
    </row>
    <row r="24" spans="1:16" ht="19.5" x14ac:dyDescent="0.35">
      <c r="A24" s="110">
        <f t="shared" si="5"/>
        <v>44120</v>
      </c>
      <c r="B24" s="111">
        <f t="shared" si="2"/>
        <v>0</v>
      </c>
      <c r="C24" s="113"/>
      <c r="D24" s="111">
        <f t="shared" si="3"/>
        <v>0</v>
      </c>
      <c r="E24" s="279"/>
      <c r="F24" s="111">
        <f t="shared" si="3"/>
        <v>0</v>
      </c>
      <c r="G24" s="114"/>
      <c r="H24" s="114"/>
      <c r="I24" s="114"/>
      <c r="J24" s="114"/>
      <c r="K24" s="134">
        <f t="shared" si="1"/>
        <v>0</v>
      </c>
      <c r="L24" s="134"/>
      <c r="M24" s="86"/>
      <c r="N24" s="118">
        <f t="shared" si="4"/>
        <v>0</v>
      </c>
      <c r="O24" s="118">
        <f t="shared" si="0"/>
        <v>3203091</v>
      </c>
      <c r="P24" s="18" t="s">
        <v>62</v>
      </c>
    </row>
    <row r="25" spans="1:16" x14ac:dyDescent="0.25">
      <c r="A25" s="110">
        <f t="shared" si="5"/>
        <v>44121</v>
      </c>
      <c r="B25" s="111">
        <f t="shared" si="2"/>
        <v>0</v>
      </c>
      <c r="C25" s="113"/>
      <c r="D25" s="111">
        <f>+E25/D$7</f>
        <v>0</v>
      </c>
      <c r="E25" s="279"/>
      <c r="F25" s="111">
        <f t="shared" si="3"/>
        <v>0</v>
      </c>
      <c r="G25" s="114"/>
      <c r="H25" s="114"/>
      <c r="I25" s="114"/>
      <c r="J25" s="114"/>
      <c r="K25" s="115">
        <f t="shared" si="1"/>
        <v>0</v>
      </c>
      <c r="L25" s="115"/>
      <c r="M25" s="113"/>
      <c r="N25" s="114">
        <f t="shared" si="4"/>
        <v>0</v>
      </c>
      <c r="O25" s="118">
        <f t="shared" si="0"/>
        <v>3203091</v>
      </c>
    </row>
    <row r="26" spans="1:16" x14ac:dyDescent="0.25">
      <c r="A26" s="110">
        <f t="shared" si="5"/>
        <v>44122</v>
      </c>
      <c r="B26" s="111">
        <f t="shared" si="2"/>
        <v>0</v>
      </c>
      <c r="C26" s="113"/>
      <c r="D26" s="111">
        <f t="shared" ref="D26:F39" si="6">+E26/D$7</f>
        <v>0</v>
      </c>
      <c r="E26" s="279"/>
      <c r="F26" s="111">
        <f t="shared" si="6"/>
        <v>0</v>
      </c>
      <c r="G26" s="114"/>
      <c r="H26" s="114"/>
      <c r="I26" s="114"/>
      <c r="J26" s="114"/>
      <c r="K26" s="115">
        <f t="shared" si="1"/>
        <v>0</v>
      </c>
      <c r="L26" s="115"/>
      <c r="M26" s="113"/>
      <c r="N26" s="114">
        <f t="shared" si="4"/>
        <v>0</v>
      </c>
      <c r="O26" s="118">
        <f t="shared" si="0"/>
        <v>3203091</v>
      </c>
    </row>
    <row r="27" spans="1:16" x14ac:dyDescent="0.25">
      <c r="A27" s="110">
        <f t="shared" si="5"/>
        <v>44123</v>
      </c>
      <c r="B27" s="111">
        <f t="shared" si="2"/>
        <v>0</v>
      </c>
      <c r="C27" s="113"/>
      <c r="D27" s="111">
        <f t="shared" si="6"/>
        <v>0</v>
      </c>
      <c r="E27" s="279"/>
      <c r="F27" s="111"/>
      <c r="G27" s="114"/>
      <c r="H27" s="114"/>
      <c r="I27" s="114"/>
      <c r="J27" s="114"/>
      <c r="K27" s="115">
        <f t="shared" si="1"/>
        <v>0</v>
      </c>
      <c r="L27" s="115"/>
      <c r="M27" s="113"/>
      <c r="N27" s="114">
        <f t="shared" si="4"/>
        <v>0</v>
      </c>
      <c r="O27" s="118">
        <f t="shared" si="0"/>
        <v>3203091</v>
      </c>
    </row>
    <row r="28" spans="1:16" x14ac:dyDescent="0.25">
      <c r="A28" s="110">
        <f t="shared" si="5"/>
        <v>44124</v>
      </c>
      <c r="B28" s="111">
        <f t="shared" si="2"/>
        <v>0</v>
      </c>
      <c r="C28" s="113"/>
      <c r="D28" s="111">
        <f t="shared" si="6"/>
        <v>0</v>
      </c>
      <c r="E28" s="279"/>
      <c r="F28" s="111">
        <f t="shared" si="6"/>
        <v>0</v>
      </c>
      <c r="G28" s="114"/>
      <c r="H28" s="114"/>
      <c r="I28" s="114"/>
      <c r="J28" s="114"/>
      <c r="K28" s="115">
        <f t="shared" si="1"/>
        <v>0</v>
      </c>
      <c r="L28" s="115"/>
      <c r="M28" s="113"/>
      <c r="N28" s="114">
        <f t="shared" si="4"/>
        <v>0</v>
      </c>
      <c r="O28" s="118">
        <f t="shared" si="0"/>
        <v>3203091</v>
      </c>
    </row>
    <row r="29" spans="1:16" x14ac:dyDescent="0.25">
      <c r="A29" s="110">
        <f t="shared" si="5"/>
        <v>44125</v>
      </c>
      <c r="B29" s="111">
        <f t="shared" si="2"/>
        <v>0</v>
      </c>
      <c r="C29" s="113"/>
      <c r="D29" s="111">
        <f t="shared" si="6"/>
        <v>0</v>
      </c>
      <c r="E29" s="279"/>
      <c r="F29" s="111">
        <f t="shared" si="6"/>
        <v>0</v>
      </c>
      <c r="G29" s="114"/>
      <c r="H29" s="114"/>
      <c r="I29" s="114"/>
      <c r="J29" s="114"/>
      <c r="K29" s="115">
        <f t="shared" si="1"/>
        <v>0</v>
      </c>
      <c r="L29" s="115"/>
      <c r="M29" s="113"/>
      <c r="N29" s="114">
        <f t="shared" si="4"/>
        <v>0</v>
      </c>
      <c r="O29" s="118">
        <f t="shared" si="0"/>
        <v>3203091</v>
      </c>
    </row>
    <row r="30" spans="1:16" x14ac:dyDescent="0.25">
      <c r="A30" s="110">
        <f t="shared" si="5"/>
        <v>44126</v>
      </c>
      <c r="B30" s="111">
        <f t="shared" si="2"/>
        <v>0</v>
      </c>
      <c r="C30" s="113"/>
      <c r="D30" s="111">
        <f t="shared" si="6"/>
        <v>0</v>
      </c>
      <c r="E30" s="279"/>
      <c r="F30" s="111">
        <f t="shared" si="6"/>
        <v>0</v>
      </c>
      <c r="G30" s="114"/>
      <c r="H30" s="114"/>
      <c r="I30" s="114"/>
      <c r="J30" s="114"/>
      <c r="K30" s="115">
        <f t="shared" si="1"/>
        <v>0</v>
      </c>
      <c r="L30" s="115"/>
      <c r="M30" s="113"/>
      <c r="N30" s="114">
        <f t="shared" si="4"/>
        <v>0</v>
      </c>
      <c r="O30" s="118">
        <f t="shared" si="0"/>
        <v>3203091</v>
      </c>
    </row>
    <row r="31" spans="1:16" x14ac:dyDescent="0.25">
      <c r="A31" s="110">
        <f t="shared" si="5"/>
        <v>44127</v>
      </c>
      <c r="B31" s="111">
        <f t="shared" si="2"/>
        <v>0</v>
      </c>
      <c r="C31" s="113"/>
      <c r="D31" s="111">
        <f t="shared" si="6"/>
        <v>0</v>
      </c>
      <c r="E31" s="279"/>
      <c r="F31" s="111">
        <f t="shared" si="6"/>
        <v>0</v>
      </c>
      <c r="G31" s="114"/>
      <c r="H31" s="114"/>
      <c r="I31" s="114"/>
      <c r="J31" s="114"/>
      <c r="K31" s="115">
        <f t="shared" si="1"/>
        <v>0</v>
      </c>
      <c r="L31" s="115"/>
      <c r="M31" s="113"/>
      <c r="N31" s="114">
        <f t="shared" si="4"/>
        <v>0</v>
      </c>
      <c r="O31" s="118">
        <f t="shared" si="0"/>
        <v>3203091</v>
      </c>
    </row>
    <row r="32" spans="1:16" x14ac:dyDescent="0.25">
      <c r="A32" s="110">
        <f t="shared" si="5"/>
        <v>44128</v>
      </c>
      <c r="B32" s="111">
        <f t="shared" si="2"/>
        <v>0</v>
      </c>
      <c r="C32" s="113"/>
      <c r="D32" s="111">
        <f t="shared" si="6"/>
        <v>0</v>
      </c>
      <c r="E32" s="279"/>
      <c r="F32" s="111">
        <f t="shared" si="6"/>
        <v>0</v>
      </c>
      <c r="G32" s="114"/>
      <c r="H32" s="114"/>
      <c r="I32" s="114"/>
      <c r="J32" s="114"/>
      <c r="K32" s="115">
        <f t="shared" si="1"/>
        <v>0</v>
      </c>
      <c r="L32" s="115"/>
      <c r="M32" s="113"/>
      <c r="N32" s="114">
        <f t="shared" si="4"/>
        <v>0</v>
      </c>
      <c r="O32" s="118">
        <f t="shared" si="0"/>
        <v>3203091</v>
      </c>
    </row>
    <row r="33" spans="1:15" x14ac:dyDescent="0.25">
      <c r="A33" s="110">
        <f t="shared" si="5"/>
        <v>44129</v>
      </c>
      <c r="B33" s="111">
        <f t="shared" si="2"/>
        <v>0</v>
      </c>
      <c r="C33" s="113"/>
      <c r="D33" s="111">
        <f t="shared" si="6"/>
        <v>0</v>
      </c>
      <c r="E33" s="279"/>
      <c r="F33" s="111">
        <f t="shared" si="6"/>
        <v>0</v>
      </c>
      <c r="G33" s="114"/>
      <c r="H33" s="114"/>
      <c r="I33" s="114"/>
      <c r="J33" s="114"/>
      <c r="K33" s="115">
        <f t="shared" si="1"/>
        <v>0</v>
      </c>
      <c r="L33" s="115"/>
      <c r="M33" s="1716"/>
      <c r="N33" s="114">
        <f t="shared" si="4"/>
        <v>0</v>
      </c>
      <c r="O33" s="118">
        <f t="shared" si="0"/>
        <v>3203091</v>
      </c>
    </row>
    <row r="34" spans="1:15" x14ac:dyDescent="0.25">
      <c r="A34" s="110">
        <f t="shared" si="5"/>
        <v>44130</v>
      </c>
      <c r="B34" s="111">
        <f t="shared" si="2"/>
        <v>0</v>
      </c>
      <c r="C34" s="113"/>
      <c r="D34" s="111">
        <f t="shared" si="6"/>
        <v>0</v>
      </c>
      <c r="E34" s="279"/>
      <c r="F34" s="111">
        <f t="shared" si="6"/>
        <v>0</v>
      </c>
      <c r="G34" s="114"/>
      <c r="H34" s="114"/>
      <c r="I34" s="114"/>
      <c r="J34" s="114"/>
      <c r="K34" s="115">
        <f t="shared" si="1"/>
        <v>0</v>
      </c>
      <c r="L34" s="115"/>
      <c r="M34" s="113"/>
      <c r="N34" s="114">
        <f t="shared" si="4"/>
        <v>0</v>
      </c>
      <c r="O34" s="118">
        <f t="shared" si="0"/>
        <v>3203091</v>
      </c>
    </row>
    <row r="35" spans="1:15" x14ac:dyDescent="0.25">
      <c r="A35" s="110">
        <f t="shared" si="5"/>
        <v>44131</v>
      </c>
      <c r="B35" s="111">
        <f t="shared" si="2"/>
        <v>0</v>
      </c>
      <c r="C35" s="113"/>
      <c r="D35" s="111">
        <f t="shared" si="6"/>
        <v>0</v>
      </c>
      <c r="E35" s="279"/>
      <c r="F35" s="111">
        <f t="shared" si="6"/>
        <v>0</v>
      </c>
      <c r="G35" s="114"/>
      <c r="H35" s="114"/>
      <c r="I35" s="114"/>
      <c r="J35" s="114"/>
      <c r="K35" s="115">
        <f t="shared" si="1"/>
        <v>0</v>
      </c>
      <c r="L35" s="115"/>
      <c r="M35" s="113"/>
      <c r="N35" s="114">
        <f t="shared" si="4"/>
        <v>0</v>
      </c>
      <c r="O35" s="118">
        <f t="shared" si="0"/>
        <v>3203091</v>
      </c>
    </row>
    <row r="36" spans="1:15" x14ac:dyDescent="0.25">
      <c r="A36" s="110">
        <f t="shared" si="5"/>
        <v>44132</v>
      </c>
      <c r="B36" s="111">
        <f t="shared" si="2"/>
        <v>0</v>
      </c>
      <c r="C36" s="113"/>
      <c r="D36" s="111">
        <f t="shared" si="6"/>
        <v>0</v>
      </c>
      <c r="E36" s="279"/>
      <c r="F36" s="111">
        <f t="shared" si="6"/>
        <v>0</v>
      </c>
      <c r="G36" s="114"/>
      <c r="H36" s="114"/>
      <c r="I36" s="114"/>
      <c r="J36" s="114"/>
      <c r="K36" s="115">
        <f t="shared" si="1"/>
        <v>0</v>
      </c>
      <c r="L36" s="115"/>
      <c r="M36" s="113"/>
      <c r="N36" s="114">
        <f t="shared" si="4"/>
        <v>0</v>
      </c>
      <c r="O36" s="118">
        <f t="shared" si="0"/>
        <v>3203091</v>
      </c>
    </row>
    <row r="37" spans="1:15" x14ac:dyDescent="0.25">
      <c r="A37" s="110">
        <f t="shared" si="5"/>
        <v>44133</v>
      </c>
      <c r="B37" s="111">
        <f t="shared" si="2"/>
        <v>0</v>
      </c>
      <c r="C37" s="113"/>
      <c r="D37" s="111">
        <f t="shared" si="6"/>
        <v>0</v>
      </c>
      <c r="E37" s="279"/>
      <c r="F37" s="111">
        <f t="shared" si="6"/>
        <v>0</v>
      </c>
      <c r="G37" s="114"/>
      <c r="H37" s="114"/>
      <c r="I37" s="114"/>
      <c r="J37" s="114"/>
      <c r="K37" s="115">
        <f t="shared" si="1"/>
        <v>0</v>
      </c>
      <c r="L37" s="115"/>
      <c r="M37" s="113"/>
      <c r="N37" s="114">
        <f t="shared" si="4"/>
        <v>0</v>
      </c>
      <c r="O37" s="118">
        <f t="shared" si="0"/>
        <v>3203091</v>
      </c>
    </row>
    <row r="38" spans="1:15" x14ac:dyDescent="0.25">
      <c r="A38" s="110">
        <f t="shared" si="5"/>
        <v>44134</v>
      </c>
      <c r="B38" s="111">
        <f t="shared" si="2"/>
        <v>0</v>
      </c>
      <c r="C38" s="113"/>
      <c r="D38" s="111">
        <f t="shared" si="6"/>
        <v>0</v>
      </c>
      <c r="E38" s="279"/>
      <c r="F38" s="111">
        <f t="shared" si="6"/>
        <v>0</v>
      </c>
      <c r="G38" s="114"/>
      <c r="H38" s="114"/>
      <c r="I38" s="114"/>
      <c r="J38" s="114"/>
      <c r="K38" s="115">
        <f t="shared" si="1"/>
        <v>0</v>
      </c>
      <c r="L38" s="115"/>
      <c r="M38" s="113"/>
      <c r="N38" s="114">
        <f t="shared" si="4"/>
        <v>0</v>
      </c>
      <c r="O38" s="118">
        <f t="shared" si="0"/>
        <v>3203091</v>
      </c>
    </row>
    <row r="39" spans="1:15" x14ac:dyDescent="0.25">
      <c r="A39" s="110">
        <f t="shared" si="5"/>
        <v>44135</v>
      </c>
      <c r="B39" s="111">
        <f t="shared" si="2"/>
        <v>0</v>
      </c>
      <c r="C39" s="113"/>
      <c r="D39" s="111">
        <f t="shared" si="6"/>
        <v>0</v>
      </c>
      <c r="E39" s="279"/>
      <c r="F39" s="111">
        <f t="shared" si="6"/>
        <v>0</v>
      </c>
      <c r="G39" s="114"/>
      <c r="H39" s="114"/>
      <c r="I39" s="114"/>
      <c r="J39" s="114"/>
      <c r="K39" s="115">
        <f t="shared" si="1"/>
        <v>0</v>
      </c>
      <c r="L39" s="115"/>
      <c r="M39" s="113"/>
      <c r="N39" s="114">
        <f t="shared" si="4"/>
        <v>0</v>
      </c>
      <c r="O39" s="120">
        <f>+O38+K39-M39</f>
        <v>3203091</v>
      </c>
    </row>
    <row r="40" spans="1:15" x14ac:dyDescent="0.25">
      <c r="A40" s="121" t="s">
        <v>18</v>
      </c>
      <c r="B40" s="115">
        <f t="shared" ref="B40:M40" si="7">SUM(B9:B39)</f>
        <v>0</v>
      </c>
      <c r="C40" s="115">
        <f>SUM(C9:C39)</f>
        <v>0</v>
      </c>
      <c r="D40" s="122">
        <f t="shared" si="7"/>
        <v>5570.5930434782613</v>
      </c>
      <c r="E40" s="115">
        <f>SUM(E9:E39)</f>
        <v>3203091</v>
      </c>
      <c r="F40" s="115">
        <f t="shared" si="7"/>
        <v>0</v>
      </c>
      <c r="G40" s="115">
        <f t="shared" si="7"/>
        <v>0</v>
      </c>
      <c r="H40" s="115">
        <f t="shared" si="7"/>
        <v>0</v>
      </c>
      <c r="I40" s="115">
        <f t="shared" si="7"/>
        <v>0</v>
      </c>
      <c r="J40" s="115">
        <f t="shared" si="7"/>
        <v>0</v>
      </c>
      <c r="K40" s="115">
        <f>SUM(K9:K39)</f>
        <v>3203091</v>
      </c>
      <c r="L40" s="115"/>
      <c r="M40" s="115">
        <f t="shared" si="7"/>
        <v>0</v>
      </c>
      <c r="N40" s="120">
        <f>+O39</f>
        <v>3203091</v>
      </c>
      <c r="O40" s="123"/>
    </row>
    <row r="41" spans="1:15" x14ac:dyDescent="0.25">
      <c r="A41" s="124"/>
      <c r="B41" s="124"/>
      <c r="C41" s="124"/>
      <c r="D41" s="125"/>
      <c r="E41" s="124"/>
      <c r="F41" s="124"/>
      <c r="G41" s="124"/>
      <c r="H41" s="124"/>
      <c r="I41" s="124"/>
      <c r="J41" s="124"/>
      <c r="K41" s="124"/>
      <c r="L41" s="124"/>
      <c r="M41" s="124"/>
      <c r="N41" s="124"/>
      <c r="O41" s="124"/>
    </row>
    <row r="42" spans="1:15" x14ac:dyDescent="0.25">
      <c r="A42" s="57" t="s">
        <v>121</v>
      </c>
      <c r="B42" s="57" t="s">
        <v>61</v>
      </c>
      <c r="C42" s="57" t="s">
        <v>122</v>
      </c>
      <c r="D42" s="126" t="s">
        <v>39</v>
      </c>
      <c r="K42" s="386">
        <f>+E40-11030600</f>
        <v>-7827509</v>
      </c>
      <c r="O42" s="386"/>
    </row>
    <row r="43" spans="1:15" x14ac:dyDescent="0.25">
      <c r="A43" s="57" t="s">
        <v>15</v>
      </c>
      <c r="B43" s="127">
        <f>B40</f>
        <v>0</v>
      </c>
      <c r="C43" s="57"/>
      <c r="D43" s="126">
        <f>B43*C43</f>
        <v>0</v>
      </c>
      <c r="M43" s="661">
        <v>31376</v>
      </c>
      <c r="N43" s="662"/>
      <c r="O43" s="663">
        <f>+O39-250000</f>
        <v>2953091</v>
      </c>
    </row>
    <row r="44" spans="1:15" x14ac:dyDescent="0.25">
      <c r="A44" s="57" t="s">
        <v>16</v>
      </c>
      <c r="B44" s="126">
        <f>D40</f>
        <v>5570.5930434782613</v>
      </c>
      <c r="C44" s="57">
        <v>5</v>
      </c>
      <c r="D44" s="113">
        <f>B44*C44</f>
        <v>27852.965217391305</v>
      </c>
      <c r="H44" s="116"/>
      <c r="K44" s="116"/>
      <c r="L44" s="116"/>
      <c r="M44" s="664"/>
      <c r="N44" s="664"/>
      <c r="O44" s="662"/>
    </row>
    <row r="45" spans="1:15" x14ac:dyDescent="0.25">
      <c r="A45" s="57" t="s">
        <v>17</v>
      </c>
      <c r="B45" s="127">
        <f>F40</f>
        <v>0</v>
      </c>
      <c r="C45" s="57"/>
      <c r="D45" s="126">
        <f>B45*C45</f>
        <v>0</v>
      </c>
      <c r="E45" s="99"/>
      <c r="M45" s="662"/>
      <c r="N45" s="662"/>
      <c r="O45" s="664">
        <f>86000/520</f>
        <v>165.38461538461539</v>
      </c>
    </row>
    <row r="46" spans="1:15" x14ac:dyDescent="0.25">
      <c r="A46" s="128" t="s">
        <v>18</v>
      </c>
      <c r="B46" s="129"/>
      <c r="C46" s="130"/>
      <c r="D46" s="113">
        <f>SUM(D43:D45)</f>
        <v>27852.965217391305</v>
      </c>
      <c r="M46" s="386"/>
      <c r="O46" s="116"/>
    </row>
    <row r="47" spans="1:15" ht="18.75" x14ac:dyDescent="0.3">
      <c r="C47" s="1" t="s">
        <v>167</v>
      </c>
    </row>
    <row r="48" spans="1:15" ht="18.75" x14ac:dyDescent="0.3">
      <c r="C48" s="1"/>
    </row>
  </sheetData>
  <mergeCells count="4">
    <mergeCell ref="H6:H7"/>
    <mergeCell ref="I6:I7"/>
    <mergeCell ref="J6:J7"/>
    <mergeCell ref="K6:K7"/>
  </mergeCells>
  <pageMargins left="0.70866141732283472" right="0.70866141732283472" top="0.74803149606299213" bottom="0.74803149606299213" header="0.31496062992125984" footer="0.31496062992125984"/>
  <pageSetup paperSize="9" scale="70"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3">
    <tabColor theme="4" tint="-0.249977111117893"/>
    <pageSetUpPr fitToPage="1"/>
  </sheetPr>
  <dimension ref="A1:S48"/>
  <sheetViews>
    <sheetView zoomScaleNormal="100" workbookViewId="0">
      <selection activeCell="E10" sqref="E10:E18"/>
    </sheetView>
  </sheetViews>
  <sheetFormatPr baseColWidth="10" defaultRowHeight="12.75" x14ac:dyDescent="0.2"/>
  <cols>
    <col min="1" max="1" width="11.42578125" style="39"/>
    <col min="2" max="2" width="11.42578125" style="39" customWidth="1"/>
    <col min="3" max="3" width="13.42578125" style="39" customWidth="1"/>
    <col min="4" max="4" width="13.5703125" style="39" bestFit="1" customWidth="1"/>
    <col min="5" max="5" width="18.42578125" style="39" customWidth="1"/>
    <col min="6" max="10" width="11.42578125" style="39" customWidth="1"/>
    <col min="11" max="11" width="15.140625" style="39" customWidth="1"/>
    <col min="12" max="12" width="13.85546875" style="39" customWidth="1"/>
    <col min="13" max="13" width="16.28515625" style="39" customWidth="1"/>
    <col min="14" max="14" width="13.7109375" style="39" bestFit="1" customWidth="1"/>
    <col min="15" max="15" width="15.7109375" style="39" bestFit="1" customWidth="1"/>
    <col min="16" max="16" width="12" style="39" bestFit="1" customWidth="1"/>
    <col min="17" max="17" width="15.28515625" style="39" customWidth="1"/>
    <col min="18" max="16384" width="11.42578125" style="39"/>
  </cols>
  <sheetData>
    <row r="1" spans="1:19" ht="15" x14ac:dyDescent="0.25">
      <c r="A1" s="238" t="s">
        <v>118</v>
      </c>
      <c r="B1" s="238" t="s">
        <v>956</v>
      </c>
    </row>
    <row r="2" spans="1:19" ht="13.5" x14ac:dyDescent="0.25">
      <c r="C2" s="14"/>
    </row>
    <row r="3" spans="1:19" ht="18.75" x14ac:dyDescent="0.3">
      <c r="A3" s="1" t="s">
        <v>19</v>
      </c>
      <c r="B3" s="142">
        <v>42614</v>
      </c>
      <c r="C3" s="8"/>
      <c r="M3" s="37"/>
    </row>
    <row r="4" spans="1:19" ht="15" x14ac:dyDescent="0.25">
      <c r="A4" s="8"/>
      <c r="B4" s="8"/>
      <c r="C4" s="8"/>
      <c r="K4" s="1586"/>
      <c r="L4" s="1587"/>
    </row>
    <row r="5" spans="1:19" ht="19.5" customHeight="1" x14ac:dyDescent="0.25">
      <c r="A5" s="8"/>
      <c r="B5" s="8"/>
      <c r="C5" s="8"/>
      <c r="O5" s="388" t="s">
        <v>190</v>
      </c>
      <c r="Q5" s="120">
        <v>2304912</v>
      </c>
    </row>
    <row r="6" spans="1:19" ht="13.5" x14ac:dyDescent="0.25">
      <c r="A6" s="8"/>
      <c r="B6" s="8"/>
      <c r="C6" s="8"/>
      <c r="S6" s="281">
        <f>+Q5-O9</f>
        <v>2304912</v>
      </c>
    </row>
    <row r="7" spans="1:19" ht="16.5" customHeight="1" x14ac:dyDescent="0.2">
      <c r="A7" s="100" t="s">
        <v>3</v>
      </c>
      <c r="B7" s="1753" t="s">
        <v>15</v>
      </c>
      <c r="C7" s="1754"/>
      <c r="D7" s="1753" t="s">
        <v>16</v>
      </c>
      <c r="E7" s="1754"/>
      <c r="F7" s="1753" t="s">
        <v>17</v>
      </c>
      <c r="G7" s="1754"/>
      <c r="H7" s="2910" t="s">
        <v>52</v>
      </c>
      <c r="I7" s="2910" t="s">
        <v>53</v>
      </c>
      <c r="J7" s="2910" t="s">
        <v>119</v>
      </c>
      <c r="K7" s="2910" t="s">
        <v>18</v>
      </c>
      <c r="L7" s="3062" t="s">
        <v>416</v>
      </c>
      <c r="M7" s="3065" t="s">
        <v>223</v>
      </c>
      <c r="N7" s="2910" t="s">
        <v>55</v>
      </c>
      <c r="O7" s="2910" t="s">
        <v>120</v>
      </c>
    </row>
    <row r="8" spans="1:19" ht="25.5" customHeight="1" x14ac:dyDescent="0.2">
      <c r="A8" s="103"/>
      <c r="B8" s="915">
        <v>630</v>
      </c>
      <c r="C8" s="916"/>
      <c r="D8" s="915">
        <v>575</v>
      </c>
      <c r="E8" s="916"/>
      <c r="F8" s="915">
        <v>350</v>
      </c>
      <c r="G8" s="916"/>
      <c r="H8" s="3059"/>
      <c r="I8" s="3059"/>
      <c r="J8" s="3059"/>
      <c r="K8" s="3059"/>
      <c r="L8" s="3063"/>
      <c r="M8" s="3066"/>
      <c r="N8" s="2911"/>
      <c r="O8" s="2911"/>
    </row>
    <row r="9" spans="1:19" ht="16.5" x14ac:dyDescent="0.2">
      <c r="A9" s="105"/>
      <c r="B9" s="106" t="s">
        <v>56</v>
      </c>
      <c r="C9" s="106"/>
      <c r="D9" s="107" t="s">
        <v>56</v>
      </c>
      <c r="E9" s="106"/>
      <c r="F9" s="106" t="s">
        <v>56</v>
      </c>
      <c r="G9" s="106" t="s">
        <v>37</v>
      </c>
      <c r="H9" s="2911"/>
      <c r="I9" s="2911"/>
      <c r="J9" s="2911"/>
      <c r="K9" s="2911"/>
      <c r="L9" s="3064"/>
      <c r="M9" s="134"/>
      <c r="N9" s="276"/>
      <c r="O9" s="109">
        <f>N9</f>
        <v>0</v>
      </c>
      <c r="P9" s="39">
        <f>233663-57500</f>
        <v>176163</v>
      </c>
    </row>
    <row r="10" spans="1:19" ht="16.5" x14ac:dyDescent="0.25">
      <c r="A10" s="110">
        <f>+KONGFU!A9</f>
        <v>44105</v>
      </c>
      <c r="B10" s="114">
        <f>+C10/B$8</f>
        <v>0</v>
      </c>
      <c r="C10" s="86"/>
      <c r="D10" s="114">
        <f>+E10/575</f>
        <v>54.782608695652172</v>
      </c>
      <c r="E10" s="86">
        <v>31500</v>
      </c>
      <c r="F10" s="111">
        <f>+G10/F$8</f>
        <v>0</v>
      </c>
      <c r="G10" s="114"/>
      <c r="H10" s="114"/>
      <c r="I10" s="114"/>
      <c r="J10" s="114"/>
      <c r="K10" s="115">
        <f>C10+E10+G10+H10+I10+J10</f>
        <v>31500</v>
      </c>
      <c r="L10" s="115"/>
      <c r="M10" s="113"/>
      <c r="N10" s="114">
        <f>K10-M10</f>
        <v>31500</v>
      </c>
      <c r="O10" s="114">
        <f>+O9+K10-M10</f>
        <v>31500</v>
      </c>
    </row>
    <row r="11" spans="1:19" ht="16.5" x14ac:dyDescent="0.25">
      <c r="A11" s="110">
        <f>+A10+1</f>
        <v>44106</v>
      </c>
      <c r="B11" s="114">
        <f t="shared" ref="B11:B40" si="0">+C11/B$8</f>
        <v>0</v>
      </c>
      <c r="C11" s="86"/>
      <c r="D11" s="114">
        <f>+E11/575</f>
        <v>0</v>
      </c>
      <c r="E11" s="86"/>
      <c r="F11" s="111">
        <f t="shared" ref="F11:F40" si="1">+G11/F$8</f>
        <v>0</v>
      </c>
      <c r="G11" s="114"/>
      <c r="H11" s="114"/>
      <c r="I11" s="114"/>
      <c r="J11" s="114"/>
      <c r="K11" s="115">
        <f t="shared" ref="K11:K40" si="2">C11+E11+G11+H11+I11+J11</f>
        <v>0</v>
      </c>
      <c r="L11" s="115"/>
      <c r="M11" s="86"/>
      <c r="N11" s="114">
        <f t="shared" ref="N11:N38" si="3">K11-M11</f>
        <v>0</v>
      </c>
      <c r="O11" s="114">
        <f t="shared" ref="O11:O38" si="4">+O10+K11-M11</f>
        <v>31500</v>
      </c>
    </row>
    <row r="12" spans="1:19" ht="16.5" x14ac:dyDescent="0.25">
      <c r="A12" s="110">
        <f t="shared" ref="A12:A40" si="5">+A11+1</f>
        <v>44107</v>
      </c>
      <c r="B12" s="114">
        <f t="shared" si="0"/>
        <v>0</v>
      </c>
      <c r="C12" s="86"/>
      <c r="D12" s="114">
        <f>+E12/575</f>
        <v>600</v>
      </c>
      <c r="E12" s="86">
        <v>345000</v>
      </c>
      <c r="F12" s="111">
        <f t="shared" si="1"/>
        <v>0</v>
      </c>
      <c r="G12" s="114"/>
      <c r="H12" s="114"/>
      <c r="I12" s="114"/>
      <c r="J12" s="114"/>
      <c r="K12" s="115">
        <f t="shared" si="2"/>
        <v>345000</v>
      </c>
      <c r="L12" s="804"/>
      <c r="M12" s="86"/>
      <c r="N12" s="114">
        <f t="shared" si="3"/>
        <v>345000</v>
      </c>
      <c r="O12" s="114">
        <f t="shared" si="4"/>
        <v>376500</v>
      </c>
    </row>
    <row r="13" spans="1:19" ht="16.5" x14ac:dyDescent="0.25">
      <c r="A13" s="110">
        <f t="shared" si="5"/>
        <v>44108</v>
      </c>
      <c r="B13" s="114">
        <f t="shared" si="0"/>
        <v>0</v>
      </c>
      <c r="C13" s="86"/>
      <c r="D13" s="114">
        <f>+E13/575</f>
        <v>0</v>
      </c>
      <c r="E13" s="86"/>
      <c r="F13" s="111">
        <f t="shared" si="1"/>
        <v>0</v>
      </c>
      <c r="G13" s="114"/>
      <c r="H13" s="114"/>
      <c r="I13" s="114"/>
      <c r="J13" s="114"/>
      <c r="K13" s="115">
        <f t="shared" si="2"/>
        <v>0</v>
      </c>
      <c r="L13" s="115"/>
      <c r="M13" s="86"/>
      <c r="N13" s="114">
        <f t="shared" si="3"/>
        <v>0</v>
      </c>
      <c r="O13" s="114">
        <f t="shared" si="4"/>
        <v>376500</v>
      </c>
    </row>
    <row r="14" spans="1:19" ht="16.5" x14ac:dyDescent="0.25">
      <c r="A14" s="110">
        <f t="shared" si="5"/>
        <v>44109</v>
      </c>
      <c r="B14" s="114">
        <f t="shared" si="0"/>
        <v>0</v>
      </c>
      <c r="C14" s="86"/>
      <c r="D14" s="114">
        <f t="shared" ref="D14:D39" si="6">+E14/575</f>
        <v>0</v>
      </c>
      <c r="E14" s="86"/>
      <c r="F14" s="111">
        <f t="shared" si="1"/>
        <v>0</v>
      </c>
      <c r="G14" s="114"/>
      <c r="H14" s="114"/>
      <c r="I14" s="114"/>
      <c r="J14" s="114"/>
      <c r="K14" s="115">
        <f t="shared" si="2"/>
        <v>0</v>
      </c>
      <c r="L14" s="115"/>
      <c r="M14" s="86"/>
      <c r="N14" s="114">
        <f t="shared" si="3"/>
        <v>0</v>
      </c>
      <c r="O14" s="114">
        <f t="shared" si="4"/>
        <v>376500</v>
      </c>
    </row>
    <row r="15" spans="1:19" ht="16.5" x14ac:dyDescent="0.25">
      <c r="A15" s="110">
        <f t="shared" si="5"/>
        <v>44110</v>
      </c>
      <c r="B15" s="114">
        <f t="shared" si="0"/>
        <v>0</v>
      </c>
      <c r="C15" s="86"/>
      <c r="D15" s="114">
        <f t="shared" si="6"/>
        <v>0</v>
      </c>
      <c r="E15" s="86"/>
      <c r="F15" s="111">
        <f t="shared" si="1"/>
        <v>0</v>
      </c>
      <c r="G15" s="114"/>
      <c r="H15" s="114"/>
      <c r="I15" s="114"/>
      <c r="J15" s="114"/>
      <c r="K15" s="115">
        <f t="shared" si="2"/>
        <v>0</v>
      </c>
      <c r="L15" s="115"/>
      <c r="M15" s="86"/>
      <c r="N15" s="114">
        <f t="shared" si="3"/>
        <v>0</v>
      </c>
      <c r="O15" s="114">
        <f t="shared" si="4"/>
        <v>376500</v>
      </c>
      <c r="P15" s="281"/>
      <c r="Q15" s="281"/>
    </row>
    <row r="16" spans="1:19" ht="16.5" x14ac:dyDescent="0.25">
      <c r="A16" s="110">
        <f t="shared" si="5"/>
        <v>44111</v>
      </c>
      <c r="B16" s="114">
        <f t="shared" si="0"/>
        <v>0</v>
      </c>
      <c r="C16" s="86"/>
      <c r="D16" s="114">
        <f t="shared" si="6"/>
        <v>65.739130434782609</v>
      </c>
      <c r="E16" s="279">
        <v>37800</v>
      </c>
      <c r="F16" s="111">
        <f t="shared" si="1"/>
        <v>0</v>
      </c>
      <c r="G16" s="114"/>
      <c r="H16" s="114"/>
      <c r="I16" s="114"/>
      <c r="J16" s="114"/>
      <c r="K16" s="115">
        <f t="shared" si="2"/>
        <v>37800</v>
      </c>
      <c r="L16" s="115"/>
      <c r="M16" s="86"/>
      <c r="N16" s="114">
        <f t="shared" si="3"/>
        <v>37800</v>
      </c>
      <c r="O16" s="114">
        <f t="shared" si="4"/>
        <v>414300</v>
      </c>
      <c r="P16" s="281"/>
      <c r="Q16" s="281"/>
    </row>
    <row r="17" spans="1:17" ht="16.5" x14ac:dyDescent="0.25">
      <c r="A17" s="110">
        <f t="shared" si="5"/>
        <v>44112</v>
      </c>
      <c r="B17" s="114">
        <f t="shared" si="0"/>
        <v>0</v>
      </c>
      <c r="C17" s="86"/>
      <c r="D17" s="114">
        <f t="shared" si="6"/>
        <v>621.91304347826087</v>
      </c>
      <c r="E17" s="279">
        <v>357600</v>
      </c>
      <c r="F17" s="111">
        <f t="shared" si="1"/>
        <v>0</v>
      </c>
      <c r="G17" s="114"/>
      <c r="H17" s="114"/>
      <c r="I17" s="114"/>
      <c r="J17" s="114"/>
      <c r="K17" s="115">
        <f>C17+E17+G17+H17+I17+J17</f>
        <v>357600</v>
      </c>
      <c r="L17" s="115"/>
      <c r="M17" s="115"/>
      <c r="N17" s="114">
        <f t="shared" si="3"/>
        <v>357600</v>
      </c>
      <c r="O17" s="114">
        <f t="shared" si="4"/>
        <v>771900</v>
      </c>
      <c r="P17" s="281"/>
      <c r="Q17" s="281"/>
    </row>
    <row r="18" spans="1:17" ht="16.5" x14ac:dyDescent="0.25">
      <c r="A18" s="110">
        <f t="shared" si="5"/>
        <v>44113</v>
      </c>
      <c r="B18" s="114">
        <f t="shared" si="0"/>
        <v>0</v>
      </c>
      <c r="C18" s="86"/>
      <c r="D18" s="114">
        <f t="shared" si="6"/>
        <v>0</v>
      </c>
      <c r="E18" s="279"/>
      <c r="F18" s="111">
        <f t="shared" si="1"/>
        <v>0</v>
      </c>
      <c r="G18" s="118"/>
      <c r="H18" s="118"/>
      <c r="I18" s="118"/>
      <c r="J18" s="118"/>
      <c r="K18" s="115">
        <f t="shared" si="2"/>
        <v>0</v>
      </c>
      <c r="L18" s="115"/>
      <c r="M18" s="86"/>
      <c r="N18" s="114">
        <f t="shared" si="3"/>
        <v>0</v>
      </c>
      <c r="O18" s="118">
        <f t="shared" si="4"/>
        <v>771900</v>
      </c>
      <c r="P18" s="281"/>
      <c r="Q18" s="281"/>
    </row>
    <row r="19" spans="1:17" ht="16.5" x14ac:dyDescent="0.25">
      <c r="A19" s="110">
        <f t="shared" si="5"/>
        <v>44114</v>
      </c>
      <c r="B19" s="114">
        <f t="shared" si="0"/>
        <v>0</v>
      </c>
      <c r="C19" s="86"/>
      <c r="D19" s="114">
        <f t="shared" si="6"/>
        <v>0</v>
      </c>
      <c r="E19" s="279"/>
      <c r="F19" s="111">
        <f t="shared" si="1"/>
        <v>0</v>
      </c>
      <c r="G19" s="118"/>
      <c r="H19" s="118"/>
      <c r="I19" s="118"/>
      <c r="J19" s="118"/>
      <c r="K19" s="115">
        <f>C19+E19+G19+H19+I19+J19</f>
        <v>0</v>
      </c>
      <c r="L19" s="115"/>
      <c r="M19" s="86"/>
      <c r="N19" s="114">
        <f t="shared" si="3"/>
        <v>0</v>
      </c>
      <c r="O19" s="118">
        <f t="shared" si="4"/>
        <v>771900</v>
      </c>
      <c r="P19" s="281"/>
      <c r="Q19" s="281"/>
    </row>
    <row r="20" spans="1:17" ht="16.5" x14ac:dyDescent="0.25">
      <c r="A20" s="110">
        <f t="shared" si="5"/>
        <v>44115</v>
      </c>
      <c r="B20" s="114">
        <f t="shared" si="0"/>
        <v>0</v>
      </c>
      <c r="C20" s="86"/>
      <c r="D20" s="114">
        <f t="shared" si="6"/>
        <v>0</v>
      </c>
      <c r="E20" s="279"/>
      <c r="F20" s="111">
        <f t="shared" si="1"/>
        <v>0</v>
      </c>
      <c r="G20" s="118"/>
      <c r="H20" s="118"/>
      <c r="I20" s="118"/>
      <c r="J20" s="118"/>
      <c r="K20" s="115">
        <f t="shared" si="2"/>
        <v>0</v>
      </c>
      <c r="L20" s="115"/>
      <c r="M20" s="86"/>
      <c r="N20" s="114">
        <f t="shared" si="3"/>
        <v>0</v>
      </c>
      <c r="O20" s="118">
        <f t="shared" si="4"/>
        <v>771900</v>
      </c>
      <c r="P20" s="281"/>
      <c r="Q20" s="281"/>
    </row>
    <row r="21" spans="1:17" ht="17.25" thickBot="1" x14ac:dyDescent="0.3">
      <c r="A21" s="110">
        <f t="shared" si="5"/>
        <v>44116</v>
      </c>
      <c r="B21" s="114">
        <f t="shared" si="0"/>
        <v>0</v>
      </c>
      <c r="C21" s="86"/>
      <c r="D21" s="114">
        <f>+E21/575</f>
        <v>0</v>
      </c>
      <c r="E21" s="86"/>
      <c r="F21" s="111">
        <f t="shared" si="1"/>
        <v>0</v>
      </c>
      <c r="G21" s="118"/>
      <c r="H21" s="118"/>
      <c r="I21" s="118"/>
      <c r="J21" s="118"/>
      <c r="K21" s="115">
        <f t="shared" si="2"/>
        <v>0</v>
      </c>
      <c r="L21" s="115"/>
      <c r="M21" s="86"/>
      <c r="N21" s="114">
        <f t="shared" si="3"/>
        <v>0</v>
      </c>
      <c r="O21" s="118">
        <f>+O20+K21-M21</f>
        <v>771900</v>
      </c>
      <c r="P21" s="281"/>
      <c r="Q21" s="281"/>
    </row>
    <row r="22" spans="1:17" ht="18" x14ac:dyDescent="0.25">
      <c r="A22" s="110">
        <f t="shared" si="5"/>
        <v>44117</v>
      </c>
      <c r="B22" s="114">
        <f t="shared" si="0"/>
        <v>0</v>
      </c>
      <c r="C22" s="86"/>
      <c r="D22" s="114">
        <f t="shared" si="6"/>
        <v>0</v>
      </c>
      <c r="E22" s="2628"/>
      <c r="F22" s="111">
        <f t="shared" si="1"/>
        <v>0</v>
      </c>
      <c r="G22" s="118"/>
      <c r="H22" s="118"/>
      <c r="I22" s="118"/>
      <c r="J22" s="118"/>
      <c r="K22" s="115">
        <f t="shared" si="2"/>
        <v>0</v>
      </c>
      <c r="L22" s="115"/>
      <c r="M22" s="86"/>
      <c r="N22" s="114">
        <f t="shared" si="3"/>
        <v>0</v>
      </c>
      <c r="O22" s="118">
        <f t="shared" si="4"/>
        <v>771900</v>
      </c>
      <c r="P22" s="281"/>
      <c r="Q22" s="281"/>
    </row>
    <row r="23" spans="1:17" ht="16.5" x14ac:dyDescent="0.25">
      <c r="A23" s="110">
        <f t="shared" si="5"/>
        <v>44118</v>
      </c>
      <c r="B23" s="114">
        <f t="shared" si="0"/>
        <v>0</v>
      </c>
      <c r="C23" s="86"/>
      <c r="D23" s="114">
        <f t="shared" si="6"/>
        <v>0</v>
      </c>
      <c r="E23" s="86"/>
      <c r="F23" s="111">
        <f t="shared" si="1"/>
        <v>0</v>
      </c>
      <c r="G23" s="118"/>
      <c r="H23" s="118"/>
      <c r="I23" s="118"/>
      <c r="J23" s="118"/>
      <c r="K23" s="115">
        <f t="shared" si="2"/>
        <v>0</v>
      </c>
      <c r="L23" s="115"/>
      <c r="M23" s="86"/>
      <c r="N23" s="114">
        <f t="shared" si="3"/>
        <v>0</v>
      </c>
      <c r="O23" s="118">
        <f>+O22+K23-M23</f>
        <v>771900</v>
      </c>
      <c r="P23" s="281"/>
      <c r="Q23" s="281"/>
    </row>
    <row r="24" spans="1:17" ht="16.5" x14ac:dyDescent="0.25">
      <c r="A24" s="110">
        <f t="shared" si="5"/>
        <v>44119</v>
      </c>
      <c r="B24" s="114">
        <f t="shared" si="0"/>
        <v>0</v>
      </c>
      <c r="C24" s="86"/>
      <c r="D24" s="114">
        <f t="shared" si="6"/>
        <v>0</v>
      </c>
      <c r="E24" s="86"/>
      <c r="F24" s="111">
        <f t="shared" si="1"/>
        <v>0</v>
      </c>
      <c r="G24" s="118"/>
      <c r="H24" s="118"/>
      <c r="I24" s="118"/>
      <c r="J24" s="118"/>
      <c r="K24" s="115">
        <f t="shared" si="2"/>
        <v>0</v>
      </c>
      <c r="L24" s="115"/>
      <c r="M24" s="86"/>
      <c r="N24" s="114">
        <f t="shared" si="3"/>
        <v>0</v>
      </c>
      <c r="O24" s="118">
        <f>+O23+K24-M24</f>
        <v>771900</v>
      </c>
      <c r="P24" s="281"/>
      <c r="Q24" s="281"/>
    </row>
    <row r="25" spans="1:17" ht="16.5" x14ac:dyDescent="0.25">
      <c r="A25" s="110">
        <f t="shared" si="5"/>
        <v>44120</v>
      </c>
      <c r="B25" s="114">
        <f t="shared" si="0"/>
        <v>0</v>
      </c>
      <c r="C25" s="86"/>
      <c r="D25" s="114">
        <f t="shared" si="6"/>
        <v>0</v>
      </c>
      <c r="E25" s="86"/>
      <c r="F25" s="111">
        <f t="shared" si="1"/>
        <v>0</v>
      </c>
      <c r="G25" s="118"/>
      <c r="H25" s="118"/>
      <c r="I25" s="118"/>
      <c r="J25" s="118"/>
      <c r="K25" s="115">
        <f t="shared" si="2"/>
        <v>0</v>
      </c>
      <c r="L25" s="115"/>
      <c r="M25" s="115"/>
      <c r="N25" s="118">
        <f t="shared" si="3"/>
        <v>0</v>
      </c>
      <c r="O25" s="118">
        <f t="shared" si="4"/>
        <v>771900</v>
      </c>
      <c r="P25" s="281"/>
      <c r="Q25" s="281"/>
    </row>
    <row r="26" spans="1:17" ht="16.5" x14ac:dyDescent="0.25">
      <c r="A26" s="110">
        <f t="shared" si="5"/>
        <v>44121</v>
      </c>
      <c r="B26" s="114">
        <f t="shared" si="0"/>
        <v>0</v>
      </c>
      <c r="C26" s="86"/>
      <c r="D26" s="114">
        <f>+E26/575</f>
        <v>0</v>
      </c>
      <c r="E26" s="86"/>
      <c r="F26" s="111">
        <f t="shared" si="1"/>
        <v>0</v>
      </c>
      <c r="G26" s="118"/>
      <c r="H26" s="118"/>
      <c r="I26" s="118"/>
      <c r="J26" s="118"/>
      <c r="K26" s="115">
        <f t="shared" si="2"/>
        <v>0</v>
      </c>
      <c r="L26" s="115"/>
      <c r="M26" s="86"/>
      <c r="N26" s="118">
        <f t="shared" si="3"/>
        <v>0</v>
      </c>
      <c r="O26" s="118">
        <f t="shared" si="4"/>
        <v>771900</v>
      </c>
      <c r="P26" s="281"/>
      <c r="Q26" s="281"/>
    </row>
    <row r="27" spans="1:17" ht="16.5" x14ac:dyDescent="0.25">
      <c r="A27" s="110">
        <f t="shared" si="5"/>
        <v>44122</v>
      </c>
      <c r="B27" s="114">
        <f t="shared" si="0"/>
        <v>0</v>
      </c>
      <c r="C27" s="86"/>
      <c r="D27" s="114">
        <f t="shared" si="6"/>
        <v>0</v>
      </c>
      <c r="E27" s="86"/>
      <c r="F27" s="111">
        <f t="shared" si="1"/>
        <v>0</v>
      </c>
      <c r="G27" s="118"/>
      <c r="H27" s="118"/>
      <c r="I27" s="118"/>
      <c r="J27" s="118"/>
      <c r="K27" s="115">
        <f t="shared" si="2"/>
        <v>0</v>
      </c>
      <c r="L27" s="115"/>
      <c r="M27" s="86"/>
      <c r="N27" s="118">
        <f t="shared" si="3"/>
        <v>0</v>
      </c>
      <c r="O27" s="118">
        <f t="shared" si="4"/>
        <v>771900</v>
      </c>
      <c r="P27" s="281"/>
      <c r="Q27" s="281"/>
    </row>
    <row r="28" spans="1:17" ht="16.5" x14ac:dyDescent="0.25">
      <c r="A28" s="110">
        <f t="shared" si="5"/>
        <v>44123</v>
      </c>
      <c r="B28" s="114">
        <f t="shared" si="0"/>
        <v>0</v>
      </c>
      <c r="C28" s="86"/>
      <c r="D28" s="114">
        <f t="shared" si="6"/>
        <v>0</v>
      </c>
      <c r="E28" s="86"/>
      <c r="F28" s="111">
        <f t="shared" si="1"/>
        <v>0</v>
      </c>
      <c r="G28" s="118"/>
      <c r="H28" s="118"/>
      <c r="I28" s="118"/>
      <c r="J28" s="118"/>
      <c r="K28" s="115">
        <f t="shared" si="2"/>
        <v>0</v>
      </c>
      <c r="L28" s="115"/>
      <c r="M28" s="1755"/>
      <c r="N28" s="118">
        <f t="shared" si="3"/>
        <v>0</v>
      </c>
      <c r="O28" s="118">
        <f t="shared" si="4"/>
        <v>771900</v>
      </c>
      <c r="P28" s="281"/>
      <c r="Q28" s="281"/>
    </row>
    <row r="29" spans="1:17" ht="16.5" x14ac:dyDescent="0.25">
      <c r="A29" s="110">
        <f t="shared" si="5"/>
        <v>44124</v>
      </c>
      <c r="B29" s="114">
        <f t="shared" si="0"/>
        <v>0</v>
      </c>
      <c r="C29" s="86"/>
      <c r="D29" s="1776">
        <f t="shared" si="6"/>
        <v>0</v>
      </c>
      <c r="E29" s="86"/>
      <c r="F29" s="111">
        <f t="shared" si="1"/>
        <v>0</v>
      </c>
      <c r="G29" s="118"/>
      <c r="H29" s="118"/>
      <c r="I29" s="118"/>
      <c r="J29" s="118"/>
      <c r="K29" s="115">
        <f t="shared" si="2"/>
        <v>0</v>
      </c>
      <c r="L29" s="115"/>
      <c r="M29" s="86"/>
      <c r="N29" s="118">
        <f t="shared" si="3"/>
        <v>0</v>
      </c>
      <c r="O29" s="118">
        <f t="shared" si="4"/>
        <v>771900</v>
      </c>
      <c r="P29" s="281"/>
      <c r="Q29" s="281"/>
    </row>
    <row r="30" spans="1:17" ht="16.5" x14ac:dyDescent="0.25">
      <c r="A30" s="110">
        <f t="shared" si="5"/>
        <v>44125</v>
      </c>
      <c r="B30" s="114">
        <f t="shared" si="0"/>
        <v>0</v>
      </c>
      <c r="C30" s="86"/>
      <c r="D30" s="114">
        <f t="shared" si="6"/>
        <v>0</v>
      </c>
      <c r="E30" s="86"/>
      <c r="F30" s="111">
        <f t="shared" si="1"/>
        <v>0</v>
      </c>
      <c r="G30" s="118"/>
      <c r="H30" s="118"/>
      <c r="I30" s="118"/>
      <c r="J30" s="118"/>
      <c r="K30" s="115">
        <f t="shared" si="2"/>
        <v>0</v>
      </c>
      <c r="L30" s="115"/>
      <c r="M30" s="86"/>
      <c r="N30" s="118">
        <f t="shared" si="3"/>
        <v>0</v>
      </c>
      <c r="O30" s="118">
        <f>+O29+K30-M30</f>
        <v>771900</v>
      </c>
      <c r="P30" s="281"/>
      <c r="Q30" s="281"/>
    </row>
    <row r="31" spans="1:17" s="250" customFormat="1" ht="16.5" x14ac:dyDescent="0.25">
      <c r="A31" s="827">
        <f t="shared" si="5"/>
        <v>44126</v>
      </c>
      <c r="B31" s="118">
        <f t="shared" si="0"/>
        <v>0</v>
      </c>
      <c r="C31" s="86"/>
      <c r="D31" s="114">
        <f>+E31/575</f>
        <v>0</v>
      </c>
      <c r="E31" s="86"/>
      <c r="F31" s="117">
        <f t="shared" si="1"/>
        <v>0</v>
      </c>
      <c r="G31" s="118"/>
      <c r="H31" s="118"/>
      <c r="I31" s="118"/>
      <c r="J31" s="118"/>
      <c r="K31" s="134">
        <f>C31+E31+G31+H31+I31+J31</f>
        <v>0</v>
      </c>
      <c r="L31" s="134"/>
      <c r="M31" s="134"/>
      <c r="N31" s="118">
        <f t="shared" si="3"/>
        <v>0</v>
      </c>
      <c r="O31" s="118">
        <f>+O30+K31-M31</f>
        <v>771900</v>
      </c>
      <c r="P31" s="281"/>
      <c r="Q31" s="281"/>
    </row>
    <row r="32" spans="1:17" ht="16.5" x14ac:dyDescent="0.25">
      <c r="A32" s="110">
        <f t="shared" si="5"/>
        <v>44127</v>
      </c>
      <c r="B32" s="114">
        <f t="shared" si="0"/>
        <v>0</v>
      </c>
      <c r="C32" s="86"/>
      <c r="D32" s="114">
        <f>+E32/575</f>
        <v>0</v>
      </c>
      <c r="E32" s="86"/>
      <c r="F32" s="111">
        <f t="shared" si="1"/>
        <v>0</v>
      </c>
      <c r="G32" s="118"/>
      <c r="H32" s="118"/>
      <c r="I32" s="118"/>
      <c r="J32" s="118"/>
      <c r="K32" s="115">
        <f>C32+E32+G32+H32+I32+J32</f>
        <v>0</v>
      </c>
      <c r="L32" s="115"/>
      <c r="M32" s="86"/>
      <c r="N32" s="118">
        <f t="shared" si="3"/>
        <v>0</v>
      </c>
      <c r="O32" s="118">
        <f t="shared" si="4"/>
        <v>771900</v>
      </c>
      <c r="P32" s="281"/>
      <c r="Q32" s="281"/>
    </row>
    <row r="33" spans="1:18" ht="16.5" x14ac:dyDescent="0.25">
      <c r="A33" s="110">
        <f t="shared" si="5"/>
        <v>44128</v>
      </c>
      <c r="B33" s="114">
        <f t="shared" si="0"/>
        <v>0</v>
      </c>
      <c r="C33" s="86"/>
      <c r="D33" s="114">
        <f t="shared" si="6"/>
        <v>0</v>
      </c>
      <c r="E33" s="86"/>
      <c r="F33" s="111">
        <f t="shared" si="1"/>
        <v>0</v>
      </c>
      <c r="G33" s="114"/>
      <c r="H33" s="114"/>
      <c r="I33" s="114"/>
      <c r="J33" s="114"/>
      <c r="K33" s="115">
        <f t="shared" si="2"/>
        <v>0</v>
      </c>
      <c r="L33" s="115"/>
      <c r="M33" s="86"/>
      <c r="N33" s="114">
        <f t="shared" si="3"/>
        <v>0</v>
      </c>
      <c r="O33" s="114">
        <f t="shared" si="4"/>
        <v>771900</v>
      </c>
      <c r="P33" s="281"/>
      <c r="Q33" s="281"/>
    </row>
    <row r="34" spans="1:18" ht="16.5" x14ac:dyDescent="0.25">
      <c r="A34" s="110">
        <f t="shared" si="5"/>
        <v>44129</v>
      </c>
      <c r="B34" s="114">
        <f t="shared" si="0"/>
        <v>0</v>
      </c>
      <c r="C34" s="86"/>
      <c r="D34" s="114">
        <f t="shared" si="6"/>
        <v>0</v>
      </c>
      <c r="E34" s="86"/>
      <c r="F34" s="111">
        <f t="shared" si="1"/>
        <v>0</v>
      </c>
      <c r="G34" s="114"/>
      <c r="H34" s="114"/>
      <c r="I34" s="114"/>
      <c r="J34" s="114"/>
      <c r="K34" s="115">
        <f t="shared" si="2"/>
        <v>0</v>
      </c>
      <c r="L34" s="115"/>
      <c r="M34" s="86"/>
      <c r="N34" s="114">
        <f t="shared" si="3"/>
        <v>0</v>
      </c>
      <c r="O34" s="114">
        <f t="shared" si="4"/>
        <v>771900</v>
      </c>
      <c r="P34" s="281"/>
      <c r="Q34" s="281"/>
    </row>
    <row r="35" spans="1:18" ht="16.5" x14ac:dyDescent="0.25">
      <c r="A35" s="110">
        <f t="shared" si="5"/>
        <v>44130</v>
      </c>
      <c r="B35" s="114">
        <f t="shared" si="0"/>
        <v>0</v>
      </c>
      <c r="C35" s="86"/>
      <c r="D35" s="114">
        <f t="shared" si="6"/>
        <v>0</v>
      </c>
      <c r="E35" s="86"/>
      <c r="F35" s="111">
        <f t="shared" si="1"/>
        <v>0</v>
      </c>
      <c r="G35" s="114"/>
      <c r="H35" s="114"/>
      <c r="I35" s="114"/>
      <c r="J35" s="114"/>
      <c r="K35" s="115">
        <f t="shared" si="2"/>
        <v>0</v>
      </c>
      <c r="L35" s="115"/>
      <c r="M35" s="86"/>
      <c r="N35" s="114">
        <f t="shared" si="3"/>
        <v>0</v>
      </c>
      <c r="O35" s="114">
        <f t="shared" si="4"/>
        <v>771900</v>
      </c>
      <c r="P35" s="281"/>
      <c r="Q35" s="281"/>
    </row>
    <row r="36" spans="1:18" ht="16.5" x14ac:dyDescent="0.25">
      <c r="A36" s="110">
        <f t="shared" si="5"/>
        <v>44131</v>
      </c>
      <c r="B36" s="114">
        <f t="shared" si="0"/>
        <v>0</v>
      </c>
      <c r="C36" s="86"/>
      <c r="D36" s="114">
        <f t="shared" si="6"/>
        <v>0</v>
      </c>
      <c r="E36" s="86"/>
      <c r="F36" s="111">
        <f t="shared" si="1"/>
        <v>0</v>
      </c>
      <c r="G36" s="114"/>
      <c r="H36" s="114"/>
      <c r="I36" s="114"/>
      <c r="J36" s="114"/>
      <c r="K36" s="115">
        <f t="shared" si="2"/>
        <v>0</v>
      </c>
      <c r="L36" s="115"/>
      <c r="M36" s="86"/>
      <c r="N36" s="114">
        <f t="shared" si="3"/>
        <v>0</v>
      </c>
      <c r="O36" s="114">
        <f t="shared" si="4"/>
        <v>771900</v>
      </c>
      <c r="P36" s="281"/>
      <c r="Q36" s="281"/>
    </row>
    <row r="37" spans="1:18" ht="16.5" x14ac:dyDescent="0.25">
      <c r="A37" s="110">
        <f t="shared" si="5"/>
        <v>44132</v>
      </c>
      <c r="B37" s="114">
        <f t="shared" si="0"/>
        <v>0</v>
      </c>
      <c r="C37" s="86"/>
      <c r="D37" s="114">
        <f t="shared" si="6"/>
        <v>0</v>
      </c>
      <c r="E37" s="86"/>
      <c r="F37" s="111">
        <f t="shared" si="1"/>
        <v>0</v>
      </c>
      <c r="G37" s="114"/>
      <c r="H37" s="114"/>
      <c r="I37" s="114"/>
      <c r="J37" s="114"/>
      <c r="K37" s="115">
        <f t="shared" si="2"/>
        <v>0</v>
      </c>
      <c r="L37" s="115"/>
      <c r="M37" s="113"/>
      <c r="N37" s="114">
        <f t="shared" si="3"/>
        <v>0</v>
      </c>
      <c r="O37" s="114">
        <f t="shared" si="4"/>
        <v>771900</v>
      </c>
      <c r="P37" s="281"/>
      <c r="Q37" s="281"/>
    </row>
    <row r="38" spans="1:18" ht="16.5" x14ac:dyDescent="0.25">
      <c r="A38" s="110">
        <f t="shared" si="5"/>
        <v>44133</v>
      </c>
      <c r="B38" s="114">
        <f t="shared" si="0"/>
        <v>0</v>
      </c>
      <c r="C38" s="113"/>
      <c r="D38" s="1766">
        <f>+E38/575</f>
        <v>0</v>
      </c>
      <c r="E38" s="113"/>
      <c r="F38" s="111">
        <f t="shared" si="1"/>
        <v>0</v>
      </c>
      <c r="G38" s="114"/>
      <c r="H38" s="114"/>
      <c r="I38" s="114"/>
      <c r="J38" s="114"/>
      <c r="K38" s="115">
        <f t="shared" si="2"/>
        <v>0</v>
      </c>
      <c r="L38" s="115"/>
      <c r="M38" s="113"/>
      <c r="N38" s="114">
        <f t="shared" si="3"/>
        <v>0</v>
      </c>
      <c r="O38" s="114">
        <f t="shared" si="4"/>
        <v>771900</v>
      </c>
      <c r="P38" s="281"/>
      <c r="Q38" s="281"/>
    </row>
    <row r="39" spans="1:18" ht="16.5" x14ac:dyDescent="0.25">
      <c r="A39" s="110">
        <f t="shared" si="5"/>
        <v>44134</v>
      </c>
      <c r="B39" s="114">
        <f t="shared" si="0"/>
        <v>0</v>
      </c>
      <c r="C39" s="113"/>
      <c r="D39" s="114">
        <f t="shared" si="6"/>
        <v>0</v>
      </c>
      <c r="E39" s="113"/>
      <c r="F39" s="111">
        <f t="shared" si="1"/>
        <v>0</v>
      </c>
      <c r="G39" s="114"/>
      <c r="H39" s="114"/>
      <c r="I39" s="114"/>
      <c r="J39" s="114"/>
      <c r="K39" s="115">
        <f t="shared" si="2"/>
        <v>0</v>
      </c>
      <c r="L39" s="115"/>
      <c r="M39" s="113"/>
      <c r="N39" s="114">
        <f>K39-M39</f>
        <v>0</v>
      </c>
      <c r="O39" s="114">
        <f>+O38+K39-M39</f>
        <v>771900</v>
      </c>
      <c r="P39" s="281"/>
    </row>
    <row r="40" spans="1:18" ht="16.5" x14ac:dyDescent="0.25">
      <c r="A40" s="110">
        <f t="shared" si="5"/>
        <v>44135</v>
      </c>
      <c r="B40" s="114">
        <f t="shared" si="0"/>
        <v>0</v>
      </c>
      <c r="C40" s="113"/>
      <c r="D40" s="114">
        <f>+E40/520</f>
        <v>0</v>
      </c>
      <c r="E40" s="113"/>
      <c r="F40" s="111">
        <f t="shared" si="1"/>
        <v>0</v>
      </c>
      <c r="G40" s="114"/>
      <c r="H40" s="114"/>
      <c r="I40" s="114"/>
      <c r="J40" s="114"/>
      <c r="K40" s="115">
        <f t="shared" si="2"/>
        <v>0</v>
      </c>
      <c r="L40" s="115"/>
      <c r="M40" s="113"/>
      <c r="N40" s="114">
        <f>K40-M40</f>
        <v>0</v>
      </c>
      <c r="O40" s="120">
        <f>+O39+K40-M40</f>
        <v>771900</v>
      </c>
      <c r="P40" s="281"/>
      <c r="Q40" s="281">
        <v>918657</v>
      </c>
      <c r="R40" s="1796">
        <f>O40-Q40</f>
        <v>-146757</v>
      </c>
    </row>
    <row r="41" spans="1:18" ht="16.5" x14ac:dyDescent="0.2">
      <c r="A41" s="121" t="s">
        <v>18</v>
      </c>
      <c r="B41" s="115">
        <f t="shared" ref="B41:J41" si="7">SUM(B10:B40)</f>
        <v>0</v>
      </c>
      <c r="C41" s="115">
        <f>SUM(C10:C40)</f>
        <v>0</v>
      </c>
      <c r="D41" s="122">
        <f t="shared" si="7"/>
        <v>1342.4347826086955</v>
      </c>
      <c r="E41" s="115">
        <f>SUM(E10:E40)</f>
        <v>771900</v>
      </c>
      <c r="F41" s="115">
        <f>SUM(F10:F40)</f>
        <v>0</v>
      </c>
      <c r="G41" s="115">
        <f t="shared" si="7"/>
        <v>0</v>
      </c>
      <c r="H41" s="115">
        <f t="shared" si="7"/>
        <v>0</v>
      </c>
      <c r="I41" s="115">
        <f t="shared" si="7"/>
        <v>0</v>
      </c>
      <c r="J41" s="115">
        <f t="shared" si="7"/>
        <v>0</v>
      </c>
      <c r="K41" s="115">
        <f>SUM(K10:K40)</f>
        <v>771900</v>
      </c>
      <c r="L41" s="115"/>
      <c r="M41" s="115">
        <f>SUM(M10:M40)</f>
        <v>0</v>
      </c>
      <c r="N41" s="120">
        <f>SUM(N9:N40)</f>
        <v>771900</v>
      </c>
      <c r="O41" s="123"/>
    </row>
    <row r="42" spans="1:18" ht="13.5" x14ac:dyDescent="0.2">
      <c r="A42" s="26"/>
      <c r="B42" s="26"/>
      <c r="C42" s="26"/>
      <c r="D42" s="27"/>
      <c r="E42" s="26"/>
      <c r="F42" s="26"/>
      <c r="G42" s="26"/>
      <c r="H42" s="26"/>
      <c r="I42" s="26"/>
      <c r="J42" s="26"/>
      <c r="K42" s="26"/>
      <c r="L42" s="26"/>
      <c r="M42" s="26"/>
      <c r="N42" s="26"/>
      <c r="O42" s="26"/>
      <c r="P42" s="281"/>
    </row>
    <row r="43" spans="1:18" ht="13.5" x14ac:dyDescent="0.25">
      <c r="A43" s="10" t="s">
        <v>121</v>
      </c>
      <c r="B43" s="10" t="s">
        <v>61</v>
      </c>
      <c r="C43" s="10" t="s">
        <v>122</v>
      </c>
      <c r="D43" s="28" t="s">
        <v>39</v>
      </c>
      <c r="G43" s="1767"/>
    </row>
    <row r="44" spans="1:18" ht="13.5" x14ac:dyDescent="0.25">
      <c r="A44" s="10" t="s">
        <v>15</v>
      </c>
      <c r="B44" s="24">
        <f>B41</f>
        <v>0</v>
      </c>
      <c r="C44" s="10"/>
      <c r="D44" s="28">
        <f>B44*C44</f>
        <v>0</v>
      </c>
      <c r="E44" s="281"/>
    </row>
    <row r="45" spans="1:18" ht="13.5" x14ac:dyDescent="0.25">
      <c r="A45" s="10" t="s">
        <v>16</v>
      </c>
      <c r="B45" s="28">
        <f>D41</f>
        <v>1342.4347826086955</v>
      </c>
      <c r="C45" s="10"/>
      <c r="D45" s="28">
        <f>B45*C45</f>
        <v>0</v>
      </c>
      <c r="H45" s="21"/>
      <c r="K45" s="21"/>
      <c r="L45" s="21"/>
      <c r="M45" s="21"/>
      <c r="N45" s="21"/>
    </row>
    <row r="46" spans="1:18" ht="13.5" x14ac:dyDescent="0.25">
      <c r="A46" s="10" t="s">
        <v>17</v>
      </c>
      <c r="B46" s="24">
        <f>F41</f>
        <v>0</v>
      </c>
      <c r="C46" s="10"/>
      <c r="D46" s="28">
        <f>B46*C46</f>
        <v>0</v>
      </c>
      <c r="E46" s="14"/>
      <c r="O46" s="21"/>
    </row>
    <row r="47" spans="1:18" ht="13.5" x14ac:dyDescent="0.25">
      <c r="A47" s="33" t="s">
        <v>18</v>
      </c>
      <c r="B47" s="34"/>
      <c r="C47" s="35"/>
      <c r="D47" s="28">
        <f>SUM(D44:D46)</f>
        <v>0</v>
      </c>
      <c r="O47" s="21"/>
    </row>
    <row r="48" spans="1:18" x14ac:dyDescent="0.2">
      <c r="I48" s="39">
        <f>450394/575</f>
        <v>783.29391304347826</v>
      </c>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35"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8">
    <tabColor theme="6" tint="-0.249977111117893"/>
    <pageSetUpPr fitToPage="1"/>
  </sheetPr>
  <dimension ref="A1:R51"/>
  <sheetViews>
    <sheetView topLeftCell="A7" zoomScaleNormal="100" workbookViewId="0">
      <selection activeCell="E10" sqref="E10:E18"/>
    </sheetView>
  </sheetViews>
  <sheetFormatPr baseColWidth="10" defaultRowHeight="12.75" x14ac:dyDescent="0.2"/>
  <cols>
    <col min="1" max="2" width="11.42578125" style="39"/>
    <col min="3" max="3" width="13.42578125" style="39" customWidth="1"/>
    <col min="4" max="4" width="13.7109375" style="39" customWidth="1"/>
    <col min="5" max="5" width="15.28515625" style="39" customWidth="1"/>
    <col min="6" max="6" width="14.7109375" style="39" customWidth="1"/>
    <col min="7" max="7" width="12" style="39" bestFit="1" customWidth="1"/>
    <col min="8" max="8" width="11.42578125" style="39" customWidth="1"/>
    <col min="9" max="9" width="13.5703125" style="39" customWidth="1"/>
    <col min="10" max="10" width="11.42578125" style="39" customWidth="1"/>
    <col min="11" max="12" width="15.140625" style="39" customWidth="1"/>
    <col min="13" max="13" width="15.42578125" style="39" customWidth="1"/>
    <col min="14" max="14" width="14.42578125" style="39" customWidth="1"/>
    <col min="15" max="15" width="15.7109375" style="39" bestFit="1" customWidth="1"/>
    <col min="16" max="18" width="12" style="39" bestFit="1" customWidth="1"/>
    <col min="19" max="16384" width="11.42578125" style="39"/>
  </cols>
  <sheetData>
    <row r="1" spans="1:15" ht="13.5" x14ac:dyDescent="0.25">
      <c r="A1" s="8" t="s">
        <v>118</v>
      </c>
      <c r="B1" s="8" t="s">
        <v>1617</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O5" s="388" t="s">
        <v>190</v>
      </c>
    </row>
    <row r="6" spans="1:15" ht="13.5" x14ac:dyDescent="0.25">
      <c r="A6" s="8"/>
      <c r="B6" s="8"/>
      <c r="C6" s="8"/>
    </row>
    <row r="7" spans="1:15" ht="16.5" x14ac:dyDescent="0.2">
      <c r="A7" s="100" t="s">
        <v>3</v>
      </c>
      <c r="B7" s="1794" t="s">
        <v>15</v>
      </c>
      <c r="C7" s="1795"/>
      <c r="D7" s="1794" t="s">
        <v>16</v>
      </c>
      <c r="E7" s="1795"/>
      <c r="F7" s="1794" t="s">
        <v>17</v>
      </c>
      <c r="G7" s="1795"/>
      <c r="H7" s="2910" t="s">
        <v>52</v>
      </c>
      <c r="I7" s="2910" t="s">
        <v>53</v>
      </c>
      <c r="J7" s="2910" t="s">
        <v>119</v>
      </c>
      <c r="K7" s="2910" t="s">
        <v>18</v>
      </c>
      <c r="L7" s="3067" t="s">
        <v>704</v>
      </c>
      <c r="M7" s="3065" t="s">
        <v>223</v>
      </c>
      <c r="N7" s="2910" t="s">
        <v>55</v>
      </c>
      <c r="O7" s="2910" t="s">
        <v>120</v>
      </c>
    </row>
    <row r="8" spans="1:15" ht="21" x14ac:dyDescent="0.2">
      <c r="A8" s="103"/>
      <c r="B8" s="915">
        <v>630</v>
      </c>
      <c r="C8" s="916"/>
      <c r="D8" s="915">
        <v>575</v>
      </c>
      <c r="E8" s="916"/>
      <c r="F8" s="915">
        <v>350</v>
      </c>
      <c r="G8" s="916"/>
      <c r="H8" s="3059"/>
      <c r="I8" s="3059"/>
      <c r="J8" s="3059"/>
      <c r="K8" s="3059"/>
      <c r="L8" s="3068"/>
      <c r="M8" s="3066"/>
      <c r="N8" s="2911"/>
      <c r="O8" s="2911"/>
    </row>
    <row r="9" spans="1:15" ht="16.5" x14ac:dyDescent="0.2">
      <c r="A9" s="105"/>
      <c r="B9" s="106" t="s">
        <v>56</v>
      </c>
      <c r="C9" s="106"/>
      <c r="D9" s="107" t="s">
        <v>56</v>
      </c>
      <c r="E9" s="106"/>
      <c r="F9" s="106" t="s">
        <v>56</v>
      </c>
      <c r="G9" s="106" t="s">
        <v>37</v>
      </c>
      <c r="H9" s="2911"/>
      <c r="I9" s="2911"/>
      <c r="J9" s="2911"/>
      <c r="K9" s="2911"/>
      <c r="L9" s="3069"/>
      <c r="M9" s="108"/>
      <c r="N9" s="276">
        <v>0</v>
      </c>
      <c r="O9" s="109">
        <f>+N9-M9</f>
        <v>0</v>
      </c>
    </row>
    <row r="10" spans="1:15" ht="16.5" x14ac:dyDescent="0.25">
      <c r="A10" s="110">
        <f>+KONGFU!A9</f>
        <v>44105</v>
      </c>
      <c r="B10" s="114">
        <f>+C10/B$8</f>
        <v>0</v>
      </c>
      <c r="C10" s="86"/>
      <c r="D10" s="114">
        <f>+E10/575</f>
        <v>0</v>
      </c>
      <c r="E10" s="86"/>
      <c r="F10" s="111">
        <f>+G10/F$8</f>
        <v>0</v>
      </c>
      <c r="G10" s="114"/>
      <c r="H10" s="114"/>
      <c r="I10" s="114"/>
      <c r="J10" s="114"/>
      <c r="K10" s="115">
        <f>C10+E10+G10+H10+I10+J10</f>
        <v>0</v>
      </c>
      <c r="L10" s="115"/>
      <c r="M10" s="113"/>
      <c r="N10" s="114">
        <f>K10-M10</f>
        <v>0</v>
      </c>
      <c r="O10" s="114">
        <f>+O9+K10-M10</f>
        <v>0</v>
      </c>
    </row>
    <row r="11" spans="1:15" ht="16.5" x14ac:dyDescent="0.25">
      <c r="A11" s="110">
        <f>+A10+1</f>
        <v>44106</v>
      </c>
      <c r="B11" s="114">
        <f t="shared" ref="B11:B40" si="0">+C11/B$8</f>
        <v>0</v>
      </c>
      <c r="C11" s="86"/>
      <c r="D11" s="114">
        <f>+E11/575</f>
        <v>0</v>
      </c>
      <c r="E11" s="86"/>
      <c r="F11" s="111">
        <f t="shared" ref="F11:F40" si="1">+G11/F$8</f>
        <v>0</v>
      </c>
      <c r="G11" s="114"/>
      <c r="H11" s="114"/>
      <c r="I11" s="114"/>
      <c r="J11" s="114"/>
      <c r="K11" s="115">
        <f>C11+E11+G11+H11+I11+J11</f>
        <v>0</v>
      </c>
      <c r="L11" s="115"/>
      <c r="M11" s="86"/>
      <c r="N11" s="114">
        <f t="shared" ref="N11:N38" si="2">K11-M11</f>
        <v>0</v>
      </c>
      <c r="O11" s="114">
        <f t="shared" ref="O11:O38" si="3">+O10+K11-M11</f>
        <v>0</v>
      </c>
    </row>
    <row r="12" spans="1:15" ht="16.5" x14ac:dyDescent="0.25">
      <c r="A12" s="110">
        <f t="shared" ref="A12:A40" si="4">+A11+1</f>
        <v>44107</v>
      </c>
      <c r="B12" s="114">
        <f t="shared" si="0"/>
        <v>0</v>
      </c>
      <c r="C12" s="86"/>
      <c r="D12" s="114">
        <f>+E12/575</f>
        <v>1000</v>
      </c>
      <c r="E12" s="86">
        <v>575000</v>
      </c>
      <c r="F12" s="111">
        <f t="shared" si="1"/>
        <v>0</v>
      </c>
      <c r="G12" s="114"/>
      <c r="H12" s="114"/>
      <c r="I12" s="114"/>
      <c r="J12" s="114"/>
      <c r="K12" s="115">
        <f>C12+E12+G12+H12+I12+J12</f>
        <v>575000</v>
      </c>
      <c r="L12" s="115"/>
      <c r="M12" s="86"/>
      <c r="N12" s="114">
        <f t="shared" si="2"/>
        <v>575000</v>
      </c>
      <c r="O12" s="114">
        <f t="shared" si="3"/>
        <v>575000</v>
      </c>
    </row>
    <row r="13" spans="1:15" ht="16.5" x14ac:dyDescent="0.25">
      <c r="A13" s="110">
        <f t="shared" si="4"/>
        <v>44108</v>
      </c>
      <c r="B13" s="114">
        <f t="shared" si="0"/>
        <v>0</v>
      </c>
      <c r="C13" s="86"/>
      <c r="D13" s="114">
        <f>+[5]RECETTE!Z10/575</f>
        <v>0</v>
      </c>
      <c r="F13" s="111">
        <f t="shared" si="1"/>
        <v>0</v>
      </c>
      <c r="G13" s="114"/>
      <c r="H13" s="114"/>
      <c r="I13" s="114"/>
      <c r="J13" s="114"/>
      <c r="K13" s="115">
        <f>C13+[5]RECETTE!Z10+G13+H13+I13+J13</f>
        <v>0</v>
      </c>
      <c r="L13" s="115"/>
      <c r="M13" s="86"/>
      <c r="N13" s="114">
        <f t="shared" si="2"/>
        <v>0</v>
      </c>
      <c r="O13" s="114">
        <f t="shared" si="3"/>
        <v>575000</v>
      </c>
    </row>
    <row r="14" spans="1:15" ht="16.5" x14ac:dyDescent="0.25">
      <c r="A14" s="110">
        <f>+A13+1</f>
        <v>44109</v>
      </c>
      <c r="B14" s="114">
        <f t="shared" si="0"/>
        <v>0</v>
      </c>
      <c r="C14" s="86"/>
      <c r="D14" s="114">
        <f t="shared" ref="D14:D41" si="5">+E14/575</f>
        <v>0</v>
      </c>
      <c r="E14" s="86"/>
      <c r="F14" s="111">
        <f t="shared" si="1"/>
        <v>0</v>
      </c>
      <c r="G14" s="114"/>
      <c r="H14" s="114"/>
      <c r="I14" s="114"/>
      <c r="J14" s="114"/>
      <c r="K14" s="115">
        <f t="shared" ref="K14:K41" si="6">C14+E14+G14+H14+I14+J14</f>
        <v>0</v>
      </c>
      <c r="L14" s="115"/>
      <c r="M14" s="86"/>
      <c r="N14" s="114">
        <f t="shared" si="2"/>
        <v>0</v>
      </c>
      <c r="O14" s="114">
        <f t="shared" si="3"/>
        <v>575000</v>
      </c>
    </row>
    <row r="15" spans="1:15" ht="16.5" x14ac:dyDescent="0.25">
      <c r="A15" s="110">
        <f t="shared" si="4"/>
        <v>44110</v>
      </c>
      <c r="B15" s="114">
        <f t="shared" si="0"/>
        <v>0</v>
      </c>
      <c r="C15" s="86"/>
      <c r="D15" s="114">
        <f t="shared" si="5"/>
        <v>1000</v>
      </c>
      <c r="E15" s="86">
        <v>575000</v>
      </c>
      <c r="F15" s="111">
        <f t="shared" si="1"/>
        <v>0</v>
      </c>
      <c r="G15" s="114"/>
      <c r="H15" s="114"/>
      <c r="I15" s="114"/>
      <c r="J15" s="114"/>
      <c r="K15" s="115">
        <f t="shared" si="6"/>
        <v>575000</v>
      </c>
      <c r="L15" s="115"/>
      <c r="M15" s="86"/>
      <c r="N15" s="114">
        <f t="shared" si="2"/>
        <v>575000</v>
      </c>
      <c r="O15" s="114">
        <f t="shared" si="3"/>
        <v>1150000</v>
      </c>
    </row>
    <row r="16" spans="1:15" ht="16.5" x14ac:dyDescent="0.25">
      <c r="A16" s="110">
        <f t="shared" si="4"/>
        <v>44111</v>
      </c>
      <c r="B16" s="114">
        <f t="shared" si="0"/>
        <v>0</v>
      </c>
      <c r="C16" s="86"/>
      <c r="D16" s="114">
        <f t="shared" si="5"/>
        <v>0</v>
      </c>
      <c r="E16" s="86"/>
      <c r="F16" s="111">
        <f t="shared" si="1"/>
        <v>0</v>
      </c>
      <c r="G16" s="114"/>
      <c r="H16" s="114"/>
      <c r="I16" s="114"/>
      <c r="J16" s="114"/>
      <c r="K16" s="115">
        <f t="shared" si="6"/>
        <v>0</v>
      </c>
      <c r="L16" s="115"/>
      <c r="M16" s="86"/>
      <c r="N16" s="114">
        <f t="shared" si="2"/>
        <v>0</v>
      </c>
      <c r="O16" s="114">
        <f t="shared" si="3"/>
        <v>1150000</v>
      </c>
    </row>
    <row r="17" spans="1:17" ht="14.25" customHeight="1" x14ac:dyDescent="0.25">
      <c r="A17" s="110">
        <f t="shared" si="4"/>
        <v>44112</v>
      </c>
      <c r="B17" s="114">
        <f t="shared" si="0"/>
        <v>0</v>
      </c>
      <c r="C17" s="86"/>
      <c r="D17" s="114">
        <f t="shared" si="5"/>
        <v>0</v>
      </c>
      <c r="E17" s="86"/>
      <c r="F17" s="111">
        <f t="shared" si="1"/>
        <v>0</v>
      </c>
      <c r="G17" s="114"/>
      <c r="H17" s="114"/>
      <c r="I17" s="114"/>
      <c r="J17" s="114"/>
      <c r="K17" s="115">
        <f t="shared" si="6"/>
        <v>0</v>
      </c>
      <c r="L17" s="115"/>
      <c r="M17" s="86"/>
      <c r="N17" s="114">
        <f t="shared" si="2"/>
        <v>0</v>
      </c>
      <c r="O17" s="114">
        <f t="shared" si="3"/>
        <v>1150000</v>
      </c>
    </row>
    <row r="18" spans="1:17" ht="16.5" x14ac:dyDescent="0.25">
      <c r="A18" s="110">
        <f t="shared" si="4"/>
        <v>44113</v>
      </c>
      <c r="B18" s="114">
        <f t="shared" si="0"/>
        <v>0</v>
      </c>
      <c r="C18" s="86"/>
      <c r="D18" s="114">
        <f t="shared" si="5"/>
        <v>0</v>
      </c>
      <c r="E18" s="86"/>
      <c r="F18" s="111">
        <f t="shared" si="1"/>
        <v>0</v>
      </c>
      <c r="G18" s="118"/>
      <c r="H18" s="118"/>
      <c r="I18" s="118"/>
      <c r="J18" s="118"/>
      <c r="K18" s="115">
        <f t="shared" si="6"/>
        <v>0</v>
      </c>
      <c r="L18" s="115"/>
      <c r="M18" s="86"/>
      <c r="N18" s="114">
        <f t="shared" si="2"/>
        <v>0</v>
      </c>
      <c r="O18" s="118">
        <f t="shared" si="3"/>
        <v>1150000</v>
      </c>
    </row>
    <row r="19" spans="1:17" ht="16.5" x14ac:dyDescent="0.25">
      <c r="A19" s="110">
        <f t="shared" si="4"/>
        <v>44114</v>
      </c>
      <c r="B19" s="114">
        <f t="shared" si="0"/>
        <v>0</v>
      </c>
      <c r="C19" s="86"/>
      <c r="D19" s="114">
        <f t="shared" si="5"/>
        <v>0</v>
      </c>
      <c r="E19" s="86"/>
      <c r="F19" s="111">
        <f t="shared" si="1"/>
        <v>0</v>
      </c>
      <c r="G19" s="118"/>
      <c r="H19" s="118"/>
      <c r="I19" s="118"/>
      <c r="J19" s="118"/>
      <c r="K19" s="115">
        <f t="shared" si="6"/>
        <v>0</v>
      </c>
      <c r="L19" s="115"/>
      <c r="M19" s="86"/>
      <c r="N19" s="114">
        <f t="shared" si="2"/>
        <v>0</v>
      </c>
      <c r="O19" s="118">
        <f t="shared" si="3"/>
        <v>1150000</v>
      </c>
    </row>
    <row r="20" spans="1:17" ht="16.5" x14ac:dyDescent="0.25">
      <c r="A20" s="110">
        <f t="shared" si="4"/>
        <v>44115</v>
      </c>
      <c r="B20" s="114">
        <f t="shared" si="0"/>
        <v>0</v>
      </c>
      <c r="C20" s="86"/>
      <c r="D20" s="114">
        <f t="shared" si="5"/>
        <v>0</v>
      </c>
      <c r="E20" s="86"/>
      <c r="F20" s="111">
        <f t="shared" si="1"/>
        <v>0</v>
      </c>
      <c r="G20" s="118"/>
      <c r="H20" s="118"/>
      <c r="I20" s="118"/>
      <c r="J20" s="118"/>
      <c r="K20" s="115">
        <f t="shared" si="6"/>
        <v>0</v>
      </c>
      <c r="L20" s="115"/>
      <c r="M20" s="86"/>
      <c r="N20" s="114">
        <f t="shared" si="2"/>
        <v>0</v>
      </c>
      <c r="O20" s="118">
        <f t="shared" si="3"/>
        <v>1150000</v>
      </c>
    </row>
    <row r="21" spans="1:17" ht="16.5" x14ac:dyDescent="0.25">
      <c r="A21" s="110">
        <f t="shared" si="4"/>
        <v>44116</v>
      </c>
      <c r="B21" s="114">
        <f t="shared" si="0"/>
        <v>0</v>
      </c>
      <c r="C21" s="86"/>
      <c r="D21" s="114">
        <f t="shared" si="5"/>
        <v>0</v>
      </c>
      <c r="E21" s="86"/>
      <c r="F21" s="111">
        <f t="shared" si="1"/>
        <v>0</v>
      </c>
      <c r="G21" s="118"/>
      <c r="H21" s="86"/>
      <c r="I21" s="118"/>
      <c r="J21" s="118"/>
      <c r="K21" s="115">
        <f t="shared" si="6"/>
        <v>0</v>
      </c>
      <c r="L21" s="115"/>
      <c r="M21" s="86"/>
      <c r="N21" s="114">
        <f t="shared" si="2"/>
        <v>0</v>
      </c>
      <c r="O21" s="118">
        <f>+O20+K21-M21</f>
        <v>1150000</v>
      </c>
    </row>
    <row r="22" spans="1:17" ht="16.5" x14ac:dyDescent="0.25">
      <c r="A22" s="110">
        <f t="shared" si="4"/>
        <v>44117</v>
      </c>
      <c r="B22" s="114">
        <f t="shared" si="0"/>
        <v>0</v>
      </c>
      <c r="C22" s="86"/>
      <c r="D22" s="114">
        <f t="shared" si="5"/>
        <v>0</v>
      </c>
      <c r="E22" s="86"/>
      <c r="F22" s="111">
        <f t="shared" si="1"/>
        <v>0</v>
      </c>
      <c r="G22" s="118"/>
      <c r="H22" s="86"/>
      <c r="I22" s="118"/>
      <c r="J22" s="118"/>
      <c r="K22" s="115">
        <f t="shared" si="6"/>
        <v>0</v>
      </c>
      <c r="L22" s="115"/>
      <c r="M22" s="86"/>
      <c r="N22" s="114">
        <f t="shared" si="2"/>
        <v>0</v>
      </c>
      <c r="O22" s="118">
        <f t="shared" si="3"/>
        <v>1150000</v>
      </c>
    </row>
    <row r="23" spans="1:17" ht="16.5" x14ac:dyDescent="0.25">
      <c r="A23" s="110">
        <f t="shared" si="4"/>
        <v>44118</v>
      </c>
      <c r="B23" s="114">
        <f t="shared" si="0"/>
        <v>0</v>
      </c>
      <c r="C23" s="86"/>
      <c r="D23" s="114">
        <f t="shared" si="5"/>
        <v>0</v>
      </c>
      <c r="E23" s="86"/>
      <c r="F23" s="111">
        <f t="shared" si="1"/>
        <v>0</v>
      </c>
      <c r="G23" s="118"/>
      <c r="H23" s="86"/>
      <c r="I23" s="118"/>
      <c r="J23" s="118"/>
      <c r="K23" s="115">
        <f t="shared" si="6"/>
        <v>0</v>
      </c>
      <c r="L23" s="115"/>
      <c r="M23" s="86"/>
      <c r="N23" s="114">
        <f t="shared" si="2"/>
        <v>0</v>
      </c>
      <c r="O23" s="118">
        <f t="shared" si="3"/>
        <v>1150000</v>
      </c>
      <c r="Q23" s="281"/>
    </row>
    <row r="24" spans="1:17" ht="16.5" x14ac:dyDescent="0.25">
      <c r="A24" s="110">
        <f t="shared" si="4"/>
        <v>44119</v>
      </c>
      <c r="B24" s="114">
        <f t="shared" si="0"/>
        <v>0</v>
      </c>
      <c r="C24" s="86"/>
      <c r="D24" s="114">
        <f t="shared" si="5"/>
        <v>0</v>
      </c>
      <c r="E24" s="86"/>
      <c r="F24" s="111">
        <f t="shared" si="1"/>
        <v>0</v>
      </c>
      <c r="G24" s="118"/>
      <c r="H24" s="86"/>
      <c r="I24" s="118"/>
      <c r="J24" s="118"/>
      <c r="K24" s="115">
        <f t="shared" si="6"/>
        <v>0</v>
      </c>
      <c r="L24" s="115"/>
      <c r="M24" s="86"/>
      <c r="N24" s="114">
        <f t="shared" si="2"/>
        <v>0</v>
      </c>
      <c r="O24" s="118">
        <f t="shared" si="3"/>
        <v>1150000</v>
      </c>
      <c r="Q24" s="281"/>
    </row>
    <row r="25" spans="1:17" ht="16.5" x14ac:dyDescent="0.25">
      <c r="A25" s="110">
        <f t="shared" si="4"/>
        <v>44120</v>
      </c>
      <c r="B25" s="114">
        <f t="shared" si="0"/>
        <v>0</v>
      </c>
      <c r="C25" s="86"/>
      <c r="D25" s="114">
        <f t="shared" si="5"/>
        <v>0</v>
      </c>
      <c r="E25" s="86"/>
      <c r="F25" s="111">
        <f t="shared" si="1"/>
        <v>0</v>
      </c>
      <c r="G25" s="118"/>
      <c r="H25" s="86"/>
      <c r="I25" s="118"/>
      <c r="J25" s="118"/>
      <c r="K25" s="115">
        <f t="shared" si="6"/>
        <v>0</v>
      </c>
      <c r="L25" s="115"/>
      <c r="M25" s="86"/>
      <c r="N25" s="118">
        <f t="shared" si="2"/>
        <v>0</v>
      </c>
      <c r="O25" s="118">
        <f t="shared" si="3"/>
        <v>1150000</v>
      </c>
    </row>
    <row r="26" spans="1:17" ht="13.5" customHeight="1" x14ac:dyDescent="0.25">
      <c r="A26" s="110">
        <f t="shared" si="4"/>
        <v>44121</v>
      </c>
      <c r="B26" s="114">
        <f t="shared" si="0"/>
        <v>0</v>
      </c>
      <c r="C26" s="86"/>
      <c r="D26" s="114">
        <f t="shared" si="5"/>
        <v>0</v>
      </c>
      <c r="E26" s="86"/>
      <c r="F26" s="111">
        <f t="shared" si="1"/>
        <v>0</v>
      </c>
      <c r="G26" s="118"/>
      <c r="H26" s="86"/>
      <c r="I26" s="118"/>
      <c r="J26" s="118"/>
      <c r="K26" s="115">
        <f t="shared" si="6"/>
        <v>0</v>
      </c>
      <c r="L26" s="115"/>
      <c r="M26" s="86"/>
      <c r="N26" s="118">
        <f t="shared" si="2"/>
        <v>0</v>
      </c>
      <c r="O26" s="118">
        <f t="shared" si="3"/>
        <v>1150000</v>
      </c>
    </row>
    <row r="27" spans="1:17" ht="16.5" x14ac:dyDescent="0.25">
      <c r="A27" s="110">
        <f t="shared" si="4"/>
        <v>44122</v>
      </c>
      <c r="B27" s="114">
        <f t="shared" si="0"/>
        <v>0</v>
      </c>
      <c r="C27" s="86"/>
      <c r="D27" s="114">
        <f t="shared" si="5"/>
        <v>0</v>
      </c>
      <c r="E27" s="86"/>
      <c r="F27" s="111">
        <f t="shared" si="1"/>
        <v>0</v>
      </c>
      <c r="G27" s="118"/>
      <c r="H27" s="86"/>
      <c r="I27" s="118"/>
      <c r="J27" s="118"/>
      <c r="K27" s="115">
        <f t="shared" si="6"/>
        <v>0</v>
      </c>
      <c r="L27" s="115"/>
      <c r="M27" s="86"/>
      <c r="N27" s="118">
        <f t="shared" si="2"/>
        <v>0</v>
      </c>
      <c r="O27" s="118">
        <f t="shared" si="3"/>
        <v>1150000</v>
      </c>
      <c r="P27" s="281">
        <f>255644+E42</f>
        <v>1405644</v>
      </c>
    </row>
    <row r="28" spans="1:17" ht="16.5" x14ac:dyDescent="0.25">
      <c r="A28" s="110">
        <f t="shared" si="4"/>
        <v>44123</v>
      </c>
      <c r="B28" s="114">
        <f t="shared" si="0"/>
        <v>0</v>
      </c>
      <c r="C28" s="86"/>
      <c r="D28" s="114">
        <f t="shared" si="5"/>
        <v>0</v>
      </c>
      <c r="E28" s="86"/>
      <c r="F28" s="111">
        <f t="shared" si="1"/>
        <v>0</v>
      </c>
      <c r="G28" s="118"/>
      <c r="H28" s="86"/>
      <c r="I28" s="118"/>
      <c r="J28" s="118"/>
      <c r="K28" s="115">
        <f t="shared" si="6"/>
        <v>0</v>
      </c>
      <c r="L28" s="115"/>
      <c r="M28" s="86"/>
      <c r="N28" s="118">
        <f t="shared" si="2"/>
        <v>0</v>
      </c>
      <c r="O28" s="118">
        <f t="shared" si="3"/>
        <v>1150000</v>
      </c>
    </row>
    <row r="29" spans="1:17" ht="16.5" x14ac:dyDescent="0.25">
      <c r="A29" s="110">
        <f t="shared" si="4"/>
        <v>44124</v>
      </c>
      <c r="B29" s="114">
        <f t="shared" si="0"/>
        <v>0</v>
      </c>
      <c r="C29" s="86"/>
      <c r="D29" s="114">
        <f t="shared" si="5"/>
        <v>0</v>
      </c>
      <c r="E29" s="86"/>
      <c r="F29" s="111">
        <f t="shared" si="1"/>
        <v>0</v>
      </c>
      <c r="G29" s="118"/>
      <c r="H29" s="86"/>
      <c r="I29" s="118"/>
      <c r="J29" s="118"/>
      <c r="K29" s="115">
        <f t="shared" si="6"/>
        <v>0</v>
      </c>
      <c r="L29" s="115"/>
      <c r="M29" s="86"/>
      <c r="N29" s="118">
        <f t="shared" si="2"/>
        <v>0</v>
      </c>
      <c r="O29" s="118">
        <f t="shared" si="3"/>
        <v>1150000</v>
      </c>
      <c r="Q29" s="281"/>
    </row>
    <row r="30" spans="1:17" ht="16.5" x14ac:dyDescent="0.25">
      <c r="A30" s="110">
        <f t="shared" si="4"/>
        <v>44125</v>
      </c>
      <c r="B30" s="114">
        <f t="shared" si="0"/>
        <v>0</v>
      </c>
      <c r="C30" s="86"/>
      <c r="D30" s="114">
        <f t="shared" si="5"/>
        <v>0</v>
      </c>
      <c r="E30" s="86"/>
      <c r="F30" s="111">
        <f t="shared" si="1"/>
        <v>0</v>
      </c>
      <c r="G30" s="118"/>
      <c r="H30" s="86"/>
      <c r="I30" s="118"/>
      <c r="J30" s="118"/>
      <c r="K30" s="115">
        <f t="shared" si="6"/>
        <v>0</v>
      </c>
      <c r="L30" s="115"/>
      <c r="M30" s="86"/>
      <c r="N30" s="118">
        <f t="shared" si="2"/>
        <v>0</v>
      </c>
      <c r="O30" s="118">
        <f t="shared" si="3"/>
        <v>1150000</v>
      </c>
    </row>
    <row r="31" spans="1:17" s="762" customFormat="1" ht="16.5" x14ac:dyDescent="0.25">
      <c r="A31" s="1547">
        <f t="shared" si="4"/>
        <v>44126</v>
      </c>
      <c r="B31" s="1548">
        <f t="shared" si="0"/>
        <v>0</v>
      </c>
      <c r="C31" s="1532"/>
      <c r="D31" s="114">
        <f t="shared" si="5"/>
        <v>0</v>
      </c>
      <c r="E31" s="1532"/>
      <c r="F31" s="1549">
        <f t="shared" si="1"/>
        <v>0</v>
      </c>
      <c r="G31" s="1548"/>
      <c r="H31" s="86"/>
      <c r="I31" s="1548"/>
      <c r="J31" s="1548"/>
      <c r="K31" s="1550">
        <f t="shared" si="6"/>
        <v>0</v>
      </c>
      <c r="L31" s="1550"/>
      <c r="M31" s="1532"/>
      <c r="N31" s="1548">
        <f t="shared" si="2"/>
        <v>0</v>
      </c>
      <c r="O31" s="1548">
        <f>+O30+K31-M31</f>
        <v>1150000</v>
      </c>
    </row>
    <row r="32" spans="1:17" ht="16.5" x14ac:dyDescent="0.25">
      <c r="A32" s="110">
        <f t="shared" si="4"/>
        <v>44127</v>
      </c>
      <c r="B32" s="114">
        <f t="shared" si="0"/>
        <v>0</v>
      </c>
      <c r="C32" s="86"/>
      <c r="D32" s="114">
        <f t="shared" si="5"/>
        <v>0</v>
      </c>
      <c r="E32" s="86"/>
      <c r="F32" s="111">
        <f t="shared" si="1"/>
        <v>0</v>
      </c>
      <c r="G32" s="118"/>
      <c r="H32" s="86"/>
      <c r="I32" s="118"/>
      <c r="J32" s="118"/>
      <c r="K32" s="115">
        <f t="shared" si="6"/>
        <v>0</v>
      </c>
      <c r="L32" s="115"/>
      <c r="M32" s="86"/>
      <c r="N32" s="118">
        <f t="shared" si="2"/>
        <v>0</v>
      </c>
      <c r="O32" s="118">
        <f t="shared" si="3"/>
        <v>1150000</v>
      </c>
    </row>
    <row r="33" spans="1:18" ht="16.5" x14ac:dyDescent="0.25">
      <c r="A33" s="110">
        <f t="shared" si="4"/>
        <v>44128</v>
      </c>
      <c r="B33" s="114">
        <f t="shared" si="0"/>
        <v>0</v>
      </c>
      <c r="C33" s="86"/>
      <c r="D33" s="114">
        <f t="shared" si="5"/>
        <v>0</v>
      </c>
      <c r="E33" s="86"/>
      <c r="F33" s="111">
        <f t="shared" si="1"/>
        <v>0</v>
      </c>
      <c r="G33" s="114"/>
      <c r="H33" s="86"/>
      <c r="I33" s="114"/>
      <c r="J33" s="114"/>
      <c r="K33" s="115">
        <f t="shared" si="6"/>
        <v>0</v>
      </c>
      <c r="L33" s="115"/>
      <c r="M33" s="86"/>
      <c r="N33" s="114">
        <f t="shared" si="2"/>
        <v>0</v>
      </c>
      <c r="O33" s="114">
        <f t="shared" si="3"/>
        <v>1150000</v>
      </c>
      <c r="Q33" s="39" t="s">
        <v>62</v>
      </c>
    </row>
    <row r="34" spans="1:18" ht="16.5" x14ac:dyDescent="0.25">
      <c r="A34" s="110">
        <f t="shared" si="4"/>
        <v>44129</v>
      </c>
      <c r="B34" s="114">
        <f t="shared" si="0"/>
        <v>0</v>
      </c>
      <c r="C34" s="86"/>
      <c r="D34" s="114">
        <f t="shared" si="5"/>
        <v>0</v>
      </c>
      <c r="E34" s="86"/>
      <c r="F34" s="111">
        <f t="shared" si="1"/>
        <v>0</v>
      </c>
      <c r="G34" s="114"/>
      <c r="H34" s="86"/>
      <c r="I34" s="114"/>
      <c r="J34" s="114"/>
      <c r="K34" s="115">
        <f t="shared" si="6"/>
        <v>0</v>
      </c>
      <c r="L34" s="115"/>
      <c r="M34" s="86"/>
      <c r="N34" s="114">
        <f t="shared" si="2"/>
        <v>0</v>
      </c>
      <c r="O34" s="114">
        <f t="shared" si="3"/>
        <v>1150000</v>
      </c>
    </row>
    <row r="35" spans="1:18" ht="16.5" x14ac:dyDescent="0.25">
      <c r="A35" s="110">
        <f t="shared" si="4"/>
        <v>44130</v>
      </c>
      <c r="B35" s="114">
        <f t="shared" si="0"/>
        <v>0</v>
      </c>
      <c r="C35" s="86"/>
      <c r="D35" s="114">
        <f t="shared" si="5"/>
        <v>0</v>
      </c>
      <c r="E35" s="86"/>
      <c r="F35" s="111">
        <f t="shared" si="1"/>
        <v>0</v>
      </c>
      <c r="G35" s="114"/>
      <c r="H35" s="86"/>
      <c r="I35" s="114"/>
      <c r="J35" s="114"/>
      <c r="K35" s="115">
        <f t="shared" si="6"/>
        <v>0</v>
      </c>
      <c r="L35" s="115"/>
      <c r="M35" s="86"/>
      <c r="N35" s="114">
        <f t="shared" si="2"/>
        <v>0</v>
      </c>
      <c r="O35" s="114">
        <f t="shared" si="3"/>
        <v>1150000</v>
      </c>
    </row>
    <row r="36" spans="1:18" ht="16.5" x14ac:dyDescent="0.25">
      <c r="A36" s="110">
        <f t="shared" si="4"/>
        <v>44131</v>
      </c>
      <c r="B36" s="114">
        <f t="shared" si="0"/>
        <v>0</v>
      </c>
      <c r="C36" s="86"/>
      <c r="D36" s="114">
        <f t="shared" si="5"/>
        <v>0</v>
      </c>
      <c r="E36" s="86"/>
      <c r="F36" s="111">
        <f t="shared" si="1"/>
        <v>0</v>
      </c>
      <c r="G36" s="114"/>
      <c r="H36" s="86"/>
      <c r="I36" s="114"/>
      <c r="J36" s="114"/>
      <c r="K36" s="115">
        <f t="shared" si="6"/>
        <v>0</v>
      </c>
      <c r="L36" s="115"/>
      <c r="M36" s="113"/>
      <c r="N36" s="114">
        <f t="shared" si="2"/>
        <v>0</v>
      </c>
      <c r="O36" s="114">
        <f t="shared" si="3"/>
        <v>1150000</v>
      </c>
    </row>
    <row r="37" spans="1:18" ht="16.5" x14ac:dyDescent="0.25">
      <c r="A37" s="110">
        <f t="shared" si="4"/>
        <v>44132</v>
      </c>
      <c r="B37" s="114">
        <f t="shared" si="0"/>
        <v>0</v>
      </c>
      <c r="C37" s="86"/>
      <c r="D37" s="114">
        <f t="shared" si="5"/>
        <v>0</v>
      </c>
      <c r="E37" s="86"/>
      <c r="F37" s="111">
        <f t="shared" si="1"/>
        <v>0</v>
      </c>
      <c r="G37" s="114"/>
      <c r="H37" s="1532"/>
      <c r="I37" s="114"/>
      <c r="J37" s="114"/>
      <c r="K37" s="115">
        <f t="shared" si="6"/>
        <v>0</v>
      </c>
      <c r="L37" s="115"/>
      <c r="M37" s="113"/>
      <c r="N37" s="114">
        <f t="shared" si="2"/>
        <v>0</v>
      </c>
      <c r="O37" s="114">
        <f t="shared" si="3"/>
        <v>1150000</v>
      </c>
      <c r="Q37" s="281"/>
    </row>
    <row r="38" spans="1:18" ht="16.5" x14ac:dyDescent="0.25">
      <c r="A38" s="110">
        <f t="shared" si="4"/>
        <v>44133</v>
      </c>
      <c r="B38" s="114">
        <f t="shared" si="0"/>
        <v>0</v>
      </c>
      <c r="C38" s="113"/>
      <c r="D38" s="114">
        <f t="shared" si="5"/>
        <v>0</v>
      </c>
      <c r="E38" s="113"/>
      <c r="F38" s="111">
        <f t="shared" si="1"/>
        <v>0</v>
      </c>
      <c r="G38" s="114"/>
      <c r="H38" s="86"/>
      <c r="I38" s="114"/>
      <c r="J38" s="114"/>
      <c r="K38" s="115">
        <f t="shared" si="6"/>
        <v>0</v>
      </c>
      <c r="L38" s="115"/>
      <c r="M38" s="113"/>
      <c r="N38" s="114">
        <f t="shared" si="2"/>
        <v>0</v>
      </c>
      <c r="O38" s="114">
        <f t="shared" si="3"/>
        <v>1150000</v>
      </c>
    </row>
    <row r="39" spans="1:18" ht="16.5" x14ac:dyDescent="0.25">
      <c r="A39" s="110">
        <f t="shared" si="4"/>
        <v>44134</v>
      </c>
      <c r="B39" s="114">
        <f t="shared" si="0"/>
        <v>0</v>
      </c>
      <c r="C39" s="113"/>
      <c r="D39" s="114">
        <f t="shared" si="5"/>
        <v>0</v>
      </c>
      <c r="E39" s="113"/>
      <c r="F39" s="111">
        <f t="shared" si="1"/>
        <v>0</v>
      </c>
      <c r="G39" s="114"/>
      <c r="H39" s="86"/>
      <c r="I39" s="114"/>
      <c r="J39" s="114"/>
      <c r="K39" s="115">
        <f t="shared" si="6"/>
        <v>0</v>
      </c>
      <c r="L39" s="115"/>
      <c r="M39" s="113"/>
      <c r="N39" s="114">
        <f>K39-M39</f>
        <v>0</v>
      </c>
      <c r="O39" s="114">
        <f>+O38+K39-M39</f>
        <v>1150000</v>
      </c>
    </row>
    <row r="40" spans="1:18" ht="16.5" x14ac:dyDescent="0.25">
      <c r="A40" s="110">
        <f t="shared" si="4"/>
        <v>44135</v>
      </c>
      <c r="B40" s="114">
        <f t="shared" si="0"/>
        <v>0</v>
      </c>
      <c r="C40" s="113"/>
      <c r="D40" s="114">
        <f t="shared" si="5"/>
        <v>0</v>
      </c>
      <c r="E40" s="113"/>
      <c r="F40" s="111">
        <f t="shared" si="1"/>
        <v>0</v>
      </c>
      <c r="G40" s="114"/>
      <c r="H40" s="86"/>
      <c r="I40" s="114"/>
      <c r="J40" s="114"/>
      <c r="K40" s="115">
        <f t="shared" si="6"/>
        <v>0</v>
      </c>
      <c r="L40" s="115"/>
      <c r="M40" s="113"/>
      <c r="N40" s="114">
        <f>K40-M40</f>
        <v>0</v>
      </c>
      <c r="O40" s="120">
        <f>+N42</f>
        <v>1150000</v>
      </c>
      <c r="Q40" s="281"/>
    </row>
    <row r="41" spans="1:18" ht="16.5" x14ac:dyDescent="0.25">
      <c r="A41" s="110"/>
      <c r="B41" s="114"/>
      <c r="C41" s="113"/>
      <c r="D41" s="114">
        <f t="shared" si="5"/>
        <v>0</v>
      </c>
      <c r="E41" s="113"/>
      <c r="F41" s="111"/>
      <c r="G41" s="114"/>
      <c r="H41" s="86"/>
      <c r="I41" s="114"/>
      <c r="J41" s="114"/>
      <c r="K41" s="115">
        <f t="shared" si="6"/>
        <v>0</v>
      </c>
      <c r="L41" s="115"/>
      <c r="M41" s="113"/>
      <c r="N41" s="114">
        <f>K41-M41</f>
        <v>0</v>
      </c>
      <c r="O41" s="990"/>
      <c r="Q41" s="281"/>
    </row>
    <row r="42" spans="1:18" ht="16.5" x14ac:dyDescent="0.25">
      <c r="A42" s="121" t="s">
        <v>18</v>
      </c>
      <c r="B42" s="115">
        <f>SUM(B10:B40)</f>
        <v>0</v>
      </c>
      <c r="C42" s="115">
        <f>SUM(C10:C40)</f>
        <v>0</v>
      </c>
      <c r="D42" s="122">
        <f>SUM(D10:D41)</f>
        <v>2000</v>
      </c>
      <c r="E42" s="115">
        <f>SUM(E10:E41)</f>
        <v>1150000</v>
      </c>
      <c r="F42" s="115">
        <f>SUM(F10:F40)</f>
        <v>0</v>
      </c>
      <c r="G42" s="115">
        <f>SUM(G10:G40)</f>
        <v>0</v>
      </c>
      <c r="H42" s="86">
        <f>SUM(H10:H40)</f>
        <v>0</v>
      </c>
      <c r="I42" s="115">
        <f>SUM(I10:I40)</f>
        <v>0</v>
      </c>
      <c r="J42" s="115">
        <f>SUM(J10:J40)</f>
        <v>0</v>
      </c>
      <c r="K42" s="115">
        <f>SUM(K10:K41)</f>
        <v>1150000</v>
      </c>
      <c r="L42" s="115"/>
      <c r="M42" s="115">
        <f>SUM(M9:M41)</f>
        <v>0</v>
      </c>
      <c r="N42" s="120">
        <f>SUM(N9:N41)</f>
        <v>1150000</v>
      </c>
      <c r="O42" s="123"/>
    </row>
    <row r="43" spans="1:18" ht="15.75" x14ac:dyDescent="0.25">
      <c r="A43" s="26"/>
      <c r="B43" s="26"/>
      <c r="C43" s="26"/>
      <c r="D43" s="26"/>
      <c r="F43" s="26"/>
      <c r="G43" s="26"/>
      <c r="H43" s="86"/>
      <c r="I43" s="26"/>
      <c r="J43" s="26"/>
      <c r="K43" s="26"/>
      <c r="L43" s="26"/>
      <c r="M43" s="26"/>
      <c r="N43" s="26"/>
      <c r="O43" s="1223"/>
      <c r="Q43" s="281"/>
    </row>
    <row r="44" spans="1:18" ht="15.75" x14ac:dyDescent="0.25">
      <c r="A44" s="10" t="s">
        <v>121</v>
      </c>
      <c r="B44" s="10" t="s">
        <v>61</v>
      </c>
      <c r="C44" s="10" t="s">
        <v>122</v>
      </c>
      <c r="D44" s="28" t="s">
        <v>39</v>
      </c>
      <c r="H44" s="113"/>
      <c r="O44" s="281"/>
      <c r="P44" s="281"/>
      <c r="R44" s="281"/>
    </row>
    <row r="45" spans="1:18" ht="13.5" x14ac:dyDescent="0.25">
      <c r="A45" s="10" t="s">
        <v>15</v>
      </c>
      <c r="B45" s="24">
        <f>B42</f>
        <v>0</v>
      </c>
      <c r="C45" s="10"/>
      <c r="D45" s="28">
        <f>B45*C45</f>
        <v>0</v>
      </c>
    </row>
    <row r="46" spans="1:18" ht="13.5" x14ac:dyDescent="0.25">
      <c r="A46" s="10" t="s">
        <v>16</v>
      </c>
      <c r="B46" s="28">
        <f>D42</f>
        <v>2000</v>
      </c>
      <c r="C46" s="10"/>
      <c r="D46" s="28">
        <f>B46*C46</f>
        <v>0</v>
      </c>
      <c r="E46" s="281"/>
      <c r="H46" s="21"/>
      <c r="K46" s="21"/>
      <c r="L46" s="21"/>
      <c r="M46" s="21"/>
      <c r="N46" s="21"/>
    </row>
    <row r="47" spans="1:18" ht="13.5" x14ac:dyDescent="0.25">
      <c r="A47" s="10" t="s">
        <v>17</v>
      </c>
      <c r="B47" s="24">
        <f>F42</f>
        <v>0</v>
      </c>
      <c r="C47" s="10"/>
      <c r="D47" s="28">
        <f>B47*C47</f>
        <v>0</v>
      </c>
      <c r="E47" s="14"/>
      <c r="F47" s="281"/>
      <c r="H47" s="39">
        <f>436380-28700</f>
        <v>407680</v>
      </c>
      <c r="O47" s="21"/>
    </row>
    <row r="48" spans="1:18" ht="13.5" x14ac:dyDescent="0.25">
      <c r="A48" s="33" t="s">
        <v>18</v>
      </c>
      <c r="B48" s="34"/>
      <c r="C48" s="35"/>
      <c r="D48" s="28">
        <f>SUM(D45:D47)</f>
        <v>0</v>
      </c>
      <c r="F48" s="281">
        <f>7000000-E42</f>
        <v>5850000</v>
      </c>
      <c r="O48" s="21"/>
    </row>
    <row r="49" spans="6:9" x14ac:dyDescent="0.2">
      <c r="G49" s="281"/>
    </row>
    <row r="50" spans="6:9" x14ac:dyDescent="0.2">
      <c r="I50" s="281"/>
    </row>
    <row r="51" spans="6:9" x14ac:dyDescent="0.2">
      <c r="F51" s="906"/>
      <c r="G51" s="39">
        <f>+F48/600</f>
        <v>9750</v>
      </c>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1">
    <tabColor rgb="FFFF0000"/>
    <pageSetUpPr fitToPage="1"/>
  </sheetPr>
  <dimension ref="A2:S40"/>
  <sheetViews>
    <sheetView zoomScaleNormal="100" workbookViewId="0">
      <selection activeCell="E9" sqref="E9:E17"/>
    </sheetView>
  </sheetViews>
  <sheetFormatPr baseColWidth="10" defaultRowHeight="15" x14ac:dyDescent="0.2"/>
  <cols>
    <col min="1" max="1" width="10.5703125" style="37" bestFit="1" customWidth="1"/>
    <col min="2" max="2" width="11.28515625" style="37" bestFit="1" customWidth="1"/>
    <col min="3" max="3" width="12.140625" style="37" bestFit="1" customWidth="1"/>
    <col min="4" max="4" width="12.7109375" style="37" bestFit="1" customWidth="1"/>
    <col min="5" max="5" width="13.5703125" style="37" bestFit="1" customWidth="1"/>
    <col min="6" max="6" width="11.28515625" style="37" bestFit="1" customWidth="1"/>
    <col min="7" max="7" width="10.85546875" style="37" bestFit="1" customWidth="1"/>
    <col min="8" max="8" width="14.5703125" style="37" hidden="1" customWidth="1"/>
    <col min="9" max="9" width="10.7109375" style="37" hidden="1" customWidth="1"/>
    <col min="10" max="10" width="12.28515625" style="37" hidden="1" customWidth="1"/>
    <col min="11" max="12" width="14" style="37" customWidth="1"/>
    <col min="13" max="13" width="14.140625" style="37" bestFit="1" customWidth="1"/>
    <col min="14" max="14" width="16" style="37" customWidth="1"/>
    <col min="15" max="15" width="15.7109375" style="37" bestFit="1" customWidth="1"/>
    <col min="16" max="16" width="11.42578125" style="37"/>
    <col min="17" max="17" width="13" style="37" bestFit="1" customWidth="1"/>
    <col min="18" max="16384" width="11.42578125" style="37"/>
  </cols>
  <sheetData>
    <row r="2" spans="1:15" ht="16.5" x14ac:dyDescent="0.3">
      <c r="A2" s="1" t="s">
        <v>118</v>
      </c>
      <c r="B2" s="1" t="s">
        <v>1843</v>
      </c>
    </row>
    <row r="3" spans="1:15" ht="15.75" x14ac:dyDescent="0.25">
      <c r="C3" s="99"/>
      <c r="K3" s="116"/>
      <c r="L3" s="116"/>
    </row>
    <row r="4" spans="1:15" ht="16.5" x14ac:dyDescent="0.3">
      <c r="A4" s="1" t="s">
        <v>19</v>
      </c>
      <c r="B4" s="2">
        <f>+BLESSING!B4</f>
        <v>44105</v>
      </c>
      <c r="C4" s="1"/>
      <c r="H4" s="37">
        <f>12200/4</f>
        <v>3050</v>
      </c>
    </row>
    <row r="5" spans="1:15" ht="16.5" x14ac:dyDescent="0.3">
      <c r="A5" s="1"/>
      <c r="B5" s="1"/>
      <c r="C5" s="1"/>
    </row>
    <row r="6" spans="1:15" ht="16.5" x14ac:dyDescent="0.2">
      <c r="A6" s="100" t="s">
        <v>3</v>
      </c>
      <c r="B6" s="1894" t="s">
        <v>15</v>
      </c>
      <c r="C6" s="1895"/>
      <c r="D6" s="1894" t="s">
        <v>16</v>
      </c>
      <c r="E6" s="1895"/>
      <c r="F6" s="1894" t="s">
        <v>17</v>
      </c>
      <c r="G6" s="1895"/>
      <c r="H6" s="2910" t="s">
        <v>52</v>
      </c>
      <c r="I6" s="2910" t="s">
        <v>53</v>
      </c>
      <c r="J6" s="2910" t="s">
        <v>119</v>
      </c>
      <c r="K6" s="2910" t="s">
        <v>18</v>
      </c>
      <c r="L6" s="3062" t="s">
        <v>416</v>
      </c>
      <c r="M6" s="2910" t="s">
        <v>60</v>
      </c>
      <c r="N6" s="2910" t="s">
        <v>55</v>
      </c>
      <c r="O6" s="2910" t="s">
        <v>120</v>
      </c>
    </row>
    <row r="7" spans="1:15" ht="21" x14ac:dyDescent="0.2">
      <c r="A7" s="103"/>
      <c r="B7" s="915">
        <v>630</v>
      </c>
      <c r="C7" s="916"/>
      <c r="D7" s="915">
        <v>575</v>
      </c>
      <c r="E7" s="916"/>
      <c r="F7" s="915">
        <v>350</v>
      </c>
      <c r="G7" s="916"/>
      <c r="H7" s="3059"/>
      <c r="I7" s="3059"/>
      <c r="J7" s="2911"/>
      <c r="K7" s="2911"/>
      <c r="L7" s="3064"/>
      <c r="M7" s="2911"/>
      <c r="N7" s="2911"/>
      <c r="O7" s="2911"/>
    </row>
    <row r="8" spans="1:15" ht="16.5" x14ac:dyDescent="0.25">
      <c r="A8" s="105"/>
      <c r="B8" s="106" t="s">
        <v>56</v>
      </c>
      <c r="C8" s="106" t="s">
        <v>37</v>
      </c>
      <c r="D8" s="107" t="s">
        <v>56</v>
      </c>
      <c r="E8" s="106" t="s">
        <v>37</v>
      </c>
      <c r="F8" s="106" t="s">
        <v>56</v>
      </c>
      <c r="G8" s="106" t="s">
        <v>37</v>
      </c>
      <c r="H8" s="1891"/>
      <c r="I8" s="1891"/>
      <c r="J8" s="1893"/>
      <c r="K8" s="1893"/>
      <c r="L8" s="1893"/>
      <c r="M8" s="133"/>
      <c r="N8" s="136">
        <v>1011900</v>
      </c>
      <c r="O8" s="109">
        <f>N8</f>
        <v>1011900</v>
      </c>
    </row>
    <row r="9" spans="1:15" ht="16.5" x14ac:dyDescent="0.3">
      <c r="A9" s="110">
        <f>+BLESSING!A9</f>
        <v>44105</v>
      </c>
      <c r="B9" s="111">
        <f>C9/B$7</f>
        <v>0</v>
      </c>
      <c r="C9" s="112"/>
      <c r="D9" s="111">
        <f>+E9/D$7</f>
        <v>0</v>
      </c>
      <c r="E9" s="2703"/>
      <c r="F9" s="111">
        <f>+G9/F$7</f>
        <v>0</v>
      </c>
      <c r="G9" s="114"/>
      <c r="H9" s="114"/>
      <c r="I9" s="114"/>
      <c r="J9" s="114"/>
      <c r="K9" s="115">
        <f t="shared" ref="K9:K39" si="0">C9+E9+G9+H9+I9+J9</f>
        <v>0</v>
      </c>
      <c r="L9" s="115"/>
      <c r="M9" s="113"/>
      <c r="N9" s="114">
        <f>K9-M9</f>
        <v>0</v>
      </c>
      <c r="O9" s="114">
        <f>+O8+K9-M9</f>
        <v>1011900</v>
      </c>
    </row>
    <row r="10" spans="1:15"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115"/>
      <c r="M10" s="86"/>
      <c r="N10" s="114">
        <f t="shared" ref="N10:N39" si="3">K10-M10</f>
        <v>0</v>
      </c>
      <c r="O10" s="114">
        <f t="shared" ref="O10:O37" si="4">+O9+K10-M10</f>
        <v>1011900</v>
      </c>
    </row>
    <row r="11" spans="1:15" ht="16.5" x14ac:dyDescent="0.25">
      <c r="A11" s="110">
        <f t="shared" ref="A11:A39" si="5">+A10+1</f>
        <v>44107</v>
      </c>
      <c r="B11" s="111">
        <f t="shared" si="1"/>
        <v>0</v>
      </c>
      <c r="C11" s="113"/>
      <c r="D11" s="111">
        <f t="shared" si="2"/>
        <v>8.695652173913043</v>
      </c>
      <c r="E11" s="2703">
        <v>5000</v>
      </c>
      <c r="F11" s="111">
        <f t="shared" si="2"/>
        <v>0</v>
      </c>
      <c r="G11" s="114"/>
      <c r="H11" s="114"/>
      <c r="I11" s="114"/>
      <c r="J11" s="114"/>
      <c r="K11" s="115">
        <f t="shared" si="0"/>
        <v>5000</v>
      </c>
      <c r="L11" s="115"/>
      <c r="M11" s="86"/>
      <c r="N11" s="114">
        <f t="shared" si="3"/>
        <v>5000</v>
      </c>
      <c r="O11" s="114">
        <f t="shared" si="4"/>
        <v>1016900</v>
      </c>
    </row>
    <row r="12" spans="1:15" ht="16.5" x14ac:dyDescent="0.25">
      <c r="A12" s="110">
        <f t="shared" si="5"/>
        <v>44108</v>
      </c>
      <c r="B12" s="111">
        <f t="shared" si="1"/>
        <v>0</v>
      </c>
      <c r="C12" s="113"/>
      <c r="D12" s="111">
        <f t="shared" si="2"/>
        <v>70.782608695652172</v>
      </c>
      <c r="E12" s="2703">
        <v>40700</v>
      </c>
      <c r="F12" s="111">
        <f t="shared" si="2"/>
        <v>0</v>
      </c>
      <c r="G12" s="114"/>
      <c r="H12" s="114"/>
      <c r="I12" s="114"/>
      <c r="J12" s="114"/>
      <c r="K12" s="115">
        <f t="shared" si="0"/>
        <v>40700</v>
      </c>
      <c r="L12" s="115"/>
      <c r="M12" s="86"/>
      <c r="N12" s="114">
        <f t="shared" si="3"/>
        <v>40700</v>
      </c>
      <c r="O12" s="114">
        <f t="shared" si="4"/>
        <v>1057600</v>
      </c>
    </row>
    <row r="13" spans="1:15" ht="16.5" x14ac:dyDescent="0.3">
      <c r="A13" s="110">
        <f t="shared" si="5"/>
        <v>44109</v>
      </c>
      <c r="B13" s="111">
        <f t="shared" si="1"/>
        <v>0</v>
      </c>
      <c r="C13" s="112"/>
      <c r="D13" s="111">
        <f t="shared" si="2"/>
        <v>0</v>
      </c>
      <c r="E13" s="113"/>
      <c r="F13" s="111">
        <f t="shared" si="2"/>
        <v>0</v>
      </c>
      <c r="G13" s="114"/>
      <c r="H13" s="114"/>
      <c r="I13" s="114"/>
      <c r="J13" s="114"/>
      <c r="K13" s="115">
        <f t="shared" si="0"/>
        <v>0</v>
      </c>
      <c r="L13" s="115"/>
      <c r="M13" s="86"/>
      <c r="N13" s="114">
        <f t="shared" si="3"/>
        <v>0</v>
      </c>
      <c r="O13" s="114">
        <f t="shared" si="4"/>
        <v>1057600</v>
      </c>
    </row>
    <row r="14" spans="1:15" ht="16.5" x14ac:dyDescent="0.3">
      <c r="A14" s="110">
        <f t="shared" si="5"/>
        <v>44110</v>
      </c>
      <c r="B14" s="111">
        <f t="shared" si="1"/>
        <v>0</v>
      </c>
      <c r="C14" s="112"/>
      <c r="D14" s="111">
        <f t="shared" si="2"/>
        <v>0</v>
      </c>
      <c r="E14" s="113"/>
      <c r="F14" s="111">
        <f t="shared" si="2"/>
        <v>0</v>
      </c>
      <c r="G14" s="114"/>
      <c r="H14" s="114"/>
      <c r="I14" s="114"/>
      <c r="J14" s="114"/>
      <c r="K14" s="115">
        <f t="shared" si="0"/>
        <v>0</v>
      </c>
      <c r="L14" s="115"/>
      <c r="M14" s="86"/>
      <c r="N14" s="114">
        <f t="shared" si="3"/>
        <v>0</v>
      </c>
      <c r="O14" s="114">
        <f t="shared" si="4"/>
        <v>1057600</v>
      </c>
    </row>
    <row r="15" spans="1:15"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si="4"/>
        <v>1057600</v>
      </c>
    </row>
    <row r="16" spans="1:15" ht="16.5" x14ac:dyDescent="0.25">
      <c r="A16" s="110">
        <f t="shared" si="5"/>
        <v>44112</v>
      </c>
      <c r="B16" s="111">
        <f t="shared" si="1"/>
        <v>0</v>
      </c>
      <c r="C16" s="113"/>
      <c r="D16" s="111">
        <f t="shared" si="2"/>
        <v>93.913043478260875</v>
      </c>
      <c r="E16" s="113">
        <v>54000</v>
      </c>
      <c r="F16" s="111">
        <f t="shared" si="2"/>
        <v>0</v>
      </c>
      <c r="G16" s="114"/>
      <c r="H16" s="114"/>
      <c r="I16" s="114"/>
      <c r="J16" s="114"/>
      <c r="K16" s="115">
        <f t="shared" si="0"/>
        <v>54000</v>
      </c>
      <c r="L16" s="115"/>
      <c r="M16" s="86"/>
      <c r="N16" s="114">
        <f t="shared" si="3"/>
        <v>54000</v>
      </c>
      <c r="O16" s="114">
        <f t="shared" si="4"/>
        <v>1111600</v>
      </c>
    </row>
    <row r="17" spans="1:19"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f t="shared" si="3"/>
        <v>0</v>
      </c>
      <c r="O17" s="114">
        <f t="shared" si="4"/>
        <v>1111600</v>
      </c>
    </row>
    <row r="18" spans="1:19" ht="16.5" x14ac:dyDescent="0.25">
      <c r="A18" s="110">
        <f t="shared" si="5"/>
        <v>44114</v>
      </c>
      <c r="B18" s="117">
        <f t="shared" si="1"/>
        <v>0</v>
      </c>
      <c r="C18" s="86"/>
      <c r="D18" s="117">
        <f t="shared" si="2"/>
        <v>0</v>
      </c>
      <c r="E18" s="113"/>
      <c r="F18" s="111">
        <f t="shared" si="2"/>
        <v>0</v>
      </c>
      <c r="G18" s="118"/>
      <c r="H18" s="118"/>
      <c r="I18" s="118"/>
      <c r="J18" s="118"/>
      <c r="K18" s="134">
        <f t="shared" si="0"/>
        <v>0</v>
      </c>
      <c r="L18" s="134"/>
      <c r="M18" s="86"/>
      <c r="N18" s="114">
        <f t="shared" si="3"/>
        <v>0</v>
      </c>
      <c r="O18" s="114">
        <f t="shared" si="4"/>
        <v>1111600</v>
      </c>
    </row>
    <row r="19" spans="1:19" ht="16.5" x14ac:dyDescent="0.25">
      <c r="A19" s="110">
        <f t="shared" si="5"/>
        <v>44115</v>
      </c>
      <c r="B19" s="117">
        <f t="shared" si="1"/>
        <v>0</v>
      </c>
      <c r="C19" s="86"/>
      <c r="D19" s="117">
        <f t="shared" si="2"/>
        <v>0</v>
      </c>
      <c r="E19" s="113"/>
      <c r="F19" s="111">
        <f t="shared" si="2"/>
        <v>0</v>
      </c>
      <c r="G19" s="118"/>
      <c r="H19" s="118"/>
      <c r="I19" s="118"/>
      <c r="J19" s="118"/>
      <c r="K19" s="134">
        <f>C19+E19+G19+H19+I19+J19</f>
        <v>0</v>
      </c>
      <c r="L19" s="134"/>
      <c r="M19" s="86"/>
      <c r="N19" s="114">
        <f t="shared" si="3"/>
        <v>0</v>
      </c>
      <c r="O19" s="114">
        <f>+O18+K19-M19</f>
        <v>1111600</v>
      </c>
    </row>
    <row r="20" spans="1:19" ht="16.5" x14ac:dyDescent="0.25">
      <c r="A20" s="110">
        <f t="shared" si="5"/>
        <v>44116</v>
      </c>
      <c r="B20" s="117">
        <f t="shared" si="1"/>
        <v>0</v>
      </c>
      <c r="C20" s="86"/>
      <c r="D20" s="117">
        <f t="shared" si="2"/>
        <v>0</v>
      </c>
      <c r="E20" s="113"/>
      <c r="F20" s="111">
        <f>+G20/F$7</f>
        <v>0</v>
      </c>
      <c r="G20" s="118"/>
      <c r="H20" s="118"/>
      <c r="I20" s="118"/>
      <c r="J20" s="118"/>
      <c r="K20" s="134">
        <f t="shared" si="0"/>
        <v>0</v>
      </c>
      <c r="L20" s="134"/>
      <c r="M20" s="86"/>
      <c r="N20" s="114">
        <f t="shared" si="3"/>
        <v>0</v>
      </c>
      <c r="O20" s="114">
        <f t="shared" si="4"/>
        <v>1111600</v>
      </c>
    </row>
    <row r="21" spans="1:19" ht="16.5" x14ac:dyDescent="0.25">
      <c r="A21" s="110">
        <f t="shared" si="5"/>
        <v>44117</v>
      </c>
      <c r="B21" s="117">
        <f t="shared" si="1"/>
        <v>0</v>
      </c>
      <c r="C21" s="86"/>
      <c r="D21" s="117">
        <f t="shared" si="2"/>
        <v>0</v>
      </c>
      <c r="E21" s="2703"/>
      <c r="F21" s="111">
        <f t="shared" si="2"/>
        <v>0</v>
      </c>
      <c r="G21" s="118"/>
      <c r="H21" s="118"/>
      <c r="I21" s="118"/>
      <c r="J21" s="118"/>
      <c r="K21" s="134">
        <f t="shared" si="0"/>
        <v>0</v>
      </c>
      <c r="L21" s="134"/>
      <c r="M21" s="86"/>
      <c r="N21" s="114">
        <f t="shared" si="3"/>
        <v>0</v>
      </c>
      <c r="O21" s="114">
        <f t="shared" si="4"/>
        <v>1111600</v>
      </c>
    </row>
    <row r="22" spans="1:19" ht="16.5" x14ac:dyDescent="0.25">
      <c r="A22" s="110">
        <f t="shared" si="5"/>
        <v>44118</v>
      </c>
      <c r="B22" s="117">
        <f t="shared" si="1"/>
        <v>0</v>
      </c>
      <c r="C22" s="86"/>
      <c r="D22" s="117">
        <f t="shared" si="2"/>
        <v>0</v>
      </c>
      <c r="E22" s="2703"/>
      <c r="F22" s="111">
        <f t="shared" si="2"/>
        <v>0</v>
      </c>
      <c r="G22" s="118"/>
      <c r="H22" s="118"/>
      <c r="I22" s="118"/>
      <c r="J22" s="118"/>
      <c r="K22" s="134">
        <f t="shared" si="0"/>
        <v>0</v>
      </c>
      <c r="L22" s="134"/>
      <c r="M22" s="86"/>
      <c r="N22" s="114">
        <f t="shared" si="3"/>
        <v>0</v>
      </c>
      <c r="O22" s="114">
        <f t="shared" si="4"/>
        <v>1111600</v>
      </c>
    </row>
    <row r="23" spans="1:19" ht="16.5" x14ac:dyDescent="0.25">
      <c r="A23" s="110">
        <f t="shared" si="5"/>
        <v>44119</v>
      </c>
      <c r="B23" s="117">
        <f t="shared" si="1"/>
        <v>0</v>
      </c>
      <c r="C23" s="86"/>
      <c r="D23" s="117">
        <f t="shared" si="2"/>
        <v>0</v>
      </c>
      <c r="E23" s="113"/>
      <c r="F23" s="117">
        <f t="shared" si="2"/>
        <v>0</v>
      </c>
      <c r="G23" s="118"/>
      <c r="H23" s="118"/>
      <c r="I23" s="118"/>
      <c r="J23" s="118"/>
      <c r="K23" s="134">
        <f t="shared" si="0"/>
        <v>0</v>
      </c>
      <c r="L23" s="134"/>
      <c r="M23" s="86"/>
      <c r="N23" s="114">
        <f t="shared" si="3"/>
        <v>0</v>
      </c>
      <c r="O23" s="114">
        <f t="shared" si="4"/>
        <v>1111600</v>
      </c>
    </row>
    <row r="24" spans="1:19" ht="16.5" x14ac:dyDescent="0.25">
      <c r="A24" s="110">
        <f t="shared" si="5"/>
        <v>44120</v>
      </c>
      <c r="B24" s="117">
        <f t="shared" si="1"/>
        <v>0</v>
      </c>
      <c r="C24" s="86"/>
      <c r="D24" s="117">
        <f t="shared" si="2"/>
        <v>0</v>
      </c>
      <c r="E24" s="113"/>
      <c r="F24" s="117">
        <f t="shared" si="2"/>
        <v>0</v>
      </c>
      <c r="G24" s="118"/>
      <c r="H24" s="118"/>
      <c r="I24" s="118"/>
      <c r="J24" s="118"/>
      <c r="K24" s="134">
        <f t="shared" si="0"/>
        <v>0</v>
      </c>
      <c r="L24" s="134"/>
      <c r="M24" s="113"/>
      <c r="N24" s="114">
        <f t="shared" si="3"/>
        <v>0</v>
      </c>
      <c r="O24" s="114">
        <f t="shared" si="4"/>
        <v>1111600</v>
      </c>
      <c r="S24" s="37">
        <f>125930+110000</f>
        <v>235930</v>
      </c>
    </row>
    <row r="25" spans="1:19" ht="16.5" x14ac:dyDescent="0.25">
      <c r="A25" s="110">
        <f t="shared" si="5"/>
        <v>44121</v>
      </c>
      <c r="B25" s="117">
        <f t="shared" si="1"/>
        <v>0</v>
      </c>
      <c r="C25" s="86"/>
      <c r="D25" s="117">
        <f t="shared" si="2"/>
        <v>0</v>
      </c>
      <c r="E25" s="2703"/>
      <c r="F25" s="117">
        <f t="shared" si="2"/>
        <v>0</v>
      </c>
      <c r="G25" s="118"/>
      <c r="H25" s="118"/>
      <c r="I25" s="118"/>
      <c r="J25" s="118"/>
      <c r="K25" s="134">
        <f t="shared" si="0"/>
        <v>0</v>
      </c>
      <c r="L25" s="134"/>
      <c r="M25" s="113"/>
      <c r="N25" s="114">
        <f t="shared" si="3"/>
        <v>0</v>
      </c>
      <c r="O25" s="114">
        <f t="shared" si="4"/>
        <v>1111600</v>
      </c>
    </row>
    <row r="26" spans="1:19" ht="16.5" x14ac:dyDescent="0.25">
      <c r="A26" s="110">
        <f t="shared" si="5"/>
        <v>44122</v>
      </c>
      <c r="B26" s="117">
        <f t="shared" si="1"/>
        <v>0</v>
      </c>
      <c r="C26" s="86"/>
      <c r="D26" s="117">
        <f t="shared" ref="D26:F39" si="6">+E26/D$7</f>
        <v>0</v>
      </c>
      <c r="E26" s="2703"/>
      <c r="F26" s="117">
        <f t="shared" si="6"/>
        <v>0</v>
      </c>
      <c r="G26" s="118"/>
      <c r="H26" s="118"/>
      <c r="I26" s="118"/>
      <c r="J26" s="118"/>
      <c r="K26" s="134">
        <f t="shared" si="0"/>
        <v>0</v>
      </c>
      <c r="L26" s="134"/>
      <c r="M26" s="113"/>
      <c r="N26" s="114">
        <f t="shared" si="3"/>
        <v>0</v>
      </c>
      <c r="O26" s="114">
        <f t="shared" si="4"/>
        <v>1111600</v>
      </c>
    </row>
    <row r="27" spans="1:19" ht="16.5" x14ac:dyDescent="0.25">
      <c r="A27" s="110">
        <f t="shared" si="5"/>
        <v>44123</v>
      </c>
      <c r="B27" s="117">
        <f t="shared" si="1"/>
        <v>0</v>
      </c>
      <c r="C27" s="86"/>
      <c r="D27" s="117">
        <f t="shared" si="6"/>
        <v>0</v>
      </c>
      <c r="E27" s="2703"/>
      <c r="F27" s="117">
        <f t="shared" si="6"/>
        <v>0</v>
      </c>
      <c r="G27" s="118"/>
      <c r="H27" s="118"/>
      <c r="I27" s="118"/>
      <c r="J27" s="118"/>
      <c r="K27" s="134">
        <f t="shared" si="0"/>
        <v>0</v>
      </c>
      <c r="L27" s="134"/>
      <c r="M27" s="113"/>
      <c r="N27" s="114">
        <f t="shared" si="3"/>
        <v>0</v>
      </c>
      <c r="O27" s="114">
        <f t="shared" si="4"/>
        <v>1111600</v>
      </c>
    </row>
    <row r="28" spans="1:19" ht="16.5" x14ac:dyDescent="0.25">
      <c r="A28" s="110">
        <f t="shared" si="5"/>
        <v>44124</v>
      </c>
      <c r="B28" s="117">
        <f t="shared" si="1"/>
        <v>0</v>
      </c>
      <c r="C28" s="86"/>
      <c r="D28" s="117">
        <f t="shared" si="6"/>
        <v>0</v>
      </c>
      <c r="E28" s="2703"/>
      <c r="F28" s="117">
        <f t="shared" si="6"/>
        <v>0</v>
      </c>
      <c r="G28" s="118"/>
      <c r="H28" s="118"/>
      <c r="I28" s="118"/>
      <c r="J28" s="118"/>
      <c r="K28" s="134">
        <f t="shared" si="0"/>
        <v>0</v>
      </c>
      <c r="L28" s="134"/>
      <c r="M28" s="113"/>
      <c r="N28" s="114">
        <f t="shared" si="3"/>
        <v>0</v>
      </c>
      <c r="O28" s="114">
        <f t="shared" si="4"/>
        <v>1111600</v>
      </c>
    </row>
    <row r="29" spans="1:19" ht="16.5" x14ac:dyDescent="0.25">
      <c r="A29" s="110">
        <f t="shared" si="5"/>
        <v>44125</v>
      </c>
      <c r="B29" s="117">
        <f t="shared" si="1"/>
        <v>0</v>
      </c>
      <c r="C29" s="86"/>
      <c r="D29" s="117">
        <f t="shared" si="6"/>
        <v>0</v>
      </c>
      <c r="E29" s="2703"/>
      <c r="F29" s="117">
        <f t="shared" si="6"/>
        <v>0</v>
      </c>
      <c r="G29" s="118"/>
      <c r="H29" s="118"/>
      <c r="I29" s="118"/>
      <c r="J29" s="118"/>
      <c r="K29" s="134">
        <f t="shared" si="0"/>
        <v>0</v>
      </c>
      <c r="L29" s="134"/>
      <c r="M29" s="113"/>
      <c r="N29" s="114">
        <f t="shared" si="3"/>
        <v>0</v>
      </c>
      <c r="O29" s="114">
        <f t="shared" si="4"/>
        <v>1111600</v>
      </c>
    </row>
    <row r="30" spans="1:19" ht="16.5" x14ac:dyDescent="0.25">
      <c r="A30" s="110">
        <f t="shared" si="5"/>
        <v>44126</v>
      </c>
      <c r="B30" s="117">
        <f t="shared" si="1"/>
        <v>0</v>
      </c>
      <c r="C30" s="86"/>
      <c r="D30" s="117">
        <f t="shared" si="6"/>
        <v>0</v>
      </c>
      <c r="E30" s="113"/>
      <c r="F30" s="117">
        <f t="shared" si="6"/>
        <v>0</v>
      </c>
      <c r="G30" s="118"/>
      <c r="H30" s="118"/>
      <c r="I30" s="118"/>
      <c r="J30" s="118"/>
      <c r="K30" s="134">
        <f t="shared" si="0"/>
        <v>0</v>
      </c>
      <c r="L30" s="134"/>
      <c r="M30" s="113"/>
      <c r="N30" s="114">
        <f t="shared" si="3"/>
        <v>0</v>
      </c>
      <c r="O30" s="114">
        <f t="shared" si="4"/>
        <v>1111600</v>
      </c>
    </row>
    <row r="31" spans="1:19" s="1555" customFormat="1" ht="16.5" x14ac:dyDescent="0.25">
      <c r="A31" s="1547">
        <f t="shared" si="5"/>
        <v>44127</v>
      </c>
      <c r="B31" s="1549">
        <f t="shared" si="1"/>
        <v>0</v>
      </c>
      <c r="C31" s="1532"/>
      <c r="D31" s="1549">
        <f t="shared" si="6"/>
        <v>0</v>
      </c>
      <c r="E31" s="1532"/>
      <c r="F31" s="1549">
        <f t="shared" si="6"/>
        <v>0</v>
      </c>
      <c r="G31" s="1548"/>
      <c r="H31" s="1548"/>
      <c r="I31" s="1548"/>
      <c r="J31" s="1548"/>
      <c r="K31" s="1550">
        <f t="shared" si="0"/>
        <v>0</v>
      </c>
      <c r="L31" s="1550"/>
      <c r="M31" s="1532"/>
      <c r="N31" s="1548">
        <f t="shared" si="3"/>
        <v>0</v>
      </c>
      <c r="O31" s="1548">
        <f t="shared" si="4"/>
        <v>1111600</v>
      </c>
    </row>
    <row r="32" spans="1:19" ht="16.5" x14ac:dyDescent="0.25">
      <c r="A32" s="110">
        <f t="shared" si="5"/>
        <v>44128</v>
      </c>
      <c r="B32" s="111">
        <f t="shared" si="1"/>
        <v>0</v>
      </c>
      <c r="C32" s="113"/>
      <c r="D32" s="111">
        <f t="shared" si="6"/>
        <v>0</v>
      </c>
      <c r="E32" s="113"/>
      <c r="F32" s="111">
        <f t="shared" si="6"/>
        <v>0</v>
      </c>
      <c r="G32" s="114"/>
      <c r="H32" s="114"/>
      <c r="I32" s="114"/>
      <c r="J32" s="114"/>
      <c r="K32" s="115">
        <f t="shared" si="0"/>
        <v>0</v>
      </c>
      <c r="L32" s="115"/>
      <c r="M32" s="113"/>
      <c r="N32" s="114">
        <f t="shared" si="3"/>
        <v>0</v>
      </c>
      <c r="O32" s="114">
        <f t="shared" si="4"/>
        <v>1111600</v>
      </c>
    </row>
    <row r="33" spans="1:17" ht="16.5" x14ac:dyDescent="0.25">
      <c r="A33" s="110">
        <f t="shared" si="5"/>
        <v>44129</v>
      </c>
      <c r="B33" s="111">
        <f t="shared" si="1"/>
        <v>0</v>
      </c>
      <c r="C33" s="113"/>
      <c r="D33" s="111">
        <f>+E33/D$7</f>
        <v>0</v>
      </c>
      <c r="E33" s="113"/>
      <c r="F33" s="111">
        <f t="shared" si="6"/>
        <v>0</v>
      </c>
      <c r="G33" s="114"/>
      <c r="H33" s="114"/>
      <c r="I33" s="114"/>
      <c r="J33" s="114"/>
      <c r="K33" s="115">
        <f t="shared" si="0"/>
        <v>0</v>
      </c>
      <c r="L33" s="115"/>
      <c r="M33" s="113"/>
      <c r="N33" s="114">
        <f t="shared" si="3"/>
        <v>0</v>
      </c>
      <c r="O33" s="114">
        <f t="shared" si="4"/>
        <v>1111600</v>
      </c>
    </row>
    <row r="34" spans="1:17" ht="16.5" x14ac:dyDescent="0.25">
      <c r="A34" s="110">
        <f t="shared" si="5"/>
        <v>44130</v>
      </c>
      <c r="B34" s="111">
        <f t="shared" si="1"/>
        <v>0</v>
      </c>
      <c r="C34" s="113"/>
      <c r="D34" s="111">
        <f t="shared" si="6"/>
        <v>0</v>
      </c>
      <c r="E34" s="113"/>
      <c r="F34" s="111">
        <f t="shared" si="6"/>
        <v>0</v>
      </c>
      <c r="G34" s="114"/>
      <c r="H34" s="114"/>
      <c r="I34" s="114"/>
      <c r="J34" s="114"/>
      <c r="K34" s="115">
        <f t="shared" si="0"/>
        <v>0</v>
      </c>
      <c r="L34" s="115"/>
      <c r="M34" s="113"/>
      <c r="N34" s="114">
        <f t="shared" si="3"/>
        <v>0</v>
      </c>
      <c r="O34" s="114">
        <f t="shared" si="4"/>
        <v>1111600</v>
      </c>
    </row>
    <row r="35" spans="1:17" ht="16.5" x14ac:dyDescent="0.25">
      <c r="A35" s="110">
        <f t="shared" si="5"/>
        <v>44131</v>
      </c>
      <c r="B35" s="111">
        <f t="shared" si="1"/>
        <v>0</v>
      </c>
      <c r="C35" s="113"/>
      <c r="D35" s="111">
        <f t="shared" si="6"/>
        <v>0</v>
      </c>
      <c r="E35" s="113"/>
      <c r="F35" s="111">
        <f t="shared" si="6"/>
        <v>0</v>
      </c>
      <c r="G35" s="114"/>
      <c r="H35" s="114"/>
      <c r="I35" s="114"/>
      <c r="J35" s="114"/>
      <c r="K35" s="115">
        <f t="shared" si="0"/>
        <v>0</v>
      </c>
      <c r="L35" s="115"/>
      <c r="M35" s="113"/>
      <c r="N35" s="114">
        <f t="shared" si="3"/>
        <v>0</v>
      </c>
      <c r="O35" s="114">
        <f t="shared" si="4"/>
        <v>1111600</v>
      </c>
      <c r="Q35" s="386">
        <f>345930-E40</f>
        <v>246230</v>
      </c>
    </row>
    <row r="36" spans="1:17" ht="16.5" x14ac:dyDescent="0.25">
      <c r="A36" s="110">
        <f t="shared" si="5"/>
        <v>44132</v>
      </c>
      <c r="B36" s="111">
        <f t="shared" si="1"/>
        <v>0</v>
      </c>
      <c r="C36" s="113"/>
      <c r="D36" s="111">
        <f t="shared" si="6"/>
        <v>0</v>
      </c>
      <c r="E36" s="113"/>
      <c r="F36" s="111">
        <f t="shared" si="6"/>
        <v>0</v>
      </c>
      <c r="G36" s="114"/>
      <c r="H36" s="114"/>
      <c r="I36" s="114"/>
      <c r="J36" s="114"/>
      <c r="K36" s="115">
        <f t="shared" si="0"/>
        <v>0</v>
      </c>
      <c r="L36" s="115"/>
      <c r="M36" s="113"/>
      <c r="N36" s="114">
        <f t="shared" si="3"/>
        <v>0</v>
      </c>
      <c r="O36" s="114">
        <f t="shared" si="4"/>
        <v>1111600</v>
      </c>
    </row>
    <row r="37" spans="1:17" ht="16.5" x14ac:dyDescent="0.25">
      <c r="A37" s="110">
        <f t="shared" si="5"/>
        <v>44133</v>
      </c>
      <c r="B37" s="111">
        <f t="shared" si="1"/>
        <v>0</v>
      </c>
      <c r="C37" s="113"/>
      <c r="D37" s="111">
        <f t="shared" si="6"/>
        <v>0</v>
      </c>
      <c r="E37" s="113"/>
      <c r="F37" s="111">
        <f t="shared" si="6"/>
        <v>0</v>
      </c>
      <c r="G37" s="114"/>
      <c r="H37" s="114"/>
      <c r="I37" s="114"/>
      <c r="J37" s="114"/>
      <c r="K37" s="115">
        <f t="shared" si="0"/>
        <v>0</v>
      </c>
      <c r="L37" s="115"/>
      <c r="M37" s="113"/>
      <c r="N37" s="114">
        <f t="shared" si="3"/>
        <v>0</v>
      </c>
      <c r="O37" s="114">
        <f t="shared" si="4"/>
        <v>1111600</v>
      </c>
    </row>
    <row r="38" spans="1:17" ht="16.5" x14ac:dyDescent="0.25">
      <c r="A38" s="110">
        <f t="shared" si="5"/>
        <v>44134</v>
      </c>
      <c r="B38" s="111">
        <f t="shared" si="1"/>
        <v>0</v>
      </c>
      <c r="C38" s="113"/>
      <c r="D38" s="111">
        <f t="shared" si="6"/>
        <v>0</v>
      </c>
      <c r="E38" s="113"/>
      <c r="F38" s="111">
        <f t="shared" si="6"/>
        <v>0</v>
      </c>
      <c r="G38" s="114"/>
      <c r="H38" s="114"/>
      <c r="I38" s="114"/>
      <c r="J38" s="114"/>
      <c r="K38" s="115">
        <f t="shared" si="0"/>
        <v>0</v>
      </c>
      <c r="L38" s="115"/>
      <c r="M38" s="113"/>
      <c r="N38" s="114">
        <f t="shared" si="3"/>
        <v>0</v>
      </c>
      <c r="O38" s="114">
        <f>+O37+K38-M38</f>
        <v>1111600</v>
      </c>
    </row>
    <row r="39" spans="1:17" ht="16.5" x14ac:dyDescent="0.25">
      <c r="A39" s="110">
        <f t="shared" si="5"/>
        <v>44135</v>
      </c>
      <c r="B39" s="111">
        <f t="shared" si="1"/>
        <v>0</v>
      </c>
      <c r="C39" s="113"/>
      <c r="D39" s="111">
        <f t="shared" si="6"/>
        <v>0</v>
      </c>
      <c r="E39" s="113"/>
      <c r="F39" s="111">
        <f t="shared" si="6"/>
        <v>0</v>
      </c>
      <c r="G39" s="114"/>
      <c r="H39" s="114"/>
      <c r="I39" s="114"/>
      <c r="J39" s="114"/>
      <c r="K39" s="115">
        <f t="shared" si="0"/>
        <v>0</v>
      </c>
      <c r="L39" s="115"/>
      <c r="M39" s="113"/>
      <c r="N39" s="114">
        <f t="shared" si="3"/>
        <v>0</v>
      </c>
      <c r="O39" s="120">
        <f>+O38+K39-M39</f>
        <v>1111600</v>
      </c>
    </row>
    <row r="40" spans="1:17" ht="16.5" x14ac:dyDescent="0.2">
      <c r="A40" s="121" t="s">
        <v>18</v>
      </c>
      <c r="B40" s="137">
        <f>SUM(B9:B39)</f>
        <v>0</v>
      </c>
      <c r="C40" s="115">
        <f>SUM(C9:C39)</f>
        <v>0</v>
      </c>
      <c r="D40" s="122">
        <f t="shared" ref="D40:M40" si="7">SUM(D9:D39)</f>
        <v>173.39130434782609</v>
      </c>
      <c r="E40" s="115">
        <f>SUM(E9:E39)</f>
        <v>99700</v>
      </c>
      <c r="F40" s="115">
        <f t="shared" si="7"/>
        <v>0</v>
      </c>
      <c r="G40" s="115">
        <f t="shared" si="7"/>
        <v>0</v>
      </c>
      <c r="H40" s="115">
        <f t="shared" si="7"/>
        <v>0</v>
      </c>
      <c r="I40" s="115">
        <f t="shared" si="7"/>
        <v>0</v>
      </c>
      <c r="J40" s="115">
        <f t="shared" si="7"/>
        <v>0</v>
      </c>
      <c r="K40" s="115">
        <f t="shared" si="7"/>
        <v>99700</v>
      </c>
      <c r="L40" s="115"/>
      <c r="M40" s="115">
        <f t="shared" si="7"/>
        <v>0</v>
      </c>
      <c r="N40" s="120">
        <f>SUM(N8:N39)</f>
        <v>1111600</v>
      </c>
      <c r="O40" s="123"/>
    </row>
  </sheetData>
  <mergeCells count="8">
    <mergeCell ref="N6:N7"/>
    <mergeCell ref="O6:O7"/>
    <mergeCell ref="H6:H7"/>
    <mergeCell ref="I6:I7"/>
    <mergeCell ref="J6:J7"/>
    <mergeCell ref="K6:K7"/>
    <mergeCell ref="L6:L7"/>
    <mergeCell ref="M6:M7"/>
  </mergeCells>
  <pageMargins left="0.39370078740157483" right="0.39370078740157483" top="0.74803149606299213" bottom="0.39370078740157483" header="0.31496062992125984" footer="0.31496062992125984"/>
  <pageSetup paperSize="9" scale="7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4">
    <tabColor theme="4" tint="-0.249977111117893"/>
    <pageSetUpPr fitToPage="1"/>
  </sheetPr>
  <dimension ref="A1:Q47"/>
  <sheetViews>
    <sheetView topLeftCell="A6" zoomScaleNormal="100" workbookViewId="0">
      <selection activeCell="A10" sqref="A10"/>
    </sheetView>
  </sheetViews>
  <sheetFormatPr baseColWidth="10" defaultRowHeight="12.75" x14ac:dyDescent="0.2"/>
  <cols>
    <col min="1" max="1" width="11.42578125" style="39"/>
    <col min="2" max="2" width="11.42578125" style="39" customWidth="1"/>
    <col min="3" max="3" width="13.42578125" style="39" customWidth="1"/>
    <col min="4" max="4" width="14" style="39" customWidth="1"/>
    <col min="5" max="5" width="16.5703125" style="39" customWidth="1"/>
    <col min="6" max="6" width="13.42578125" style="39" customWidth="1"/>
    <col min="7" max="7" width="13.5703125" style="39" customWidth="1"/>
    <col min="8" max="10" width="11.42578125" style="39"/>
    <col min="11" max="11" width="15.140625" style="39" customWidth="1"/>
    <col min="12" max="12" width="13.85546875" style="39" customWidth="1"/>
    <col min="13" max="13" width="13.7109375" style="39" bestFit="1" customWidth="1"/>
    <col min="14" max="14" width="16.42578125" style="39" customWidth="1"/>
    <col min="15" max="15" width="18.140625" style="39" customWidth="1"/>
    <col min="16" max="16" width="12" style="39" bestFit="1" customWidth="1"/>
    <col min="17" max="16384" width="11.42578125" style="39"/>
  </cols>
  <sheetData>
    <row r="1" spans="1:15" ht="18.75" x14ac:dyDescent="0.3">
      <c r="A1" s="8" t="s">
        <v>118</v>
      </c>
      <c r="B1" s="36" t="s">
        <v>1825</v>
      </c>
      <c r="D1" s="74"/>
    </row>
    <row r="2" spans="1:15" ht="13.5" x14ac:dyDescent="0.25">
      <c r="C2" s="14"/>
    </row>
    <row r="3" spans="1:15" ht="18.75" x14ac:dyDescent="0.3">
      <c r="A3" s="1" t="s">
        <v>19</v>
      </c>
      <c r="B3" s="142">
        <f>+SOCOPAT!B4</f>
        <v>44075</v>
      </c>
      <c r="C3" s="8"/>
      <c r="M3" s="37"/>
    </row>
    <row r="4" spans="1:15" ht="15" x14ac:dyDescent="0.25">
      <c r="A4" s="8"/>
      <c r="B4" s="8"/>
      <c r="C4" s="8"/>
      <c r="K4" s="1586" t="s">
        <v>862</v>
      </c>
      <c r="L4" s="1587">
        <v>8789671</v>
      </c>
    </row>
    <row r="5" spans="1:15" ht="19.5" customHeight="1" x14ac:dyDescent="0.25">
      <c r="A5" s="8"/>
      <c r="B5" s="8"/>
      <c r="C5" s="8"/>
      <c r="O5" s="388" t="s">
        <v>190</v>
      </c>
    </row>
    <row r="6" spans="1:15" ht="13.5" x14ac:dyDescent="0.25">
      <c r="A6" s="8"/>
      <c r="B6" s="8"/>
      <c r="C6" s="8"/>
    </row>
    <row r="7" spans="1:15" ht="16.5" customHeight="1" x14ac:dyDescent="0.2">
      <c r="A7" s="100" t="s">
        <v>3</v>
      </c>
      <c r="B7" s="1726" t="s">
        <v>15</v>
      </c>
      <c r="C7" s="1727"/>
      <c r="D7" s="1726" t="s">
        <v>16</v>
      </c>
      <c r="E7" s="1727"/>
      <c r="F7" s="1726" t="s">
        <v>17</v>
      </c>
      <c r="G7" s="1727"/>
      <c r="H7" s="2910" t="s">
        <v>52</v>
      </c>
      <c r="I7" s="2910" t="s">
        <v>53</v>
      </c>
      <c r="J7" s="2910" t="s">
        <v>119</v>
      </c>
      <c r="K7" s="2910" t="s">
        <v>18</v>
      </c>
      <c r="L7" s="3062" t="s">
        <v>416</v>
      </c>
      <c r="M7" s="3065" t="s">
        <v>223</v>
      </c>
      <c r="N7" s="2910" t="s">
        <v>55</v>
      </c>
      <c r="O7" s="2910" t="s">
        <v>120</v>
      </c>
    </row>
    <row r="8" spans="1:15" ht="25.5" customHeight="1" x14ac:dyDescent="0.2">
      <c r="A8" s="103"/>
      <c r="B8" s="915">
        <v>630</v>
      </c>
      <c r="C8" s="916"/>
      <c r="D8" s="915">
        <v>575</v>
      </c>
      <c r="E8" s="916"/>
      <c r="F8" s="915">
        <v>350</v>
      </c>
      <c r="G8" s="916"/>
      <c r="H8" s="3059"/>
      <c r="I8" s="3059"/>
      <c r="J8" s="3059"/>
      <c r="K8" s="3059"/>
      <c r="L8" s="3063"/>
      <c r="M8" s="3066"/>
      <c r="N8" s="2911"/>
      <c r="O8" s="2911"/>
    </row>
    <row r="9" spans="1:15" ht="16.5" x14ac:dyDescent="0.2">
      <c r="A9" s="105"/>
      <c r="B9" s="106" t="s">
        <v>56</v>
      </c>
      <c r="C9" s="106"/>
      <c r="D9" s="107" t="s">
        <v>56</v>
      </c>
      <c r="E9" s="106"/>
      <c r="F9" s="106" t="s">
        <v>56</v>
      </c>
      <c r="G9" s="106" t="s">
        <v>37</v>
      </c>
      <c r="H9" s="2911"/>
      <c r="I9" s="2911"/>
      <c r="J9" s="2911"/>
      <c r="K9" s="2911"/>
      <c r="L9" s="3064"/>
      <c r="M9" s="108"/>
      <c r="N9" s="276"/>
      <c r="O9" s="109">
        <f>N9</f>
        <v>0</v>
      </c>
    </row>
    <row r="10" spans="1:15" ht="16.5" x14ac:dyDescent="0.25">
      <c r="A10" s="110">
        <f>+KONGFU!A9</f>
        <v>44105</v>
      </c>
      <c r="B10" s="114">
        <f>+C10/B$8</f>
        <v>0</v>
      </c>
      <c r="C10" s="86"/>
      <c r="D10" s="114">
        <f t="shared" ref="D10:D40" si="0">+E10/520</f>
        <v>0</v>
      </c>
      <c r="E10" s="86"/>
      <c r="F10" s="111">
        <f>+G10/F$8</f>
        <v>0</v>
      </c>
      <c r="G10" s="114"/>
      <c r="H10" s="114"/>
      <c r="I10" s="114"/>
      <c r="J10" s="114"/>
      <c r="K10" s="115">
        <f>C10+E10+G10+H10+I10+J10</f>
        <v>0</v>
      </c>
      <c r="L10" s="115"/>
      <c r="M10" s="113"/>
      <c r="N10" s="114">
        <f>K10-M10</f>
        <v>0</v>
      </c>
      <c r="O10" s="114">
        <f>+O9+K10-M10</f>
        <v>0</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115"/>
      <c r="M11" s="86"/>
      <c r="N11" s="114">
        <f t="shared" ref="N11:N38" si="4">K11-M11</f>
        <v>0</v>
      </c>
      <c r="O11" s="114">
        <f t="shared" ref="O11:O38" si="5">+O10+K11-M11</f>
        <v>0</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804"/>
      <c r="M12" s="86"/>
      <c r="N12" s="114">
        <f t="shared" si="4"/>
        <v>0</v>
      </c>
      <c r="O12" s="114">
        <f t="shared" si="5"/>
        <v>0</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115"/>
      <c r="M13" s="86"/>
      <c r="N13" s="114">
        <f t="shared" si="4"/>
        <v>0</v>
      </c>
      <c r="O13" s="114">
        <f t="shared" si="5"/>
        <v>0</v>
      </c>
    </row>
    <row r="14" spans="1:15" ht="16.5" x14ac:dyDescent="0.25">
      <c r="A14" s="110">
        <f t="shared" si="6"/>
        <v>44109</v>
      </c>
      <c r="B14" s="114">
        <f t="shared" si="1"/>
        <v>0</v>
      </c>
      <c r="C14" s="86"/>
      <c r="D14" s="114">
        <f t="shared" si="0"/>
        <v>0</v>
      </c>
      <c r="E14" s="86"/>
      <c r="F14" s="111">
        <f t="shared" si="2"/>
        <v>0</v>
      </c>
      <c r="G14" s="114"/>
      <c r="H14" s="114"/>
      <c r="I14" s="114"/>
      <c r="J14" s="114"/>
      <c r="K14" s="115">
        <f t="shared" si="3"/>
        <v>0</v>
      </c>
      <c r="L14" s="115"/>
      <c r="M14" s="86"/>
      <c r="N14" s="114">
        <f t="shared" si="4"/>
        <v>0</v>
      </c>
      <c r="O14" s="114">
        <f t="shared" si="5"/>
        <v>0</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115"/>
      <c r="M15" s="86"/>
      <c r="N15" s="114">
        <f t="shared" si="4"/>
        <v>0</v>
      </c>
      <c r="O15" s="114">
        <f t="shared" si="5"/>
        <v>0</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115"/>
      <c r="M16" s="86"/>
      <c r="N16" s="114">
        <f t="shared" si="4"/>
        <v>0</v>
      </c>
      <c r="O16" s="114">
        <f t="shared" si="5"/>
        <v>0</v>
      </c>
    </row>
    <row r="17" spans="1:17" ht="16.5" x14ac:dyDescent="0.25">
      <c r="A17" s="110">
        <f t="shared" si="6"/>
        <v>44112</v>
      </c>
      <c r="B17" s="114">
        <f t="shared" si="1"/>
        <v>0</v>
      </c>
      <c r="C17" s="86"/>
      <c r="D17" s="114">
        <f t="shared" si="0"/>
        <v>0</v>
      </c>
      <c r="E17" s="86"/>
      <c r="F17" s="111">
        <f t="shared" si="2"/>
        <v>0</v>
      </c>
      <c r="G17" s="114"/>
      <c r="H17" s="114"/>
      <c r="I17" s="114"/>
      <c r="J17" s="114"/>
      <c r="K17" s="115">
        <f t="shared" si="3"/>
        <v>0</v>
      </c>
      <c r="L17" s="115"/>
      <c r="M17" s="86"/>
      <c r="N17" s="114">
        <f t="shared" si="4"/>
        <v>0</v>
      </c>
      <c r="O17" s="114">
        <f t="shared" si="5"/>
        <v>0</v>
      </c>
    </row>
    <row r="18" spans="1:17" ht="16.5" x14ac:dyDescent="0.25">
      <c r="A18" s="110">
        <f t="shared" si="6"/>
        <v>44113</v>
      </c>
      <c r="B18" s="114">
        <f t="shared" si="1"/>
        <v>0</v>
      </c>
      <c r="C18" s="86"/>
      <c r="D18" s="114">
        <f t="shared" si="0"/>
        <v>0</v>
      </c>
      <c r="E18" s="86"/>
      <c r="F18" s="111">
        <f t="shared" si="2"/>
        <v>0</v>
      </c>
      <c r="G18" s="118"/>
      <c r="H18" s="118"/>
      <c r="I18" s="118"/>
      <c r="J18" s="118"/>
      <c r="K18" s="115">
        <f t="shared" si="3"/>
        <v>0</v>
      </c>
      <c r="L18" s="115" t="s">
        <v>1164</v>
      </c>
      <c r="M18" s="86"/>
      <c r="N18" s="114">
        <f t="shared" si="4"/>
        <v>0</v>
      </c>
      <c r="O18" s="118">
        <f t="shared" si="5"/>
        <v>0</v>
      </c>
    </row>
    <row r="19" spans="1:17" ht="16.5" x14ac:dyDescent="0.25">
      <c r="A19" s="110">
        <f t="shared" si="6"/>
        <v>44114</v>
      </c>
      <c r="B19" s="114">
        <f t="shared" si="1"/>
        <v>0</v>
      </c>
      <c r="C19" s="86"/>
      <c r="D19" s="114">
        <f t="shared" si="0"/>
        <v>0</v>
      </c>
      <c r="E19" s="86"/>
      <c r="F19" s="111">
        <f t="shared" si="2"/>
        <v>0</v>
      </c>
      <c r="G19" s="118"/>
      <c r="H19" s="118"/>
      <c r="I19" s="118"/>
      <c r="J19" s="118"/>
      <c r="K19" s="115">
        <f>C19+E19+G19+H19+I19+J19</f>
        <v>0</v>
      </c>
      <c r="L19" s="115"/>
      <c r="M19" s="86"/>
      <c r="N19" s="114">
        <f t="shared" si="4"/>
        <v>0</v>
      </c>
      <c r="O19" s="118">
        <f t="shared" si="5"/>
        <v>0</v>
      </c>
    </row>
    <row r="20" spans="1:17" ht="16.5" x14ac:dyDescent="0.25">
      <c r="A20" s="110">
        <f t="shared" si="6"/>
        <v>44115</v>
      </c>
      <c r="B20" s="114">
        <f t="shared" si="1"/>
        <v>0</v>
      </c>
      <c r="C20" s="86"/>
      <c r="D20" s="114">
        <f>+E20/520</f>
        <v>0</v>
      </c>
      <c r="E20" s="86"/>
      <c r="F20" s="111">
        <f t="shared" si="2"/>
        <v>0</v>
      </c>
      <c r="G20" s="118"/>
      <c r="H20" s="118"/>
      <c r="I20" s="118"/>
      <c r="J20" s="118"/>
      <c r="K20" s="115">
        <f t="shared" si="3"/>
        <v>0</v>
      </c>
      <c r="L20" s="115"/>
      <c r="M20" s="86"/>
      <c r="N20" s="114">
        <f t="shared" si="4"/>
        <v>0</v>
      </c>
      <c r="O20" s="118">
        <f t="shared" si="5"/>
        <v>0</v>
      </c>
    </row>
    <row r="21" spans="1:17" ht="16.5" x14ac:dyDescent="0.25">
      <c r="A21" s="110">
        <f t="shared" si="6"/>
        <v>44116</v>
      </c>
      <c r="B21" s="114">
        <f t="shared" si="1"/>
        <v>0</v>
      </c>
      <c r="C21" s="86"/>
      <c r="D21" s="114">
        <f t="shared" si="0"/>
        <v>0</v>
      </c>
      <c r="E21" s="86"/>
      <c r="F21" s="111">
        <f t="shared" si="2"/>
        <v>0</v>
      </c>
      <c r="G21" s="118"/>
      <c r="H21" s="118"/>
      <c r="I21" s="118"/>
      <c r="J21" s="118"/>
      <c r="K21" s="115">
        <f t="shared" si="3"/>
        <v>0</v>
      </c>
      <c r="L21" s="115"/>
      <c r="M21" s="86"/>
      <c r="N21" s="114">
        <f t="shared" si="4"/>
        <v>0</v>
      </c>
      <c r="O21" s="118">
        <f>+O20+K21-M21</f>
        <v>0</v>
      </c>
    </row>
    <row r="22" spans="1:17" ht="16.5" x14ac:dyDescent="0.25">
      <c r="A22" s="110">
        <f t="shared" si="6"/>
        <v>44117</v>
      </c>
      <c r="B22" s="114">
        <f t="shared" si="1"/>
        <v>0</v>
      </c>
      <c r="C22" s="86"/>
      <c r="D22" s="114">
        <f t="shared" si="0"/>
        <v>0</v>
      </c>
      <c r="E22" s="86"/>
      <c r="F22" s="111">
        <f t="shared" si="2"/>
        <v>0</v>
      </c>
      <c r="G22" s="118"/>
      <c r="H22" s="118"/>
      <c r="I22" s="118"/>
      <c r="J22" s="118"/>
      <c r="K22" s="115">
        <f t="shared" si="3"/>
        <v>0</v>
      </c>
      <c r="L22" s="115"/>
      <c r="M22" s="86"/>
      <c r="N22" s="114">
        <f t="shared" si="4"/>
        <v>0</v>
      </c>
      <c r="O22" s="118">
        <f t="shared" si="5"/>
        <v>0</v>
      </c>
    </row>
    <row r="23" spans="1:17" ht="16.5" x14ac:dyDescent="0.25">
      <c r="A23" s="110">
        <f t="shared" si="6"/>
        <v>44118</v>
      </c>
      <c r="B23" s="114">
        <f t="shared" si="1"/>
        <v>0</v>
      </c>
      <c r="C23" s="86"/>
      <c r="D23" s="114">
        <f>+E23/520</f>
        <v>0</v>
      </c>
      <c r="E23" s="86"/>
      <c r="F23" s="111">
        <f t="shared" si="2"/>
        <v>0</v>
      </c>
      <c r="G23" s="118"/>
      <c r="H23" s="118"/>
      <c r="I23" s="118"/>
      <c r="J23" s="118"/>
      <c r="K23" s="115">
        <f t="shared" si="3"/>
        <v>0</v>
      </c>
      <c r="L23" s="115"/>
      <c r="M23" s="86"/>
      <c r="N23" s="114">
        <f t="shared" si="4"/>
        <v>0</v>
      </c>
      <c r="O23" s="118">
        <f t="shared" si="5"/>
        <v>0</v>
      </c>
    </row>
    <row r="24" spans="1:17" ht="16.5" x14ac:dyDescent="0.25">
      <c r="A24" s="110">
        <f t="shared" si="6"/>
        <v>44119</v>
      </c>
      <c r="B24" s="114">
        <f t="shared" si="1"/>
        <v>0</v>
      </c>
      <c r="C24" s="86"/>
      <c r="D24" s="114">
        <f t="shared" si="0"/>
        <v>0</v>
      </c>
      <c r="E24" s="86"/>
      <c r="F24" s="111">
        <f t="shared" si="2"/>
        <v>0</v>
      </c>
      <c r="G24" s="118"/>
      <c r="H24" s="118"/>
      <c r="I24" s="118"/>
      <c r="J24" s="118"/>
      <c r="K24" s="115">
        <f t="shared" si="3"/>
        <v>0</v>
      </c>
      <c r="L24" s="115"/>
      <c r="M24" s="86"/>
      <c r="N24" s="114">
        <f t="shared" si="4"/>
        <v>0</v>
      </c>
      <c r="O24" s="118">
        <f t="shared" si="5"/>
        <v>0</v>
      </c>
    </row>
    <row r="25" spans="1:17" ht="16.5" x14ac:dyDescent="0.25">
      <c r="A25" s="110">
        <f t="shared" si="6"/>
        <v>44120</v>
      </c>
      <c r="B25" s="114">
        <f t="shared" si="1"/>
        <v>0</v>
      </c>
      <c r="C25" s="86"/>
      <c r="D25" s="114">
        <f t="shared" si="0"/>
        <v>0</v>
      </c>
      <c r="E25" s="86"/>
      <c r="F25" s="111">
        <f t="shared" si="2"/>
        <v>0</v>
      </c>
      <c r="G25" s="118"/>
      <c r="H25" s="118"/>
      <c r="I25" s="118"/>
      <c r="J25" s="118"/>
      <c r="K25" s="115">
        <f t="shared" si="3"/>
        <v>0</v>
      </c>
      <c r="L25" s="115"/>
      <c r="M25" s="86"/>
      <c r="N25" s="118">
        <f t="shared" si="4"/>
        <v>0</v>
      </c>
      <c r="O25" s="118">
        <f t="shared" si="5"/>
        <v>0</v>
      </c>
    </row>
    <row r="26" spans="1:17" ht="16.5" x14ac:dyDescent="0.25">
      <c r="A26" s="110">
        <f t="shared" si="6"/>
        <v>44121</v>
      </c>
      <c r="B26" s="114">
        <f t="shared" si="1"/>
        <v>0</v>
      </c>
      <c r="C26" s="86"/>
      <c r="D26" s="114">
        <f t="shared" si="0"/>
        <v>0</v>
      </c>
      <c r="E26" s="86"/>
      <c r="F26" s="111">
        <f t="shared" si="2"/>
        <v>0</v>
      </c>
      <c r="G26" s="118"/>
      <c r="H26" s="118"/>
      <c r="I26" s="118"/>
      <c r="J26" s="118"/>
      <c r="K26" s="115">
        <f t="shared" si="3"/>
        <v>0</v>
      </c>
      <c r="L26" s="115"/>
      <c r="M26" s="86"/>
      <c r="N26" s="118">
        <f t="shared" si="4"/>
        <v>0</v>
      </c>
      <c r="O26" s="118">
        <f t="shared" si="5"/>
        <v>0</v>
      </c>
    </row>
    <row r="27" spans="1:17" ht="16.5" x14ac:dyDescent="0.25">
      <c r="A27" s="110">
        <f t="shared" si="6"/>
        <v>44122</v>
      </c>
      <c r="B27" s="114">
        <f t="shared" si="1"/>
        <v>0</v>
      </c>
      <c r="C27" s="86"/>
      <c r="D27" s="114">
        <f t="shared" si="0"/>
        <v>0</v>
      </c>
      <c r="E27" s="86"/>
      <c r="F27" s="111">
        <f t="shared" si="2"/>
        <v>0</v>
      </c>
      <c r="G27" s="118"/>
      <c r="H27" s="118"/>
      <c r="I27" s="118"/>
      <c r="J27" s="118"/>
      <c r="K27" s="115">
        <f t="shared" si="3"/>
        <v>0</v>
      </c>
      <c r="L27" s="115"/>
      <c r="M27" s="86"/>
      <c r="N27" s="118">
        <f t="shared" si="4"/>
        <v>0</v>
      </c>
      <c r="O27" s="118">
        <f t="shared" si="5"/>
        <v>0</v>
      </c>
      <c r="Q27" s="281"/>
    </row>
    <row r="28" spans="1:17" ht="16.5" x14ac:dyDescent="0.25">
      <c r="A28" s="110">
        <f t="shared" si="6"/>
        <v>44123</v>
      </c>
      <c r="B28" s="114">
        <f t="shared" si="1"/>
        <v>0</v>
      </c>
      <c r="C28" s="86"/>
      <c r="D28" s="114">
        <f t="shared" si="0"/>
        <v>0</v>
      </c>
      <c r="E28" s="86"/>
      <c r="F28" s="111">
        <f t="shared" si="2"/>
        <v>0</v>
      </c>
      <c r="G28" s="118"/>
      <c r="H28" s="118"/>
      <c r="I28" s="118"/>
      <c r="J28" s="118"/>
      <c r="K28" s="115">
        <f t="shared" si="3"/>
        <v>0</v>
      </c>
      <c r="L28" s="115"/>
      <c r="M28" s="1716"/>
      <c r="N28" s="118">
        <f t="shared" si="4"/>
        <v>0</v>
      </c>
      <c r="O28" s="118">
        <f t="shared" si="5"/>
        <v>0</v>
      </c>
      <c r="P28" s="281">
        <f>+Q28-D28</f>
        <v>12324</v>
      </c>
      <c r="Q28" s="39">
        <v>12324</v>
      </c>
    </row>
    <row r="29" spans="1:17" ht="16.5" x14ac:dyDescent="0.25">
      <c r="A29" s="110">
        <f t="shared" si="6"/>
        <v>44124</v>
      </c>
      <c r="B29" s="114">
        <f t="shared" si="1"/>
        <v>0</v>
      </c>
      <c r="C29" s="86"/>
      <c r="D29" s="114">
        <f t="shared" si="0"/>
        <v>0</v>
      </c>
      <c r="E29" s="86"/>
      <c r="F29" s="111">
        <f t="shared" si="2"/>
        <v>0</v>
      </c>
      <c r="G29" s="118"/>
      <c r="H29" s="118"/>
      <c r="I29" s="118"/>
      <c r="J29" s="118"/>
      <c r="K29" s="115">
        <f t="shared" si="3"/>
        <v>0</v>
      </c>
      <c r="L29" s="115"/>
      <c r="M29" s="86"/>
      <c r="N29" s="118">
        <f t="shared" si="4"/>
        <v>0</v>
      </c>
      <c r="O29" s="118">
        <f t="shared" si="5"/>
        <v>0</v>
      </c>
      <c r="P29" s="281">
        <f t="shared" ref="P29:P39" si="7">+Q29-D29</f>
        <v>0</v>
      </c>
    </row>
    <row r="30" spans="1:17" ht="16.5" x14ac:dyDescent="0.25">
      <c r="A30" s="110">
        <f t="shared" si="6"/>
        <v>44125</v>
      </c>
      <c r="B30" s="114">
        <f t="shared" si="1"/>
        <v>0</v>
      </c>
      <c r="C30" s="86"/>
      <c r="D30" s="114">
        <f t="shared" si="0"/>
        <v>0</v>
      </c>
      <c r="E30" s="86"/>
      <c r="F30" s="111">
        <f t="shared" si="2"/>
        <v>0</v>
      </c>
      <c r="G30" s="118"/>
      <c r="H30" s="118"/>
      <c r="I30" s="118"/>
      <c r="J30" s="118"/>
      <c r="K30" s="115">
        <f t="shared" si="3"/>
        <v>0</v>
      </c>
      <c r="L30" s="115"/>
      <c r="M30" s="86"/>
      <c r="N30" s="118">
        <f t="shared" si="4"/>
        <v>0</v>
      </c>
      <c r="O30" s="118">
        <f t="shared" si="5"/>
        <v>0</v>
      </c>
      <c r="P30" s="281">
        <f t="shared" si="7"/>
        <v>0</v>
      </c>
    </row>
    <row r="31" spans="1:17" s="250" customFormat="1" ht="16.5" x14ac:dyDescent="0.25">
      <c r="A31" s="827">
        <f t="shared" si="6"/>
        <v>44126</v>
      </c>
      <c r="B31" s="118">
        <f t="shared" si="1"/>
        <v>0</v>
      </c>
      <c r="C31" s="86"/>
      <c r="D31" s="118">
        <f t="shared" si="0"/>
        <v>0</v>
      </c>
      <c r="E31" s="86"/>
      <c r="F31" s="117">
        <f t="shared" si="2"/>
        <v>0</v>
      </c>
      <c r="G31" s="118"/>
      <c r="H31" s="118"/>
      <c r="I31" s="118"/>
      <c r="J31" s="118"/>
      <c r="K31" s="134">
        <f t="shared" si="3"/>
        <v>0</v>
      </c>
      <c r="L31" s="134"/>
      <c r="M31" s="86"/>
      <c r="N31" s="118">
        <f t="shared" si="4"/>
        <v>0</v>
      </c>
      <c r="O31" s="118">
        <f>+O30+K31-M31</f>
        <v>0</v>
      </c>
      <c r="P31" s="281">
        <f t="shared" si="7"/>
        <v>0</v>
      </c>
    </row>
    <row r="32" spans="1:17" ht="16.5" x14ac:dyDescent="0.25">
      <c r="A32" s="110">
        <f t="shared" si="6"/>
        <v>44127</v>
      </c>
      <c r="B32" s="114">
        <f t="shared" si="1"/>
        <v>0</v>
      </c>
      <c r="C32" s="86"/>
      <c r="D32" s="114">
        <f t="shared" si="0"/>
        <v>0</v>
      </c>
      <c r="E32" s="86"/>
      <c r="F32" s="111">
        <f t="shared" si="2"/>
        <v>0</v>
      </c>
      <c r="G32" s="118"/>
      <c r="H32" s="118"/>
      <c r="I32" s="118"/>
      <c r="J32" s="118"/>
      <c r="K32" s="115">
        <f t="shared" si="3"/>
        <v>0</v>
      </c>
      <c r="L32" s="115"/>
      <c r="M32" s="86"/>
      <c r="N32" s="118">
        <f t="shared" si="4"/>
        <v>0</v>
      </c>
      <c r="O32" s="118">
        <f t="shared" si="5"/>
        <v>0</v>
      </c>
      <c r="P32" s="281">
        <f t="shared" si="7"/>
        <v>0</v>
      </c>
    </row>
    <row r="33" spans="1:16" ht="16.5" x14ac:dyDescent="0.25">
      <c r="A33" s="110">
        <f t="shared" si="6"/>
        <v>44128</v>
      </c>
      <c r="B33" s="114">
        <f t="shared" si="1"/>
        <v>0</v>
      </c>
      <c r="C33" s="86"/>
      <c r="D33" s="114">
        <f t="shared" si="0"/>
        <v>0</v>
      </c>
      <c r="E33" s="86"/>
      <c r="F33" s="111">
        <f t="shared" si="2"/>
        <v>0</v>
      </c>
      <c r="G33" s="114"/>
      <c r="H33" s="114"/>
      <c r="I33" s="114"/>
      <c r="J33" s="114"/>
      <c r="K33" s="115">
        <f t="shared" si="3"/>
        <v>0</v>
      </c>
      <c r="L33" s="115"/>
      <c r="M33" s="86"/>
      <c r="N33" s="114">
        <f t="shared" si="4"/>
        <v>0</v>
      </c>
      <c r="O33" s="114">
        <f t="shared" si="5"/>
        <v>0</v>
      </c>
      <c r="P33" s="281">
        <f t="shared" si="7"/>
        <v>0</v>
      </c>
    </row>
    <row r="34" spans="1:16" ht="16.5" x14ac:dyDescent="0.25">
      <c r="A34" s="110">
        <f t="shared" si="6"/>
        <v>44129</v>
      </c>
      <c r="B34" s="114">
        <f t="shared" si="1"/>
        <v>0</v>
      </c>
      <c r="C34" s="86"/>
      <c r="D34" s="114">
        <f t="shared" si="0"/>
        <v>0</v>
      </c>
      <c r="E34" s="86"/>
      <c r="F34" s="111">
        <f t="shared" si="2"/>
        <v>0</v>
      </c>
      <c r="G34" s="114"/>
      <c r="H34" s="114"/>
      <c r="I34" s="114"/>
      <c r="J34" s="114"/>
      <c r="K34" s="115">
        <f t="shared" si="3"/>
        <v>0</v>
      </c>
      <c r="L34" s="115"/>
      <c r="M34" s="86"/>
      <c r="N34" s="114">
        <f t="shared" si="4"/>
        <v>0</v>
      </c>
      <c r="O34" s="114">
        <f t="shared" si="5"/>
        <v>0</v>
      </c>
      <c r="P34" s="281">
        <f t="shared" si="7"/>
        <v>0</v>
      </c>
    </row>
    <row r="35" spans="1:16" ht="16.5" x14ac:dyDescent="0.25">
      <c r="A35" s="110">
        <f t="shared" si="6"/>
        <v>44130</v>
      </c>
      <c r="B35" s="114">
        <f t="shared" si="1"/>
        <v>0</v>
      </c>
      <c r="C35" s="86"/>
      <c r="D35" s="114">
        <f t="shared" si="0"/>
        <v>0</v>
      </c>
      <c r="E35" s="86"/>
      <c r="F35" s="111">
        <f t="shared" si="2"/>
        <v>0</v>
      </c>
      <c r="G35" s="114"/>
      <c r="H35" s="114"/>
      <c r="I35" s="114"/>
      <c r="J35" s="114"/>
      <c r="K35" s="115">
        <f t="shared" si="3"/>
        <v>0</v>
      </c>
      <c r="L35" s="115"/>
      <c r="M35" s="86"/>
      <c r="N35" s="114">
        <f t="shared" si="4"/>
        <v>0</v>
      </c>
      <c r="O35" s="114">
        <f t="shared" si="5"/>
        <v>0</v>
      </c>
      <c r="P35" s="281">
        <f t="shared" si="7"/>
        <v>0</v>
      </c>
    </row>
    <row r="36" spans="1:16" ht="16.5" x14ac:dyDescent="0.25">
      <c r="A36" s="110">
        <f t="shared" si="6"/>
        <v>44131</v>
      </c>
      <c r="B36" s="114">
        <f t="shared" si="1"/>
        <v>0</v>
      </c>
      <c r="C36" s="86"/>
      <c r="D36" s="114">
        <f t="shared" si="0"/>
        <v>0</v>
      </c>
      <c r="E36" s="86"/>
      <c r="F36" s="111">
        <f t="shared" si="2"/>
        <v>0</v>
      </c>
      <c r="G36" s="114"/>
      <c r="H36" s="114"/>
      <c r="I36" s="114"/>
      <c r="J36" s="114"/>
      <c r="K36" s="115">
        <f t="shared" si="3"/>
        <v>0</v>
      </c>
      <c r="L36" s="115"/>
      <c r="M36" s="113"/>
      <c r="N36" s="114">
        <f t="shared" si="4"/>
        <v>0</v>
      </c>
      <c r="O36" s="114">
        <f t="shared" si="5"/>
        <v>0</v>
      </c>
      <c r="P36" s="281">
        <f t="shared" si="7"/>
        <v>0</v>
      </c>
    </row>
    <row r="37" spans="1:16" ht="16.5" x14ac:dyDescent="0.25">
      <c r="A37" s="110">
        <f t="shared" si="6"/>
        <v>44132</v>
      </c>
      <c r="B37" s="114">
        <f t="shared" si="1"/>
        <v>0</v>
      </c>
      <c r="C37" s="86"/>
      <c r="D37" s="114">
        <f t="shared" si="0"/>
        <v>0</v>
      </c>
      <c r="E37" s="86"/>
      <c r="F37" s="111">
        <f t="shared" si="2"/>
        <v>0</v>
      </c>
      <c r="G37" s="114"/>
      <c r="H37" s="114"/>
      <c r="I37" s="114"/>
      <c r="J37" s="114"/>
      <c r="K37" s="115">
        <f t="shared" si="3"/>
        <v>0</v>
      </c>
      <c r="L37" s="115"/>
      <c r="M37" s="113"/>
      <c r="N37" s="114">
        <f t="shared" si="4"/>
        <v>0</v>
      </c>
      <c r="O37" s="114">
        <f t="shared" si="5"/>
        <v>0</v>
      </c>
      <c r="P37" s="281">
        <f t="shared" si="7"/>
        <v>0</v>
      </c>
    </row>
    <row r="38" spans="1:16" ht="16.5" x14ac:dyDescent="0.25">
      <c r="A38" s="110">
        <f t="shared" si="6"/>
        <v>44133</v>
      </c>
      <c r="B38" s="114">
        <f t="shared" si="1"/>
        <v>0</v>
      </c>
      <c r="C38" s="113"/>
      <c r="D38" s="114">
        <f t="shared" si="0"/>
        <v>0</v>
      </c>
      <c r="E38" s="86"/>
      <c r="F38" s="111">
        <f t="shared" si="2"/>
        <v>0</v>
      </c>
      <c r="G38" s="114"/>
      <c r="H38" s="114"/>
      <c r="I38" s="114"/>
      <c r="J38" s="114"/>
      <c r="K38" s="115">
        <f t="shared" si="3"/>
        <v>0</v>
      </c>
      <c r="L38" s="115"/>
      <c r="M38" s="113"/>
      <c r="N38" s="114">
        <f t="shared" si="4"/>
        <v>0</v>
      </c>
      <c r="O38" s="114">
        <f t="shared" si="5"/>
        <v>0</v>
      </c>
      <c r="P38" s="281">
        <f t="shared" si="7"/>
        <v>0</v>
      </c>
    </row>
    <row r="39" spans="1:16" ht="16.5" x14ac:dyDescent="0.25">
      <c r="A39" s="110">
        <f t="shared" si="6"/>
        <v>44134</v>
      </c>
      <c r="B39" s="114">
        <f t="shared" si="1"/>
        <v>0</v>
      </c>
      <c r="C39" s="113"/>
      <c r="D39" s="114">
        <f t="shared" si="0"/>
        <v>0</v>
      </c>
      <c r="E39" s="113"/>
      <c r="F39" s="111">
        <f t="shared" si="2"/>
        <v>0</v>
      </c>
      <c r="G39" s="114"/>
      <c r="H39" s="114"/>
      <c r="I39" s="114"/>
      <c r="J39" s="114"/>
      <c r="K39" s="115">
        <f t="shared" si="3"/>
        <v>0</v>
      </c>
      <c r="L39" s="115"/>
      <c r="M39" s="113"/>
      <c r="N39" s="114">
        <f>K39-M39</f>
        <v>0</v>
      </c>
      <c r="O39" s="114">
        <f>+O38+K39-M39</f>
        <v>0</v>
      </c>
      <c r="P39" s="281">
        <f t="shared" si="7"/>
        <v>0</v>
      </c>
    </row>
    <row r="40" spans="1:16" ht="16.5" x14ac:dyDescent="0.25">
      <c r="A40" s="110">
        <f t="shared" si="6"/>
        <v>44135</v>
      </c>
      <c r="B40" s="114">
        <f t="shared" si="1"/>
        <v>0</v>
      </c>
      <c r="C40" s="113"/>
      <c r="D40" s="114">
        <f t="shared" si="0"/>
        <v>0</v>
      </c>
      <c r="E40" s="113"/>
      <c r="F40" s="111">
        <f t="shared" si="2"/>
        <v>0</v>
      </c>
      <c r="G40" s="114"/>
      <c r="H40" s="114"/>
      <c r="I40" s="114"/>
      <c r="J40" s="114"/>
      <c r="K40" s="115">
        <f t="shared" si="3"/>
        <v>0</v>
      </c>
      <c r="L40" s="115"/>
      <c r="M40" s="113"/>
      <c r="N40" s="114">
        <f>K40-M40</f>
        <v>0</v>
      </c>
      <c r="O40" s="120">
        <f>+O39+K40-M40</f>
        <v>0</v>
      </c>
      <c r="P40" s="281">
        <f>+SUM(P28:P39)</f>
        <v>12324</v>
      </c>
    </row>
    <row r="41" spans="1:16" ht="16.5" x14ac:dyDescent="0.2">
      <c r="A41" s="121" t="s">
        <v>18</v>
      </c>
      <c r="B41" s="115">
        <f t="shared" ref="B41:M41" si="8">SUM(B10:B40)</f>
        <v>0</v>
      </c>
      <c r="C41" s="115">
        <f>SUM(C10:C40)</f>
        <v>0</v>
      </c>
      <c r="D41" s="122">
        <f t="shared" si="8"/>
        <v>0</v>
      </c>
      <c r="E41" s="115">
        <f>SUM(E10:E40)</f>
        <v>0</v>
      </c>
      <c r="F41" s="115">
        <f>SUM(F10:F40)</f>
        <v>0</v>
      </c>
      <c r="G41" s="115">
        <f t="shared" si="8"/>
        <v>0</v>
      </c>
      <c r="H41" s="115">
        <f t="shared" si="8"/>
        <v>0</v>
      </c>
      <c r="I41" s="115">
        <f t="shared" si="8"/>
        <v>0</v>
      </c>
      <c r="J41" s="115">
        <f t="shared" si="8"/>
        <v>0</v>
      </c>
      <c r="K41" s="115">
        <f>SUM(K10:K40)</f>
        <v>0</v>
      </c>
      <c r="L41" s="115"/>
      <c r="M41" s="115">
        <f t="shared" si="8"/>
        <v>0</v>
      </c>
      <c r="N41" s="120">
        <f>SUM(N9:N40)</f>
        <v>0</v>
      </c>
      <c r="O41" s="123"/>
    </row>
    <row r="42" spans="1:16" ht="13.5" x14ac:dyDescent="0.2">
      <c r="A42" s="26"/>
      <c r="B42" s="26"/>
      <c r="C42" s="26"/>
      <c r="D42" s="27"/>
      <c r="E42" s="26"/>
      <c r="F42" s="26"/>
      <c r="G42" s="26"/>
      <c r="H42" s="26"/>
      <c r="I42" s="26"/>
      <c r="J42" s="26"/>
      <c r="K42" s="26"/>
      <c r="L42" s="26"/>
      <c r="M42" s="26"/>
      <c r="N42" s="26"/>
      <c r="O42" s="26"/>
      <c r="P42" s="281"/>
    </row>
    <row r="43" spans="1:16" ht="13.5" x14ac:dyDescent="0.25">
      <c r="A43" s="10" t="s">
        <v>121</v>
      </c>
      <c r="B43" s="10" t="s">
        <v>61</v>
      </c>
      <c r="C43" s="10" t="s">
        <v>122</v>
      </c>
      <c r="D43" s="28" t="s">
        <v>39</v>
      </c>
    </row>
    <row r="44" spans="1:16" ht="13.5" x14ac:dyDescent="0.25">
      <c r="A44" s="10" t="s">
        <v>15</v>
      </c>
      <c r="B44" s="24">
        <f>B41</f>
        <v>0</v>
      </c>
      <c r="C44" s="10"/>
      <c r="D44" s="28">
        <f>B44*C44</f>
        <v>0</v>
      </c>
      <c r="P44" s="281"/>
    </row>
    <row r="45" spans="1:16" ht="13.5" x14ac:dyDescent="0.25">
      <c r="A45" s="10" t="s">
        <v>16</v>
      </c>
      <c r="B45" s="28">
        <f>D41</f>
        <v>0</v>
      </c>
      <c r="C45" s="10"/>
      <c r="D45" s="28">
        <f>B45*C45</f>
        <v>0</v>
      </c>
      <c r="H45" s="21"/>
      <c r="K45" s="21"/>
      <c r="L45" s="21"/>
      <c r="M45" s="21"/>
      <c r="N45" s="21"/>
    </row>
    <row r="46" spans="1:16" ht="13.5" x14ac:dyDescent="0.25">
      <c r="A46" s="10" t="s">
        <v>17</v>
      </c>
      <c r="B46" s="24">
        <f>F41</f>
        <v>0</v>
      </c>
      <c r="C46" s="10"/>
      <c r="D46" s="28">
        <f>B46*C46</f>
        <v>0</v>
      </c>
      <c r="E46" s="14"/>
      <c r="O46" s="21"/>
    </row>
    <row r="47" spans="1:16" ht="13.5" x14ac:dyDescent="0.25">
      <c r="A47" s="33" t="s">
        <v>18</v>
      </c>
      <c r="B47" s="34"/>
      <c r="C47" s="35"/>
      <c r="D47" s="28">
        <f>SUM(D44:D46)</f>
        <v>0</v>
      </c>
      <c r="O47" s="21"/>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3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8">
    <tabColor rgb="FFFF0000"/>
    <pageSetUpPr fitToPage="1"/>
  </sheetPr>
  <dimension ref="A1:N51"/>
  <sheetViews>
    <sheetView zoomScaleNormal="100" workbookViewId="0">
      <selection activeCell="E8" sqref="E8:E14"/>
    </sheetView>
  </sheetViews>
  <sheetFormatPr baseColWidth="10" defaultRowHeight="18" x14ac:dyDescent="0.25"/>
  <cols>
    <col min="1" max="1" width="13.85546875" style="38" customWidth="1"/>
    <col min="2" max="2" width="13.28515625" style="38" customWidth="1"/>
    <col min="3" max="3" width="11.42578125" style="38"/>
    <col min="4" max="4" width="17.140625" style="38" customWidth="1"/>
    <col min="5" max="5" width="18.28515625" style="38" customWidth="1"/>
    <col min="6" max="6" width="11.42578125" style="38"/>
    <col min="7" max="7" width="12.5703125" style="38" bestFit="1" customWidth="1"/>
    <col min="8" max="8" width="11.42578125" style="38"/>
    <col min="9" max="9" width="13.42578125" style="38" bestFit="1" customWidth="1"/>
    <col min="10" max="10" width="19" style="38" bestFit="1" customWidth="1"/>
    <col min="11" max="11" width="17.140625" style="38" customWidth="1"/>
    <col min="12" max="13" width="17.5703125" style="38" customWidth="1"/>
    <col min="14" max="14" width="18.42578125" style="38" bestFit="1" customWidth="1"/>
    <col min="15" max="16384" width="11.42578125" style="38"/>
  </cols>
  <sheetData>
    <row r="1" spans="1:14" ht="18.75" x14ac:dyDescent="0.3">
      <c r="A1" s="36" t="s">
        <v>118</v>
      </c>
      <c r="B1" s="36" t="s">
        <v>269</v>
      </c>
      <c r="H1" s="38">
        <f>22*600</f>
        <v>13200</v>
      </c>
    </row>
    <row r="2" spans="1:14" ht="13.5" customHeight="1" x14ac:dyDescent="0.35">
      <c r="C2" s="159"/>
      <c r="K2" s="148"/>
    </row>
    <row r="3" spans="1:14" ht="16.5" customHeight="1" x14ac:dyDescent="0.3">
      <c r="A3" s="36" t="s">
        <v>19</v>
      </c>
      <c r="B3" s="142">
        <f>+SODITRAT!B4</f>
        <v>44075</v>
      </c>
      <c r="C3" s="36"/>
      <c r="M3" s="37"/>
    </row>
    <row r="4" spans="1:14" ht="13.5" customHeight="1" x14ac:dyDescent="0.3">
      <c r="A4" s="36"/>
      <c r="B4" s="36"/>
      <c r="C4" s="36"/>
    </row>
    <row r="5" spans="1:14" ht="13.5" customHeight="1" x14ac:dyDescent="0.25">
      <c r="A5" s="160" t="s">
        <v>3</v>
      </c>
      <c r="B5" s="161" t="s">
        <v>15</v>
      </c>
      <c r="C5" s="162"/>
      <c r="D5" s="161" t="s">
        <v>16</v>
      </c>
      <c r="E5" s="162"/>
      <c r="F5" s="161" t="s">
        <v>17</v>
      </c>
      <c r="G5" s="162"/>
      <c r="H5" s="2901" t="s">
        <v>52</v>
      </c>
      <c r="I5" s="2901" t="s">
        <v>53</v>
      </c>
      <c r="J5" s="2901" t="s">
        <v>230</v>
      </c>
      <c r="K5" s="2901" t="s">
        <v>18</v>
      </c>
      <c r="L5" s="2901" t="s">
        <v>60</v>
      </c>
      <c r="M5" s="2901" t="s">
        <v>55</v>
      </c>
      <c r="N5" s="2901" t="s">
        <v>120</v>
      </c>
    </row>
    <row r="6" spans="1:14" ht="14.25" customHeight="1" x14ac:dyDescent="0.25">
      <c r="A6" s="163"/>
      <c r="B6" s="915">
        <v>630</v>
      </c>
      <c r="C6" s="916"/>
      <c r="D6" s="915">
        <v>575</v>
      </c>
      <c r="E6" s="916"/>
      <c r="F6" s="915">
        <v>350</v>
      </c>
      <c r="G6" s="916"/>
      <c r="H6" s="3070"/>
      <c r="I6" s="3070"/>
      <c r="J6" s="2902"/>
      <c r="K6" s="2902"/>
      <c r="L6" s="2902"/>
      <c r="M6" s="2902"/>
      <c r="N6" s="2902"/>
    </row>
    <row r="7" spans="1:14" ht="18" customHeight="1" x14ac:dyDescent="0.35">
      <c r="A7" s="165"/>
      <c r="B7" s="166" t="s">
        <v>56</v>
      </c>
      <c r="C7" s="166" t="s">
        <v>37</v>
      </c>
      <c r="D7" s="167" t="s">
        <v>56</v>
      </c>
      <c r="E7" s="166" t="s">
        <v>37</v>
      </c>
      <c r="F7" s="166" t="s">
        <v>56</v>
      </c>
      <c r="G7" s="166" t="s">
        <v>37</v>
      </c>
      <c r="H7" s="348"/>
      <c r="I7" s="348"/>
      <c r="J7" s="181"/>
      <c r="K7" s="181"/>
      <c r="L7" s="182"/>
      <c r="M7" s="183"/>
      <c r="N7" s="168">
        <f>M7</f>
        <v>0</v>
      </c>
    </row>
    <row r="8" spans="1:14" ht="19.5" x14ac:dyDescent="0.25">
      <c r="A8" s="110">
        <f>+ACHOU!A8</f>
        <v>44105</v>
      </c>
      <c r="B8" s="174">
        <f t="shared" ref="B8:B16" si="0">+C8/569</f>
        <v>0</v>
      </c>
      <c r="C8" s="173"/>
      <c r="D8" s="174">
        <f>+E8/D$6</f>
        <v>1050</v>
      </c>
      <c r="E8" s="172">
        <v>603750</v>
      </c>
      <c r="F8" s="169"/>
      <c r="G8" s="172"/>
      <c r="H8" s="172"/>
      <c r="I8" s="172"/>
      <c r="J8" s="172"/>
      <c r="K8" s="173">
        <f t="shared" ref="K8:K38" si="1">C8+E8+G8+H8+I8+J8</f>
        <v>603750</v>
      </c>
      <c r="L8" s="172">
        <v>603750</v>
      </c>
      <c r="M8" s="172">
        <f>K8-L8</f>
        <v>0</v>
      </c>
      <c r="N8" s="172">
        <f>+N7+K8-L8</f>
        <v>0</v>
      </c>
    </row>
    <row r="9" spans="1:14" ht="13.5" customHeight="1" x14ac:dyDescent="0.25">
      <c r="A9" s="110">
        <f>+A8+1</f>
        <v>44106</v>
      </c>
      <c r="B9" s="174">
        <f t="shared" si="0"/>
        <v>0</v>
      </c>
      <c r="C9" s="173"/>
      <c r="D9" s="174">
        <f t="shared" ref="D9:D38" si="2">+E9/D$6</f>
        <v>0</v>
      </c>
      <c r="E9" s="172"/>
      <c r="F9" s="169"/>
      <c r="G9" s="172"/>
      <c r="H9" s="172"/>
      <c r="I9" s="172"/>
      <c r="J9" s="172"/>
      <c r="K9" s="173">
        <f t="shared" si="1"/>
        <v>0</v>
      </c>
      <c r="L9" s="175"/>
      <c r="M9" s="172">
        <f t="shared" ref="M9:M38" si="3">K9-L9</f>
        <v>0</v>
      </c>
      <c r="N9" s="172">
        <f t="shared" ref="N9:N37" si="4">+N8+K9-L9</f>
        <v>0</v>
      </c>
    </row>
    <row r="10" spans="1:14" ht="13.5" customHeight="1" x14ac:dyDescent="0.25">
      <c r="A10" s="110">
        <f t="shared" ref="A10:A38" si="5">+A9+1</f>
        <v>44107</v>
      </c>
      <c r="B10" s="174">
        <f t="shared" si="0"/>
        <v>0</v>
      </c>
      <c r="C10" s="172"/>
      <c r="D10" s="174">
        <f t="shared" si="2"/>
        <v>0</v>
      </c>
      <c r="E10" s="172"/>
      <c r="F10" s="169"/>
      <c r="G10" s="172"/>
      <c r="H10" s="172"/>
      <c r="I10" s="172"/>
      <c r="J10" s="172"/>
      <c r="K10" s="173">
        <f t="shared" si="1"/>
        <v>0</v>
      </c>
      <c r="L10" s="175"/>
      <c r="M10" s="172">
        <f t="shared" si="3"/>
        <v>0</v>
      </c>
      <c r="N10" s="172">
        <f t="shared" si="4"/>
        <v>0</v>
      </c>
    </row>
    <row r="11" spans="1:14" ht="13.5" customHeight="1" x14ac:dyDescent="0.25">
      <c r="A11" s="110">
        <f t="shared" si="5"/>
        <v>44108</v>
      </c>
      <c r="B11" s="174">
        <f t="shared" si="0"/>
        <v>0</v>
      </c>
      <c r="C11" s="172"/>
      <c r="D11" s="174">
        <f t="shared" si="2"/>
        <v>0</v>
      </c>
      <c r="E11" s="172"/>
      <c r="F11" s="169"/>
      <c r="G11" s="172"/>
      <c r="H11" s="172"/>
      <c r="I11" s="172"/>
      <c r="J11" s="172"/>
      <c r="K11" s="173">
        <f t="shared" si="1"/>
        <v>0</v>
      </c>
      <c r="L11" s="175"/>
      <c r="M11" s="172">
        <f t="shared" si="3"/>
        <v>0</v>
      </c>
      <c r="N11" s="172">
        <f t="shared" si="4"/>
        <v>0</v>
      </c>
    </row>
    <row r="12" spans="1:14" ht="13.5" customHeight="1" x14ac:dyDescent="0.25">
      <c r="A12" s="110">
        <f t="shared" si="5"/>
        <v>44109</v>
      </c>
      <c r="B12" s="174">
        <f t="shared" si="0"/>
        <v>0</v>
      </c>
      <c r="C12" s="173"/>
      <c r="D12" s="174">
        <f t="shared" si="2"/>
        <v>0</v>
      </c>
      <c r="E12" s="172"/>
      <c r="F12" s="169"/>
      <c r="G12" s="172"/>
      <c r="H12" s="172"/>
      <c r="I12" s="172"/>
      <c r="J12" s="172"/>
      <c r="K12" s="173">
        <f t="shared" si="1"/>
        <v>0</v>
      </c>
      <c r="L12" s="175"/>
      <c r="M12" s="172">
        <f t="shared" si="3"/>
        <v>0</v>
      </c>
      <c r="N12" s="172">
        <f t="shared" si="4"/>
        <v>0</v>
      </c>
    </row>
    <row r="13" spans="1:14" ht="13.5" customHeight="1" x14ac:dyDescent="0.25">
      <c r="A13" s="110">
        <f t="shared" si="5"/>
        <v>44110</v>
      </c>
      <c r="B13" s="174">
        <f t="shared" si="0"/>
        <v>0</v>
      </c>
      <c r="C13" s="173"/>
      <c r="D13" s="174">
        <f t="shared" si="2"/>
        <v>0</v>
      </c>
      <c r="E13" s="172"/>
      <c r="F13" s="169"/>
      <c r="G13" s="172"/>
      <c r="H13" s="172"/>
      <c r="I13" s="172"/>
      <c r="J13" s="172"/>
      <c r="K13" s="173">
        <f t="shared" si="1"/>
        <v>0</v>
      </c>
      <c r="L13" s="175"/>
      <c r="M13" s="172">
        <f t="shared" si="3"/>
        <v>0</v>
      </c>
      <c r="N13" s="172">
        <f t="shared" si="4"/>
        <v>0</v>
      </c>
    </row>
    <row r="14" spans="1:14" ht="13.5" customHeight="1" x14ac:dyDescent="0.25">
      <c r="A14" s="110">
        <f t="shared" si="5"/>
        <v>44111</v>
      </c>
      <c r="B14" s="174">
        <f t="shared" si="0"/>
        <v>0</v>
      </c>
      <c r="C14" s="172"/>
      <c r="D14" s="174">
        <f t="shared" si="2"/>
        <v>3150</v>
      </c>
      <c r="E14" s="172">
        <v>1811250</v>
      </c>
      <c r="F14" s="169"/>
      <c r="G14" s="172"/>
      <c r="H14" s="172"/>
      <c r="I14" s="172"/>
      <c r="J14" s="172"/>
      <c r="K14" s="173">
        <f t="shared" si="1"/>
        <v>1811250</v>
      </c>
      <c r="L14" s="175">
        <v>1811250</v>
      </c>
      <c r="M14" s="172">
        <f t="shared" si="3"/>
        <v>0</v>
      </c>
      <c r="N14" s="172">
        <f t="shared" si="4"/>
        <v>0</v>
      </c>
    </row>
    <row r="15" spans="1:14" ht="13.5" customHeight="1" x14ac:dyDescent="0.25">
      <c r="A15" s="110">
        <f t="shared" si="5"/>
        <v>44112</v>
      </c>
      <c r="B15" s="174">
        <f t="shared" si="0"/>
        <v>0</v>
      </c>
      <c r="C15" s="172"/>
      <c r="D15" s="174">
        <f t="shared" si="2"/>
        <v>0</v>
      </c>
      <c r="E15" s="172"/>
      <c r="F15" s="169"/>
      <c r="G15" s="172"/>
      <c r="H15" s="172"/>
      <c r="I15" s="172"/>
      <c r="J15" s="172"/>
      <c r="K15" s="173">
        <f t="shared" si="1"/>
        <v>0</v>
      </c>
      <c r="L15" s="175"/>
      <c r="M15" s="172">
        <f t="shared" si="3"/>
        <v>0</v>
      </c>
      <c r="N15" s="172">
        <f t="shared" si="4"/>
        <v>0</v>
      </c>
    </row>
    <row r="16" spans="1:14" ht="13.5" customHeight="1" x14ac:dyDescent="0.25">
      <c r="A16" s="110">
        <f t="shared" si="5"/>
        <v>44113</v>
      </c>
      <c r="B16" s="174">
        <f t="shared" si="0"/>
        <v>0</v>
      </c>
      <c r="C16" s="175"/>
      <c r="D16" s="174">
        <f t="shared" si="2"/>
        <v>0</v>
      </c>
      <c r="E16" s="172"/>
      <c r="F16" s="169"/>
      <c r="G16" s="175"/>
      <c r="H16" s="175"/>
      <c r="I16" s="175"/>
      <c r="J16" s="175"/>
      <c r="K16" s="173">
        <f t="shared" si="1"/>
        <v>0</v>
      </c>
      <c r="L16" s="175"/>
      <c r="M16" s="172"/>
      <c r="N16" s="172">
        <f t="shared" si="4"/>
        <v>0</v>
      </c>
    </row>
    <row r="17" spans="1:14" ht="13.5" customHeight="1" x14ac:dyDescent="0.25">
      <c r="A17" s="110">
        <f t="shared" si="5"/>
        <v>44114</v>
      </c>
      <c r="B17" s="174">
        <f>+C17/569</f>
        <v>0</v>
      </c>
      <c r="C17" s="175"/>
      <c r="D17" s="174">
        <f t="shared" si="2"/>
        <v>0</v>
      </c>
      <c r="E17" s="172"/>
      <c r="F17" s="169"/>
      <c r="G17" s="175"/>
      <c r="H17" s="175"/>
      <c r="I17" s="175"/>
      <c r="J17" s="175"/>
      <c r="K17" s="173">
        <f t="shared" si="1"/>
        <v>0</v>
      </c>
      <c r="L17" s="175"/>
      <c r="M17" s="172">
        <f t="shared" si="3"/>
        <v>0</v>
      </c>
      <c r="N17" s="172">
        <f t="shared" si="4"/>
        <v>0</v>
      </c>
    </row>
    <row r="18" spans="1:14" ht="13.5" customHeight="1" x14ac:dyDescent="0.25">
      <c r="A18" s="110">
        <f t="shared" si="5"/>
        <v>44115</v>
      </c>
      <c r="B18" s="174">
        <f t="shared" ref="B18:B38" si="6">+C18/569</f>
        <v>0</v>
      </c>
      <c r="C18" s="175"/>
      <c r="D18" s="174">
        <f t="shared" si="2"/>
        <v>0</v>
      </c>
      <c r="E18" s="172"/>
      <c r="F18" s="169"/>
      <c r="G18" s="175"/>
      <c r="H18" s="175"/>
      <c r="I18" s="175"/>
      <c r="J18" s="175"/>
      <c r="K18" s="173">
        <f t="shared" si="1"/>
        <v>0</v>
      </c>
      <c r="L18" s="175"/>
      <c r="M18" s="172">
        <f t="shared" si="3"/>
        <v>0</v>
      </c>
      <c r="N18" s="172">
        <f>+N17+K18-L18</f>
        <v>0</v>
      </c>
    </row>
    <row r="19" spans="1:14" ht="13.5" customHeight="1" x14ac:dyDescent="0.25">
      <c r="A19" s="110">
        <f t="shared" si="5"/>
        <v>44116</v>
      </c>
      <c r="B19" s="174">
        <f t="shared" si="6"/>
        <v>0</v>
      </c>
      <c r="C19" s="175"/>
      <c r="D19" s="174">
        <f t="shared" si="2"/>
        <v>0</v>
      </c>
      <c r="E19" s="172"/>
      <c r="F19" s="169"/>
      <c r="G19" s="175"/>
      <c r="H19" s="175"/>
      <c r="I19" s="175"/>
      <c r="J19" s="175"/>
      <c r="K19" s="173">
        <f t="shared" si="1"/>
        <v>0</v>
      </c>
      <c r="L19" s="175"/>
      <c r="M19" s="172">
        <f t="shared" si="3"/>
        <v>0</v>
      </c>
      <c r="N19" s="172">
        <f t="shared" si="4"/>
        <v>0</v>
      </c>
    </row>
    <row r="20" spans="1:14" ht="13.5" customHeight="1" x14ac:dyDescent="0.25">
      <c r="A20" s="110">
        <f t="shared" si="5"/>
        <v>44117</v>
      </c>
      <c r="B20" s="174">
        <f t="shared" si="6"/>
        <v>0</v>
      </c>
      <c r="C20" s="175"/>
      <c r="D20" s="174">
        <f t="shared" si="2"/>
        <v>0</v>
      </c>
      <c r="E20" s="172"/>
      <c r="F20" s="169"/>
      <c r="G20" s="175"/>
      <c r="H20" s="175"/>
      <c r="I20" s="175"/>
      <c r="J20" s="175"/>
      <c r="K20" s="173">
        <f t="shared" si="1"/>
        <v>0</v>
      </c>
      <c r="L20" s="175"/>
      <c r="M20" s="172">
        <f t="shared" si="3"/>
        <v>0</v>
      </c>
      <c r="N20" s="172">
        <f t="shared" si="4"/>
        <v>0</v>
      </c>
    </row>
    <row r="21" spans="1:14" ht="13.5" customHeight="1" x14ac:dyDescent="0.25">
      <c r="A21" s="110">
        <f t="shared" si="5"/>
        <v>44118</v>
      </c>
      <c r="B21" s="174">
        <f t="shared" si="6"/>
        <v>0</v>
      </c>
      <c r="C21" s="175"/>
      <c r="D21" s="174">
        <f t="shared" si="2"/>
        <v>0</v>
      </c>
      <c r="E21" s="172"/>
      <c r="F21" s="169"/>
      <c r="G21" s="175"/>
      <c r="H21" s="175"/>
      <c r="I21" s="175"/>
      <c r="J21" s="175"/>
      <c r="K21" s="173">
        <f t="shared" si="1"/>
        <v>0</v>
      </c>
      <c r="L21" s="175"/>
      <c r="M21" s="172">
        <f t="shared" si="3"/>
        <v>0</v>
      </c>
      <c r="N21" s="172">
        <f t="shared" si="4"/>
        <v>0</v>
      </c>
    </row>
    <row r="22" spans="1:14" ht="13.5" customHeight="1" x14ac:dyDescent="0.25">
      <c r="A22" s="110">
        <f t="shared" si="5"/>
        <v>44119</v>
      </c>
      <c r="B22" s="174">
        <f t="shared" si="6"/>
        <v>0</v>
      </c>
      <c r="C22" s="175"/>
      <c r="D22" s="174">
        <f t="shared" si="2"/>
        <v>0</v>
      </c>
      <c r="E22" s="172"/>
      <c r="F22" s="174"/>
      <c r="G22" s="175"/>
      <c r="H22" s="175"/>
      <c r="I22" s="175"/>
      <c r="J22" s="175"/>
      <c r="K22" s="173">
        <f t="shared" si="1"/>
        <v>0</v>
      </c>
      <c r="L22" s="175"/>
      <c r="M22" s="172">
        <f t="shared" si="3"/>
        <v>0</v>
      </c>
      <c r="N22" s="172">
        <f t="shared" si="4"/>
        <v>0</v>
      </c>
    </row>
    <row r="23" spans="1:14" ht="13.5" customHeight="1" x14ac:dyDescent="0.25">
      <c r="A23" s="110">
        <f t="shared" si="5"/>
        <v>44120</v>
      </c>
      <c r="B23" s="174">
        <f t="shared" si="6"/>
        <v>0</v>
      </c>
      <c r="C23" s="175"/>
      <c r="D23" s="174">
        <f t="shared" si="2"/>
        <v>0</v>
      </c>
      <c r="E23" s="172"/>
      <c r="F23" s="174"/>
      <c r="G23" s="175"/>
      <c r="H23" s="175"/>
      <c r="I23" s="175"/>
      <c r="J23" s="175"/>
      <c r="K23" s="173">
        <f t="shared" si="1"/>
        <v>0</v>
      </c>
      <c r="L23" s="172"/>
      <c r="M23" s="172">
        <f t="shared" si="3"/>
        <v>0</v>
      </c>
      <c r="N23" s="172">
        <f t="shared" si="4"/>
        <v>0</v>
      </c>
    </row>
    <row r="24" spans="1:14" ht="13.5" customHeight="1" x14ac:dyDescent="0.25">
      <c r="A24" s="110">
        <f t="shared" si="5"/>
        <v>44121</v>
      </c>
      <c r="B24" s="174">
        <f t="shared" si="6"/>
        <v>0</v>
      </c>
      <c r="C24" s="175"/>
      <c r="D24" s="174">
        <f t="shared" si="2"/>
        <v>0</v>
      </c>
      <c r="E24" s="172"/>
      <c r="F24" s="174"/>
      <c r="G24" s="175"/>
      <c r="H24" s="175"/>
      <c r="I24" s="175"/>
      <c r="J24" s="175"/>
      <c r="K24" s="173">
        <f t="shared" si="1"/>
        <v>0</v>
      </c>
      <c r="L24" s="172"/>
      <c r="M24" s="172">
        <f t="shared" si="3"/>
        <v>0</v>
      </c>
      <c r="N24" s="172">
        <f t="shared" si="4"/>
        <v>0</v>
      </c>
    </row>
    <row r="25" spans="1:14" ht="13.5" customHeight="1" x14ac:dyDescent="0.25">
      <c r="A25" s="110">
        <f t="shared" si="5"/>
        <v>44122</v>
      </c>
      <c r="B25" s="174">
        <f t="shared" si="6"/>
        <v>0</v>
      </c>
      <c r="C25" s="175"/>
      <c r="D25" s="174">
        <f t="shared" si="2"/>
        <v>0</v>
      </c>
      <c r="E25" s="172"/>
      <c r="F25" s="174"/>
      <c r="G25" s="175"/>
      <c r="H25" s="175"/>
      <c r="I25" s="175"/>
      <c r="J25" s="175"/>
      <c r="K25" s="173">
        <f t="shared" si="1"/>
        <v>0</v>
      </c>
      <c r="L25" s="172"/>
      <c r="M25" s="172">
        <f t="shared" si="3"/>
        <v>0</v>
      </c>
      <c r="N25" s="172">
        <f t="shared" si="4"/>
        <v>0</v>
      </c>
    </row>
    <row r="26" spans="1:14" ht="13.5" customHeight="1" x14ac:dyDescent="0.25">
      <c r="A26" s="110">
        <f t="shared" si="5"/>
        <v>44123</v>
      </c>
      <c r="B26" s="174">
        <f t="shared" si="6"/>
        <v>0</v>
      </c>
      <c r="C26" s="175"/>
      <c r="D26" s="174">
        <f t="shared" si="2"/>
        <v>0</v>
      </c>
      <c r="E26" s="172"/>
      <c r="F26" s="174"/>
      <c r="G26" s="175"/>
      <c r="H26" s="175"/>
      <c r="I26" s="175"/>
      <c r="J26" s="175"/>
      <c r="K26" s="173">
        <f t="shared" si="1"/>
        <v>0</v>
      </c>
      <c r="L26" s="172"/>
      <c r="M26" s="172">
        <f t="shared" si="3"/>
        <v>0</v>
      </c>
      <c r="N26" s="172">
        <f t="shared" si="4"/>
        <v>0</v>
      </c>
    </row>
    <row r="27" spans="1:14" ht="13.5" customHeight="1" x14ac:dyDescent="0.25">
      <c r="A27" s="110">
        <f t="shared" si="5"/>
        <v>44124</v>
      </c>
      <c r="B27" s="174">
        <f t="shared" si="6"/>
        <v>0</v>
      </c>
      <c r="C27" s="175"/>
      <c r="D27" s="174">
        <f t="shared" si="2"/>
        <v>0</v>
      </c>
      <c r="E27" s="172"/>
      <c r="F27" s="174"/>
      <c r="G27" s="175"/>
      <c r="H27" s="175"/>
      <c r="I27" s="175"/>
      <c r="J27" s="175"/>
      <c r="K27" s="173">
        <f t="shared" si="1"/>
        <v>0</v>
      </c>
      <c r="L27" s="172"/>
      <c r="M27" s="172">
        <f t="shared" si="3"/>
        <v>0</v>
      </c>
      <c r="N27" s="172">
        <f t="shared" si="4"/>
        <v>0</v>
      </c>
    </row>
    <row r="28" spans="1:14" ht="13.5" customHeight="1" x14ac:dyDescent="0.25">
      <c r="A28" s="110">
        <f t="shared" si="5"/>
        <v>44125</v>
      </c>
      <c r="B28" s="174">
        <f t="shared" si="6"/>
        <v>0</v>
      </c>
      <c r="C28" s="175"/>
      <c r="D28" s="174">
        <f t="shared" si="2"/>
        <v>0</v>
      </c>
      <c r="E28" s="172"/>
      <c r="F28" s="174"/>
      <c r="G28" s="175"/>
      <c r="H28" s="175"/>
      <c r="I28" s="175"/>
      <c r="J28" s="175"/>
      <c r="K28" s="173">
        <f t="shared" si="1"/>
        <v>0</v>
      </c>
      <c r="L28" s="172"/>
      <c r="M28" s="172">
        <f t="shared" si="3"/>
        <v>0</v>
      </c>
      <c r="N28" s="172">
        <f t="shared" si="4"/>
        <v>0</v>
      </c>
    </row>
    <row r="29" spans="1:14" ht="13.5" customHeight="1" x14ac:dyDescent="0.25">
      <c r="A29" s="110">
        <f t="shared" si="5"/>
        <v>44126</v>
      </c>
      <c r="B29" s="174">
        <f t="shared" si="6"/>
        <v>0</v>
      </c>
      <c r="C29" s="175"/>
      <c r="D29" s="174">
        <f t="shared" si="2"/>
        <v>0</v>
      </c>
      <c r="E29" s="172"/>
      <c r="F29" s="174"/>
      <c r="G29" s="175"/>
      <c r="H29" s="175"/>
      <c r="I29" s="175"/>
      <c r="J29" s="175"/>
      <c r="K29" s="173">
        <f t="shared" si="1"/>
        <v>0</v>
      </c>
      <c r="L29" s="172"/>
      <c r="M29" s="172">
        <f t="shared" si="3"/>
        <v>0</v>
      </c>
      <c r="N29" s="172">
        <f t="shared" si="4"/>
        <v>0</v>
      </c>
    </row>
    <row r="30" spans="1:14" ht="13.5" customHeight="1" x14ac:dyDescent="0.25">
      <c r="A30" s="110">
        <f t="shared" si="5"/>
        <v>44127</v>
      </c>
      <c r="B30" s="174">
        <f t="shared" si="6"/>
        <v>0</v>
      </c>
      <c r="C30" s="175"/>
      <c r="D30" s="174">
        <f t="shared" si="2"/>
        <v>0</v>
      </c>
      <c r="E30" s="172"/>
      <c r="F30" s="174"/>
      <c r="G30" s="175"/>
      <c r="H30" s="175"/>
      <c r="I30" s="175"/>
      <c r="J30" s="175"/>
      <c r="K30" s="173">
        <f t="shared" si="1"/>
        <v>0</v>
      </c>
      <c r="L30" s="172"/>
      <c r="M30" s="172">
        <f t="shared" si="3"/>
        <v>0</v>
      </c>
      <c r="N30" s="172">
        <f t="shared" si="4"/>
        <v>0</v>
      </c>
    </row>
    <row r="31" spans="1:14" s="139" customFormat="1" ht="13.5" customHeight="1" x14ac:dyDescent="0.25">
      <c r="A31" s="827">
        <f t="shared" si="5"/>
        <v>44128</v>
      </c>
      <c r="B31" s="174">
        <f t="shared" si="6"/>
        <v>0</v>
      </c>
      <c r="C31" s="175"/>
      <c r="D31" s="174">
        <f t="shared" si="2"/>
        <v>0</v>
      </c>
      <c r="E31" s="175"/>
      <c r="F31" s="174"/>
      <c r="G31" s="175"/>
      <c r="H31" s="175"/>
      <c r="I31" s="175"/>
      <c r="J31" s="175"/>
      <c r="K31" s="173">
        <f t="shared" si="1"/>
        <v>0</v>
      </c>
      <c r="L31" s="175"/>
      <c r="M31" s="172">
        <f t="shared" si="3"/>
        <v>0</v>
      </c>
      <c r="N31" s="175">
        <f t="shared" si="4"/>
        <v>0</v>
      </c>
    </row>
    <row r="32" spans="1:14" ht="13.5" customHeight="1" x14ac:dyDescent="0.25">
      <c r="A32" s="110">
        <f t="shared" si="5"/>
        <v>44129</v>
      </c>
      <c r="B32" s="174">
        <f t="shared" si="6"/>
        <v>0</v>
      </c>
      <c r="C32" s="172"/>
      <c r="D32" s="174">
        <f t="shared" si="2"/>
        <v>0</v>
      </c>
      <c r="E32" s="172"/>
      <c r="F32" s="169"/>
      <c r="G32" s="172"/>
      <c r="H32" s="172"/>
      <c r="I32" s="172"/>
      <c r="J32" s="172"/>
      <c r="K32" s="173">
        <f t="shared" si="1"/>
        <v>0</v>
      </c>
      <c r="L32" s="172"/>
      <c r="M32" s="172">
        <f t="shared" si="3"/>
        <v>0</v>
      </c>
      <c r="N32" s="172">
        <f t="shared" si="4"/>
        <v>0</v>
      </c>
    </row>
    <row r="33" spans="1:14" ht="19.5" x14ac:dyDescent="0.25">
      <c r="A33" s="110">
        <f t="shared" si="5"/>
        <v>44130</v>
      </c>
      <c r="B33" s="174">
        <f t="shared" si="6"/>
        <v>0</v>
      </c>
      <c r="C33" s="172"/>
      <c r="D33" s="174">
        <f t="shared" si="2"/>
        <v>0</v>
      </c>
      <c r="E33" s="172"/>
      <c r="F33" s="169"/>
      <c r="G33" s="172"/>
      <c r="H33" s="172"/>
      <c r="I33" s="172"/>
      <c r="J33" s="172"/>
      <c r="K33" s="173">
        <f t="shared" si="1"/>
        <v>0</v>
      </c>
      <c r="L33" s="172"/>
      <c r="M33" s="172">
        <f t="shared" si="3"/>
        <v>0</v>
      </c>
      <c r="N33" s="172">
        <f t="shared" si="4"/>
        <v>0</v>
      </c>
    </row>
    <row r="34" spans="1:14" ht="19.5" x14ac:dyDescent="0.25">
      <c r="A34" s="110">
        <f t="shared" si="5"/>
        <v>44131</v>
      </c>
      <c r="B34" s="174">
        <f t="shared" si="6"/>
        <v>0</v>
      </c>
      <c r="C34" s="172"/>
      <c r="D34" s="174">
        <f t="shared" si="2"/>
        <v>0</v>
      </c>
      <c r="E34" s="172"/>
      <c r="F34" s="169"/>
      <c r="G34" s="172"/>
      <c r="H34" s="172"/>
      <c r="I34" s="172"/>
      <c r="J34" s="172"/>
      <c r="K34" s="173">
        <f t="shared" si="1"/>
        <v>0</v>
      </c>
      <c r="L34" s="172"/>
      <c r="M34" s="172">
        <f t="shared" si="3"/>
        <v>0</v>
      </c>
      <c r="N34" s="172">
        <f t="shared" si="4"/>
        <v>0</v>
      </c>
    </row>
    <row r="35" spans="1:14" ht="19.5" x14ac:dyDescent="0.25">
      <c r="A35" s="110">
        <f t="shared" si="5"/>
        <v>44132</v>
      </c>
      <c r="B35" s="174">
        <f t="shared" si="6"/>
        <v>0</v>
      </c>
      <c r="C35" s="172"/>
      <c r="D35" s="174">
        <f t="shared" si="2"/>
        <v>0</v>
      </c>
      <c r="E35" s="172"/>
      <c r="F35" s="169"/>
      <c r="G35" s="172"/>
      <c r="H35" s="172"/>
      <c r="I35" s="172"/>
      <c r="J35" s="172"/>
      <c r="K35" s="173">
        <f t="shared" si="1"/>
        <v>0</v>
      </c>
      <c r="L35" s="172"/>
      <c r="M35" s="172">
        <f t="shared" si="3"/>
        <v>0</v>
      </c>
      <c r="N35" s="172">
        <f t="shared" si="4"/>
        <v>0</v>
      </c>
    </row>
    <row r="36" spans="1:14" ht="19.5" x14ac:dyDescent="0.25">
      <c r="A36" s="110">
        <f t="shared" si="5"/>
        <v>44133</v>
      </c>
      <c r="B36" s="174">
        <f t="shared" si="6"/>
        <v>0</v>
      </c>
      <c r="C36" s="172"/>
      <c r="D36" s="174">
        <f t="shared" si="2"/>
        <v>0</v>
      </c>
      <c r="E36" s="172"/>
      <c r="F36" s="169"/>
      <c r="G36" s="172"/>
      <c r="H36" s="172"/>
      <c r="I36" s="172"/>
      <c r="J36" s="172"/>
      <c r="K36" s="173">
        <f t="shared" si="1"/>
        <v>0</v>
      </c>
      <c r="L36" s="172"/>
      <c r="M36" s="172">
        <f t="shared" si="3"/>
        <v>0</v>
      </c>
      <c r="N36" s="172">
        <f t="shared" si="4"/>
        <v>0</v>
      </c>
    </row>
    <row r="37" spans="1:14" ht="19.5" x14ac:dyDescent="0.25">
      <c r="A37" s="110">
        <f t="shared" si="5"/>
        <v>44134</v>
      </c>
      <c r="B37" s="174">
        <f t="shared" si="6"/>
        <v>0</v>
      </c>
      <c r="C37" s="172"/>
      <c r="D37" s="174">
        <f t="shared" si="2"/>
        <v>0</v>
      </c>
      <c r="E37" s="172"/>
      <c r="F37" s="169"/>
      <c r="G37" s="172"/>
      <c r="H37" s="172"/>
      <c r="I37" s="172"/>
      <c r="J37" s="172"/>
      <c r="K37" s="173">
        <f t="shared" si="1"/>
        <v>0</v>
      </c>
      <c r="L37" s="172"/>
      <c r="M37" s="172">
        <f t="shared" si="3"/>
        <v>0</v>
      </c>
      <c r="N37" s="172">
        <f t="shared" si="4"/>
        <v>0</v>
      </c>
    </row>
    <row r="38" spans="1:14" ht="19.5" x14ac:dyDescent="0.25">
      <c r="A38" s="110">
        <f t="shared" si="5"/>
        <v>44135</v>
      </c>
      <c r="B38" s="174">
        <f t="shared" si="6"/>
        <v>0</v>
      </c>
      <c r="C38" s="172"/>
      <c r="D38" s="174">
        <f t="shared" si="2"/>
        <v>0</v>
      </c>
      <c r="E38" s="172"/>
      <c r="F38" s="169"/>
      <c r="G38" s="172"/>
      <c r="H38" s="172"/>
      <c r="I38" s="172"/>
      <c r="J38" s="172"/>
      <c r="K38" s="173">
        <f t="shared" si="1"/>
        <v>0</v>
      </c>
      <c r="L38" s="172"/>
      <c r="M38" s="172">
        <f t="shared" si="3"/>
        <v>0</v>
      </c>
      <c r="N38" s="177">
        <f>+N37+K38-L38</f>
        <v>0</v>
      </c>
    </row>
    <row r="39" spans="1:14" ht="19.5" x14ac:dyDescent="0.25">
      <c r="A39" s="178" t="s">
        <v>18</v>
      </c>
      <c r="B39" s="185">
        <f t="shared" ref="B39:K39" si="7">SUM(B8:B38)</f>
        <v>0</v>
      </c>
      <c r="C39" s="173">
        <f t="shared" si="7"/>
        <v>0</v>
      </c>
      <c r="D39" s="768">
        <f t="shared" si="7"/>
        <v>4200</v>
      </c>
      <c r="E39" s="173">
        <f t="shared" si="7"/>
        <v>2415000</v>
      </c>
      <c r="F39" s="173">
        <f t="shared" si="7"/>
        <v>0</v>
      </c>
      <c r="G39" s="173">
        <f t="shared" si="7"/>
        <v>0</v>
      </c>
      <c r="H39" s="173">
        <f t="shared" si="7"/>
        <v>0</v>
      </c>
      <c r="I39" s="173">
        <f t="shared" si="7"/>
        <v>0</v>
      </c>
      <c r="J39" s="173">
        <f t="shared" si="7"/>
        <v>0</v>
      </c>
      <c r="K39" s="173">
        <f t="shared" si="7"/>
        <v>2415000</v>
      </c>
      <c r="L39" s="173">
        <f>SUM(L7:L38)</f>
        <v>2415000</v>
      </c>
      <c r="M39" s="177">
        <f>SUM(M7:M38)</f>
        <v>0</v>
      </c>
      <c r="N39" s="180"/>
    </row>
    <row r="41" spans="1:14" x14ac:dyDescent="0.25">
      <c r="A41" s="243" t="s">
        <v>121</v>
      </c>
      <c r="B41" s="243" t="s">
        <v>61</v>
      </c>
      <c r="C41" s="243" t="s">
        <v>122</v>
      </c>
      <c r="D41" s="244" t="s">
        <v>39</v>
      </c>
    </row>
    <row r="42" spans="1:14" x14ac:dyDescent="0.25">
      <c r="A42" s="243" t="s">
        <v>15</v>
      </c>
      <c r="B42" s="245">
        <f>B39</f>
        <v>0</v>
      </c>
      <c r="C42" s="243"/>
      <c r="D42" s="486">
        <f>B42*C42</f>
        <v>0</v>
      </c>
    </row>
    <row r="43" spans="1:14" x14ac:dyDescent="0.25">
      <c r="A43" s="243" t="s">
        <v>16</v>
      </c>
      <c r="B43" s="244">
        <f>D39</f>
        <v>4200</v>
      </c>
      <c r="C43" s="419">
        <v>3</v>
      </c>
      <c r="D43" s="486">
        <f>B43*C43</f>
        <v>12600</v>
      </c>
    </row>
    <row r="44" spans="1:14" x14ac:dyDescent="0.25">
      <c r="A44" s="243" t="s">
        <v>17</v>
      </c>
      <c r="B44" s="245">
        <f>F39</f>
        <v>0</v>
      </c>
      <c r="C44" s="243"/>
      <c r="D44" s="486">
        <f>B44*C44</f>
        <v>0</v>
      </c>
      <c r="E44" s="218"/>
    </row>
    <row r="45" spans="1:14" ht="18.75" x14ac:dyDescent="0.3">
      <c r="A45" s="687" t="s">
        <v>18</v>
      </c>
      <c r="B45" s="770">
        <f>SUM(B42:B44)</f>
        <v>4200</v>
      </c>
      <c r="C45" s="687">
        <f>SUM(C42:C44)</f>
        <v>3</v>
      </c>
      <c r="D45" s="769">
        <f>SUM(D42:D44)</f>
        <v>12600</v>
      </c>
    </row>
    <row r="46" spans="1:14" x14ac:dyDescent="0.25">
      <c r="D46" s="218"/>
    </row>
    <row r="47" spans="1:14" x14ac:dyDescent="0.25">
      <c r="D47" s="38">
        <f>30*600</f>
        <v>18000</v>
      </c>
    </row>
    <row r="48" spans="1:14" x14ac:dyDescent="0.25">
      <c r="D48" s="38">
        <f>4050*3</f>
        <v>12150</v>
      </c>
    </row>
    <row r="51" spans="8:8" x14ac:dyDescent="0.25">
      <c r="H51" s="38">
        <f>250*7</f>
        <v>1750</v>
      </c>
    </row>
  </sheetData>
  <mergeCells count="7">
    <mergeCell ref="N5:N6"/>
    <mergeCell ref="H5:H6"/>
    <mergeCell ref="I5:I6"/>
    <mergeCell ref="J5:J6"/>
    <mergeCell ref="K5:K6"/>
    <mergeCell ref="L5:L6"/>
    <mergeCell ref="M5:M6"/>
  </mergeCells>
  <printOptions horizontalCentered="1"/>
  <pageMargins left="0.39370078740157483" right="0.39370078740157483" top="0.74803149606299213" bottom="0.39370078740157483" header="0.31496062992125984" footer="0.31496062992125984"/>
  <pageSetup paperSize="9" scale="63"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1">
    <tabColor theme="4" tint="-0.249977111117893"/>
  </sheetPr>
  <dimension ref="A2:R45"/>
  <sheetViews>
    <sheetView topLeftCell="A3" zoomScaleNormal="100" workbookViewId="0">
      <selection activeCell="G20" sqref="G20"/>
    </sheetView>
  </sheetViews>
  <sheetFormatPr baseColWidth="10" defaultRowHeight="15" x14ac:dyDescent="0.2"/>
  <cols>
    <col min="1" max="3" width="11.42578125" style="37"/>
    <col min="4" max="4" width="14.140625" style="37" customWidth="1"/>
    <col min="5" max="5" width="13.7109375" style="37" customWidth="1"/>
    <col min="6" max="6" width="11.42578125" style="37"/>
    <col min="7" max="7" width="11.85546875" style="37" bestFit="1" customWidth="1"/>
    <col min="8" max="8" width="11.42578125" style="37"/>
    <col min="9" max="9" width="13.5703125" style="37" bestFit="1" customWidth="1"/>
    <col min="10" max="10" width="11.42578125" style="37"/>
    <col min="11" max="12" width="14" style="37" customWidth="1"/>
    <col min="13" max="13" width="17.28515625" style="37" customWidth="1"/>
    <col min="14" max="14" width="16.7109375" style="37" customWidth="1"/>
    <col min="15" max="15" width="16.85546875" style="37" customWidth="1"/>
    <col min="16" max="16" width="16.140625" style="37" bestFit="1" customWidth="1"/>
    <col min="17" max="17" width="11.7109375" style="37" bestFit="1" customWidth="1"/>
    <col min="18" max="16384" width="11.42578125" style="37"/>
  </cols>
  <sheetData>
    <row r="2" spans="1:17" ht="21" x14ac:dyDescent="0.35">
      <c r="A2" s="1" t="s">
        <v>118</v>
      </c>
      <c r="B2" s="52" t="s">
        <v>352</v>
      </c>
    </row>
    <row r="3" spans="1:17" ht="15.75" x14ac:dyDescent="0.25">
      <c r="C3" s="99"/>
      <c r="K3" s="116"/>
      <c r="L3" s="116"/>
    </row>
    <row r="4" spans="1:17" ht="18.75" x14ac:dyDescent="0.3">
      <c r="A4" s="1" t="s">
        <v>19</v>
      </c>
      <c r="B4" s="142">
        <f>+SOCOPAT!B4</f>
        <v>44075</v>
      </c>
      <c r="C4" s="1"/>
      <c r="F4" s="37">
        <f>103500-36000</f>
        <v>67500</v>
      </c>
    </row>
    <row r="5" spans="1:17" ht="16.5" x14ac:dyDescent="0.3">
      <c r="A5" s="1"/>
      <c r="B5" s="1"/>
      <c r="C5" s="1"/>
      <c r="N5" s="386"/>
    </row>
    <row r="6" spans="1:17" ht="16.5" x14ac:dyDescent="0.2">
      <c r="A6" s="100" t="s">
        <v>3</v>
      </c>
      <c r="B6" s="101" t="s">
        <v>15</v>
      </c>
      <c r="C6" s="102"/>
      <c r="D6" s="101" t="s">
        <v>16</v>
      </c>
      <c r="E6" s="102"/>
      <c r="F6" s="101" t="s">
        <v>17</v>
      </c>
      <c r="G6" s="102"/>
      <c r="H6" s="3065" t="s">
        <v>52</v>
      </c>
      <c r="I6" s="3065" t="s">
        <v>53</v>
      </c>
      <c r="J6" s="3065" t="s">
        <v>119</v>
      </c>
      <c r="K6" s="2910" t="s">
        <v>18</v>
      </c>
      <c r="L6" s="3062" t="s">
        <v>447</v>
      </c>
      <c r="M6" s="2910" t="s">
        <v>60</v>
      </c>
      <c r="N6" s="2910" t="s">
        <v>55</v>
      </c>
      <c r="O6" s="2910" t="s">
        <v>120</v>
      </c>
    </row>
    <row r="7" spans="1:17" ht="21" x14ac:dyDescent="0.2">
      <c r="A7" s="103"/>
      <c r="B7" s="915">
        <v>630</v>
      </c>
      <c r="C7" s="916"/>
      <c r="D7" s="915">
        <v>575</v>
      </c>
      <c r="E7" s="916"/>
      <c r="F7" s="915">
        <v>350</v>
      </c>
      <c r="G7" s="916"/>
      <c r="H7" s="3071"/>
      <c r="I7" s="3071"/>
      <c r="J7" s="3071"/>
      <c r="K7" s="2911"/>
      <c r="L7" s="3064"/>
      <c r="M7" s="2911"/>
      <c r="N7" s="2911"/>
      <c r="O7" s="2911"/>
    </row>
    <row r="8" spans="1:17" ht="16.5" x14ac:dyDescent="0.2">
      <c r="A8" s="105"/>
      <c r="B8" s="106" t="s">
        <v>56</v>
      </c>
      <c r="C8" s="106" t="s">
        <v>37</v>
      </c>
      <c r="D8" s="107" t="s">
        <v>56</v>
      </c>
      <c r="E8" s="106" t="s">
        <v>37</v>
      </c>
      <c r="F8" s="106" t="s">
        <v>56</v>
      </c>
      <c r="G8" s="106" t="s">
        <v>37</v>
      </c>
      <c r="H8" s="3066"/>
      <c r="I8" s="3066"/>
      <c r="J8" s="3066"/>
      <c r="K8" s="132"/>
      <c r="L8" s="132"/>
      <c r="M8" s="133"/>
      <c r="N8" s="114">
        <v>19615089</v>
      </c>
      <c r="O8" s="118">
        <f>N8</f>
        <v>19615089</v>
      </c>
      <c r="P8" s="386"/>
      <c r="Q8" s="386"/>
    </row>
    <row r="9" spans="1:17" ht="16.5" x14ac:dyDescent="0.3">
      <c r="A9" s="110">
        <f>ATC!A9</f>
        <v>44044</v>
      </c>
      <c r="B9" s="111">
        <f>C9/B$7</f>
        <v>0</v>
      </c>
      <c r="C9" s="112"/>
      <c r="D9" s="111">
        <f>+E9/D$7</f>
        <v>0</v>
      </c>
      <c r="E9" s="113"/>
      <c r="F9" s="111">
        <f>+G9/F$7</f>
        <v>0</v>
      </c>
      <c r="G9" s="114"/>
      <c r="H9" s="114"/>
      <c r="I9" s="114"/>
      <c r="J9" s="114"/>
      <c r="K9" s="115">
        <f t="shared" ref="K9:K39" si="0">C9+E9+G9+H9+I9+J9</f>
        <v>0</v>
      </c>
      <c r="L9" s="115"/>
      <c r="M9" s="1918"/>
      <c r="N9" s="257">
        <f>K9-M9</f>
        <v>0</v>
      </c>
      <c r="O9" s="118">
        <f>+O8+K9-M9</f>
        <v>19615089</v>
      </c>
      <c r="P9" s="386"/>
    </row>
    <row r="10" spans="1:17" ht="16.5" x14ac:dyDescent="0.3">
      <c r="A10" s="110">
        <f>+A9+1</f>
        <v>44045</v>
      </c>
      <c r="B10" s="111">
        <f t="shared" ref="B10:B39" si="1">C10/B$7</f>
        <v>0</v>
      </c>
      <c r="C10" s="112"/>
      <c r="D10" s="111">
        <f>+E10/D$7</f>
        <v>0</v>
      </c>
      <c r="E10" s="113"/>
      <c r="F10" s="111">
        <f>+G10/F$7</f>
        <v>0</v>
      </c>
      <c r="G10" s="114"/>
      <c r="H10" s="114"/>
      <c r="I10" s="114"/>
      <c r="J10" s="114"/>
      <c r="K10" s="115">
        <f t="shared" si="0"/>
        <v>0</v>
      </c>
      <c r="L10" s="115"/>
      <c r="M10" s="86"/>
      <c r="N10" s="257">
        <f t="shared" ref="N10:N39" si="2">K10-M10</f>
        <v>0</v>
      </c>
      <c r="O10" s="114">
        <f t="shared" ref="O10:O38" si="3">+O9+K10-M10</f>
        <v>19615089</v>
      </c>
    </row>
    <row r="11" spans="1:17" ht="16.5" x14ac:dyDescent="0.25">
      <c r="A11" s="110">
        <f t="shared" ref="A11:A39" si="4">+A10+1</f>
        <v>44046</v>
      </c>
      <c r="B11" s="111">
        <f t="shared" si="1"/>
        <v>0</v>
      </c>
      <c r="C11" s="113"/>
      <c r="D11" s="111">
        <f t="shared" ref="D11:F25" si="5">+E11/D$7</f>
        <v>0</v>
      </c>
      <c r="E11" s="113"/>
      <c r="F11" s="111">
        <f t="shared" si="5"/>
        <v>0</v>
      </c>
      <c r="G11" s="114"/>
      <c r="H11" s="114"/>
      <c r="I11" s="114"/>
      <c r="J11" s="114"/>
      <c r="K11" s="115">
        <f t="shared" si="0"/>
        <v>0</v>
      </c>
      <c r="L11" s="115"/>
      <c r="M11" s="86"/>
      <c r="N11" s="257">
        <f t="shared" si="2"/>
        <v>0</v>
      </c>
      <c r="O11" s="114">
        <f t="shared" si="3"/>
        <v>19615089</v>
      </c>
    </row>
    <row r="12" spans="1:17" ht="16.5" x14ac:dyDescent="0.25">
      <c r="A12" s="110">
        <f t="shared" si="4"/>
        <v>44047</v>
      </c>
      <c r="B12" s="111">
        <f t="shared" si="1"/>
        <v>0</v>
      </c>
      <c r="C12" s="113"/>
      <c r="D12" s="111">
        <f t="shared" si="5"/>
        <v>0</v>
      </c>
      <c r="E12" s="113"/>
      <c r="F12" s="111">
        <f t="shared" si="5"/>
        <v>0</v>
      </c>
      <c r="G12" s="114"/>
      <c r="H12" s="114"/>
      <c r="I12" s="114"/>
      <c r="J12" s="114"/>
      <c r="K12" s="115">
        <f t="shared" si="0"/>
        <v>0</v>
      </c>
      <c r="L12" s="115"/>
      <c r="M12" s="1028"/>
      <c r="N12" s="257">
        <f t="shared" si="2"/>
        <v>0</v>
      </c>
      <c r="O12" s="114">
        <f t="shared" si="3"/>
        <v>19615089</v>
      </c>
    </row>
    <row r="13" spans="1:17" ht="16.5" x14ac:dyDescent="0.3">
      <c r="A13" s="110">
        <f t="shared" si="4"/>
        <v>44048</v>
      </c>
      <c r="B13" s="111">
        <f t="shared" si="1"/>
        <v>0</v>
      </c>
      <c r="C13" s="112"/>
      <c r="D13" s="111">
        <f t="shared" si="5"/>
        <v>0</v>
      </c>
      <c r="E13" s="113"/>
      <c r="F13" s="111">
        <f t="shared" si="5"/>
        <v>0</v>
      </c>
      <c r="G13" s="114"/>
      <c r="H13" s="114"/>
      <c r="I13" s="114"/>
      <c r="J13" s="114"/>
      <c r="K13" s="115">
        <f t="shared" si="0"/>
        <v>0</v>
      </c>
      <c r="L13" s="115"/>
      <c r="M13" s="86"/>
      <c r="N13" s="257">
        <f t="shared" si="2"/>
        <v>0</v>
      </c>
      <c r="O13" s="114">
        <f t="shared" si="3"/>
        <v>19615089</v>
      </c>
    </row>
    <row r="14" spans="1:17" ht="16.5" x14ac:dyDescent="0.3">
      <c r="A14" s="110">
        <f t="shared" si="4"/>
        <v>44049</v>
      </c>
      <c r="B14" s="111">
        <f t="shared" si="1"/>
        <v>0</v>
      </c>
      <c r="C14" s="112"/>
      <c r="D14" s="111">
        <f t="shared" si="5"/>
        <v>0</v>
      </c>
      <c r="E14" s="113"/>
      <c r="F14" s="111">
        <f t="shared" si="5"/>
        <v>0</v>
      </c>
      <c r="G14" s="114"/>
      <c r="H14" s="114"/>
      <c r="I14" s="114"/>
      <c r="J14" s="114"/>
      <c r="K14" s="115">
        <f t="shared" si="0"/>
        <v>0</v>
      </c>
      <c r="L14" s="115"/>
      <c r="M14" s="86"/>
      <c r="N14" s="257">
        <f t="shared" si="2"/>
        <v>0</v>
      </c>
      <c r="O14" s="114">
        <f t="shared" si="3"/>
        <v>19615089</v>
      </c>
    </row>
    <row r="15" spans="1:17" ht="16.5" x14ac:dyDescent="0.25">
      <c r="A15" s="110">
        <f t="shared" si="4"/>
        <v>44050</v>
      </c>
      <c r="B15" s="111">
        <f t="shared" si="1"/>
        <v>0</v>
      </c>
      <c r="C15" s="113"/>
      <c r="D15" s="111">
        <f t="shared" si="5"/>
        <v>0</v>
      </c>
      <c r="E15" s="113"/>
      <c r="F15" s="111">
        <f t="shared" si="5"/>
        <v>0</v>
      </c>
      <c r="G15" s="114"/>
      <c r="H15" s="114"/>
      <c r="I15" s="114"/>
      <c r="J15" s="114"/>
      <c r="K15" s="115">
        <f t="shared" si="0"/>
        <v>0</v>
      </c>
      <c r="L15" s="115"/>
      <c r="M15" s="86"/>
      <c r="N15" s="257">
        <f t="shared" si="2"/>
        <v>0</v>
      </c>
      <c r="O15" s="114">
        <f t="shared" si="3"/>
        <v>19615089</v>
      </c>
    </row>
    <row r="16" spans="1:17" ht="16.5" x14ac:dyDescent="0.25">
      <c r="A16" s="110">
        <f t="shared" si="4"/>
        <v>44051</v>
      </c>
      <c r="B16" s="111"/>
      <c r="C16" s="113"/>
      <c r="D16" s="111">
        <f t="shared" si="5"/>
        <v>0</v>
      </c>
      <c r="E16" s="86"/>
      <c r="F16" s="111">
        <f t="shared" si="5"/>
        <v>0</v>
      </c>
      <c r="G16" s="114"/>
      <c r="H16" s="114"/>
      <c r="I16" s="114"/>
      <c r="J16" s="114"/>
      <c r="K16" s="115">
        <f t="shared" si="0"/>
        <v>0</v>
      </c>
      <c r="L16" s="115"/>
      <c r="M16" s="86"/>
      <c r="N16" s="257">
        <f t="shared" si="2"/>
        <v>0</v>
      </c>
      <c r="O16" s="114">
        <f t="shared" si="3"/>
        <v>19615089</v>
      </c>
    </row>
    <row r="17" spans="1:18" ht="16.5" x14ac:dyDescent="0.25">
      <c r="A17" s="110">
        <f t="shared" si="4"/>
        <v>44052</v>
      </c>
      <c r="B17" s="117">
        <f t="shared" si="1"/>
        <v>0</v>
      </c>
      <c r="C17" s="86"/>
      <c r="D17" s="117">
        <f t="shared" si="5"/>
        <v>92.173913043478265</v>
      </c>
      <c r="E17" s="86">
        <v>53000</v>
      </c>
      <c r="F17" s="111">
        <f t="shared" si="5"/>
        <v>0</v>
      </c>
      <c r="G17" s="118"/>
      <c r="H17" s="118"/>
      <c r="I17" s="118"/>
      <c r="J17" s="118"/>
      <c r="K17" s="115">
        <f t="shared" si="0"/>
        <v>53000</v>
      </c>
      <c r="L17" s="134"/>
      <c r="M17" s="86"/>
      <c r="N17" s="257">
        <f t="shared" si="2"/>
        <v>53000</v>
      </c>
      <c r="O17" s="114">
        <f t="shared" si="3"/>
        <v>19668089</v>
      </c>
    </row>
    <row r="18" spans="1:18" ht="16.5" x14ac:dyDescent="0.25">
      <c r="A18" s="110">
        <f t="shared" si="4"/>
        <v>44053</v>
      </c>
      <c r="B18" s="117">
        <f t="shared" si="1"/>
        <v>0</v>
      </c>
      <c r="C18" s="86"/>
      <c r="D18" s="117">
        <f t="shared" si="5"/>
        <v>0</v>
      </c>
      <c r="E18" s="86"/>
      <c r="F18" s="111">
        <f t="shared" si="5"/>
        <v>0</v>
      </c>
      <c r="G18" s="118"/>
      <c r="H18" s="118"/>
      <c r="I18" s="118"/>
      <c r="J18" s="118"/>
      <c r="K18" s="115">
        <f t="shared" si="0"/>
        <v>0</v>
      </c>
      <c r="L18" s="134"/>
      <c r="M18" s="86"/>
      <c r="N18" s="257">
        <f t="shared" si="2"/>
        <v>0</v>
      </c>
      <c r="O18" s="114">
        <f t="shared" si="3"/>
        <v>19668089</v>
      </c>
    </row>
    <row r="19" spans="1:18" ht="16.5" x14ac:dyDescent="0.25">
      <c r="A19" s="110">
        <f t="shared" si="4"/>
        <v>44054</v>
      </c>
      <c r="B19" s="117">
        <f t="shared" si="1"/>
        <v>0</v>
      </c>
      <c r="C19" s="86"/>
      <c r="D19" s="117">
        <f t="shared" si="5"/>
        <v>0</v>
      </c>
      <c r="E19" s="86"/>
      <c r="F19" s="111">
        <f t="shared" si="5"/>
        <v>0</v>
      </c>
      <c r="G19" s="118"/>
      <c r="H19" s="118"/>
      <c r="I19" s="118"/>
      <c r="J19" s="118"/>
      <c r="K19" s="115">
        <f t="shared" si="0"/>
        <v>0</v>
      </c>
      <c r="L19" s="134"/>
      <c r="M19" s="86"/>
      <c r="N19" s="257">
        <f t="shared" si="2"/>
        <v>0</v>
      </c>
      <c r="O19" s="114">
        <f>+O18+K19-M19</f>
        <v>19668089</v>
      </c>
    </row>
    <row r="20" spans="1:18" ht="16.5" x14ac:dyDescent="0.25">
      <c r="A20" s="110">
        <f t="shared" si="4"/>
        <v>44055</v>
      </c>
      <c r="B20" s="117">
        <f t="shared" si="1"/>
        <v>0</v>
      </c>
      <c r="C20" s="86"/>
      <c r="D20" s="117">
        <f t="shared" si="5"/>
        <v>0</v>
      </c>
      <c r="E20" s="86"/>
      <c r="F20" s="111">
        <f t="shared" si="5"/>
        <v>0</v>
      </c>
      <c r="G20" s="118"/>
      <c r="H20" s="118"/>
      <c r="I20" s="118"/>
      <c r="J20" s="118"/>
      <c r="K20" s="115">
        <f t="shared" si="0"/>
        <v>0</v>
      </c>
      <c r="L20" s="134"/>
      <c r="M20" s="86"/>
      <c r="N20" s="257">
        <f t="shared" si="2"/>
        <v>0</v>
      </c>
      <c r="O20" s="114">
        <f t="shared" si="3"/>
        <v>19668089</v>
      </c>
      <c r="R20" s="37" t="s">
        <v>169</v>
      </c>
    </row>
    <row r="21" spans="1:18" ht="16.5" x14ac:dyDescent="0.25">
      <c r="A21" s="110">
        <f t="shared" si="4"/>
        <v>44056</v>
      </c>
      <c r="B21" s="117">
        <f t="shared" si="1"/>
        <v>0</v>
      </c>
      <c r="C21" s="86"/>
      <c r="D21" s="117">
        <f t="shared" si="5"/>
        <v>0</v>
      </c>
      <c r="E21" s="86"/>
      <c r="F21" s="111">
        <f t="shared" si="5"/>
        <v>0</v>
      </c>
      <c r="G21" s="118"/>
      <c r="H21" s="118"/>
      <c r="I21" s="118"/>
      <c r="J21" s="118"/>
      <c r="K21" s="115">
        <f t="shared" si="0"/>
        <v>0</v>
      </c>
      <c r="L21" s="134"/>
      <c r="M21" s="86"/>
      <c r="N21" s="257">
        <f t="shared" si="2"/>
        <v>0</v>
      </c>
      <c r="O21" s="114">
        <f t="shared" si="3"/>
        <v>19668089</v>
      </c>
    </row>
    <row r="22" spans="1:18" ht="16.5" x14ac:dyDescent="0.25">
      <c r="A22" s="110">
        <f t="shared" si="4"/>
        <v>44057</v>
      </c>
      <c r="B22" s="117">
        <f t="shared" si="1"/>
        <v>0</v>
      </c>
      <c r="C22" s="86"/>
      <c r="D22" s="117">
        <f t="shared" si="5"/>
        <v>0</v>
      </c>
      <c r="E22" s="86"/>
      <c r="F22" s="111">
        <f t="shared" si="5"/>
        <v>0</v>
      </c>
      <c r="G22" s="118"/>
      <c r="H22" s="118"/>
      <c r="I22" s="118"/>
      <c r="J22" s="118"/>
      <c r="K22" s="115">
        <f t="shared" si="0"/>
        <v>0</v>
      </c>
      <c r="L22" s="134"/>
      <c r="M22" s="86"/>
      <c r="N22" s="257">
        <f t="shared" si="2"/>
        <v>0</v>
      </c>
      <c r="O22" s="114">
        <f t="shared" si="3"/>
        <v>19668089</v>
      </c>
      <c r="P22" s="386"/>
    </row>
    <row r="23" spans="1:18" ht="16.5" x14ac:dyDescent="0.25">
      <c r="A23" s="110">
        <f t="shared" si="4"/>
        <v>44058</v>
      </c>
      <c r="B23" s="117">
        <f t="shared" si="1"/>
        <v>0</v>
      </c>
      <c r="C23" s="86"/>
      <c r="D23" s="117">
        <f t="shared" si="5"/>
        <v>0</v>
      </c>
      <c r="E23" s="86"/>
      <c r="F23" s="117">
        <f t="shared" si="5"/>
        <v>0</v>
      </c>
      <c r="G23" s="118"/>
      <c r="H23" s="118"/>
      <c r="I23" s="118"/>
      <c r="J23" s="118"/>
      <c r="K23" s="115">
        <f t="shared" si="0"/>
        <v>0</v>
      </c>
      <c r="L23" s="134"/>
      <c r="M23" s="86"/>
      <c r="N23" s="257">
        <f t="shared" si="2"/>
        <v>0</v>
      </c>
      <c r="O23" s="114">
        <f t="shared" si="3"/>
        <v>19668089</v>
      </c>
    </row>
    <row r="24" spans="1:18" ht="16.5" x14ac:dyDescent="0.25">
      <c r="A24" s="110">
        <f t="shared" si="4"/>
        <v>44059</v>
      </c>
      <c r="B24" s="117">
        <f t="shared" si="1"/>
        <v>0</v>
      </c>
      <c r="C24" s="86"/>
      <c r="D24" s="117">
        <f t="shared" si="5"/>
        <v>0</v>
      </c>
      <c r="E24" s="86"/>
      <c r="F24" s="117">
        <f t="shared" si="5"/>
        <v>0</v>
      </c>
      <c r="G24" s="118"/>
      <c r="H24" s="118"/>
      <c r="I24" s="118"/>
      <c r="J24" s="118"/>
      <c r="K24" s="115">
        <f t="shared" si="0"/>
        <v>0</v>
      </c>
      <c r="L24" s="134"/>
      <c r="M24" s="113"/>
      <c r="N24" s="257">
        <f t="shared" si="2"/>
        <v>0</v>
      </c>
      <c r="O24" s="114">
        <f t="shared" si="3"/>
        <v>19668089</v>
      </c>
    </row>
    <row r="25" spans="1:18" ht="16.5" x14ac:dyDescent="0.25">
      <c r="A25" s="110">
        <f t="shared" si="4"/>
        <v>44060</v>
      </c>
      <c r="B25" s="117">
        <f t="shared" si="1"/>
        <v>0</v>
      </c>
      <c r="C25" s="86"/>
      <c r="D25" s="117">
        <f t="shared" si="5"/>
        <v>0</v>
      </c>
      <c r="E25" s="113"/>
      <c r="F25" s="117">
        <f t="shared" si="5"/>
        <v>0</v>
      </c>
      <c r="G25" s="118"/>
      <c r="H25" s="118"/>
      <c r="I25" s="118"/>
      <c r="J25" s="118"/>
      <c r="K25" s="115">
        <f t="shared" si="0"/>
        <v>0</v>
      </c>
      <c r="L25" s="134"/>
      <c r="M25" s="113"/>
      <c r="N25" s="257">
        <f t="shared" si="2"/>
        <v>0</v>
      </c>
      <c r="O25" s="114">
        <f t="shared" si="3"/>
        <v>19668089</v>
      </c>
    </row>
    <row r="26" spans="1:18" ht="16.5" x14ac:dyDescent="0.25">
      <c r="A26" s="110">
        <f t="shared" si="4"/>
        <v>44061</v>
      </c>
      <c r="B26" s="117">
        <f t="shared" si="1"/>
        <v>0</v>
      </c>
      <c r="C26" s="86"/>
      <c r="D26" s="117">
        <f t="shared" ref="D26:F41" si="6">+E26/D$7</f>
        <v>0</v>
      </c>
      <c r="E26" s="113"/>
      <c r="F26" s="117">
        <f t="shared" si="6"/>
        <v>0</v>
      </c>
      <c r="G26" s="118"/>
      <c r="H26" s="118"/>
      <c r="I26" s="118"/>
      <c r="J26" s="118"/>
      <c r="K26" s="115">
        <f t="shared" si="0"/>
        <v>0</v>
      </c>
      <c r="L26" s="134"/>
      <c r="M26" s="113"/>
      <c r="N26" s="257">
        <f t="shared" si="2"/>
        <v>0</v>
      </c>
      <c r="O26" s="114">
        <f t="shared" si="3"/>
        <v>19668089</v>
      </c>
      <c r="P26" s="386"/>
    </row>
    <row r="27" spans="1:18" ht="16.5" x14ac:dyDescent="0.25">
      <c r="A27" s="110">
        <f t="shared" si="4"/>
        <v>44062</v>
      </c>
      <c r="B27" s="117">
        <f t="shared" si="1"/>
        <v>0</v>
      </c>
      <c r="C27" s="86"/>
      <c r="D27" s="117">
        <f t="shared" si="6"/>
        <v>0</v>
      </c>
      <c r="E27" s="113"/>
      <c r="F27" s="117">
        <f t="shared" si="6"/>
        <v>0</v>
      </c>
      <c r="G27" s="118"/>
      <c r="H27" s="118"/>
      <c r="I27" s="118"/>
      <c r="J27" s="118"/>
      <c r="K27" s="115">
        <f t="shared" si="0"/>
        <v>0</v>
      </c>
      <c r="L27" s="134"/>
      <c r="M27" s="113"/>
      <c r="N27" s="257">
        <f t="shared" si="2"/>
        <v>0</v>
      </c>
      <c r="O27" s="114">
        <f t="shared" si="3"/>
        <v>19668089</v>
      </c>
    </row>
    <row r="28" spans="1:18" ht="16.5" x14ac:dyDescent="0.25">
      <c r="A28" s="110">
        <f t="shared" si="4"/>
        <v>44063</v>
      </c>
      <c r="B28" s="117">
        <f t="shared" si="1"/>
        <v>0</v>
      </c>
      <c r="C28" s="86"/>
      <c r="D28" s="117">
        <f t="shared" si="6"/>
        <v>0</v>
      </c>
      <c r="E28" s="113"/>
      <c r="F28" s="117">
        <f t="shared" si="6"/>
        <v>0</v>
      </c>
      <c r="G28" s="118"/>
      <c r="H28" s="118"/>
      <c r="I28" s="118"/>
      <c r="J28" s="118"/>
      <c r="K28" s="115">
        <f t="shared" si="0"/>
        <v>0</v>
      </c>
      <c r="L28" s="134"/>
      <c r="M28" s="113"/>
      <c r="N28" s="257">
        <f t="shared" si="2"/>
        <v>0</v>
      </c>
      <c r="O28" s="114">
        <f t="shared" si="3"/>
        <v>19668089</v>
      </c>
    </row>
    <row r="29" spans="1:18" ht="16.5" x14ac:dyDescent="0.25">
      <c r="A29" s="110">
        <f t="shared" si="4"/>
        <v>44064</v>
      </c>
      <c r="B29" s="117">
        <f t="shared" si="1"/>
        <v>0</v>
      </c>
      <c r="C29" s="86"/>
      <c r="D29" s="117">
        <f t="shared" si="6"/>
        <v>0</v>
      </c>
      <c r="E29" s="113"/>
      <c r="F29" s="117">
        <f t="shared" si="6"/>
        <v>0</v>
      </c>
      <c r="G29" s="118"/>
      <c r="H29" s="118"/>
      <c r="I29" s="118"/>
      <c r="J29" s="118"/>
      <c r="K29" s="115">
        <f t="shared" si="0"/>
        <v>0</v>
      </c>
      <c r="L29" s="134"/>
      <c r="M29" s="113"/>
      <c r="N29" s="257">
        <f t="shared" si="2"/>
        <v>0</v>
      </c>
      <c r="O29" s="114">
        <f t="shared" si="3"/>
        <v>19668089</v>
      </c>
    </row>
    <row r="30" spans="1:18" ht="16.5" x14ac:dyDescent="0.25">
      <c r="A30" s="110">
        <f t="shared" si="4"/>
        <v>44065</v>
      </c>
      <c r="B30" s="117">
        <f t="shared" si="1"/>
        <v>0</v>
      </c>
      <c r="C30" s="86"/>
      <c r="D30" s="117">
        <f t="shared" si="6"/>
        <v>0</v>
      </c>
      <c r="E30" s="113"/>
      <c r="F30" s="117">
        <f t="shared" si="6"/>
        <v>0</v>
      </c>
      <c r="G30" s="118"/>
      <c r="H30" s="118"/>
      <c r="I30" s="118"/>
      <c r="J30" s="118"/>
      <c r="K30" s="115">
        <f t="shared" si="0"/>
        <v>0</v>
      </c>
      <c r="L30" s="134"/>
      <c r="M30" s="113"/>
      <c r="N30" s="257">
        <f t="shared" si="2"/>
        <v>0</v>
      </c>
      <c r="O30" s="114">
        <f t="shared" si="3"/>
        <v>19668089</v>
      </c>
    </row>
    <row r="31" spans="1:18" s="94" customFormat="1" ht="16.5" x14ac:dyDescent="0.25">
      <c r="A31" s="827">
        <f t="shared" si="4"/>
        <v>44066</v>
      </c>
      <c r="B31" s="117">
        <f t="shared" si="1"/>
        <v>0</v>
      </c>
      <c r="C31" s="86"/>
      <c r="D31" s="117">
        <f t="shared" si="6"/>
        <v>0</v>
      </c>
      <c r="E31" s="113"/>
      <c r="F31" s="117">
        <f t="shared" si="6"/>
        <v>0</v>
      </c>
      <c r="G31" s="118"/>
      <c r="H31" s="118"/>
      <c r="I31" s="118"/>
      <c r="J31" s="118"/>
      <c r="K31" s="115">
        <f t="shared" si="0"/>
        <v>0</v>
      </c>
      <c r="L31" s="134"/>
      <c r="M31" s="86"/>
      <c r="N31" s="257">
        <f t="shared" si="2"/>
        <v>0</v>
      </c>
      <c r="O31" s="118">
        <f t="shared" si="3"/>
        <v>19668089</v>
      </c>
      <c r="P31" s="1558"/>
    </row>
    <row r="32" spans="1:18" ht="16.5" x14ac:dyDescent="0.25">
      <c r="A32" s="110">
        <f t="shared" si="4"/>
        <v>44067</v>
      </c>
      <c r="B32" s="111">
        <f t="shared" si="1"/>
        <v>0</v>
      </c>
      <c r="C32" s="113"/>
      <c r="D32" s="117">
        <f t="shared" si="6"/>
        <v>0</v>
      </c>
      <c r="E32" s="113"/>
      <c r="F32" s="111">
        <f t="shared" si="6"/>
        <v>0</v>
      </c>
      <c r="G32" s="114"/>
      <c r="H32" s="114"/>
      <c r="I32" s="114"/>
      <c r="J32" s="114"/>
      <c r="K32" s="115">
        <f t="shared" si="0"/>
        <v>0</v>
      </c>
      <c r="L32" s="115"/>
      <c r="M32" s="113"/>
      <c r="N32" s="257">
        <f t="shared" si="2"/>
        <v>0</v>
      </c>
      <c r="O32" s="114">
        <f t="shared" si="3"/>
        <v>19668089</v>
      </c>
      <c r="Q32" s="386"/>
    </row>
    <row r="33" spans="1:17" ht="16.5" x14ac:dyDescent="0.25">
      <c r="A33" s="110">
        <f t="shared" si="4"/>
        <v>44068</v>
      </c>
      <c r="B33" s="111">
        <f t="shared" si="1"/>
        <v>0</v>
      </c>
      <c r="C33" s="113"/>
      <c r="D33" s="117">
        <f t="shared" si="6"/>
        <v>0</v>
      </c>
      <c r="E33" s="113"/>
      <c r="F33" s="111">
        <f t="shared" si="6"/>
        <v>0</v>
      </c>
      <c r="G33" s="114"/>
      <c r="H33" s="114"/>
      <c r="I33" s="114"/>
      <c r="J33" s="114"/>
      <c r="K33" s="115">
        <f t="shared" si="0"/>
        <v>0</v>
      </c>
      <c r="L33" s="115"/>
      <c r="M33" s="113"/>
      <c r="N33" s="257">
        <f t="shared" si="2"/>
        <v>0</v>
      </c>
      <c r="O33" s="114">
        <f t="shared" si="3"/>
        <v>19668089</v>
      </c>
      <c r="Q33" s="386"/>
    </row>
    <row r="34" spans="1:17" ht="16.5" x14ac:dyDescent="0.25">
      <c r="A34" s="110">
        <f t="shared" si="4"/>
        <v>44069</v>
      </c>
      <c r="B34" s="111">
        <f t="shared" si="1"/>
        <v>0</v>
      </c>
      <c r="C34" s="113"/>
      <c r="D34" s="117">
        <f t="shared" si="6"/>
        <v>0</v>
      </c>
      <c r="E34" s="113"/>
      <c r="F34" s="111">
        <f t="shared" si="6"/>
        <v>0</v>
      </c>
      <c r="G34" s="114"/>
      <c r="H34" s="114"/>
      <c r="I34" s="114"/>
      <c r="J34" s="114"/>
      <c r="K34" s="115">
        <f t="shared" si="0"/>
        <v>0</v>
      </c>
      <c r="L34" s="115"/>
      <c r="M34" s="113"/>
      <c r="N34" s="257">
        <f t="shared" si="2"/>
        <v>0</v>
      </c>
      <c r="O34" s="114">
        <f t="shared" si="3"/>
        <v>19668089</v>
      </c>
      <c r="P34" s="386"/>
    </row>
    <row r="35" spans="1:17" ht="16.5" x14ac:dyDescent="0.25">
      <c r="A35" s="110">
        <f t="shared" si="4"/>
        <v>44070</v>
      </c>
      <c r="B35" s="111">
        <f t="shared" si="1"/>
        <v>0</v>
      </c>
      <c r="C35" s="113"/>
      <c r="D35" s="117">
        <f t="shared" si="6"/>
        <v>0</v>
      </c>
      <c r="E35" s="113"/>
      <c r="F35" s="111">
        <f t="shared" si="6"/>
        <v>0</v>
      </c>
      <c r="G35" s="114"/>
      <c r="H35" s="114"/>
      <c r="I35" s="114"/>
      <c r="J35" s="114"/>
      <c r="K35" s="115">
        <f t="shared" si="0"/>
        <v>0</v>
      </c>
      <c r="L35" s="115"/>
      <c r="M35" s="113"/>
      <c r="N35" s="257">
        <f t="shared" si="2"/>
        <v>0</v>
      </c>
      <c r="O35" s="114">
        <f t="shared" si="3"/>
        <v>19668089</v>
      </c>
    </row>
    <row r="36" spans="1:17" ht="16.5" x14ac:dyDescent="0.25">
      <c r="A36" s="110">
        <f t="shared" si="4"/>
        <v>44071</v>
      </c>
      <c r="B36" s="111">
        <f t="shared" si="1"/>
        <v>0</v>
      </c>
      <c r="C36" s="113"/>
      <c r="D36" s="117">
        <f t="shared" si="6"/>
        <v>0</v>
      </c>
      <c r="E36" s="113"/>
      <c r="F36" s="111">
        <f t="shared" si="6"/>
        <v>0</v>
      </c>
      <c r="G36" s="114"/>
      <c r="H36" s="114"/>
      <c r="I36" s="114"/>
      <c r="J36" s="114"/>
      <c r="K36" s="115">
        <f t="shared" si="0"/>
        <v>0</v>
      </c>
      <c r="L36" s="115"/>
      <c r="M36" s="113"/>
      <c r="N36" s="257">
        <f t="shared" si="2"/>
        <v>0</v>
      </c>
      <c r="O36" s="114">
        <f t="shared" si="3"/>
        <v>19668089</v>
      </c>
    </row>
    <row r="37" spans="1:17" ht="16.5" x14ac:dyDescent="0.25">
      <c r="A37" s="110">
        <f t="shared" si="4"/>
        <v>44072</v>
      </c>
      <c r="B37" s="111">
        <f t="shared" si="1"/>
        <v>0</v>
      </c>
      <c r="C37" s="113"/>
      <c r="D37" s="117">
        <f t="shared" si="6"/>
        <v>0</v>
      </c>
      <c r="E37" s="113"/>
      <c r="F37" s="111">
        <f t="shared" si="6"/>
        <v>0</v>
      </c>
      <c r="G37" s="114"/>
      <c r="H37" s="114"/>
      <c r="I37" s="114"/>
      <c r="J37" s="114"/>
      <c r="K37" s="115">
        <f t="shared" si="0"/>
        <v>0</v>
      </c>
      <c r="L37" s="115"/>
      <c r="M37" s="113"/>
      <c r="N37" s="257">
        <f t="shared" si="2"/>
        <v>0</v>
      </c>
      <c r="O37" s="114">
        <f t="shared" si="3"/>
        <v>19668089</v>
      </c>
    </row>
    <row r="38" spans="1:17" ht="16.5" x14ac:dyDescent="0.25">
      <c r="A38" s="110">
        <f t="shared" si="4"/>
        <v>44073</v>
      </c>
      <c r="B38" s="111">
        <f t="shared" si="1"/>
        <v>0</v>
      </c>
      <c r="C38" s="113"/>
      <c r="D38" s="117">
        <f t="shared" si="6"/>
        <v>0</v>
      </c>
      <c r="E38" s="113"/>
      <c r="F38" s="111">
        <f t="shared" si="6"/>
        <v>0</v>
      </c>
      <c r="G38" s="114"/>
      <c r="H38" s="114"/>
      <c r="I38" s="114"/>
      <c r="J38" s="114"/>
      <c r="K38" s="115">
        <f t="shared" si="0"/>
        <v>0</v>
      </c>
      <c r="L38" s="115"/>
      <c r="M38" s="113"/>
      <c r="N38" s="257">
        <f t="shared" si="2"/>
        <v>0</v>
      </c>
      <c r="O38" s="114">
        <f t="shared" si="3"/>
        <v>19668089</v>
      </c>
      <c r="P38" s="386"/>
    </row>
    <row r="39" spans="1:17" ht="16.5" x14ac:dyDescent="0.25">
      <c r="A39" s="110">
        <f t="shared" si="4"/>
        <v>44074</v>
      </c>
      <c r="B39" s="111">
        <f t="shared" si="1"/>
        <v>0</v>
      </c>
      <c r="C39" s="113"/>
      <c r="D39" s="117">
        <f t="shared" si="6"/>
        <v>0</v>
      </c>
      <c r="E39" s="113"/>
      <c r="F39" s="111">
        <f t="shared" si="6"/>
        <v>0</v>
      </c>
      <c r="G39" s="114"/>
      <c r="H39" s="114"/>
      <c r="I39" s="114"/>
      <c r="J39" s="114"/>
      <c r="K39" s="115">
        <f t="shared" si="0"/>
        <v>0</v>
      </c>
      <c r="L39" s="115"/>
      <c r="M39" s="113"/>
      <c r="N39" s="257">
        <f t="shared" si="2"/>
        <v>0</v>
      </c>
      <c r="O39" s="240">
        <f>+O38+K39-M39</f>
        <v>19668089</v>
      </c>
    </row>
    <row r="40" spans="1:17" ht="16.5" x14ac:dyDescent="0.2">
      <c r="A40" s="121" t="s">
        <v>18</v>
      </c>
      <c r="B40" s="137">
        <f>SUM(B9:B39)</f>
        <v>0</v>
      </c>
      <c r="C40" s="115">
        <f>SUM(C9:C39)</f>
        <v>0</v>
      </c>
      <c r="D40" s="117">
        <f t="shared" si="6"/>
        <v>92.173913043478265</v>
      </c>
      <c r="E40" s="115">
        <f>SUM(E9:E39)</f>
        <v>53000</v>
      </c>
      <c r="F40" s="115">
        <f t="shared" ref="F40:M40" si="7">SUM(F9:F39)</f>
        <v>0</v>
      </c>
      <c r="G40" s="115">
        <f t="shared" si="7"/>
        <v>0</v>
      </c>
      <c r="H40" s="115">
        <f t="shared" si="7"/>
        <v>0</v>
      </c>
      <c r="I40" s="115">
        <f t="shared" si="7"/>
        <v>0</v>
      </c>
      <c r="J40" s="115">
        <f t="shared" si="7"/>
        <v>0</v>
      </c>
      <c r="K40" s="115">
        <f t="shared" si="7"/>
        <v>53000</v>
      </c>
      <c r="L40" s="115"/>
      <c r="M40" s="115">
        <f t="shared" si="7"/>
        <v>0</v>
      </c>
      <c r="N40" s="1353">
        <f>SUM(N8:N39)</f>
        <v>19668089</v>
      </c>
      <c r="O40" s="114"/>
    </row>
    <row r="41" spans="1:17" ht="15.75" x14ac:dyDescent="0.2">
      <c r="D41" s="117">
        <f t="shared" si="6"/>
        <v>0</v>
      </c>
    </row>
    <row r="43" spans="1:17" ht="15.75" x14ac:dyDescent="0.25">
      <c r="C43" s="238" t="s">
        <v>175</v>
      </c>
    </row>
    <row r="44" spans="1:17" x14ac:dyDescent="0.2">
      <c r="I44" s="37">
        <f>172500/575</f>
        <v>300</v>
      </c>
      <c r="M44" s="37">
        <v>20563</v>
      </c>
    </row>
    <row r="45" spans="1:17" x14ac:dyDescent="0.2">
      <c r="E45" s="37">
        <f>286700-36000</f>
        <v>250700</v>
      </c>
    </row>
  </sheetData>
  <mergeCells count="8">
    <mergeCell ref="O6:O7"/>
    <mergeCell ref="H6:H8"/>
    <mergeCell ref="I6:I8"/>
    <mergeCell ref="J6:J8"/>
    <mergeCell ref="K6:K7"/>
    <mergeCell ref="M6:M7"/>
    <mergeCell ref="N6:N7"/>
    <mergeCell ref="L6:L7"/>
  </mergeCells>
  <printOptions horizontalCentered="1"/>
  <pageMargins left="0.39370078740157483" right="0.39370078740157483" top="0.74803149606299213" bottom="0.74803149606299213" header="0.31496062992125984" footer="0.31496062992125984"/>
  <pageSetup paperSize="9" scale="70"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filterMode="1">
    <tabColor rgb="FFFF0000"/>
    <pageSetUpPr fitToPage="1"/>
  </sheetPr>
  <dimension ref="A1:AI584"/>
  <sheetViews>
    <sheetView zoomScaleNormal="100" workbookViewId="0">
      <pane xSplit="1" ySplit="8" topLeftCell="C9" activePane="bottomRight" state="frozen"/>
      <selection activeCell="C45" sqref="C45"/>
      <selection pane="topRight" activeCell="C45" sqref="C45"/>
      <selection pane="bottomLeft" activeCell="C45" sqref="C45"/>
      <selection pane="bottomRight" activeCell="H30" sqref="H30"/>
    </sheetView>
  </sheetViews>
  <sheetFormatPr baseColWidth="10" defaultRowHeight="18" x14ac:dyDescent="0.25"/>
  <cols>
    <col min="1" max="1" width="18.42578125" style="38" customWidth="1"/>
    <col min="2" max="2" width="14.5703125" style="38" customWidth="1"/>
    <col min="3" max="3" width="14.140625" style="38" customWidth="1"/>
    <col min="4" max="4" width="16.7109375" style="38" customWidth="1"/>
    <col min="5" max="5" width="15.85546875" style="38" customWidth="1"/>
    <col min="6" max="6" width="16.5703125" style="74" customWidth="1"/>
    <col min="7" max="7" width="18.42578125" style="38" customWidth="1"/>
    <col min="8" max="8" width="19" style="38" customWidth="1"/>
    <col min="9" max="9" width="20.28515625" style="38" customWidth="1"/>
    <col min="10" max="10" width="21.85546875" style="38" customWidth="1"/>
    <col min="11" max="11" width="20.5703125" style="1043" customWidth="1"/>
    <col min="12" max="12" width="23" style="38" customWidth="1"/>
    <col min="13" max="13" width="18.28515625" style="38" customWidth="1"/>
    <col min="14" max="14" width="19.140625" style="38" customWidth="1"/>
    <col min="15" max="15" width="17.7109375" style="38" customWidth="1"/>
    <col min="16" max="16" width="17.5703125" style="38" customWidth="1"/>
    <col min="17" max="17" width="19.5703125" style="38" customWidth="1"/>
    <col min="18" max="18" width="21.5703125" style="38" customWidth="1"/>
    <col min="19" max="19" width="18" style="38" customWidth="1"/>
    <col min="20" max="45" width="11.42578125" style="38" customWidth="1"/>
    <col min="46" max="16384" width="11.42578125" style="38"/>
  </cols>
  <sheetData>
    <row r="1" spans="1:18" ht="21" x14ac:dyDescent="0.35">
      <c r="A1" s="36" t="s">
        <v>118</v>
      </c>
      <c r="E1" s="52"/>
      <c r="K1" s="38"/>
      <c r="M1" s="1684"/>
    </row>
    <row r="2" spans="1:18" ht="18.75" customHeight="1" x14ac:dyDescent="0.35">
      <c r="C2" s="159"/>
      <c r="I2" s="218">
        <f>440*575</f>
        <v>253000</v>
      </c>
      <c r="K2" s="1653"/>
      <c r="L2" s="218">
        <f>731910+207000+1926250</f>
        <v>2865160</v>
      </c>
      <c r="M2" s="667">
        <f>1926250-865160</f>
        <v>1061090</v>
      </c>
      <c r="N2" s="148"/>
    </row>
    <row r="3" spans="1:18" ht="27" customHeight="1" thickBot="1" x14ac:dyDescent="0.35">
      <c r="A3" s="36" t="s">
        <v>19</v>
      </c>
      <c r="B3" s="268">
        <v>42491</v>
      </c>
      <c r="C3" s="36"/>
      <c r="D3" s="142">
        <v>42917</v>
      </c>
      <c r="G3" s="218"/>
      <c r="H3" s="218"/>
      <c r="I3" s="218">
        <f>+I2-160000</f>
        <v>93000</v>
      </c>
      <c r="J3" s="142">
        <v>42614</v>
      </c>
      <c r="L3" s="218"/>
      <c r="M3" s="1673"/>
      <c r="N3" s="1685"/>
      <c r="O3" s="218"/>
      <c r="P3" s="37"/>
    </row>
    <row r="4" spans="1:18" ht="21.75" customHeight="1" x14ac:dyDescent="0.3">
      <c r="A4" s="36"/>
      <c r="B4" s="36"/>
      <c r="C4" s="815"/>
      <c r="D4" s="3072" t="s">
        <v>396</v>
      </c>
      <c r="E4" s="3073"/>
      <c r="F4" s="3073"/>
      <c r="G4" s="3073"/>
      <c r="H4" s="3074"/>
      <c r="I4" s="3075" t="s">
        <v>405</v>
      </c>
      <c r="J4" s="3076"/>
      <c r="K4" s="3076"/>
      <c r="L4" s="3076"/>
      <c r="M4" s="3077"/>
      <c r="N4" s="863"/>
      <c r="O4" s="218"/>
    </row>
    <row r="5" spans="1:18" ht="32.25" customHeight="1" x14ac:dyDescent="0.3">
      <c r="A5" s="912" t="s">
        <v>458</v>
      </c>
      <c r="B5" s="36"/>
      <c r="C5" s="815"/>
      <c r="D5" s="1047"/>
      <c r="E5" s="1048"/>
      <c r="F5" s="1048"/>
      <c r="G5" s="1048"/>
      <c r="H5" s="1329"/>
      <c r="I5" s="1203"/>
      <c r="J5" s="1033"/>
      <c r="K5" s="1044"/>
      <c r="L5" s="1034"/>
      <c r="M5" s="1034"/>
      <c r="N5" s="218"/>
      <c r="O5" s="218"/>
      <c r="Q5" s="634">
        <f>+M3-M8</f>
        <v>-20152177</v>
      </c>
    </row>
    <row r="6" spans="1:18" ht="16.5" customHeight="1" x14ac:dyDescent="0.25">
      <c r="A6" s="1896" t="s">
        <v>3</v>
      </c>
      <c r="B6" s="161" t="s">
        <v>15</v>
      </c>
      <c r="C6" s="797"/>
      <c r="D6" s="3078" t="s">
        <v>67</v>
      </c>
      <c r="E6" s="3079"/>
      <c r="F6" s="1892"/>
      <c r="G6" s="1892"/>
      <c r="H6" s="1330"/>
      <c r="I6" s="3080" t="s">
        <v>68</v>
      </c>
      <c r="J6" s="2947"/>
      <c r="K6" s="1041" t="s">
        <v>223</v>
      </c>
      <c r="L6" s="1890" t="s">
        <v>419</v>
      </c>
      <c r="M6" s="1890"/>
      <c r="N6" s="2901" t="s">
        <v>18</v>
      </c>
      <c r="O6" s="2910" t="s">
        <v>60</v>
      </c>
      <c r="P6" s="2901" t="s">
        <v>55</v>
      </c>
      <c r="Q6" s="2901" t="s">
        <v>120</v>
      </c>
    </row>
    <row r="7" spans="1:18" ht="21" hidden="1" customHeight="1" x14ac:dyDescent="0.25">
      <c r="A7" s="163"/>
      <c r="B7" s="164">
        <v>630</v>
      </c>
      <c r="C7" s="798"/>
      <c r="D7" s="3081">
        <v>575</v>
      </c>
      <c r="E7" s="3082"/>
      <c r="F7" s="1039" t="s">
        <v>490</v>
      </c>
      <c r="G7" s="1466" t="s">
        <v>60</v>
      </c>
      <c r="H7" s="1467" t="s">
        <v>55</v>
      </c>
      <c r="I7" s="3080">
        <v>575</v>
      </c>
      <c r="J7" s="2947"/>
      <c r="K7" s="1042" t="s">
        <v>490</v>
      </c>
      <c r="L7" s="1035" t="s">
        <v>60</v>
      </c>
      <c r="M7" s="1035" t="s">
        <v>55</v>
      </c>
      <c r="N7" s="2902"/>
      <c r="O7" s="2911"/>
      <c r="P7" s="2902"/>
      <c r="Q7" s="2902"/>
    </row>
    <row r="8" spans="1:18" ht="18" customHeight="1" x14ac:dyDescent="0.35">
      <c r="A8" s="1897"/>
      <c r="B8" s="166" t="s">
        <v>56</v>
      </c>
      <c r="C8" s="799" t="s">
        <v>37</v>
      </c>
      <c r="D8" s="1036" t="s">
        <v>56</v>
      </c>
      <c r="E8" s="371" t="s">
        <v>37</v>
      </c>
      <c r="F8" s="371"/>
      <c r="G8" s="106"/>
      <c r="H8" s="1331">
        <v>5731033</v>
      </c>
      <c r="I8" s="1204" t="s">
        <v>56</v>
      </c>
      <c r="J8" s="1093" t="s">
        <v>37</v>
      </c>
      <c r="K8" s="1045"/>
      <c r="L8" s="1093"/>
      <c r="M8" s="1258">
        <v>20152177</v>
      </c>
      <c r="N8" s="162"/>
      <c r="O8" s="182"/>
      <c r="P8" s="183">
        <f>H8+M8</f>
        <v>25883210</v>
      </c>
      <c r="Q8" s="168">
        <f>P8</f>
        <v>25883210</v>
      </c>
      <c r="R8" s="218"/>
    </row>
    <row r="9" spans="1:18" ht="15" customHeight="1" x14ac:dyDescent="0.25">
      <c r="A9" s="110">
        <f>KONGFU!A9</f>
        <v>44105</v>
      </c>
      <c r="B9" s="174">
        <f t="shared" ref="B9:B38" si="0">+C9/569</f>
        <v>0</v>
      </c>
      <c r="C9" s="800"/>
      <c r="D9" s="1037">
        <f t="shared" ref="D9:D38" si="1">+E9/D$7</f>
        <v>0</v>
      </c>
      <c r="E9" s="114"/>
      <c r="F9" s="804"/>
      <c r="G9" s="114"/>
      <c r="H9" s="1332">
        <f t="shared" ref="H9:H14" si="2">+H8+E9-G9</f>
        <v>5731033</v>
      </c>
      <c r="I9" s="1037">
        <f>+J9/I$7</f>
        <v>0</v>
      </c>
      <c r="J9" s="114"/>
      <c r="K9" s="1045"/>
      <c r="L9" s="118"/>
      <c r="M9" s="106">
        <f>+M8+J9-L9</f>
        <v>20152177</v>
      </c>
      <c r="N9" s="803">
        <f>+E9+J9</f>
        <v>0</v>
      </c>
      <c r="O9" s="172">
        <f t="shared" ref="O9:O14" si="3">+G9+L9</f>
        <v>0</v>
      </c>
      <c r="P9" s="172">
        <f t="shared" ref="P9:P39" si="4">N9-O9</f>
        <v>0</v>
      </c>
      <c r="Q9" s="172">
        <f t="shared" ref="Q9:Q39" si="5">+Q8+N9-O9</f>
        <v>25883210</v>
      </c>
    </row>
    <row r="10" spans="1:18" ht="15" customHeight="1" x14ac:dyDescent="0.25">
      <c r="A10" s="110">
        <f>+A9+1</f>
        <v>44106</v>
      </c>
      <c r="B10" s="174">
        <f t="shared" si="0"/>
        <v>0</v>
      </c>
      <c r="C10" s="800"/>
      <c r="D10" s="1037">
        <f t="shared" si="1"/>
        <v>0</v>
      </c>
      <c r="E10" s="66"/>
      <c r="F10" s="804"/>
      <c r="G10" s="804"/>
      <c r="H10" s="1332">
        <f t="shared" si="2"/>
        <v>5731033</v>
      </c>
      <c r="I10" s="1037">
        <f t="shared" ref="I10:I39" si="6">+J10/I$7</f>
        <v>0</v>
      </c>
      <c r="J10" s="114"/>
      <c r="K10" s="999"/>
      <c r="L10" s="118"/>
      <c r="M10" s="106">
        <f t="shared" ref="M10:M39" si="7">+M9+J10-L10</f>
        <v>20152177</v>
      </c>
      <c r="N10" s="803">
        <f t="shared" ref="N10:N39" si="8">+E10+J10</f>
        <v>0</v>
      </c>
      <c r="O10" s="172">
        <f t="shared" si="3"/>
        <v>0</v>
      </c>
      <c r="P10" s="172">
        <f t="shared" si="4"/>
        <v>0</v>
      </c>
      <c r="Q10" s="172">
        <f t="shared" si="5"/>
        <v>25883210</v>
      </c>
    </row>
    <row r="11" spans="1:18" ht="15" customHeight="1" x14ac:dyDescent="0.25">
      <c r="A11" s="110">
        <f t="shared" ref="A11:A39" si="9">+A10+1</f>
        <v>44107</v>
      </c>
      <c r="B11" s="174">
        <f t="shared" si="0"/>
        <v>0</v>
      </c>
      <c r="C11" s="801"/>
      <c r="D11" s="1037">
        <f t="shared" si="1"/>
        <v>0</v>
      </c>
      <c r="E11" s="114"/>
      <c r="F11" s="804"/>
      <c r="G11" s="114"/>
      <c r="H11" s="1332">
        <f t="shared" si="2"/>
        <v>5731033</v>
      </c>
      <c r="I11" s="1037">
        <f t="shared" si="6"/>
        <v>0</v>
      </c>
      <c r="J11" s="114"/>
      <c r="K11" s="950"/>
      <c r="L11" s="118"/>
      <c r="M11" s="106">
        <f t="shared" si="7"/>
        <v>20152177</v>
      </c>
      <c r="N11" s="803">
        <f t="shared" si="8"/>
        <v>0</v>
      </c>
      <c r="O11" s="172">
        <f t="shared" si="3"/>
        <v>0</v>
      </c>
      <c r="P11" s="172">
        <f t="shared" si="4"/>
        <v>0</v>
      </c>
      <c r="Q11" s="172">
        <f t="shared" si="5"/>
        <v>25883210</v>
      </c>
    </row>
    <row r="12" spans="1:18" ht="15" customHeight="1" x14ac:dyDescent="0.25">
      <c r="A12" s="110">
        <f t="shared" si="9"/>
        <v>44108</v>
      </c>
      <c r="B12" s="174">
        <f t="shared" si="0"/>
        <v>0</v>
      </c>
      <c r="C12" s="801"/>
      <c r="D12" s="1037">
        <f>+E12/D$7</f>
        <v>0</v>
      </c>
      <c r="E12" s="114"/>
      <c r="F12" s="804"/>
      <c r="G12" s="114"/>
      <c r="H12" s="1332">
        <f t="shared" si="2"/>
        <v>5731033</v>
      </c>
      <c r="I12" s="1037">
        <f t="shared" si="6"/>
        <v>0</v>
      </c>
      <c r="J12" s="118"/>
      <c r="K12" s="1650"/>
      <c r="L12" s="118"/>
      <c r="M12" s="106">
        <f t="shared" si="7"/>
        <v>20152177</v>
      </c>
      <c r="N12" s="803">
        <f t="shared" si="8"/>
        <v>0</v>
      </c>
      <c r="O12" s="172">
        <f t="shared" si="3"/>
        <v>0</v>
      </c>
      <c r="P12" s="172">
        <f t="shared" si="4"/>
        <v>0</v>
      </c>
      <c r="Q12" s="172">
        <f t="shared" si="5"/>
        <v>25883210</v>
      </c>
    </row>
    <row r="13" spans="1:18" ht="15" customHeight="1" x14ac:dyDescent="0.25">
      <c r="A13" s="110">
        <f t="shared" si="9"/>
        <v>44109</v>
      </c>
      <c r="B13" s="174">
        <f t="shared" si="0"/>
        <v>0</v>
      </c>
      <c r="C13" s="805"/>
      <c r="D13" s="1037">
        <f>+E13/D$7</f>
        <v>0</v>
      </c>
      <c r="E13" s="114"/>
      <c r="F13" s="804"/>
      <c r="G13" s="114"/>
      <c r="H13" s="1332">
        <f t="shared" si="2"/>
        <v>5731033</v>
      </c>
      <c r="I13" s="1037">
        <f t="shared" si="6"/>
        <v>0</v>
      </c>
      <c r="J13" s="118"/>
      <c r="K13" s="950"/>
      <c r="L13" s="118"/>
      <c r="M13" s="106">
        <f t="shared" si="7"/>
        <v>20152177</v>
      </c>
      <c r="N13" s="803">
        <f t="shared" si="8"/>
        <v>0</v>
      </c>
      <c r="O13" s="172">
        <f t="shared" si="3"/>
        <v>0</v>
      </c>
      <c r="P13" s="172">
        <f t="shared" si="4"/>
        <v>0</v>
      </c>
      <c r="Q13" s="172">
        <f t="shared" si="5"/>
        <v>25883210</v>
      </c>
    </row>
    <row r="14" spans="1:18" ht="15" customHeight="1" x14ac:dyDescent="0.25">
      <c r="A14" s="110">
        <f t="shared" si="9"/>
        <v>44110</v>
      </c>
      <c r="B14" s="174">
        <f t="shared" si="0"/>
        <v>0</v>
      </c>
      <c r="C14" s="800"/>
      <c r="D14" s="1037">
        <f t="shared" si="1"/>
        <v>0</v>
      </c>
      <c r="E14" s="114"/>
      <c r="F14" s="804"/>
      <c r="G14" s="114"/>
      <c r="H14" s="1332">
        <f t="shared" si="2"/>
        <v>5731033</v>
      </c>
      <c r="I14" s="1037">
        <f t="shared" si="6"/>
        <v>0</v>
      </c>
      <c r="J14" s="118"/>
      <c r="K14" s="950"/>
      <c r="L14" s="118"/>
      <c r="M14" s="106">
        <f t="shared" si="7"/>
        <v>20152177</v>
      </c>
      <c r="N14" s="803">
        <f t="shared" si="8"/>
        <v>0</v>
      </c>
      <c r="O14" s="172">
        <f t="shared" si="3"/>
        <v>0</v>
      </c>
      <c r="P14" s="172">
        <f t="shared" si="4"/>
        <v>0</v>
      </c>
      <c r="Q14" s="172">
        <f t="shared" si="5"/>
        <v>25883210</v>
      </c>
    </row>
    <row r="15" spans="1:18" ht="15" customHeight="1" x14ac:dyDescent="0.25">
      <c r="A15" s="110">
        <f t="shared" si="9"/>
        <v>44111</v>
      </c>
      <c r="B15" s="174">
        <f t="shared" si="0"/>
        <v>0</v>
      </c>
      <c r="C15" s="801"/>
      <c r="D15" s="1037">
        <f t="shared" si="1"/>
        <v>0</v>
      </c>
      <c r="E15" s="114"/>
      <c r="F15" s="173"/>
      <c r="G15" s="114"/>
      <c r="H15" s="1332">
        <f t="shared" ref="H15:H37" si="10">+H14+E15-G15</f>
        <v>5731033</v>
      </c>
      <c r="I15" s="1037">
        <f t="shared" si="6"/>
        <v>0</v>
      </c>
      <c r="J15" s="114"/>
      <c r="K15" s="999"/>
      <c r="L15" s="118"/>
      <c r="M15" s="106">
        <f t="shared" si="7"/>
        <v>20152177</v>
      </c>
      <c r="N15" s="803">
        <f t="shared" si="8"/>
        <v>0</v>
      </c>
      <c r="O15" s="172">
        <f t="shared" ref="O15:O39" si="11">+G15+L15</f>
        <v>0</v>
      </c>
      <c r="P15" s="172">
        <f t="shared" si="4"/>
        <v>0</v>
      </c>
      <c r="Q15" s="172">
        <f t="shared" si="5"/>
        <v>25883210</v>
      </c>
    </row>
    <row r="16" spans="1:18" ht="16.5" customHeight="1" x14ac:dyDescent="0.25">
      <c r="A16" s="110">
        <f t="shared" si="9"/>
        <v>44112</v>
      </c>
      <c r="B16" s="174">
        <f t="shared" si="0"/>
        <v>0</v>
      </c>
      <c r="C16" s="801"/>
      <c r="D16" s="1037">
        <f t="shared" si="1"/>
        <v>0</v>
      </c>
      <c r="E16" s="114"/>
      <c r="F16" s="173"/>
      <c r="G16" s="114"/>
      <c r="H16" s="1332">
        <f t="shared" si="10"/>
        <v>5731033</v>
      </c>
      <c r="I16" s="1037">
        <f t="shared" si="6"/>
        <v>0</v>
      </c>
      <c r="J16" s="114"/>
      <c r="K16" s="950"/>
      <c r="L16" s="118"/>
      <c r="M16" s="106">
        <f t="shared" si="7"/>
        <v>20152177</v>
      </c>
      <c r="N16" s="803">
        <f t="shared" si="8"/>
        <v>0</v>
      </c>
      <c r="O16" s="172">
        <f t="shared" si="11"/>
        <v>0</v>
      </c>
      <c r="P16" s="172">
        <f t="shared" si="4"/>
        <v>0</v>
      </c>
      <c r="Q16" s="172">
        <f t="shared" si="5"/>
        <v>25883210</v>
      </c>
    </row>
    <row r="17" spans="1:35" ht="15" customHeight="1" x14ac:dyDescent="0.25">
      <c r="A17" s="110">
        <f t="shared" si="9"/>
        <v>44113</v>
      </c>
      <c r="B17" s="174">
        <f t="shared" si="0"/>
        <v>0</v>
      </c>
      <c r="C17" s="802"/>
      <c r="D17" s="1037">
        <f t="shared" si="1"/>
        <v>0</v>
      </c>
      <c r="E17" s="114"/>
      <c r="F17" s="173"/>
      <c r="G17" s="114"/>
      <c r="H17" s="1332">
        <f t="shared" si="10"/>
        <v>5731033</v>
      </c>
      <c r="I17" s="1037">
        <f t="shared" si="6"/>
        <v>0</v>
      </c>
      <c r="J17" s="118"/>
      <c r="K17" s="831"/>
      <c r="L17" s="118"/>
      <c r="M17" s="106">
        <f t="shared" si="7"/>
        <v>20152177</v>
      </c>
      <c r="N17" s="803">
        <f t="shared" si="8"/>
        <v>0</v>
      </c>
      <c r="O17" s="172">
        <f t="shared" si="11"/>
        <v>0</v>
      </c>
      <c r="P17" s="172">
        <f t="shared" si="4"/>
        <v>0</v>
      </c>
      <c r="Q17" s="172">
        <f t="shared" si="5"/>
        <v>25883210</v>
      </c>
    </row>
    <row r="18" spans="1:35" ht="15" customHeight="1" x14ac:dyDescent="0.25">
      <c r="A18" s="110">
        <f t="shared" si="9"/>
        <v>44114</v>
      </c>
      <c r="B18" s="174">
        <f t="shared" si="0"/>
        <v>0</v>
      </c>
      <c r="C18" s="802"/>
      <c r="D18" s="1037">
        <f t="shared" si="1"/>
        <v>0</v>
      </c>
      <c r="E18" s="114"/>
      <c r="F18" s="114"/>
      <c r="G18" s="114"/>
      <c r="H18" s="1332">
        <f t="shared" si="10"/>
        <v>5731033</v>
      </c>
      <c r="I18" s="1037">
        <f t="shared" si="6"/>
        <v>0</v>
      </c>
      <c r="J18" s="118"/>
      <c r="K18" s="831"/>
      <c r="L18" s="118"/>
      <c r="M18" s="106">
        <f t="shared" si="7"/>
        <v>20152177</v>
      </c>
      <c r="N18" s="803">
        <f t="shared" si="8"/>
        <v>0</v>
      </c>
      <c r="O18" s="172">
        <f t="shared" si="11"/>
        <v>0</v>
      </c>
      <c r="P18" s="172">
        <f t="shared" si="4"/>
        <v>0</v>
      </c>
      <c r="Q18" s="172">
        <f t="shared" si="5"/>
        <v>25883210</v>
      </c>
    </row>
    <row r="19" spans="1:35" ht="15" customHeight="1" x14ac:dyDescent="0.25">
      <c r="A19" s="110">
        <f t="shared" si="9"/>
        <v>44115</v>
      </c>
      <c r="B19" s="174">
        <f t="shared" si="0"/>
        <v>0</v>
      </c>
      <c r="C19" s="802"/>
      <c r="D19" s="1037">
        <f t="shared" si="1"/>
        <v>0</v>
      </c>
      <c r="E19" s="114"/>
      <c r="F19" s="173"/>
      <c r="G19" s="114"/>
      <c r="H19" s="1332">
        <f t="shared" si="10"/>
        <v>5731033</v>
      </c>
      <c r="I19" s="1037">
        <f t="shared" si="6"/>
        <v>0</v>
      </c>
      <c r="J19" s="118"/>
      <c r="K19" s="831"/>
      <c r="L19" s="118"/>
      <c r="M19" s="106">
        <f t="shared" si="7"/>
        <v>20152177</v>
      </c>
      <c r="N19" s="803">
        <f t="shared" si="8"/>
        <v>0</v>
      </c>
      <c r="O19" s="172">
        <f t="shared" si="11"/>
        <v>0</v>
      </c>
      <c r="P19" s="172">
        <f t="shared" si="4"/>
        <v>0</v>
      </c>
      <c r="Q19" s="172">
        <f t="shared" si="5"/>
        <v>25883210</v>
      </c>
    </row>
    <row r="20" spans="1:35" ht="15" customHeight="1" x14ac:dyDescent="0.25">
      <c r="A20" s="110">
        <f t="shared" si="9"/>
        <v>44116</v>
      </c>
      <c r="B20" s="174">
        <f t="shared" si="0"/>
        <v>0</v>
      </c>
      <c r="C20" s="802"/>
      <c r="D20" s="1037">
        <f t="shared" si="1"/>
        <v>0</v>
      </c>
      <c r="E20" s="114"/>
      <c r="F20" s="172"/>
      <c r="G20" s="172"/>
      <c r="H20" s="1332">
        <f t="shared" si="10"/>
        <v>5731033</v>
      </c>
      <c r="I20" s="1037">
        <f t="shared" si="6"/>
        <v>0</v>
      </c>
      <c r="J20" s="118"/>
      <c r="K20" s="820"/>
      <c r="L20" s="118"/>
      <c r="M20" s="106">
        <f t="shared" si="7"/>
        <v>20152177</v>
      </c>
      <c r="N20" s="803">
        <f t="shared" si="8"/>
        <v>0</v>
      </c>
      <c r="O20" s="172">
        <f t="shared" si="11"/>
        <v>0</v>
      </c>
      <c r="P20" s="172">
        <f t="shared" si="4"/>
        <v>0</v>
      </c>
      <c r="Q20" s="172">
        <f t="shared" si="5"/>
        <v>25883210</v>
      </c>
    </row>
    <row r="21" spans="1:35" ht="15" customHeight="1" x14ac:dyDescent="0.25">
      <c r="A21" s="110">
        <f t="shared" si="9"/>
        <v>44117</v>
      </c>
      <c r="B21" s="174">
        <f t="shared" si="0"/>
        <v>0</v>
      </c>
      <c r="C21" s="802"/>
      <c r="D21" s="1037">
        <f t="shared" si="1"/>
        <v>0</v>
      </c>
      <c r="E21" s="114"/>
      <c r="F21" s="173"/>
      <c r="G21" s="114"/>
      <c r="H21" s="1332">
        <f t="shared" si="10"/>
        <v>5731033</v>
      </c>
      <c r="I21" s="1037">
        <f t="shared" si="6"/>
        <v>0</v>
      </c>
      <c r="J21" s="118"/>
      <c r="K21" s="1383"/>
      <c r="L21" s="118"/>
      <c r="M21" s="106">
        <f t="shared" si="7"/>
        <v>20152177</v>
      </c>
      <c r="N21" s="803">
        <f t="shared" si="8"/>
        <v>0</v>
      </c>
      <c r="O21" s="172">
        <f t="shared" si="11"/>
        <v>0</v>
      </c>
      <c r="P21" s="172">
        <f t="shared" si="4"/>
        <v>0</v>
      </c>
      <c r="Q21" s="172">
        <f t="shared" si="5"/>
        <v>25883210</v>
      </c>
    </row>
    <row r="22" spans="1:35" ht="15" customHeight="1" x14ac:dyDescent="0.25">
      <c r="A22" s="110">
        <f t="shared" si="9"/>
        <v>44118</v>
      </c>
      <c r="B22" s="174">
        <f t="shared" si="0"/>
        <v>0</v>
      </c>
      <c r="C22" s="802"/>
      <c r="D22" s="1037">
        <f t="shared" si="1"/>
        <v>0</v>
      </c>
      <c r="E22" s="114"/>
      <c r="F22" s="173"/>
      <c r="G22" s="114"/>
      <c r="H22" s="1332">
        <f t="shared" si="10"/>
        <v>5731033</v>
      </c>
      <c r="I22" s="1037">
        <f t="shared" si="6"/>
        <v>0</v>
      </c>
      <c r="J22" s="118"/>
      <c r="K22" s="831"/>
      <c r="L22" s="118"/>
      <c r="M22" s="106">
        <f t="shared" si="7"/>
        <v>20152177</v>
      </c>
      <c r="N22" s="803">
        <f t="shared" si="8"/>
        <v>0</v>
      </c>
      <c r="O22" s="172">
        <f t="shared" si="11"/>
        <v>0</v>
      </c>
      <c r="P22" s="172">
        <f t="shared" si="4"/>
        <v>0</v>
      </c>
      <c r="Q22" s="172">
        <f t="shared" si="5"/>
        <v>25883210</v>
      </c>
    </row>
    <row r="23" spans="1:35" ht="15" customHeight="1" x14ac:dyDescent="0.25">
      <c r="A23" s="110">
        <f t="shared" si="9"/>
        <v>44119</v>
      </c>
      <c r="B23" s="174">
        <f t="shared" si="0"/>
        <v>0</v>
      </c>
      <c r="C23" s="802"/>
      <c r="D23" s="1037">
        <f t="shared" si="1"/>
        <v>0</v>
      </c>
      <c r="E23" s="114"/>
      <c r="F23" s="173"/>
      <c r="G23" s="114"/>
      <c r="H23" s="1332">
        <f t="shared" si="10"/>
        <v>5731033</v>
      </c>
      <c r="I23" s="1037">
        <f t="shared" si="6"/>
        <v>0</v>
      </c>
      <c r="J23" s="118"/>
      <c r="K23" s="831"/>
      <c r="L23" s="118"/>
      <c r="M23" s="106">
        <f t="shared" si="7"/>
        <v>20152177</v>
      </c>
      <c r="N23" s="803">
        <f t="shared" si="8"/>
        <v>0</v>
      </c>
      <c r="O23" s="172">
        <f t="shared" si="11"/>
        <v>0</v>
      </c>
      <c r="P23" s="172">
        <f t="shared" si="4"/>
        <v>0</v>
      </c>
      <c r="Q23" s="172">
        <f t="shared" si="5"/>
        <v>25883210</v>
      </c>
      <c r="R23" s="218"/>
    </row>
    <row r="24" spans="1:35" ht="15" customHeight="1" x14ac:dyDescent="0.25">
      <c r="A24" s="110">
        <f t="shared" si="9"/>
        <v>44120</v>
      </c>
      <c r="B24" s="174">
        <f t="shared" si="0"/>
        <v>0</v>
      </c>
      <c r="C24" s="802"/>
      <c r="D24" s="1037">
        <f t="shared" si="1"/>
        <v>0</v>
      </c>
      <c r="E24" s="118"/>
      <c r="G24" s="114"/>
      <c r="H24" s="1332">
        <f t="shared" si="10"/>
        <v>5731033</v>
      </c>
      <c r="I24" s="1037">
        <f t="shared" si="6"/>
        <v>0</v>
      </c>
      <c r="J24" s="118"/>
      <c r="K24" s="820"/>
      <c r="L24" s="118"/>
      <c r="M24" s="106">
        <f t="shared" si="7"/>
        <v>20152177</v>
      </c>
      <c r="N24" s="803">
        <f t="shared" si="8"/>
        <v>0</v>
      </c>
      <c r="O24" s="172">
        <f t="shared" si="11"/>
        <v>0</v>
      </c>
      <c r="P24" s="172">
        <f t="shared" si="4"/>
        <v>0</v>
      </c>
      <c r="Q24" s="172">
        <f t="shared" si="5"/>
        <v>25883210</v>
      </c>
      <c r="R24" s="139"/>
      <c r="S24" s="139"/>
      <c r="T24" s="139"/>
      <c r="U24" s="139"/>
      <c r="V24" s="139"/>
      <c r="W24" s="139"/>
      <c r="X24" s="139"/>
      <c r="Y24" s="139"/>
      <c r="Z24" s="139"/>
      <c r="AA24" s="139"/>
      <c r="AB24" s="139"/>
      <c r="AC24" s="139"/>
      <c r="AD24" s="139"/>
      <c r="AE24" s="139"/>
      <c r="AF24" s="139"/>
      <c r="AG24" s="139"/>
      <c r="AH24" s="139"/>
      <c r="AI24" s="139"/>
    </row>
    <row r="25" spans="1:35" ht="15" customHeight="1" x14ac:dyDescent="0.25">
      <c r="A25" s="110">
        <f t="shared" si="9"/>
        <v>44121</v>
      </c>
      <c r="B25" s="174">
        <f t="shared" si="0"/>
        <v>0</v>
      </c>
      <c r="C25" s="802"/>
      <c r="D25" s="1037">
        <f t="shared" si="1"/>
        <v>0</v>
      </c>
      <c r="E25" s="114"/>
      <c r="F25" s="804"/>
      <c r="G25" s="114"/>
      <c r="H25" s="1332">
        <f t="shared" si="10"/>
        <v>5731033</v>
      </c>
      <c r="I25" s="1037">
        <f>+J25/I$7</f>
        <v>0</v>
      </c>
      <c r="J25" s="118"/>
      <c r="K25" s="831"/>
      <c r="L25" s="118"/>
      <c r="M25" s="106">
        <f t="shared" si="7"/>
        <v>20152177</v>
      </c>
      <c r="N25" s="803">
        <f t="shared" si="8"/>
        <v>0</v>
      </c>
      <c r="O25" s="172">
        <f t="shared" si="11"/>
        <v>0</v>
      </c>
      <c r="P25" s="172">
        <f t="shared" si="4"/>
        <v>0</v>
      </c>
      <c r="Q25" s="172">
        <f t="shared" si="5"/>
        <v>25883210</v>
      </c>
      <c r="R25" s="139"/>
      <c r="S25" s="139"/>
      <c r="T25" s="139"/>
      <c r="U25" s="139"/>
      <c r="V25" s="139"/>
      <c r="W25" s="139"/>
      <c r="X25" s="139"/>
      <c r="Y25" s="139"/>
      <c r="Z25" s="139"/>
      <c r="AA25" s="139"/>
      <c r="AB25" s="139"/>
      <c r="AC25" s="139"/>
      <c r="AD25" s="139"/>
      <c r="AE25" s="139"/>
      <c r="AF25" s="139"/>
      <c r="AG25" s="139"/>
      <c r="AH25" s="139"/>
      <c r="AI25" s="139"/>
    </row>
    <row r="26" spans="1:35" ht="15" customHeight="1" x14ac:dyDescent="0.25">
      <c r="A26" s="110">
        <f t="shared" si="9"/>
        <v>44122</v>
      </c>
      <c r="B26" s="174">
        <f t="shared" si="0"/>
        <v>0</v>
      </c>
      <c r="C26" s="802"/>
      <c r="D26" s="1037">
        <f t="shared" si="1"/>
        <v>0</v>
      </c>
      <c r="E26" s="114"/>
      <c r="F26" s="804"/>
      <c r="G26" s="114"/>
      <c r="H26" s="1332">
        <f t="shared" si="10"/>
        <v>5731033</v>
      </c>
      <c r="I26" s="1037">
        <f t="shared" si="6"/>
        <v>0</v>
      </c>
      <c r="J26" s="118"/>
      <c r="K26" s="1383"/>
      <c r="L26" s="118"/>
      <c r="M26" s="106">
        <f t="shared" si="7"/>
        <v>20152177</v>
      </c>
      <c r="N26" s="803">
        <f t="shared" si="8"/>
        <v>0</v>
      </c>
      <c r="O26" s="172">
        <f t="shared" si="11"/>
        <v>0</v>
      </c>
      <c r="P26" s="172">
        <f t="shared" si="4"/>
        <v>0</v>
      </c>
      <c r="Q26" s="172">
        <f t="shared" si="5"/>
        <v>25883210</v>
      </c>
      <c r="R26" s="139"/>
      <c r="S26" s="139"/>
      <c r="T26" s="139"/>
      <c r="U26" s="139"/>
      <c r="V26" s="139"/>
      <c r="W26" s="139"/>
      <c r="X26" s="139"/>
      <c r="Y26" s="139"/>
      <c r="Z26" s="139"/>
      <c r="AA26" s="139"/>
      <c r="AB26" s="139"/>
      <c r="AC26" s="139"/>
      <c r="AD26" s="139"/>
      <c r="AE26" s="139"/>
      <c r="AF26" s="139"/>
      <c r="AG26" s="139"/>
      <c r="AH26" s="139"/>
      <c r="AI26" s="139"/>
    </row>
    <row r="27" spans="1:35" ht="15" customHeight="1" x14ac:dyDescent="0.25">
      <c r="A27" s="110">
        <f t="shared" si="9"/>
        <v>44123</v>
      </c>
      <c r="B27" s="174">
        <f t="shared" si="0"/>
        <v>0</v>
      </c>
      <c r="C27" s="802"/>
      <c r="D27" s="1037">
        <f t="shared" si="1"/>
        <v>0</v>
      </c>
      <c r="E27" s="114"/>
      <c r="F27" s="804"/>
      <c r="G27" s="114"/>
      <c r="H27" s="1332">
        <f t="shared" si="10"/>
        <v>5731033</v>
      </c>
      <c r="I27" s="1037">
        <f t="shared" si="6"/>
        <v>0</v>
      </c>
      <c r="J27" s="118"/>
      <c r="K27" s="1383"/>
      <c r="L27" s="1383"/>
      <c r="M27" s="106">
        <f t="shared" si="7"/>
        <v>20152177</v>
      </c>
      <c r="N27" s="803">
        <f t="shared" si="8"/>
        <v>0</v>
      </c>
      <c r="O27" s="172">
        <f t="shared" si="11"/>
        <v>0</v>
      </c>
      <c r="P27" s="175">
        <f t="shared" si="4"/>
        <v>0</v>
      </c>
      <c r="Q27" s="172">
        <f t="shared" si="5"/>
        <v>25883210</v>
      </c>
      <c r="R27" s="139"/>
      <c r="S27" s="139"/>
      <c r="T27" s="139"/>
      <c r="U27" s="139"/>
      <c r="V27" s="139"/>
      <c r="W27" s="139"/>
      <c r="X27" s="139"/>
      <c r="Y27" s="139"/>
      <c r="Z27" s="139"/>
      <c r="AA27" s="139"/>
      <c r="AB27" s="139"/>
      <c r="AC27" s="139"/>
      <c r="AD27" s="139"/>
      <c r="AE27" s="139"/>
      <c r="AF27" s="139"/>
      <c r="AG27" s="139"/>
      <c r="AH27" s="139"/>
      <c r="AI27" s="139"/>
    </row>
    <row r="28" spans="1:35" ht="15" customHeight="1" x14ac:dyDescent="0.25">
      <c r="A28" s="110">
        <f t="shared" si="9"/>
        <v>44124</v>
      </c>
      <c r="B28" s="174">
        <f t="shared" si="0"/>
        <v>0</v>
      </c>
      <c r="C28" s="802"/>
      <c r="D28" s="1037">
        <f t="shared" si="1"/>
        <v>0</v>
      </c>
      <c r="E28" s="114"/>
      <c r="F28" s="114"/>
      <c r="G28" s="114"/>
      <c r="H28" s="1332">
        <f t="shared" si="10"/>
        <v>5731033</v>
      </c>
      <c r="I28" s="1037">
        <f t="shared" si="6"/>
        <v>0</v>
      </c>
      <c r="J28" s="118"/>
      <c r="K28" s="1383"/>
      <c r="L28" s="118"/>
      <c r="M28" s="106">
        <f t="shared" si="7"/>
        <v>20152177</v>
      </c>
      <c r="N28" s="803">
        <f t="shared" si="8"/>
        <v>0</v>
      </c>
      <c r="O28" s="172">
        <f t="shared" si="11"/>
        <v>0</v>
      </c>
      <c r="P28" s="175">
        <f t="shared" si="4"/>
        <v>0</v>
      </c>
      <c r="Q28" s="172">
        <f t="shared" si="5"/>
        <v>25883210</v>
      </c>
      <c r="R28" s="139"/>
      <c r="S28" s="139"/>
      <c r="T28" s="139"/>
      <c r="U28" s="139"/>
      <c r="V28" s="139"/>
      <c r="W28" s="139"/>
      <c r="X28" s="139"/>
      <c r="Y28" s="139"/>
      <c r="Z28" s="139"/>
      <c r="AA28" s="139"/>
      <c r="AB28" s="139"/>
      <c r="AC28" s="139"/>
      <c r="AD28" s="139"/>
      <c r="AE28" s="139"/>
      <c r="AF28" s="139"/>
      <c r="AG28" s="139"/>
      <c r="AH28" s="139"/>
      <c r="AI28" s="139"/>
    </row>
    <row r="29" spans="1:35" ht="15" customHeight="1" x14ac:dyDescent="0.25">
      <c r="A29" s="110">
        <f t="shared" si="9"/>
        <v>44125</v>
      </c>
      <c r="B29" s="174">
        <f t="shared" si="0"/>
        <v>0</v>
      </c>
      <c r="C29" s="802"/>
      <c r="D29" s="1037">
        <f t="shared" si="1"/>
        <v>0</v>
      </c>
      <c r="E29" s="114"/>
      <c r="F29" s="804"/>
      <c r="G29" s="114"/>
      <c r="H29" s="1332">
        <f t="shared" si="10"/>
        <v>5731033</v>
      </c>
      <c r="I29" s="1037">
        <f t="shared" si="6"/>
        <v>0</v>
      </c>
      <c r="J29" s="118"/>
      <c r="K29" s="831"/>
      <c r="L29" s="118"/>
      <c r="M29" s="106">
        <f t="shared" si="7"/>
        <v>20152177</v>
      </c>
      <c r="N29" s="803">
        <f t="shared" si="8"/>
        <v>0</v>
      </c>
      <c r="O29" s="172">
        <f t="shared" si="11"/>
        <v>0</v>
      </c>
      <c r="P29" s="175">
        <f t="shared" si="4"/>
        <v>0</v>
      </c>
      <c r="Q29" s="172">
        <f t="shared" si="5"/>
        <v>25883210</v>
      </c>
      <c r="R29" s="139"/>
      <c r="S29" s="139"/>
      <c r="T29" s="139"/>
      <c r="U29" s="139"/>
      <c r="V29" s="139"/>
      <c r="W29" s="139"/>
      <c r="X29" s="139"/>
      <c r="Y29" s="139"/>
      <c r="Z29" s="139"/>
      <c r="AA29" s="139"/>
      <c r="AB29" s="139"/>
      <c r="AC29" s="139"/>
      <c r="AD29" s="139"/>
      <c r="AE29" s="139"/>
      <c r="AF29" s="139"/>
      <c r="AG29" s="139"/>
      <c r="AH29" s="139"/>
      <c r="AI29" s="139"/>
    </row>
    <row r="30" spans="1:35" ht="15" customHeight="1" x14ac:dyDescent="0.25">
      <c r="A30" s="110">
        <f t="shared" si="9"/>
        <v>44126</v>
      </c>
      <c r="B30" s="174">
        <f t="shared" si="0"/>
        <v>0</v>
      </c>
      <c r="C30" s="802"/>
      <c r="D30" s="1037">
        <f t="shared" si="1"/>
        <v>0</v>
      </c>
      <c r="E30" s="114"/>
      <c r="F30" s="804"/>
      <c r="G30" s="114"/>
      <c r="H30" s="1332">
        <f t="shared" si="10"/>
        <v>5731033</v>
      </c>
      <c r="I30" s="1037">
        <f t="shared" si="6"/>
        <v>0</v>
      </c>
      <c r="J30" s="118"/>
      <c r="K30" s="1383"/>
      <c r="L30" s="118"/>
      <c r="M30" s="106">
        <f t="shared" si="7"/>
        <v>20152177</v>
      </c>
      <c r="N30" s="803">
        <f t="shared" si="8"/>
        <v>0</v>
      </c>
      <c r="O30" s="1672">
        <f t="shared" si="11"/>
        <v>0</v>
      </c>
      <c r="P30" s="175">
        <f t="shared" si="4"/>
        <v>0</v>
      </c>
      <c r="Q30" s="172">
        <f t="shared" si="5"/>
        <v>25883210</v>
      </c>
      <c r="R30" s="139"/>
      <c r="S30" s="139"/>
      <c r="T30" s="139"/>
      <c r="U30" s="139"/>
      <c r="V30" s="139"/>
      <c r="W30" s="139"/>
      <c r="X30" s="139"/>
      <c r="Y30" s="139"/>
      <c r="Z30" s="139"/>
      <c r="AA30" s="139"/>
      <c r="AB30" s="139"/>
      <c r="AC30" s="139"/>
      <c r="AD30" s="139"/>
      <c r="AE30" s="139"/>
      <c r="AF30" s="139"/>
      <c r="AG30" s="139"/>
      <c r="AH30" s="139"/>
      <c r="AI30" s="139"/>
    </row>
    <row r="31" spans="1:35" s="139" customFormat="1" ht="15" customHeight="1" x14ac:dyDescent="0.25">
      <c r="A31" s="110">
        <f t="shared" si="9"/>
        <v>44127</v>
      </c>
      <c r="B31" s="174">
        <f t="shared" si="0"/>
        <v>0</v>
      </c>
      <c r="C31" s="802"/>
      <c r="D31" s="1037">
        <f t="shared" si="1"/>
        <v>0</v>
      </c>
      <c r="E31" s="118"/>
      <c r="F31" s="820"/>
      <c r="G31" s="114"/>
      <c r="H31" s="1332">
        <f t="shared" si="10"/>
        <v>5731033</v>
      </c>
      <c r="I31" s="1037">
        <f t="shared" si="6"/>
        <v>0</v>
      </c>
      <c r="J31" s="118"/>
      <c r="K31" s="1463"/>
      <c r="L31" s="118"/>
      <c r="M31" s="106">
        <f t="shared" si="7"/>
        <v>20152177</v>
      </c>
      <c r="N31" s="803">
        <f t="shared" si="8"/>
        <v>0</v>
      </c>
      <c r="O31" s="175">
        <f t="shared" si="11"/>
        <v>0</v>
      </c>
      <c r="P31" s="175">
        <f t="shared" si="4"/>
        <v>0</v>
      </c>
      <c r="Q31" s="175">
        <f t="shared" si="5"/>
        <v>25883210</v>
      </c>
    </row>
    <row r="32" spans="1:35" ht="15" customHeight="1" x14ac:dyDescent="0.25">
      <c r="A32" s="110">
        <f t="shared" si="9"/>
        <v>44128</v>
      </c>
      <c r="B32" s="174">
        <f t="shared" si="0"/>
        <v>0</v>
      </c>
      <c r="C32" s="801"/>
      <c r="D32" s="1037">
        <f t="shared" si="1"/>
        <v>0</v>
      </c>
      <c r="E32" s="114"/>
      <c r="F32" s="804"/>
      <c r="G32" s="114"/>
      <c r="H32" s="1332">
        <f t="shared" si="10"/>
        <v>5731033</v>
      </c>
      <c r="I32" s="1037">
        <f t="shared" si="6"/>
        <v>0</v>
      </c>
      <c r="J32" s="118"/>
      <c r="K32" s="1463"/>
      <c r="L32" s="118"/>
      <c r="M32" s="106">
        <f t="shared" si="7"/>
        <v>20152177</v>
      </c>
      <c r="N32" s="803">
        <f t="shared" si="8"/>
        <v>0</v>
      </c>
      <c r="O32" s="172">
        <f t="shared" si="11"/>
        <v>0</v>
      </c>
      <c r="P32" s="175">
        <f t="shared" si="4"/>
        <v>0</v>
      </c>
      <c r="Q32" s="172">
        <f t="shared" si="5"/>
        <v>25883210</v>
      </c>
      <c r="R32" s="139"/>
      <c r="S32" s="139"/>
      <c r="T32" s="139"/>
      <c r="U32" s="139"/>
      <c r="V32" s="139"/>
      <c r="W32" s="139"/>
      <c r="X32" s="139"/>
      <c r="Y32" s="139"/>
      <c r="Z32" s="139"/>
      <c r="AA32" s="139"/>
      <c r="AB32" s="139"/>
      <c r="AC32" s="139"/>
      <c r="AD32" s="139"/>
      <c r="AE32" s="139"/>
      <c r="AF32" s="139"/>
      <c r="AG32" s="139"/>
      <c r="AH32" s="139"/>
      <c r="AI32" s="139"/>
    </row>
    <row r="33" spans="1:35" ht="15" customHeight="1" x14ac:dyDescent="0.25">
      <c r="A33" s="110">
        <f t="shared" si="9"/>
        <v>44129</v>
      </c>
      <c r="B33" s="174">
        <f t="shared" si="0"/>
        <v>0</v>
      </c>
      <c r="C33" s="801"/>
      <c r="D33" s="1037">
        <f t="shared" si="1"/>
        <v>0</v>
      </c>
      <c r="E33" s="114"/>
      <c r="F33" s="804"/>
      <c r="G33" s="114"/>
      <c r="H33" s="1332">
        <f>+H32+E33-G33</f>
        <v>5731033</v>
      </c>
      <c r="I33" s="1037">
        <f t="shared" si="6"/>
        <v>0</v>
      </c>
      <c r="J33" s="118"/>
      <c r="K33" s="831"/>
      <c r="L33" s="118"/>
      <c r="M33" s="106">
        <f t="shared" si="7"/>
        <v>20152177</v>
      </c>
      <c r="N33" s="803">
        <f t="shared" si="8"/>
        <v>0</v>
      </c>
      <c r="O33" s="172">
        <f t="shared" si="11"/>
        <v>0</v>
      </c>
      <c r="P33" s="175">
        <f t="shared" si="4"/>
        <v>0</v>
      </c>
      <c r="Q33" s="172">
        <f t="shared" si="5"/>
        <v>25883210</v>
      </c>
      <c r="R33" s="139"/>
      <c r="S33" s="139"/>
      <c r="T33" s="139"/>
      <c r="U33" s="139"/>
      <c r="V33" s="139"/>
      <c r="W33" s="139"/>
      <c r="X33" s="139"/>
      <c r="Y33" s="139"/>
      <c r="Z33" s="139"/>
      <c r="AA33" s="139"/>
      <c r="AB33" s="139"/>
      <c r="AC33" s="139"/>
      <c r="AD33" s="139"/>
      <c r="AE33" s="139"/>
      <c r="AF33" s="139"/>
      <c r="AG33" s="139"/>
      <c r="AH33" s="139"/>
      <c r="AI33" s="139"/>
    </row>
    <row r="34" spans="1:35" ht="19.5" x14ac:dyDescent="0.25">
      <c r="A34" s="110">
        <f t="shared" si="9"/>
        <v>44130</v>
      </c>
      <c r="B34" s="174">
        <f t="shared" si="0"/>
        <v>0</v>
      </c>
      <c r="C34" s="801"/>
      <c r="D34" s="1037">
        <f t="shared" si="1"/>
        <v>0</v>
      </c>
      <c r="E34" s="114"/>
      <c r="F34" s="804"/>
      <c r="G34" s="114"/>
      <c r="H34" s="1332">
        <f t="shared" si="10"/>
        <v>5731033</v>
      </c>
      <c r="I34" s="1037">
        <f>+J34/I$7</f>
        <v>0</v>
      </c>
      <c r="J34" s="118"/>
      <c r="K34" s="831"/>
      <c r="L34" s="118"/>
      <c r="M34" s="106">
        <f t="shared" si="7"/>
        <v>20152177</v>
      </c>
      <c r="N34" s="803">
        <f t="shared" si="8"/>
        <v>0</v>
      </c>
      <c r="O34" s="172">
        <f t="shared" si="11"/>
        <v>0</v>
      </c>
      <c r="P34" s="175">
        <f t="shared" si="4"/>
        <v>0</v>
      </c>
      <c r="Q34" s="172">
        <f t="shared" si="5"/>
        <v>25883210</v>
      </c>
      <c r="R34" s="139"/>
      <c r="S34" s="139"/>
      <c r="T34" s="139"/>
      <c r="U34" s="139"/>
      <c r="V34" s="139"/>
      <c r="W34" s="139"/>
      <c r="X34" s="139"/>
      <c r="Y34" s="139"/>
      <c r="Z34" s="139"/>
      <c r="AA34" s="139"/>
      <c r="AB34" s="139"/>
      <c r="AC34" s="139"/>
      <c r="AD34" s="139"/>
      <c r="AE34" s="139"/>
      <c r="AF34" s="139"/>
      <c r="AG34" s="139"/>
      <c r="AH34" s="139"/>
      <c r="AI34" s="139"/>
    </row>
    <row r="35" spans="1:35" ht="19.5" x14ac:dyDescent="0.25">
      <c r="A35" s="110">
        <f t="shared" si="9"/>
        <v>44131</v>
      </c>
      <c r="B35" s="174">
        <f t="shared" si="0"/>
        <v>0</v>
      </c>
      <c r="C35" s="801"/>
      <c r="D35" s="1037">
        <f t="shared" si="1"/>
        <v>0</v>
      </c>
      <c r="E35" s="114"/>
      <c r="F35" s="804"/>
      <c r="G35" s="114"/>
      <c r="H35" s="1332">
        <f t="shared" si="10"/>
        <v>5731033</v>
      </c>
      <c r="I35" s="1037">
        <f t="shared" si="6"/>
        <v>0</v>
      </c>
      <c r="J35" s="118"/>
      <c r="K35" s="831"/>
      <c r="L35" s="1953"/>
      <c r="M35" s="106">
        <f t="shared" si="7"/>
        <v>20152177</v>
      </c>
      <c r="N35" s="803">
        <f t="shared" si="8"/>
        <v>0</v>
      </c>
      <c r="O35" s="172">
        <f t="shared" si="11"/>
        <v>0</v>
      </c>
      <c r="P35" s="175">
        <f t="shared" si="4"/>
        <v>0</v>
      </c>
      <c r="Q35" s="172">
        <f t="shared" si="5"/>
        <v>25883210</v>
      </c>
      <c r="R35" s="139"/>
      <c r="S35" s="139"/>
      <c r="T35" s="139"/>
      <c r="U35" s="139"/>
      <c r="V35" s="139"/>
      <c r="W35" s="139"/>
      <c r="X35" s="139"/>
      <c r="Y35" s="139"/>
      <c r="Z35" s="139"/>
      <c r="AA35" s="139"/>
      <c r="AB35" s="139"/>
      <c r="AC35" s="139"/>
      <c r="AD35" s="139"/>
      <c r="AE35" s="139"/>
      <c r="AF35" s="139"/>
      <c r="AG35" s="139"/>
      <c r="AH35" s="139"/>
      <c r="AI35" s="139"/>
    </row>
    <row r="36" spans="1:35" ht="19.5" x14ac:dyDescent="0.25">
      <c r="A36" s="110">
        <f t="shared" si="9"/>
        <v>44132</v>
      </c>
      <c r="B36" s="174">
        <f t="shared" si="0"/>
        <v>0</v>
      </c>
      <c r="C36" s="801"/>
      <c r="D36" s="1037">
        <f>+E36/D$7</f>
        <v>0</v>
      </c>
      <c r="E36" s="114"/>
      <c r="F36" s="804"/>
      <c r="G36" s="114"/>
      <c r="H36" s="1332">
        <f t="shared" si="10"/>
        <v>5731033</v>
      </c>
      <c r="I36" s="1037">
        <f t="shared" si="6"/>
        <v>0</v>
      </c>
      <c r="J36" s="685"/>
      <c r="K36" s="831"/>
      <c r="L36" s="1950"/>
      <c r="M36" s="106">
        <f t="shared" si="7"/>
        <v>20152177</v>
      </c>
      <c r="N36" s="803">
        <f t="shared" si="8"/>
        <v>0</v>
      </c>
      <c r="O36" s="172">
        <f t="shared" si="11"/>
        <v>0</v>
      </c>
      <c r="P36" s="175">
        <f t="shared" si="4"/>
        <v>0</v>
      </c>
      <c r="Q36" s="172">
        <f t="shared" si="5"/>
        <v>25883210</v>
      </c>
      <c r="R36" s="139"/>
      <c r="S36" s="139"/>
      <c r="T36" s="139"/>
      <c r="U36" s="139"/>
      <c r="V36" s="139"/>
      <c r="W36" s="139"/>
      <c r="X36" s="139"/>
      <c r="Y36" s="139"/>
      <c r="Z36" s="139"/>
      <c r="AA36" s="139"/>
      <c r="AB36" s="139"/>
      <c r="AC36" s="139"/>
      <c r="AD36" s="139"/>
      <c r="AE36" s="139"/>
      <c r="AF36" s="139"/>
      <c r="AG36" s="139"/>
      <c r="AH36" s="139"/>
      <c r="AI36" s="139"/>
    </row>
    <row r="37" spans="1:35" ht="19.5" x14ac:dyDescent="0.25">
      <c r="A37" s="110">
        <f t="shared" si="9"/>
        <v>44133</v>
      </c>
      <c r="B37" s="174">
        <f t="shared" si="0"/>
        <v>0</v>
      </c>
      <c r="C37" s="801"/>
      <c r="D37" s="1037">
        <f t="shared" si="1"/>
        <v>0</v>
      </c>
      <c r="E37" s="114"/>
      <c r="F37" s="804"/>
      <c r="G37" s="114"/>
      <c r="H37" s="1332">
        <f t="shared" si="10"/>
        <v>5731033</v>
      </c>
      <c r="I37" s="1037">
        <f t="shared" si="6"/>
        <v>0</v>
      </c>
      <c r="J37" s="118"/>
      <c r="K37" s="831"/>
      <c r="L37" s="118"/>
      <c r="M37" s="106">
        <f t="shared" si="7"/>
        <v>20152177</v>
      </c>
      <c r="N37" s="803">
        <f t="shared" si="8"/>
        <v>0</v>
      </c>
      <c r="O37" s="172">
        <f t="shared" si="11"/>
        <v>0</v>
      </c>
      <c r="P37" s="175">
        <f t="shared" si="4"/>
        <v>0</v>
      </c>
      <c r="Q37" s="172">
        <f t="shared" si="5"/>
        <v>25883210</v>
      </c>
      <c r="R37" s="139"/>
      <c r="S37" s="139"/>
      <c r="T37" s="139"/>
      <c r="U37" s="139"/>
      <c r="V37" s="139"/>
      <c r="W37" s="139"/>
      <c r="X37" s="139"/>
      <c r="Y37" s="139"/>
      <c r="Z37" s="139"/>
      <c r="AA37" s="139"/>
      <c r="AB37" s="139"/>
      <c r="AC37" s="139"/>
      <c r="AD37" s="139"/>
      <c r="AE37" s="139"/>
      <c r="AF37" s="139"/>
      <c r="AG37" s="139"/>
      <c r="AH37" s="139"/>
      <c r="AI37" s="139"/>
    </row>
    <row r="38" spans="1:35" ht="19.5" x14ac:dyDescent="0.25">
      <c r="A38" s="110">
        <f t="shared" si="9"/>
        <v>44134</v>
      </c>
      <c r="B38" s="1277">
        <f t="shared" si="0"/>
        <v>0</v>
      </c>
      <c r="C38" s="1278"/>
      <c r="D38" s="1279">
        <f t="shared" si="1"/>
        <v>0</v>
      </c>
      <c r="E38" s="1280"/>
      <c r="F38" s="1281"/>
      <c r="G38" s="1280"/>
      <c r="H38" s="1898">
        <f>+H37+E38-G38</f>
        <v>5731033</v>
      </c>
      <c r="I38" s="1279">
        <f t="shared" si="6"/>
        <v>0</v>
      </c>
      <c r="J38" s="1941"/>
      <c r="K38" s="1942"/>
      <c r="L38" s="1941"/>
      <c r="M38" s="106">
        <f t="shared" si="7"/>
        <v>20152177</v>
      </c>
      <c r="N38" s="803">
        <f t="shared" si="8"/>
        <v>0</v>
      </c>
      <c r="O38" s="1284">
        <f t="shared" si="11"/>
        <v>0</v>
      </c>
      <c r="P38" s="1273">
        <f t="shared" si="4"/>
        <v>0</v>
      </c>
      <c r="Q38" s="1284">
        <f t="shared" si="5"/>
        <v>25883210</v>
      </c>
      <c r="R38" s="850"/>
      <c r="S38" s="139"/>
      <c r="T38" s="139"/>
      <c r="U38" s="139"/>
      <c r="V38" s="139"/>
      <c r="W38" s="139"/>
      <c r="X38" s="139"/>
      <c r="Y38" s="139"/>
      <c r="Z38" s="139"/>
      <c r="AA38" s="139"/>
      <c r="AB38" s="139"/>
      <c r="AC38" s="139"/>
      <c r="AD38" s="139"/>
      <c r="AE38" s="139"/>
      <c r="AF38" s="139"/>
      <c r="AG38" s="139"/>
      <c r="AH38" s="139"/>
      <c r="AI38" s="139"/>
    </row>
    <row r="39" spans="1:35" ht="21" customHeight="1" x14ac:dyDescent="0.25">
      <c r="A39" s="1908">
        <f t="shared" si="9"/>
        <v>44135</v>
      </c>
      <c r="B39" s="830"/>
      <c r="C39" s="184"/>
      <c r="D39" s="1909"/>
      <c r="E39" s="134"/>
      <c r="F39" s="820"/>
      <c r="G39" s="371"/>
      <c r="H39" s="371">
        <f>H38+G38-E38</f>
        <v>5731033</v>
      </c>
      <c r="I39" s="1909">
        <f t="shared" si="6"/>
        <v>0</v>
      </c>
      <c r="J39" s="134"/>
      <c r="K39" s="134"/>
      <c r="L39" s="134"/>
      <c r="M39" s="106">
        <f t="shared" si="7"/>
        <v>20152177</v>
      </c>
      <c r="N39" s="803">
        <f t="shared" si="8"/>
        <v>0</v>
      </c>
      <c r="O39" s="173">
        <f t="shared" si="11"/>
        <v>0</v>
      </c>
      <c r="P39" s="184">
        <f t="shared" si="4"/>
        <v>0</v>
      </c>
      <c r="Q39" s="173">
        <f t="shared" si="5"/>
        <v>25883210</v>
      </c>
      <c r="R39" s="139"/>
      <c r="S39" s="850"/>
      <c r="T39" s="139"/>
      <c r="U39" s="139"/>
      <c r="V39" s="139"/>
      <c r="W39" s="139"/>
      <c r="X39" s="139"/>
      <c r="Y39" s="139"/>
      <c r="Z39" s="139"/>
      <c r="AA39" s="139"/>
      <c r="AB39" s="139"/>
      <c r="AC39" s="139"/>
      <c r="AD39" s="139"/>
      <c r="AE39" s="139"/>
      <c r="AF39" s="139"/>
      <c r="AG39" s="139"/>
      <c r="AH39" s="139"/>
      <c r="AI39" s="139"/>
    </row>
    <row r="40" spans="1:35" ht="20.25" hidden="1" customHeight="1" thickBot="1" x14ac:dyDescent="0.3">
      <c r="A40" s="555" t="s">
        <v>18</v>
      </c>
      <c r="B40" s="1899">
        <f>SUM(B9:B39)</f>
        <v>0</v>
      </c>
      <c r="C40" s="1900">
        <f>SUM(C9:C39)</f>
        <v>0</v>
      </c>
      <c r="D40" s="1901">
        <f>SUM(D9:D39)</f>
        <v>0</v>
      </c>
      <c r="E40" s="1902">
        <f>SUM(E9:E39)</f>
        <v>0</v>
      </c>
      <c r="F40" s="1903"/>
      <c r="G40" s="1903"/>
      <c r="H40" s="1904">
        <f>+H8+E40-G40</f>
        <v>5731033</v>
      </c>
      <c r="I40" s="1901">
        <f>SUM(I9:I39)</f>
        <v>0</v>
      </c>
      <c r="J40" s="1903">
        <f>SUM(J9:J39)</f>
        <v>0</v>
      </c>
      <c r="K40" s="1903"/>
      <c r="L40" s="1903">
        <f>SUM(L9:L39)</f>
        <v>0</v>
      </c>
      <c r="M40" s="1904">
        <f>+M8+J40-L40</f>
        <v>20152177</v>
      </c>
      <c r="N40" s="1905">
        <f>SUM(N9:N39)</f>
        <v>0</v>
      </c>
      <c r="O40" s="1906">
        <f>SUM(O9:O39)</f>
        <v>0</v>
      </c>
      <c r="P40" s="1907">
        <f>SUM(P8:P39)</f>
        <v>25883210</v>
      </c>
      <c r="Q40" s="1907">
        <f>+H40+M40</f>
        <v>25883210</v>
      </c>
      <c r="R40" s="139"/>
      <c r="S40" s="139"/>
      <c r="T40" s="139"/>
      <c r="U40" s="139"/>
      <c r="V40" s="139"/>
      <c r="W40" s="139"/>
      <c r="X40" s="139"/>
      <c r="Y40" s="139"/>
      <c r="Z40" s="139"/>
      <c r="AA40" s="139"/>
      <c r="AB40" s="139"/>
      <c r="AC40" s="139"/>
      <c r="AD40" s="139"/>
      <c r="AE40" s="139"/>
      <c r="AF40" s="139"/>
      <c r="AG40" s="139"/>
      <c r="AH40" s="139"/>
      <c r="AI40" s="139"/>
    </row>
    <row r="41" spans="1:35" s="283" customFormat="1" ht="14.25" hidden="1" customHeight="1" x14ac:dyDescent="0.25">
      <c r="A41" s="1674" t="s">
        <v>932</v>
      </c>
      <c r="F41" s="816"/>
      <c r="H41" s="903"/>
      <c r="K41" s="1046"/>
      <c r="M41" s="1274">
        <f>+M38+438000</f>
        <v>20590177</v>
      </c>
      <c r="N41" s="1275"/>
      <c r="O41" s="149"/>
      <c r="P41" s="149"/>
      <c r="Q41" s="720"/>
      <c r="R41" s="149"/>
      <c r="S41" s="149"/>
      <c r="T41" s="149"/>
      <c r="U41" s="149"/>
      <c r="V41" s="149"/>
      <c r="W41" s="149"/>
      <c r="X41" s="149"/>
      <c r="Y41" s="149"/>
      <c r="Z41" s="149"/>
      <c r="AA41" s="149"/>
      <c r="AB41" s="149"/>
      <c r="AC41" s="149"/>
      <c r="AD41" s="149"/>
      <c r="AE41" s="149"/>
      <c r="AF41" s="149"/>
      <c r="AG41" s="149"/>
      <c r="AH41" s="149"/>
      <c r="AI41" s="149"/>
    </row>
    <row r="42" spans="1:35" s="283" customFormat="1" ht="6" hidden="1" customHeight="1" x14ac:dyDescent="0.25">
      <c r="A42" s="911"/>
      <c r="F42" s="816"/>
      <c r="G42" s="283">
        <v>776250</v>
      </c>
      <c r="K42" s="1046"/>
      <c r="N42" s="149"/>
      <c r="O42" s="149"/>
      <c r="P42" s="149"/>
      <c r="Q42" s="149"/>
      <c r="R42" s="149"/>
      <c r="S42" s="149"/>
      <c r="T42" s="149"/>
      <c r="U42" s="149"/>
      <c r="V42" s="149"/>
      <c r="W42" s="149"/>
      <c r="X42" s="149"/>
      <c r="Y42" s="149"/>
      <c r="Z42" s="149"/>
      <c r="AA42" s="149"/>
      <c r="AB42" s="149"/>
      <c r="AC42" s="149"/>
      <c r="AD42" s="149"/>
      <c r="AE42" s="149"/>
      <c r="AF42" s="149"/>
      <c r="AG42" s="149"/>
      <c r="AH42" s="149"/>
      <c r="AI42" s="149"/>
    </row>
    <row r="43" spans="1:35" ht="18" hidden="1" customHeight="1" x14ac:dyDescent="0.25">
      <c r="E43" s="1508"/>
      <c r="F43" s="1040"/>
      <c r="G43" s="218">
        <v>1035000</v>
      </c>
      <c r="H43" s="903"/>
      <c r="I43" s="283"/>
      <c r="J43" s="903"/>
      <c r="K43" s="723"/>
      <c r="L43" s="283"/>
      <c r="M43" s="1497">
        <f>718000+182700+121800</f>
        <v>1022500</v>
      </c>
      <c r="N43" s="903">
        <f>5495141+J40-L40</f>
        <v>5495141</v>
      </c>
    </row>
    <row r="44" spans="1:35" ht="18" hidden="1" customHeight="1" x14ac:dyDescent="0.25">
      <c r="D44" s="1293"/>
      <c r="E44" s="1294"/>
      <c r="F44" s="1294"/>
      <c r="G44" s="1295">
        <v>402550</v>
      </c>
      <c r="I44" s="1293" t="s">
        <v>121</v>
      </c>
      <c r="J44" s="1294" t="s">
        <v>61</v>
      </c>
      <c r="K44" s="1294" t="s">
        <v>122</v>
      </c>
      <c r="L44" s="1295"/>
      <c r="M44" s="903">
        <f>+M39+M43</f>
        <v>21174677</v>
      </c>
      <c r="N44" s="903">
        <f>+N43+H39</f>
        <v>11226174</v>
      </c>
    </row>
    <row r="45" spans="1:35" ht="18" hidden="1" customHeight="1" x14ac:dyDescent="0.25">
      <c r="D45" s="1205"/>
      <c r="E45" s="127"/>
      <c r="F45" s="57"/>
      <c r="G45" s="1296"/>
      <c r="I45" s="1205" t="s">
        <v>15</v>
      </c>
      <c r="J45" s="127"/>
      <c r="K45" s="57"/>
      <c r="L45" s="1296"/>
      <c r="M45" s="903"/>
      <c r="N45" s="283"/>
    </row>
    <row r="46" spans="1:35" ht="18" hidden="1" customHeight="1" x14ac:dyDescent="0.25">
      <c r="D46" s="1205"/>
      <c r="E46" s="113"/>
      <c r="F46" s="57"/>
      <c r="G46" s="1297">
        <f>E46*F46</f>
        <v>0</v>
      </c>
      <c r="I46" s="1205" t="s">
        <v>16</v>
      </c>
      <c r="J46" s="113">
        <f>+I40</f>
        <v>0</v>
      </c>
      <c r="K46" s="57">
        <v>3</v>
      </c>
      <c r="L46" s="1297"/>
      <c r="M46" s="283"/>
      <c r="N46" s="283"/>
    </row>
    <row r="47" spans="1:35" ht="18" hidden="1" customHeight="1" x14ac:dyDescent="0.25">
      <c r="D47" s="1205"/>
      <c r="E47" s="127"/>
      <c r="F47" s="57"/>
      <c r="G47" s="1296">
        <f>E47*F47</f>
        <v>0</v>
      </c>
      <c r="I47" s="1205" t="s">
        <v>17</v>
      </c>
      <c r="J47" s="127"/>
      <c r="K47" s="57"/>
      <c r="L47" s="1296"/>
      <c r="M47" s="283">
        <v>182700</v>
      </c>
      <c r="N47" s="283"/>
    </row>
    <row r="48" spans="1:35" ht="18.75" hidden="1" customHeight="1" thickBot="1" x14ac:dyDescent="0.3">
      <c r="D48" s="2907"/>
      <c r="E48" s="2908"/>
      <c r="F48" s="2909"/>
      <c r="G48" s="1298">
        <f>SUM(G45:G47)</f>
        <v>0</v>
      </c>
      <c r="I48" s="2907" t="s">
        <v>18</v>
      </c>
      <c r="J48" s="2908"/>
      <c r="K48" s="2909"/>
      <c r="L48" s="1298"/>
      <c r="M48" s="283">
        <v>121800</v>
      </c>
      <c r="N48" s="283"/>
    </row>
    <row r="49" spans="1:18" ht="18" hidden="1" customHeight="1" x14ac:dyDescent="0.25">
      <c r="M49" s="283">
        <v>718000</v>
      </c>
      <c r="N49" s="283"/>
    </row>
    <row r="50" spans="1:18" ht="18" hidden="1" customHeight="1" x14ac:dyDescent="0.25">
      <c r="A50" s="38" t="s">
        <v>412</v>
      </c>
      <c r="I50" s="237" t="s">
        <v>934</v>
      </c>
      <c r="J50" s="237"/>
      <c r="K50" s="1681"/>
      <c r="L50" s="1682"/>
      <c r="M50" s="1684">
        <f>401940+30450</f>
        <v>432390</v>
      </c>
      <c r="O50" s="1656"/>
      <c r="Q50" s="218"/>
    </row>
    <row r="51" spans="1:18" ht="18" hidden="1" customHeight="1" x14ac:dyDescent="0.25">
      <c r="H51" s="218"/>
      <c r="I51" s="38" t="s">
        <v>935</v>
      </c>
      <c r="K51" s="1654"/>
      <c r="L51" s="1655"/>
      <c r="M51" s="1684"/>
      <c r="O51" s="283">
        <f>4112922+2705912</f>
        <v>6818834</v>
      </c>
    </row>
    <row r="52" spans="1:18" ht="17.25" hidden="1" customHeight="1" x14ac:dyDescent="0.25">
      <c r="H52" s="218"/>
      <c r="I52" s="1678" t="s">
        <v>936</v>
      </c>
      <c r="J52" s="1678"/>
      <c r="K52" s="1679"/>
      <c r="L52" s="1680"/>
      <c r="M52" s="1683">
        <f>+M39+M50-M51</f>
        <v>20584567</v>
      </c>
      <c r="N52" s="218"/>
      <c r="O52" s="1656"/>
      <c r="R52" s="218"/>
    </row>
    <row r="53" spans="1:18" ht="19.5" hidden="1" customHeight="1" x14ac:dyDescent="0.25">
      <c r="K53" s="1654"/>
      <c r="L53" s="1655"/>
      <c r="M53" s="218"/>
      <c r="O53" s="1656"/>
    </row>
    <row r="54" spans="1:18" ht="18" hidden="1" customHeight="1" x14ac:dyDescent="0.25">
      <c r="H54" s="218"/>
      <c r="K54" s="1654"/>
      <c r="L54" s="634"/>
      <c r="M54" s="218"/>
      <c r="O54" s="1656"/>
    </row>
    <row r="55" spans="1:18" hidden="1" x14ac:dyDescent="0.25">
      <c r="G55" s="1686"/>
      <c r="K55" s="1654"/>
      <c r="L55" s="1655"/>
      <c r="O55" s="1656"/>
    </row>
    <row r="56" spans="1:18" hidden="1" x14ac:dyDescent="0.25">
      <c r="K56" s="1654"/>
      <c r="L56" s="1655"/>
    </row>
    <row r="57" spans="1:18" hidden="1" x14ac:dyDescent="0.25">
      <c r="H57" s="218"/>
      <c r="K57" s="1654"/>
      <c r="L57" s="1655"/>
    </row>
    <row r="58" spans="1:18" hidden="1" x14ac:dyDescent="0.25">
      <c r="K58" s="1654"/>
      <c r="L58" s="1655"/>
      <c r="P58" s="218"/>
    </row>
    <row r="59" spans="1:18" hidden="1" x14ac:dyDescent="0.25">
      <c r="K59" s="1654"/>
      <c r="L59" s="1655"/>
      <c r="P59" s="1677"/>
      <c r="Q59" s="218"/>
    </row>
    <row r="60" spans="1:18" hidden="1" x14ac:dyDescent="0.25">
      <c r="Q60" s="218"/>
    </row>
    <row r="61" spans="1:18" hidden="1" x14ac:dyDescent="0.25">
      <c r="Q61" s="218"/>
    </row>
    <row r="62" spans="1:18" hidden="1" x14ac:dyDescent="0.25"/>
    <row r="63" spans="1:18" hidden="1" x14ac:dyDescent="0.25"/>
    <row r="64" spans="1:18"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spans="1:17" hidden="1" x14ac:dyDescent="0.25"/>
    <row r="578" spans="1:17" hidden="1" x14ac:dyDescent="0.25"/>
    <row r="579" spans="1:17" hidden="1" x14ac:dyDescent="0.25"/>
    <row r="580" spans="1:17" hidden="1" x14ac:dyDescent="0.25"/>
    <row r="581" spans="1:17" hidden="1" x14ac:dyDescent="0.25"/>
    <row r="582" spans="1:17" hidden="1" x14ac:dyDescent="0.25"/>
    <row r="583" spans="1:17" hidden="1" x14ac:dyDescent="0.25"/>
    <row r="584" spans="1:17" x14ac:dyDescent="0.25">
      <c r="A584" s="1910" t="s">
        <v>18</v>
      </c>
      <c r="B584" s="1912">
        <f t="shared" ref="B584:G584" si="12">SUM(B9:B39)</f>
        <v>0</v>
      </c>
      <c r="C584" s="1912">
        <f t="shared" si="12"/>
        <v>0</v>
      </c>
      <c r="D584" s="1912">
        <f t="shared" si="12"/>
        <v>0</v>
      </c>
      <c r="E584" s="1912">
        <f t="shared" si="12"/>
        <v>0</v>
      </c>
      <c r="F584" s="1912">
        <f t="shared" si="12"/>
        <v>0</v>
      </c>
      <c r="G584" s="1912">
        <f t="shared" si="12"/>
        <v>0</v>
      </c>
      <c r="H584" s="1914">
        <f>H8+E584-G584</f>
        <v>5731033</v>
      </c>
      <c r="I584" s="1913">
        <f>SUM(I9:I39)</f>
        <v>0</v>
      </c>
      <c r="J584" s="1913">
        <f>SUM(J9:J39)</f>
        <v>0</v>
      </c>
      <c r="K584" s="1913">
        <f>SUM(K9:K39)</f>
        <v>0</v>
      </c>
      <c r="L584" s="1913">
        <f>SUM(L9:L39)</f>
        <v>0</v>
      </c>
      <c r="M584" s="1915">
        <f>M8+J584-L584</f>
        <v>20152177</v>
      </c>
      <c r="N584" s="1913">
        <f>SUM(N9:N39)</f>
        <v>0</v>
      </c>
      <c r="O584" s="1910"/>
      <c r="P584" s="1910"/>
      <c r="Q584" s="1916">
        <f>Q8+E584+J584-G584-L584</f>
        <v>25883210</v>
      </c>
    </row>
  </sheetData>
  <autoFilter ref="A3:Q41">
    <filterColumn colId="6">
      <filters blank="1"/>
    </filterColumn>
  </autoFilter>
  <mergeCells count="12">
    <mergeCell ref="I48:K48"/>
    <mergeCell ref="D48:F48"/>
    <mergeCell ref="D4:H4"/>
    <mergeCell ref="I4:M4"/>
    <mergeCell ref="Q6:Q7"/>
    <mergeCell ref="N6:N7"/>
    <mergeCell ref="O6:O7"/>
    <mergeCell ref="P6:P7"/>
    <mergeCell ref="D6:E6"/>
    <mergeCell ref="I6:J6"/>
    <mergeCell ref="I7:J7"/>
    <mergeCell ref="D7:E7"/>
  </mergeCells>
  <printOptions horizontalCentered="1"/>
  <pageMargins left="0.19685039370078741" right="0.19685039370078741" top="0.39370078740157483" bottom="0.39370078740157483" header="0.31496062992125984" footer="0.31496062992125984"/>
  <pageSetup paperSize="9" scale="43" orientation="portrait" r:id="rId1"/>
  <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00" filterMode="1">
    <tabColor rgb="FFFF0000"/>
    <pageSetUpPr fitToPage="1"/>
  </sheetPr>
  <dimension ref="A1:AI589"/>
  <sheetViews>
    <sheetView zoomScaleNormal="100" workbookViewId="0">
      <pane xSplit="1" ySplit="8" topLeftCell="B9" activePane="bottomRight" state="frozen"/>
      <selection activeCell="C45" sqref="C45"/>
      <selection pane="topRight" activeCell="C45" sqref="C45"/>
      <selection pane="bottomLeft" activeCell="C45" sqref="C45"/>
      <selection pane="bottomRight" activeCell="F600" sqref="F600"/>
    </sheetView>
  </sheetViews>
  <sheetFormatPr baseColWidth="10" defaultRowHeight="18" x14ac:dyDescent="0.25"/>
  <cols>
    <col min="1" max="1" width="16.140625" style="38" customWidth="1"/>
    <col min="2" max="2" width="14.5703125" style="38" customWidth="1"/>
    <col min="3" max="3" width="14.140625" style="38" customWidth="1"/>
    <col min="4" max="4" width="16.7109375" style="38" customWidth="1"/>
    <col min="5" max="5" width="15.85546875" style="38" customWidth="1"/>
    <col min="6" max="6" width="16.5703125" style="74" customWidth="1"/>
    <col min="7" max="7" width="18.42578125" style="38" customWidth="1"/>
    <col min="8" max="8" width="19" style="38" customWidth="1"/>
    <col min="9" max="9" width="20.28515625" style="38" customWidth="1"/>
    <col min="10" max="10" width="21.85546875" style="38" customWidth="1"/>
    <col min="11" max="11" width="20.5703125" style="1043" customWidth="1"/>
    <col min="12" max="12" width="23" style="38" customWidth="1"/>
    <col min="13" max="13" width="18.28515625" style="38" customWidth="1"/>
    <col min="14" max="14" width="19.140625" style="38" customWidth="1"/>
    <col min="15" max="15" width="17.7109375" style="38" customWidth="1"/>
    <col min="16" max="16" width="17.5703125" style="38" customWidth="1"/>
    <col min="17" max="17" width="19.5703125" style="38" customWidth="1"/>
    <col min="18" max="18" width="21.5703125" style="38" customWidth="1"/>
    <col min="19" max="19" width="18" style="38" customWidth="1"/>
    <col min="20" max="45" width="11.42578125" style="38" customWidth="1"/>
    <col min="46" max="16384" width="11.42578125" style="38"/>
  </cols>
  <sheetData>
    <row r="1" spans="1:18" ht="21" x14ac:dyDescent="0.35">
      <c r="A1" s="36" t="s">
        <v>118</v>
      </c>
      <c r="E1" s="52" t="s">
        <v>703</v>
      </c>
      <c r="J1" s="38" t="s">
        <v>405</v>
      </c>
      <c r="K1" s="38">
        <f>790*575</f>
        <v>454250</v>
      </c>
      <c r="M1" s="1684"/>
    </row>
    <row r="2" spans="1:18" ht="18.75" customHeight="1" x14ac:dyDescent="0.35">
      <c r="C2" s="159"/>
      <c r="I2" s="218"/>
      <c r="K2" s="1653">
        <f>10*630</f>
        <v>6300</v>
      </c>
      <c r="L2" s="218">
        <v>939050</v>
      </c>
      <c r="M2" s="667">
        <f>460550-939050</f>
        <v>-478500</v>
      </c>
      <c r="N2" s="2042"/>
    </row>
    <row r="3" spans="1:18" ht="27" customHeight="1" thickBot="1" x14ac:dyDescent="0.35">
      <c r="A3" s="36" t="s">
        <v>19</v>
      </c>
      <c r="B3" s="268">
        <v>42430</v>
      </c>
      <c r="C3" s="36"/>
      <c r="D3" s="142">
        <v>42614</v>
      </c>
      <c r="G3" s="218"/>
      <c r="H3" s="218"/>
      <c r="J3" s="142">
        <v>42736</v>
      </c>
      <c r="L3" s="218"/>
      <c r="M3" s="1673"/>
      <c r="N3" s="1685"/>
      <c r="O3" s="218"/>
      <c r="P3" s="37"/>
    </row>
    <row r="4" spans="1:18" ht="21.75" customHeight="1" x14ac:dyDescent="0.3">
      <c r="A4" s="36"/>
      <c r="B4" s="36"/>
      <c r="C4" s="815"/>
      <c r="D4" s="3072" t="s">
        <v>396</v>
      </c>
      <c r="E4" s="3073"/>
      <c r="F4" s="3073"/>
      <c r="G4" s="3073"/>
      <c r="H4" s="3074"/>
      <c r="I4" s="3075" t="s">
        <v>405</v>
      </c>
      <c r="J4" s="3076"/>
      <c r="K4" s="3076"/>
      <c r="L4" s="3076"/>
      <c r="M4" s="3077"/>
      <c r="N4" s="863"/>
      <c r="O4" s="218"/>
    </row>
    <row r="5" spans="1:18" ht="32.25" customHeight="1" x14ac:dyDescent="0.3">
      <c r="A5" s="912" t="s">
        <v>458</v>
      </c>
      <c r="B5" s="36"/>
      <c r="C5" s="815"/>
      <c r="D5" s="1047"/>
      <c r="E5" s="1048"/>
      <c r="F5" s="1048"/>
      <c r="G5" s="1048"/>
      <c r="H5" s="1329"/>
      <c r="I5" s="1203"/>
      <c r="J5" s="1033"/>
      <c r="K5" s="1044"/>
      <c r="L5" s="1034"/>
      <c r="M5" s="1034"/>
      <c r="N5" s="218"/>
      <c r="O5" s="218"/>
      <c r="Q5" s="634">
        <f>+M3-M8</f>
        <v>24</v>
      </c>
    </row>
    <row r="6" spans="1:18" ht="16.5" customHeight="1" x14ac:dyDescent="0.25">
      <c r="A6" s="1992" t="s">
        <v>3</v>
      </c>
      <c r="B6" s="161" t="s">
        <v>15</v>
      </c>
      <c r="C6" s="797"/>
      <c r="D6" s="3078" t="s">
        <v>67</v>
      </c>
      <c r="E6" s="3079"/>
      <c r="F6" s="1990"/>
      <c r="G6" s="1990"/>
      <c r="H6" s="1330"/>
      <c r="I6" s="3080" t="s">
        <v>68</v>
      </c>
      <c r="J6" s="2947"/>
      <c r="K6" s="1041"/>
      <c r="L6" s="1989"/>
      <c r="M6" s="1989"/>
      <c r="N6" s="2901" t="s">
        <v>18</v>
      </c>
      <c r="O6" s="2910" t="s">
        <v>60</v>
      </c>
      <c r="P6" s="2901" t="s">
        <v>55</v>
      </c>
      <c r="Q6" s="2901" t="s">
        <v>120</v>
      </c>
    </row>
    <row r="7" spans="1:18" ht="21" hidden="1" customHeight="1" x14ac:dyDescent="0.25">
      <c r="A7" s="163"/>
      <c r="B7" s="164">
        <v>630</v>
      </c>
      <c r="C7" s="798"/>
      <c r="D7" s="3081">
        <v>575</v>
      </c>
      <c r="E7" s="3082"/>
      <c r="F7" s="1039" t="s">
        <v>490</v>
      </c>
      <c r="G7" s="1466" t="s">
        <v>60</v>
      </c>
      <c r="H7" s="1467" t="s">
        <v>55</v>
      </c>
      <c r="I7" s="3080">
        <v>575</v>
      </c>
      <c r="J7" s="2947"/>
      <c r="K7" s="1042" t="s">
        <v>490</v>
      </c>
      <c r="L7" s="1035" t="s">
        <v>60</v>
      </c>
      <c r="M7" s="1035" t="s">
        <v>55</v>
      </c>
      <c r="N7" s="2902"/>
      <c r="O7" s="2911"/>
      <c r="P7" s="2902"/>
      <c r="Q7" s="2902"/>
    </row>
    <row r="8" spans="1:18" ht="18" customHeight="1" x14ac:dyDescent="0.35">
      <c r="A8" s="1993"/>
      <c r="B8" s="166" t="s">
        <v>56</v>
      </c>
      <c r="C8" s="799" t="s">
        <v>37</v>
      </c>
      <c r="D8" s="1036" t="s">
        <v>56</v>
      </c>
      <c r="E8" s="371" t="s">
        <v>37</v>
      </c>
      <c r="F8" s="371"/>
      <c r="G8" s="106"/>
      <c r="H8" s="1331">
        <v>0</v>
      </c>
      <c r="I8" s="1204" t="s">
        <v>56</v>
      </c>
      <c r="J8" s="1093" t="s">
        <v>37</v>
      </c>
      <c r="K8" s="1045"/>
      <c r="L8" s="1093" t="s">
        <v>1044</v>
      </c>
      <c r="M8" s="1258">
        <v>-24</v>
      </c>
      <c r="N8" s="1991"/>
      <c r="O8" s="182"/>
      <c r="P8" s="183">
        <f>H8+M8</f>
        <v>-24</v>
      </c>
      <c r="Q8" s="168">
        <f>P8</f>
        <v>-24</v>
      </c>
      <c r="R8" s="218"/>
    </row>
    <row r="9" spans="1:18" ht="15" customHeight="1" x14ac:dyDescent="0.25">
      <c r="A9" s="110">
        <v>42826</v>
      </c>
      <c r="B9" s="174">
        <f t="shared" ref="B9:B39" si="0">+C9/569</f>
        <v>0</v>
      </c>
      <c r="C9" s="800"/>
      <c r="D9" s="1037">
        <f t="shared" ref="D9:D39" si="1">+E9/D$7</f>
        <v>0</v>
      </c>
      <c r="E9" s="114"/>
      <c r="F9" s="804"/>
      <c r="G9" s="114"/>
      <c r="H9" s="1332">
        <f t="shared" ref="H9:H37" si="2">+H8+E9-G9</f>
        <v>0</v>
      </c>
      <c r="I9" s="1037">
        <f t="shared" ref="I9:I39" si="3">+J9/I$7</f>
        <v>0</v>
      </c>
      <c r="J9" s="114"/>
      <c r="K9" s="1045"/>
      <c r="L9" s="118"/>
      <c r="M9" s="106">
        <f>+M8+J9-L9</f>
        <v>-24</v>
      </c>
      <c r="N9" s="803">
        <f>+E9+J9</f>
        <v>0</v>
      </c>
      <c r="O9" s="172">
        <f t="shared" ref="O9:O39" si="4">+G9+L9</f>
        <v>0</v>
      </c>
      <c r="P9" s="172">
        <f t="shared" ref="P9:P39" si="5">N9-O9</f>
        <v>0</v>
      </c>
      <c r="Q9" s="172">
        <f t="shared" ref="Q9:Q39" si="6">+Q8+N9-O9</f>
        <v>-24</v>
      </c>
    </row>
    <row r="10" spans="1:18" ht="15" customHeight="1" x14ac:dyDescent="0.25">
      <c r="A10" s="2059">
        <f>A9+1</f>
        <v>42827</v>
      </c>
      <c r="B10" s="174">
        <f t="shared" si="0"/>
        <v>0</v>
      </c>
      <c r="C10" s="800"/>
      <c r="D10" s="1037">
        <f t="shared" si="1"/>
        <v>0</v>
      </c>
      <c r="E10" s="66"/>
      <c r="F10" s="804"/>
      <c r="G10" s="114"/>
      <c r="H10" s="1332">
        <f t="shared" si="2"/>
        <v>0</v>
      </c>
      <c r="I10" s="1037">
        <f t="shared" si="3"/>
        <v>0</v>
      </c>
      <c r="J10" s="114"/>
      <c r="K10" s="999"/>
      <c r="L10" s="118"/>
      <c r="M10" s="106">
        <f>+M9+J10-L10</f>
        <v>-24</v>
      </c>
      <c r="N10" s="803">
        <f t="shared" ref="N10:N39" si="7">+E10+J10</f>
        <v>0</v>
      </c>
      <c r="O10" s="172">
        <f t="shared" si="4"/>
        <v>0</v>
      </c>
      <c r="P10" s="172">
        <f t="shared" si="5"/>
        <v>0</v>
      </c>
      <c r="Q10" s="172">
        <f t="shared" si="6"/>
        <v>-24</v>
      </c>
    </row>
    <row r="11" spans="1:18" ht="15" customHeight="1" x14ac:dyDescent="0.25">
      <c r="A11" s="2059">
        <f t="shared" ref="A11:A38" si="8">A10+1</f>
        <v>42828</v>
      </c>
      <c r="B11" s="174">
        <f t="shared" si="0"/>
        <v>0</v>
      </c>
      <c r="C11" s="801"/>
      <c r="D11" s="1037">
        <f t="shared" si="1"/>
        <v>0</v>
      </c>
      <c r="E11" s="114"/>
      <c r="F11" s="804"/>
      <c r="G11" s="114"/>
      <c r="H11" s="1332">
        <f t="shared" si="2"/>
        <v>0</v>
      </c>
      <c r="I11" s="1037">
        <f t="shared" si="3"/>
        <v>0</v>
      </c>
      <c r="J11" s="114"/>
      <c r="K11" s="950"/>
      <c r="L11" s="118"/>
      <c r="M11" s="106">
        <f t="shared" ref="M11:M39" si="9">+M10+J11-L11</f>
        <v>-24</v>
      </c>
      <c r="N11" s="803">
        <f t="shared" si="7"/>
        <v>0</v>
      </c>
      <c r="O11" s="172">
        <f t="shared" si="4"/>
        <v>0</v>
      </c>
      <c r="P11" s="172">
        <f t="shared" si="5"/>
        <v>0</v>
      </c>
      <c r="Q11" s="172">
        <f t="shared" si="6"/>
        <v>-24</v>
      </c>
    </row>
    <row r="12" spans="1:18" ht="15" customHeight="1" x14ac:dyDescent="0.25">
      <c r="A12" s="2059">
        <f t="shared" si="8"/>
        <v>42829</v>
      </c>
      <c r="B12" s="174">
        <f t="shared" si="0"/>
        <v>0</v>
      </c>
      <c r="C12" s="801"/>
      <c r="D12" s="1037">
        <f>+E12/D$7</f>
        <v>0</v>
      </c>
      <c r="E12" s="114"/>
      <c r="F12" s="804"/>
      <c r="G12" s="114"/>
      <c r="H12" s="1332">
        <f t="shared" si="2"/>
        <v>0</v>
      </c>
      <c r="I12" s="1037">
        <f t="shared" si="3"/>
        <v>0</v>
      </c>
      <c r="J12" s="118"/>
      <c r="K12" s="1650"/>
      <c r="L12" s="118"/>
      <c r="M12" s="106">
        <f t="shared" si="9"/>
        <v>-24</v>
      </c>
      <c r="N12" s="803">
        <f>+E12+J12</f>
        <v>0</v>
      </c>
      <c r="O12" s="172">
        <f t="shared" si="4"/>
        <v>0</v>
      </c>
      <c r="P12" s="172">
        <f t="shared" si="5"/>
        <v>0</v>
      </c>
      <c r="Q12" s="172">
        <f t="shared" si="6"/>
        <v>-24</v>
      </c>
    </row>
    <row r="13" spans="1:18" ht="15" customHeight="1" x14ac:dyDescent="0.25">
      <c r="A13" s="2059">
        <f t="shared" si="8"/>
        <v>42830</v>
      </c>
      <c r="B13" s="174">
        <f t="shared" si="0"/>
        <v>0</v>
      </c>
      <c r="C13" s="805"/>
      <c r="D13" s="1037">
        <f>+E13/D$7</f>
        <v>0</v>
      </c>
      <c r="E13" s="114"/>
      <c r="F13" s="804"/>
      <c r="G13" s="114"/>
      <c r="H13" s="1332">
        <f t="shared" si="2"/>
        <v>0</v>
      </c>
      <c r="I13" s="1037">
        <f t="shared" si="3"/>
        <v>0</v>
      </c>
      <c r="J13" s="118"/>
      <c r="K13" s="950"/>
      <c r="L13" s="118"/>
      <c r="M13" s="106">
        <f t="shared" si="9"/>
        <v>-24</v>
      </c>
      <c r="N13" s="803">
        <f>+E13+J13</f>
        <v>0</v>
      </c>
      <c r="O13" s="172">
        <f t="shared" si="4"/>
        <v>0</v>
      </c>
      <c r="P13" s="172">
        <f t="shared" si="5"/>
        <v>0</v>
      </c>
      <c r="Q13" s="172">
        <f t="shared" si="6"/>
        <v>-24</v>
      </c>
    </row>
    <row r="14" spans="1:18" ht="15" customHeight="1" x14ac:dyDescent="0.25">
      <c r="A14" s="2059">
        <f t="shared" si="8"/>
        <v>42831</v>
      </c>
      <c r="B14" s="174">
        <f t="shared" si="0"/>
        <v>0</v>
      </c>
      <c r="C14" s="800"/>
      <c r="D14" s="1037">
        <f t="shared" si="1"/>
        <v>0</v>
      </c>
      <c r="E14" s="114"/>
      <c r="F14" s="804"/>
      <c r="G14" s="114"/>
      <c r="H14" s="1332">
        <f t="shared" si="2"/>
        <v>0</v>
      </c>
      <c r="I14" s="1037">
        <f t="shared" si="3"/>
        <v>0</v>
      </c>
      <c r="J14" s="118"/>
      <c r="K14" s="999"/>
      <c r="L14" s="118"/>
      <c r="M14" s="106">
        <f t="shared" si="9"/>
        <v>-24</v>
      </c>
      <c r="N14" s="803">
        <f t="shared" si="7"/>
        <v>0</v>
      </c>
      <c r="O14" s="172">
        <f t="shared" si="4"/>
        <v>0</v>
      </c>
      <c r="P14" s="172">
        <f t="shared" si="5"/>
        <v>0</v>
      </c>
      <c r="Q14" s="172">
        <f t="shared" si="6"/>
        <v>-24</v>
      </c>
    </row>
    <row r="15" spans="1:18" ht="15" customHeight="1" x14ac:dyDescent="0.25">
      <c r="A15" s="2059">
        <f t="shared" si="8"/>
        <v>42832</v>
      </c>
      <c r="B15" s="174">
        <f t="shared" si="0"/>
        <v>0</v>
      </c>
      <c r="C15" s="801"/>
      <c r="D15" s="1037">
        <f t="shared" si="1"/>
        <v>0</v>
      </c>
      <c r="E15" s="114"/>
      <c r="F15" s="173"/>
      <c r="G15" s="114"/>
      <c r="H15" s="1332">
        <f t="shared" si="2"/>
        <v>0</v>
      </c>
      <c r="I15" s="1037">
        <f t="shared" si="3"/>
        <v>0</v>
      </c>
      <c r="J15" s="114"/>
      <c r="K15" s="999"/>
      <c r="L15" s="118"/>
      <c r="M15" s="106">
        <f t="shared" si="9"/>
        <v>-24</v>
      </c>
      <c r="N15" s="803">
        <f t="shared" si="7"/>
        <v>0</v>
      </c>
      <c r="O15" s="172">
        <f t="shared" si="4"/>
        <v>0</v>
      </c>
      <c r="P15" s="172">
        <f t="shared" si="5"/>
        <v>0</v>
      </c>
      <c r="Q15" s="172">
        <f t="shared" si="6"/>
        <v>-24</v>
      </c>
    </row>
    <row r="16" spans="1:18" ht="16.5" customHeight="1" x14ac:dyDescent="0.25">
      <c r="A16" s="2059">
        <f t="shared" si="8"/>
        <v>42833</v>
      </c>
      <c r="B16" s="174">
        <f t="shared" si="0"/>
        <v>0</v>
      </c>
      <c r="C16" s="801"/>
      <c r="D16" s="1037">
        <f t="shared" si="1"/>
        <v>0</v>
      </c>
      <c r="E16" s="114"/>
      <c r="F16" s="173"/>
      <c r="G16" s="114"/>
      <c r="H16" s="1332">
        <f t="shared" si="2"/>
        <v>0</v>
      </c>
      <c r="I16" s="1037">
        <f t="shared" si="3"/>
        <v>0</v>
      </c>
      <c r="J16" s="114"/>
      <c r="K16" s="950"/>
      <c r="L16" s="118"/>
      <c r="M16" s="106">
        <f t="shared" si="9"/>
        <v>-24</v>
      </c>
      <c r="N16" s="803">
        <f t="shared" si="7"/>
        <v>0</v>
      </c>
      <c r="O16" s="172">
        <f t="shared" si="4"/>
        <v>0</v>
      </c>
      <c r="P16" s="172">
        <f t="shared" si="5"/>
        <v>0</v>
      </c>
      <c r="Q16" s="172">
        <f t="shared" si="6"/>
        <v>-24</v>
      </c>
    </row>
    <row r="17" spans="1:35" ht="15" customHeight="1" x14ac:dyDescent="0.25">
      <c r="A17" s="2059">
        <f t="shared" si="8"/>
        <v>42834</v>
      </c>
      <c r="B17" s="174">
        <f t="shared" si="0"/>
        <v>0</v>
      </c>
      <c r="C17" s="802"/>
      <c r="D17" s="1037">
        <f t="shared" si="1"/>
        <v>0</v>
      </c>
      <c r="E17" s="114"/>
      <c r="F17" s="173"/>
      <c r="G17" s="114"/>
      <c r="H17" s="1332">
        <f t="shared" si="2"/>
        <v>0</v>
      </c>
      <c r="I17" s="1037">
        <f t="shared" si="3"/>
        <v>0</v>
      </c>
      <c r="J17" s="118"/>
      <c r="K17" s="831"/>
      <c r="L17" s="118"/>
      <c r="M17" s="106">
        <f t="shared" si="9"/>
        <v>-24</v>
      </c>
      <c r="N17" s="803">
        <f t="shared" si="7"/>
        <v>0</v>
      </c>
      <c r="O17" s="172">
        <f>+G17+L17</f>
        <v>0</v>
      </c>
      <c r="P17" s="172">
        <f t="shared" si="5"/>
        <v>0</v>
      </c>
      <c r="Q17" s="172">
        <f t="shared" si="6"/>
        <v>-24</v>
      </c>
    </row>
    <row r="18" spans="1:35" ht="15" customHeight="1" x14ac:dyDescent="0.25">
      <c r="A18" s="2059">
        <f t="shared" si="8"/>
        <v>42835</v>
      </c>
      <c r="B18" s="174">
        <f t="shared" si="0"/>
        <v>0</v>
      </c>
      <c r="C18" s="802"/>
      <c r="D18" s="1037">
        <f t="shared" si="1"/>
        <v>0</v>
      </c>
      <c r="E18" s="114"/>
      <c r="F18" s="114"/>
      <c r="G18" s="114"/>
      <c r="H18" s="1332">
        <f t="shared" si="2"/>
        <v>0</v>
      </c>
      <c r="I18" s="1037">
        <f t="shared" si="3"/>
        <v>0</v>
      </c>
      <c r="J18" s="118"/>
      <c r="K18" s="831"/>
      <c r="L18" s="118"/>
      <c r="M18" s="106">
        <f t="shared" si="9"/>
        <v>-24</v>
      </c>
      <c r="N18" s="803">
        <f t="shared" si="7"/>
        <v>0</v>
      </c>
      <c r="O18" s="172">
        <f t="shared" si="4"/>
        <v>0</v>
      </c>
      <c r="P18" s="172">
        <f t="shared" si="5"/>
        <v>0</v>
      </c>
      <c r="Q18" s="172">
        <f t="shared" si="6"/>
        <v>-24</v>
      </c>
    </row>
    <row r="19" spans="1:35" ht="15" customHeight="1" x14ac:dyDescent="0.25">
      <c r="A19" s="2059">
        <f t="shared" si="8"/>
        <v>42836</v>
      </c>
      <c r="B19" s="174">
        <f t="shared" si="0"/>
        <v>0</v>
      </c>
      <c r="C19" s="802"/>
      <c r="D19" s="1037">
        <f t="shared" si="1"/>
        <v>0</v>
      </c>
      <c r="E19" s="114"/>
      <c r="F19" s="173"/>
      <c r="G19" s="114"/>
      <c r="H19" s="1332">
        <f t="shared" si="2"/>
        <v>0</v>
      </c>
      <c r="I19" s="1037">
        <f t="shared" si="3"/>
        <v>0</v>
      </c>
      <c r="J19" s="118"/>
      <c r="K19" s="831"/>
      <c r="L19" s="118"/>
      <c r="M19" s="106">
        <f t="shared" si="9"/>
        <v>-24</v>
      </c>
      <c r="N19" s="803">
        <f t="shared" si="7"/>
        <v>0</v>
      </c>
      <c r="O19" s="172">
        <f t="shared" si="4"/>
        <v>0</v>
      </c>
      <c r="P19" s="172">
        <f t="shared" si="5"/>
        <v>0</v>
      </c>
      <c r="Q19" s="172">
        <f t="shared" si="6"/>
        <v>-24</v>
      </c>
    </row>
    <row r="20" spans="1:35" ht="15" customHeight="1" x14ac:dyDescent="0.25">
      <c r="A20" s="2059">
        <f t="shared" si="8"/>
        <v>42837</v>
      </c>
      <c r="B20" s="174">
        <f t="shared" si="0"/>
        <v>0</v>
      </c>
      <c r="C20" s="802"/>
      <c r="D20" s="1037">
        <f t="shared" si="1"/>
        <v>0</v>
      </c>
      <c r="E20" s="114"/>
      <c r="F20" s="173"/>
      <c r="G20" s="114"/>
      <c r="H20" s="1332">
        <f t="shared" si="2"/>
        <v>0</v>
      </c>
      <c r="I20" s="1037">
        <f t="shared" si="3"/>
        <v>0</v>
      </c>
      <c r="J20" s="118"/>
      <c r="K20" s="820"/>
      <c r="L20" s="118"/>
      <c r="M20" s="106">
        <f t="shared" si="9"/>
        <v>-24</v>
      </c>
      <c r="N20" s="803">
        <f t="shared" si="7"/>
        <v>0</v>
      </c>
      <c r="O20" s="172">
        <f t="shared" si="4"/>
        <v>0</v>
      </c>
      <c r="P20" s="172">
        <f t="shared" si="5"/>
        <v>0</v>
      </c>
      <c r="Q20" s="172">
        <f t="shared" si="6"/>
        <v>-24</v>
      </c>
    </row>
    <row r="21" spans="1:35" ht="15" customHeight="1" x14ac:dyDescent="0.25">
      <c r="A21" s="2059">
        <f t="shared" si="8"/>
        <v>42838</v>
      </c>
      <c r="B21" s="174">
        <f t="shared" si="0"/>
        <v>0</v>
      </c>
      <c r="C21" s="802"/>
      <c r="D21" s="1037">
        <f t="shared" si="1"/>
        <v>0</v>
      </c>
      <c r="E21" s="114"/>
      <c r="F21" s="173"/>
      <c r="G21" s="114"/>
      <c r="H21" s="1332">
        <f t="shared" si="2"/>
        <v>0</v>
      </c>
      <c r="I21" s="1037">
        <f t="shared" si="3"/>
        <v>0</v>
      </c>
      <c r="J21" s="118"/>
      <c r="K21" s="1383"/>
      <c r="L21" s="118"/>
      <c r="M21" s="106">
        <f t="shared" si="9"/>
        <v>-24</v>
      </c>
      <c r="N21" s="803">
        <f t="shared" si="7"/>
        <v>0</v>
      </c>
      <c r="O21" s="172">
        <f t="shared" si="4"/>
        <v>0</v>
      </c>
      <c r="P21" s="172">
        <f t="shared" si="5"/>
        <v>0</v>
      </c>
      <c r="Q21" s="172">
        <f t="shared" si="6"/>
        <v>-24</v>
      </c>
    </row>
    <row r="22" spans="1:35" ht="15" customHeight="1" x14ac:dyDescent="0.25">
      <c r="A22" s="2059">
        <f t="shared" si="8"/>
        <v>42839</v>
      </c>
      <c r="B22" s="174">
        <f t="shared" si="0"/>
        <v>0</v>
      </c>
      <c r="C22" s="802"/>
      <c r="D22" s="1037">
        <f t="shared" si="1"/>
        <v>0</v>
      </c>
      <c r="E22" s="114"/>
      <c r="F22" s="173"/>
      <c r="G22" s="114"/>
      <c r="H22" s="1332">
        <f t="shared" si="2"/>
        <v>0</v>
      </c>
      <c r="I22" s="1037">
        <f t="shared" si="3"/>
        <v>0</v>
      </c>
      <c r="J22" s="118"/>
      <c r="K22" s="831"/>
      <c r="L22" s="118"/>
      <c r="M22" s="106">
        <f t="shared" si="9"/>
        <v>-24</v>
      </c>
      <c r="N22" s="803">
        <f t="shared" si="7"/>
        <v>0</v>
      </c>
      <c r="O22" s="172">
        <f t="shared" si="4"/>
        <v>0</v>
      </c>
      <c r="P22" s="172">
        <f t="shared" si="5"/>
        <v>0</v>
      </c>
      <c r="Q22" s="172">
        <f t="shared" si="6"/>
        <v>-24</v>
      </c>
    </row>
    <row r="23" spans="1:35" ht="15" customHeight="1" x14ac:dyDescent="0.25">
      <c r="A23" s="2059">
        <f t="shared" si="8"/>
        <v>42840</v>
      </c>
      <c r="B23" s="174">
        <f t="shared" si="0"/>
        <v>0</v>
      </c>
      <c r="C23" s="802"/>
      <c r="D23" s="1037">
        <f t="shared" si="1"/>
        <v>0</v>
      </c>
      <c r="E23" s="114"/>
      <c r="F23" s="173"/>
      <c r="G23" s="114"/>
      <c r="H23" s="1332">
        <f t="shared" si="2"/>
        <v>0</v>
      </c>
      <c r="I23" s="1037">
        <f t="shared" si="3"/>
        <v>0</v>
      </c>
      <c r="J23" s="118"/>
      <c r="K23" s="831"/>
      <c r="L23" s="118"/>
      <c r="M23" s="106">
        <f t="shared" si="9"/>
        <v>-24</v>
      </c>
      <c r="N23" s="803">
        <f t="shared" si="7"/>
        <v>0</v>
      </c>
      <c r="O23" s="172">
        <f t="shared" si="4"/>
        <v>0</v>
      </c>
      <c r="P23" s="172">
        <f t="shared" si="5"/>
        <v>0</v>
      </c>
      <c r="Q23" s="172">
        <f t="shared" si="6"/>
        <v>-24</v>
      </c>
      <c r="R23" s="218"/>
    </row>
    <row r="24" spans="1:35" ht="15" customHeight="1" x14ac:dyDescent="0.25">
      <c r="A24" s="2059">
        <f t="shared" si="8"/>
        <v>42841</v>
      </c>
      <c r="B24" s="174">
        <f t="shared" si="0"/>
        <v>0</v>
      </c>
      <c r="C24" s="802"/>
      <c r="D24" s="1037">
        <f t="shared" si="1"/>
        <v>0</v>
      </c>
      <c r="E24" s="118"/>
      <c r="G24" s="114"/>
      <c r="H24" s="1332">
        <f t="shared" si="2"/>
        <v>0</v>
      </c>
      <c r="I24" s="1037">
        <f t="shared" si="3"/>
        <v>0</v>
      </c>
      <c r="J24" s="118"/>
      <c r="K24" s="820"/>
      <c r="L24" s="118"/>
      <c r="M24" s="106">
        <f t="shared" si="9"/>
        <v>-24</v>
      </c>
      <c r="N24" s="803">
        <f t="shared" si="7"/>
        <v>0</v>
      </c>
      <c r="O24" s="172">
        <f t="shared" si="4"/>
        <v>0</v>
      </c>
      <c r="P24" s="172">
        <f t="shared" si="5"/>
        <v>0</v>
      </c>
      <c r="Q24" s="172">
        <f t="shared" si="6"/>
        <v>-24</v>
      </c>
      <c r="R24" s="139"/>
      <c r="S24" s="139"/>
      <c r="T24" s="139"/>
      <c r="U24" s="139"/>
      <c r="V24" s="139"/>
      <c r="W24" s="139"/>
      <c r="X24" s="139"/>
      <c r="Y24" s="139"/>
      <c r="Z24" s="139"/>
      <c r="AA24" s="139"/>
      <c r="AB24" s="139"/>
      <c r="AC24" s="139"/>
      <c r="AD24" s="139"/>
      <c r="AE24" s="139"/>
      <c r="AF24" s="139"/>
      <c r="AG24" s="139"/>
      <c r="AH24" s="139"/>
      <c r="AI24" s="139"/>
    </row>
    <row r="25" spans="1:35" ht="15" customHeight="1" x14ac:dyDescent="0.25">
      <c r="A25" s="2059">
        <f t="shared" si="8"/>
        <v>42842</v>
      </c>
      <c r="B25" s="174">
        <f t="shared" si="0"/>
        <v>0</v>
      </c>
      <c r="C25" s="802"/>
      <c r="D25" s="1037">
        <f t="shared" si="1"/>
        <v>0</v>
      </c>
      <c r="E25" s="114"/>
      <c r="F25" s="804"/>
      <c r="G25" s="114"/>
      <c r="H25" s="1332">
        <f t="shared" si="2"/>
        <v>0</v>
      </c>
      <c r="I25" s="1037">
        <f>+J25/I$7</f>
        <v>0</v>
      </c>
      <c r="J25" s="118"/>
      <c r="K25" s="831"/>
      <c r="L25" s="118"/>
      <c r="M25" s="106">
        <f t="shared" si="9"/>
        <v>-24</v>
      </c>
      <c r="N25" s="803">
        <f>+E25+J25</f>
        <v>0</v>
      </c>
      <c r="O25" s="172">
        <f t="shared" si="4"/>
        <v>0</v>
      </c>
      <c r="P25" s="172">
        <f t="shared" si="5"/>
        <v>0</v>
      </c>
      <c r="Q25" s="172">
        <f t="shared" si="6"/>
        <v>-24</v>
      </c>
      <c r="R25" s="139"/>
      <c r="S25" s="139"/>
      <c r="T25" s="139"/>
      <c r="U25" s="139"/>
      <c r="V25" s="139"/>
      <c r="W25" s="139"/>
      <c r="X25" s="139"/>
      <c r="Y25" s="139"/>
      <c r="Z25" s="139"/>
      <c r="AA25" s="139"/>
      <c r="AB25" s="139"/>
      <c r="AC25" s="139"/>
      <c r="AD25" s="139"/>
      <c r="AE25" s="139"/>
      <c r="AF25" s="139"/>
      <c r="AG25" s="139"/>
      <c r="AH25" s="139"/>
      <c r="AI25" s="139"/>
    </row>
    <row r="26" spans="1:35" ht="15" customHeight="1" x14ac:dyDescent="0.25">
      <c r="A26" s="2059">
        <f t="shared" si="8"/>
        <v>42843</v>
      </c>
      <c r="B26" s="174">
        <f t="shared" si="0"/>
        <v>0</v>
      </c>
      <c r="C26" s="802"/>
      <c r="D26" s="1037">
        <f t="shared" si="1"/>
        <v>0</v>
      </c>
      <c r="E26" s="114"/>
      <c r="F26" s="804"/>
      <c r="G26" s="114"/>
      <c r="H26" s="1332">
        <f t="shared" si="2"/>
        <v>0</v>
      </c>
      <c r="I26" s="1037">
        <f t="shared" si="3"/>
        <v>0</v>
      </c>
      <c r="J26" s="118"/>
      <c r="K26" s="1383"/>
      <c r="L26" s="118"/>
      <c r="M26" s="106">
        <f t="shared" si="9"/>
        <v>-24</v>
      </c>
      <c r="N26" s="803">
        <f t="shared" si="7"/>
        <v>0</v>
      </c>
      <c r="O26" s="172">
        <f t="shared" si="4"/>
        <v>0</v>
      </c>
      <c r="P26" s="172">
        <f t="shared" si="5"/>
        <v>0</v>
      </c>
      <c r="Q26" s="172">
        <f t="shared" si="6"/>
        <v>-24</v>
      </c>
      <c r="R26" s="139"/>
      <c r="S26" s="139"/>
      <c r="T26" s="139"/>
      <c r="U26" s="139"/>
      <c r="V26" s="139"/>
      <c r="W26" s="139"/>
      <c r="X26" s="139"/>
      <c r="Y26" s="139"/>
      <c r="Z26" s="139"/>
      <c r="AA26" s="139"/>
      <c r="AB26" s="139"/>
      <c r="AC26" s="139"/>
      <c r="AD26" s="139"/>
      <c r="AE26" s="139"/>
      <c r="AF26" s="139"/>
      <c r="AG26" s="139"/>
      <c r="AH26" s="139"/>
      <c r="AI26" s="139"/>
    </row>
    <row r="27" spans="1:35" ht="15" customHeight="1" x14ac:dyDescent="0.25">
      <c r="A27" s="2059">
        <f t="shared" si="8"/>
        <v>42844</v>
      </c>
      <c r="B27" s="174">
        <f t="shared" si="0"/>
        <v>0</v>
      </c>
      <c r="C27" s="802"/>
      <c r="D27" s="1037">
        <f t="shared" si="1"/>
        <v>0</v>
      </c>
      <c r="E27" s="114"/>
      <c r="F27" s="804"/>
      <c r="G27" s="114"/>
      <c r="H27" s="1332">
        <f t="shared" si="2"/>
        <v>0</v>
      </c>
      <c r="I27" s="1037">
        <f t="shared" si="3"/>
        <v>0</v>
      </c>
      <c r="J27" s="118"/>
      <c r="K27" s="1383"/>
      <c r="L27" s="1383"/>
      <c r="M27" s="106">
        <f t="shared" si="9"/>
        <v>-24</v>
      </c>
      <c r="N27" s="803">
        <f t="shared" si="7"/>
        <v>0</v>
      </c>
      <c r="O27" s="172">
        <f t="shared" si="4"/>
        <v>0</v>
      </c>
      <c r="P27" s="175">
        <f t="shared" si="5"/>
        <v>0</v>
      </c>
      <c r="Q27" s="172">
        <f t="shared" si="6"/>
        <v>-24</v>
      </c>
      <c r="R27" s="139"/>
      <c r="S27" s="139"/>
      <c r="T27" s="139"/>
      <c r="U27" s="139"/>
      <c r="V27" s="139"/>
      <c r="W27" s="139"/>
      <c r="X27" s="139"/>
      <c r="Y27" s="139"/>
      <c r="Z27" s="139"/>
      <c r="AA27" s="139"/>
      <c r="AB27" s="139"/>
      <c r="AC27" s="139"/>
      <c r="AD27" s="139"/>
      <c r="AE27" s="139"/>
      <c r="AF27" s="139"/>
      <c r="AG27" s="139"/>
      <c r="AH27" s="139"/>
      <c r="AI27" s="139"/>
    </row>
    <row r="28" spans="1:35" ht="15" customHeight="1" x14ac:dyDescent="0.25">
      <c r="A28" s="2059">
        <f t="shared" si="8"/>
        <v>42845</v>
      </c>
      <c r="B28" s="174">
        <f t="shared" si="0"/>
        <v>0</v>
      </c>
      <c r="C28" s="802"/>
      <c r="D28" s="1037">
        <f t="shared" si="1"/>
        <v>0</v>
      </c>
      <c r="E28" s="114"/>
      <c r="F28" s="804"/>
      <c r="G28" s="114"/>
      <c r="H28" s="1332">
        <f t="shared" si="2"/>
        <v>0</v>
      </c>
      <c r="I28" s="1037">
        <f t="shared" si="3"/>
        <v>0</v>
      </c>
      <c r="J28" s="118"/>
      <c r="K28" s="1383"/>
      <c r="L28" s="118"/>
      <c r="M28" s="106">
        <f t="shared" si="9"/>
        <v>-24</v>
      </c>
      <c r="N28" s="803">
        <f t="shared" si="7"/>
        <v>0</v>
      </c>
      <c r="O28" s="172">
        <f t="shared" si="4"/>
        <v>0</v>
      </c>
      <c r="P28" s="175">
        <f t="shared" si="5"/>
        <v>0</v>
      </c>
      <c r="Q28" s="172">
        <f t="shared" si="6"/>
        <v>-24</v>
      </c>
      <c r="R28" s="139"/>
      <c r="S28" s="139"/>
      <c r="T28" s="139"/>
      <c r="U28" s="139"/>
      <c r="V28" s="139"/>
      <c r="W28" s="139"/>
      <c r="X28" s="139"/>
      <c r="Y28" s="139"/>
      <c r="Z28" s="139"/>
      <c r="AA28" s="139"/>
      <c r="AB28" s="139"/>
      <c r="AC28" s="139"/>
      <c r="AD28" s="139"/>
      <c r="AE28" s="139"/>
      <c r="AF28" s="139"/>
      <c r="AG28" s="139"/>
      <c r="AH28" s="139"/>
      <c r="AI28" s="139"/>
    </row>
    <row r="29" spans="1:35" ht="15" customHeight="1" x14ac:dyDescent="0.25">
      <c r="A29" s="2059">
        <f t="shared" si="8"/>
        <v>42846</v>
      </c>
      <c r="B29" s="174">
        <f t="shared" si="0"/>
        <v>0</v>
      </c>
      <c r="C29" s="802"/>
      <c r="D29" s="1037">
        <f t="shared" si="1"/>
        <v>0</v>
      </c>
      <c r="E29" s="114"/>
      <c r="F29" s="804"/>
      <c r="G29" s="114"/>
      <c r="H29" s="1332">
        <f t="shared" si="2"/>
        <v>0</v>
      </c>
      <c r="I29" s="1037">
        <f t="shared" si="3"/>
        <v>0</v>
      </c>
      <c r="J29" s="118"/>
      <c r="K29" s="831"/>
      <c r="L29" s="118"/>
      <c r="M29" s="106">
        <f t="shared" si="9"/>
        <v>-24</v>
      </c>
      <c r="N29" s="803">
        <f t="shared" si="7"/>
        <v>0</v>
      </c>
      <c r="O29" s="172">
        <f t="shared" si="4"/>
        <v>0</v>
      </c>
      <c r="P29" s="175">
        <f t="shared" si="5"/>
        <v>0</v>
      </c>
      <c r="Q29" s="172">
        <f t="shared" si="6"/>
        <v>-24</v>
      </c>
      <c r="R29" s="139"/>
      <c r="S29" s="139"/>
      <c r="T29" s="139"/>
      <c r="U29" s="139"/>
      <c r="V29" s="139"/>
      <c r="W29" s="139"/>
      <c r="X29" s="139"/>
      <c r="Y29" s="139"/>
      <c r="Z29" s="139"/>
      <c r="AA29" s="139"/>
      <c r="AB29" s="139"/>
      <c r="AC29" s="139"/>
      <c r="AD29" s="139"/>
      <c r="AE29" s="139"/>
      <c r="AF29" s="139"/>
      <c r="AG29" s="139"/>
      <c r="AH29" s="139"/>
      <c r="AI29" s="139"/>
    </row>
    <row r="30" spans="1:35" ht="16.5" customHeight="1" x14ac:dyDescent="0.25">
      <c r="A30" s="2059">
        <f t="shared" si="8"/>
        <v>42847</v>
      </c>
      <c r="B30" s="174">
        <f t="shared" si="0"/>
        <v>0</v>
      </c>
      <c r="C30" s="802"/>
      <c r="D30" s="1037">
        <f t="shared" si="1"/>
        <v>0</v>
      </c>
      <c r="E30" s="114"/>
      <c r="F30" s="804"/>
      <c r="G30" s="114"/>
      <c r="H30" s="1332">
        <f t="shared" si="2"/>
        <v>0</v>
      </c>
      <c r="I30" s="1037">
        <f t="shared" si="3"/>
        <v>0</v>
      </c>
      <c r="J30" s="118"/>
      <c r="K30" s="1383"/>
      <c r="L30" s="118"/>
      <c r="M30" s="106">
        <f t="shared" si="9"/>
        <v>-24</v>
      </c>
      <c r="N30" s="803">
        <f t="shared" si="7"/>
        <v>0</v>
      </c>
      <c r="O30" s="1672">
        <f t="shared" si="4"/>
        <v>0</v>
      </c>
      <c r="P30" s="175">
        <f t="shared" si="5"/>
        <v>0</v>
      </c>
      <c r="Q30" s="172">
        <f t="shared" si="6"/>
        <v>-24</v>
      </c>
      <c r="R30" s="139"/>
      <c r="S30" s="139"/>
      <c r="T30" s="139"/>
      <c r="U30" s="139"/>
      <c r="V30" s="139"/>
      <c r="W30" s="139"/>
      <c r="X30" s="139"/>
      <c r="Y30" s="139"/>
      <c r="Z30" s="139"/>
      <c r="AA30" s="139"/>
      <c r="AB30" s="139"/>
      <c r="AC30" s="139"/>
      <c r="AD30" s="139"/>
      <c r="AE30" s="139"/>
      <c r="AF30" s="139"/>
      <c r="AG30" s="139"/>
      <c r="AH30" s="139"/>
      <c r="AI30" s="139"/>
    </row>
    <row r="31" spans="1:35" s="139" customFormat="1" ht="15" customHeight="1" x14ac:dyDescent="0.25">
      <c r="A31" s="2059">
        <f t="shared" si="8"/>
        <v>42848</v>
      </c>
      <c r="B31" s="174">
        <f t="shared" si="0"/>
        <v>0</v>
      </c>
      <c r="C31" s="802"/>
      <c r="D31" s="1037">
        <f t="shared" si="1"/>
        <v>0</v>
      </c>
      <c r="E31" s="118"/>
      <c r="F31" s="820"/>
      <c r="G31" s="114"/>
      <c r="H31" s="1332">
        <f t="shared" si="2"/>
        <v>0</v>
      </c>
      <c r="I31" s="1037">
        <f t="shared" si="3"/>
        <v>0</v>
      </c>
      <c r="J31" s="118"/>
      <c r="K31" s="1463" t="s">
        <v>931</v>
      </c>
      <c r="L31" s="118"/>
      <c r="M31" s="106">
        <f t="shared" si="9"/>
        <v>-24</v>
      </c>
      <c r="N31" s="1566">
        <f t="shared" si="7"/>
        <v>0</v>
      </c>
      <c r="O31" s="175">
        <f t="shared" si="4"/>
        <v>0</v>
      </c>
      <c r="P31" s="175">
        <f t="shared" si="5"/>
        <v>0</v>
      </c>
      <c r="Q31" s="175">
        <f t="shared" si="6"/>
        <v>-24</v>
      </c>
    </row>
    <row r="32" spans="1:35" ht="15" customHeight="1" x14ac:dyDescent="0.25">
      <c r="A32" s="2059">
        <f t="shared" si="8"/>
        <v>42849</v>
      </c>
      <c r="B32" s="174">
        <f t="shared" si="0"/>
        <v>0</v>
      </c>
      <c r="C32" s="801"/>
      <c r="D32" s="1037">
        <f t="shared" si="1"/>
        <v>0</v>
      </c>
      <c r="E32" s="114"/>
      <c r="F32" s="804"/>
      <c r="G32" s="114"/>
      <c r="H32" s="1332">
        <f t="shared" si="2"/>
        <v>0</v>
      </c>
      <c r="I32" s="1037">
        <f t="shared" si="3"/>
        <v>0</v>
      </c>
      <c r="J32" s="118"/>
      <c r="K32" s="1463"/>
      <c r="L32" s="118"/>
      <c r="M32" s="106">
        <f t="shared" si="9"/>
        <v>-24</v>
      </c>
      <c r="N32" s="803">
        <f t="shared" si="7"/>
        <v>0</v>
      </c>
      <c r="O32" s="172">
        <f t="shared" si="4"/>
        <v>0</v>
      </c>
      <c r="P32" s="175">
        <f t="shared" si="5"/>
        <v>0</v>
      </c>
      <c r="Q32" s="172">
        <f t="shared" si="6"/>
        <v>-24</v>
      </c>
      <c r="R32" s="139"/>
      <c r="S32" s="139"/>
      <c r="T32" s="139"/>
      <c r="U32" s="139"/>
      <c r="V32" s="139"/>
      <c r="W32" s="139"/>
      <c r="X32" s="139"/>
      <c r="Y32" s="139"/>
      <c r="Z32" s="139"/>
      <c r="AA32" s="139"/>
      <c r="AB32" s="139"/>
      <c r="AC32" s="139"/>
      <c r="AD32" s="139"/>
      <c r="AE32" s="139"/>
      <c r="AF32" s="139"/>
      <c r="AG32" s="139"/>
      <c r="AH32" s="139"/>
      <c r="AI32" s="139"/>
    </row>
    <row r="33" spans="1:35" ht="15" customHeight="1" x14ac:dyDescent="0.25">
      <c r="A33" s="2059">
        <f t="shared" si="8"/>
        <v>42850</v>
      </c>
      <c r="B33" s="174">
        <f t="shared" si="0"/>
        <v>0</v>
      </c>
      <c r="C33" s="801"/>
      <c r="D33" s="1037">
        <f t="shared" si="1"/>
        <v>0</v>
      </c>
      <c r="E33" s="114"/>
      <c r="F33" s="804"/>
      <c r="G33" s="114"/>
      <c r="H33" s="1332">
        <f>+H32+E33-G33</f>
        <v>0</v>
      </c>
      <c r="I33" s="1037">
        <f t="shared" si="3"/>
        <v>0</v>
      </c>
      <c r="J33" s="118"/>
      <c r="K33" s="831"/>
      <c r="L33" s="118"/>
      <c r="M33" s="106">
        <f t="shared" si="9"/>
        <v>-24</v>
      </c>
      <c r="N33" s="803">
        <f t="shared" si="7"/>
        <v>0</v>
      </c>
      <c r="O33" s="172">
        <f t="shared" si="4"/>
        <v>0</v>
      </c>
      <c r="P33" s="175">
        <f t="shared" si="5"/>
        <v>0</v>
      </c>
      <c r="Q33" s="172">
        <f t="shared" si="6"/>
        <v>-24</v>
      </c>
      <c r="R33" s="139"/>
      <c r="S33" s="139"/>
      <c r="T33" s="139"/>
      <c r="U33" s="139"/>
      <c r="V33" s="139"/>
      <c r="W33" s="139"/>
      <c r="X33" s="139"/>
      <c r="Y33" s="139"/>
      <c r="Z33" s="139"/>
      <c r="AA33" s="139"/>
      <c r="AB33" s="139"/>
      <c r="AC33" s="139"/>
      <c r="AD33" s="139"/>
      <c r="AE33" s="139"/>
      <c r="AF33" s="139"/>
      <c r="AG33" s="139"/>
      <c r="AH33" s="139"/>
      <c r="AI33" s="139"/>
    </row>
    <row r="34" spans="1:35" ht="19.5" x14ac:dyDescent="0.25">
      <c r="A34" s="2059">
        <f t="shared" si="8"/>
        <v>42851</v>
      </c>
      <c r="B34" s="174">
        <f t="shared" si="0"/>
        <v>0</v>
      </c>
      <c r="C34" s="801"/>
      <c r="D34" s="1037">
        <f t="shared" si="1"/>
        <v>0</v>
      </c>
      <c r="E34" s="114"/>
      <c r="F34" s="804"/>
      <c r="G34" s="114"/>
      <c r="H34" s="1332">
        <f t="shared" si="2"/>
        <v>0</v>
      </c>
      <c r="I34" s="1037">
        <f>+J34/I$7</f>
        <v>0</v>
      </c>
      <c r="J34" s="118"/>
      <c r="K34" s="831"/>
      <c r="L34" s="118"/>
      <c r="M34" s="106">
        <f t="shared" si="9"/>
        <v>-24</v>
      </c>
      <c r="N34" s="803">
        <f t="shared" si="7"/>
        <v>0</v>
      </c>
      <c r="O34" s="172">
        <f t="shared" si="4"/>
        <v>0</v>
      </c>
      <c r="P34" s="175">
        <f t="shared" si="5"/>
        <v>0</v>
      </c>
      <c r="Q34" s="172">
        <f t="shared" si="6"/>
        <v>-24</v>
      </c>
      <c r="R34" s="139"/>
      <c r="S34" s="139"/>
      <c r="T34" s="139"/>
      <c r="U34" s="139"/>
      <c r="V34" s="139"/>
      <c r="W34" s="139"/>
      <c r="X34" s="139"/>
      <c r="Y34" s="139"/>
      <c r="Z34" s="139"/>
      <c r="AA34" s="139"/>
      <c r="AB34" s="139"/>
      <c r="AC34" s="139"/>
      <c r="AD34" s="139"/>
      <c r="AE34" s="139"/>
      <c r="AF34" s="139"/>
      <c r="AG34" s="139"/>
      <c r="AH34" s="139"/>
      <c r="AI34" s="139"/>
    </row>
    <row r="35" spans="1:35" ht="19.5" x14ac:dyDescent="0.25">
      <c r="A35" s="2059">
        <f t="shared" si="8"/>
        <v>42852</v>
      </c>
      <c r="B35" s="174">
        <f t="shared" si="0"/>
        <v>0</v>
      </c>
      <c r="C35" s="801"/>
      <c r="D35" s="1037">
        <f t="shared" si="1"/>
        <v>0</v>
      </c>
      <c r="E35" s="114"/>
      <c r="F35" s="804"/>
      <c r="G35" s="114"/>
      <c r="H35" s="1332">
        <f t="shared" si="2"/>
        <v>0</v>
      </c>
      <c r="I35" s="1037">
        <f t="shared" si="3"/>
        <v>0</v>
      </c>
      <c r="J35" s="118"/>
      <c r="K35" s="831"/>
      <c r="L35" s="184"/>
      <c r="M35" s="106">
        <f t="shared" si="9"/>
        <v>-24</v>
      </c>
      <c r="N35" s="803">
        <f t="shared" si="7"/>
        <v>0</v>
      </c>
      <c r="O35" s="172">
        <f t="shared" si="4"/>
        <v>0</v>
      </c>
      <c r="P35" s="175">
        <f t="shared" si="5"/>
        <v>0</v>
      </c>
      <c r="Q35" s="172">
        <f t="shared" si="6"/>
        <v>-24</v>
      </c>
      <c r="R35" s="139"/>
      <c r="S35" s="139"/>
      <c r="T35" s="139"/>
      <c r="U35" s="139"/>
      <c r="V35" s="139"/>
      <c r="W35" s="139"/>
      <c r="X35" s="139"/>
      <c r="Y35" s="139"/>
      <c r="Z35" s="139"/>
      <c r="AA35" s="139"/>
      <c r="AB35" s="139"/>
      <c r="AC35" s="139"/>
      <c r="AD35" s="139"/>
      <c r="AE35" s="139"/>
      <c r="AF35" s="139"/>
      <c r="AG35" s="139"/>
      <c r="AH35" s="139"/>
      <c r="AI35" s="139"/>
    </row>
    <row r="36" spans="1:35" ht="19.5" x14ac:dyDescent="0.25">
      <c r="A36" s="2059">
        <f t="shared" si="8"/>
        <v>42853</v>
      </c>
      <c r="B36" s="174">
        <f t="shared" si="0"/>
        <v>0</v>
      </c>
      <c r="C36" s="801"/>
      <c r="D36" s="1037">
        <f>+E36/D$7</f>
        <v>0</v>
      </c>
      <c r="E36" s="114"/>
      <c r="F36" s="804"/>
      <c r="G36" s="114"/>
      <c r="H36" s="1332">
        <f t="shared" si="2"/>
        <v>0</v>
      </c>
      <c r="I36" s="1037">
        <f t="shared" si="3"/>
        <v>0</v>
      </c>
      <c r="J36" s="685"/>
      <c r="K36" s="831"/>
      <c r="L36" s="685"/>
      <c r="M36" s="106">
        <f t="shared" si="9"/>
        <v>-24</v>
      </c>
      <c r="N36" s="803">
        <f t="shared" si="7"/>
        <v>0</v>
      </c>
      <c r="O36" s="172">
        <f t="shared" si="4"/>
        <v>0</v>
      </c>
      <c r="P36" s="175">
        <f t="shared" si="5"/>
        <v>0</v>
      </c>
      <c r="Q36" s="172">
        <f t="shared" si="6"/>
        <v>-24</v>
      </c>
      <c r="R36" s="139"/>
      <c r="S36" s="139"/>
      <c r="T36" s="139"/>
      <c r="U36" s="139"/>
      <c r="V36" s="139"/>
      <c r="W36" s="139"/>
      <c r="X36" s="139"/>
      <c r="Y36" s="139"/>
      <c r="Z36" s="139"/>
      <c r="AA36" s="139"/>
      <c r="AB36" s="139"/>
      <c r="AC36" s="139"/>
      <c r="AD36" s="139"/>
      <c r="AE36" s="139"/>
      <c r="AF36" s="139"/>
      <c r="AG36" s="139"/>
      <c r="AH36" s="139"/>
      <c r="AI36" s="139"/>
    </row>
    <row r="37" spans="1:35" ht="19.5" x14ac:dyDescent="0.25">
      <c r="A37" s="2059">
        <f t="shared" si="8"/>
        <v>42854</v>
      </c>
      <c r="B37" s="174">
        <f t="shared" si="0"/>
        <v>0</v>
      </c>
      <c r="C37" s="801"/>
      <c r="D37" s="1037">
        <f t="shared" si="1"/>
        <v>0</v>
      </c>
      <c r="E37" s="114"/>
      <c r="F37" s="804"/>
      <c r="G37" s="114"/>
      <c r="H37" s="1332">
        <f t="shared" si="2"/>
        <v>0</v>
      </c>
      <c r="I37" s="1037">
        <f t="shared" si="3"/>
        <v>0</v>
      </c>
      <c r="J37" s="118"/>
      <c r="K37" s="831"/>
      <c r="L37" s="685"/>
      <c r="M37" s="106">
        <f t="shared" si="9"/>
        <v>-24</v>
      </c>
      <c r="N37" s="803">
        <f t="shared" si="7"/>
        <v>0</v>
      </c>
      <c r="O37" s="172">
        <f t="shared" si="4"/>
        <v>0</v>
      </c>
      <c r="P37" s="175">
        <f t="shared" si="5"/>
        <v>0</v>
      </c>
      <c r="Q37" s="172">
        <f t="shared" si="6"/>
        <v>-24</v>
      </c>
      <c r="R37" s="139"/>
      <c r="S37" s="139"/>
      <c r="T37" s="139"/>
      <c r="U37" s="139"/>
      <c r="V37" s="139"/>
      <c r="W37" s="139"/>
      <c r="X37" s="139"/>
      <c r="Y37" s="139"/>
      <c r="Z37" s="139"/>
      <c r="AA37" s="139"/>
      <c r="AB37" s="139"/>
      <c r="AC37" s="139"/>
      <c r="AD37" s="139"/>
      <c r="AE37" s="139"/>
      <c r="AF37" s="139"/>
      <c r="AG37" s="139"/>
      <c r="AH37" s="139"/>
      <c r="AI37" s="139"/>
    </row>
    <row r="38" spans="1:35" ht="19.5" x14ac:dyDescent="0.25">
      <c r="A38" s="2059">
        <f t="shared" si="8"/>
        <v>42855</v>
      </c>
      <c r="B38" s="1277">
        <f t="shared" si="0"/>
        <v>0</v>
      </c>
      <c r="C38" s="1278"/>
      <c r="D38" s="1279">
        <f t="shared" si="1"/>
        <v>0</v>
      </c>
      <c r="E38" s="1280"/>
      <c r="F38" s="1281"/>
      <c r="G38" s="1280"/>
      <c r="H38" s="1898">
        <f>+H37+E38-G38</f>
        <v>0</v>
      </c>
      <c r="I38" s="1279">
        <f t="shared" si="3"/>
        <v>0</v>
      </c>
      <c r="J38" s="1941"/>
      <c r="K38" s="1942"/>
      <c r="L38" s="1941"/>
      <c r="M38" s="106">
        <f t="shared" si="9"/>
        <v>-24</v>
      </c>
      <c r="N38" s="803">
        <f t="shared" si="7"/>
        <v>0</v>
      </c>
      <c r="O38" s="1284">
        <f t="shared" si="4"/>
        <v>0</v>
      </c>
      <c r="P38" s="1273">
        <f t="shared" si="5"/>
        <v>0</v>
      </c>
      <c r="Q38" s="1284">
        <f t="shared" si="6"/>
        <v>-24</v>
      </c>
      <c r="R38" s="850"/>
      <c r="S38" s="139"/>
      <c r="T38" s="139"/>
      <c r="U38" s="139"/>
      <c r="V38" s="139"/>
      <c r="W38" s="139"/>
      <c r="X38" s="139"/>
      <c r="Y38" s="139"/>
      <c r="Z38" s="139"/>
      <c r="AA38" s="139"/>
      <c r="AB38" s="139"/>
      <c r="AC38" s="139"/>
      <c r="AD38" s="139"/>
      <c r="AE38" s="139"/>
      <c r="AF38" s="139"/>
      <c r="AG38" s="139"/>
      <c r="AH38" s="139"/>
      <c r="AI38" s="139"/>
    </row>
    <row r="39" spans="1:35" ht="21" customHeight="1" x14ac:dyDescent="0.25">
      <c r="A39" s="2059">
        <f>A38+1</f>
        <v>42856</v>
      </c>
      <c r="B39" s="830">
        <f t="shared" si="0"/>
        <v>0</v>
      </c>
      <c r="C39" s="184"/>
      <c r="D39" s="1909">
        <f t="shared" ca="1" si="1"/>
        <v>0</v>
      </c>
      <c r="E39" s="134">
        <f ca="1">+E9:E40</f>
        <v>0</v>
      </c>
      <c r="F39" s="820"/>
      <c r="G39" s="371"/>
      <c r="H39" s="371">
        <f>H38+G38-E38</f>
        <v>0</v>
      </c>
      <c r="I39" s="1909">
        <f t="shared" si="3"/>
        <v>0</v>
      </c>
      <c r="J39" s="134"/>
      <c r="K39" s="134"/>
      <c r="L39" s="134"/>
      <c r="M39" s="106">
        <f t="shared" si="9"/>
        <v>-24</v>
      </c>
      <c r="N39" s="803">
        <f t="shared" ca="1" si="7"/>
        <v>0</v>
      </c>
      <c r="O39" s="173">
        <f t="shared" si="4"/>
        <v>0</v>
      </c>
      <c r="P39" s="184">
        <f t="shared" ca="1" si="5"/>
        <v>0</v>
      </c>
      <c r="Q39" s="173">
        <f t="shared" ca="1" si="6"/>
        <v>-24</v>
      </c>
      <c r="R39" s="139"/>
      <c r="S39" s="850"/>
      <c r="T39" s="139"/>
      <c r="U39" s="139"/>
      <c r="V39" s="139"/>
      <c r="W39" s="139"/>
      <c r="X39" s="139"/>
      <c r="Y39" s="139"/>
      <c r="Z39" s="139"/>
      <c r="AA39" s="139"/>
      <c r="AB39" s="139"/>
      <c r="AC39" s="139"/>
      <c r="AD39" s="139"/>
      <c r="AE39" s="139"/>
      <c r="AF39" s="139"/>
      <c r="AG39" s="139"/>
      <c r="AH39" s="139"/>
      <c r="AI39" s="139"/>
    </row>
    <row r="40" spans="1:35" ht="20.25" hidden="1" customHeight="1" thickBot="1" x14ac:dyDescent="0.3">
      <c r="A40" s="555" t="s">
        <v>18</v>
      </c>
      <c r="B40" s="1899">
        <f>SUM(B9:B39)</f>
        <v>0</v>
      </c>
      <c r="C40" s="1900">
        <f>SUM(C9:C39)</f>
        <v>0</v>
      </c>
      <c r="D40" s="1901">
        <f ca="1">SUM(D9:D39)</f>
        <v>0</v>
      </c>
      <c r="E40" s="1902">
        <f ca="1">SUM(E9:E39)</f>
        <v>0</v>
      </c>
      <c r="F40" s="1903"/>
      <c r="G40" s="1903"/>
      <c r="H40" s="1904">
        <f ca="1">+H8+E40-G40</f>
        <v>0</v>
      </c>
      <c r="I40" s="1901">
        <f>SUM(I9:I39)</f>
        <v>0</v>
      </c>
      <c r="J40" s="1903">
        <f>SUM(J9:J39)</f>
        <v>0</v>
      </c>
      <c r="K40" s="1903"/>
      <c r="L40" s="1903">
        <f>SUM(L9:L39)</f>
        <v>0</v>
      </c>
      <c r="M40" s="1904">
        <f>+M8+J40-L40</f>
        <v>-24</v>
      </c>
      <c r="N40" s="1905">
        <f ca="1">SUM(N9:N39)</f>
        <v>0</v>
      </c>
      <c r="O40" s="1906">
        <f>SUM(O9:O39)</f>
        <v>0</v>
      </c>
      <c r="P40" s="1907">
        <f ca="1">SUM(P8:P39)</f>
        <v>-24</v>
      </c>
      <c r="Q40" s="1907">
        <f ca="1">+H40+M40</f>
        <v>-24</v>
      </c>
      <c r="R40" s="139"/>
      <c r="S40" s="139"/>
      <c r="T40" s="139"/>
      <c r="U40" s="139"/>
      <c r="V40" s="139"/>
      <c r="W40" s="139"/>
      <c r="X40" s="139"/>
      <c r="Y40" s="139"/>
      <c r="Z40" s="139"/>
      <c r="AA40" s="139"/>
      <c r="AB40" s="139"/>
      <c r="AC40" s="139"/>
      <c r="AD40" s="139"/>
      <c r="AE40" s="139"/>
      <c r="AF40" s="139"/>
      <c r="AG40" s="139"/>
      <c r="AH40" s="139"/>
      <c r="AI40" s="139"/>
    </row>
    <row r="41" spans="1:35" s="283" customFormat="1" ht="14.25" hidden="1" customHeight="1" x14ac:dyDescent="0.25">
      <c r="A41" s="1674" t="s">
        <v>932</v>
      </c>
      <c r="F41" s="816"/>
      <c r="H41" s="903"/>
      <c r="K41" s="1046"/>
      <c r="M41" s="1274">
        <f>+M38+438000</f>
        <v>437976</v>
      </c>
      <c r="N41" s="1275"/>
      <c r="O41" s="149"/>
      <c r="P41" s="149"/>
      <c r="Q41" s="720"/>
      <c r="R41" s="149"/>
      <c r="S41" s="149"/>
      <c r="T41" s="149"/>
      <c r="U41" s="149"/>
      <c r="V41" s="149"/>
      <c r="W41" s="149"/>
      <c r="X41" s="149"/>
      <c r="Y41" s="149"/>
      <c r="Z41" s="149"/>
      <c r="AA41" s="149"/>
      <c r="AB41" s="149"/>
      <c r="AC41" s="149"/>
      <c r="AD41" s="149"/>
      <c r="AE41" s="149"/>
      <c r="AF41" s="149"/>
      <c r="AG41" s="149"/>
      <c r="AH41" s="149"/>
      <c r="AI41" s="149"/>
    </row>
    <row r="42" spans="1:35" s="283" customFormat="1" ht="6" hidden="1" customHeight="1" x14ac:dyDescent="0.25">
      <c r="A42" s="911"/>
      <c r="F42" s="816"/>
      <c r="G42" s="283">
        <v>776250</v>
      </c>
      <c r="K42" s="1046"/>
      <c r="N42" s="149"/>
      <c r="O42" s="149"/>
      <c r="P42" s="149"/>
      <c r="Q42" s="149"/>
      <c r="R42" s="149"/>
      <c r="S42" s="149"/>
      <c r="T42" s="149"/>
      <c r="U42" s="149"/>
      <c r="V42" s="149"/>
      <c r="W42" s="149"/>
      <c r="X42" s="149"/>
      <c r="Y42" s="149"/>
      <c r="Z42" s="149"/>
      <c r="AA42" s="149"/>
      <c r="AB42" s="149"/>
      <c r="AC42" s="149"/>
      <c r="AD42" s="149"/>
      <c r="AE42" s="149"/>
      <c r="AF42" s="149"/>
      <c r="AG42" s="149"/>
      <c r="AH42" s="149"/>
      <c r="AI42" s="149"/>
    </row>
    <row r="43" spans="1:35" ht="18" hidden="1" customHeight="1" x14ac:dyDescent="0.25">
      <c r="E43" s="1508"/>
      <c r="F43" s="1040"/>
      <c r="G43" s="218">
        <v>1035000</v>
      </c>
      <c r="H43" s="903"/>
      <c r="I43" s="283"/>
      <c r="J43" s="903"/>
      <c r="K43" s="723"/>
      <c r="L43" s="283"/>
      <c r="M43" s="1497">
        <f>718000+182700+121800</f>
        <v>1022500</v>
      </c>
      <c r="N43" s="903">
        <f>5495141+J40-L40</f>
        <v>5495141</v>
      </c>
    </row>
    <row r="44" spans="1:35" ht="18" hidden="1" customHeight="1" x14ac:dyDescent="0.25">
      <c r="D44" s="1293"/>
      <c r="E44" s="1294"/>
      <c r="F44" s="1294"/>
      <c r="G44" s="1295">
        <v>402550</v>
      </c>
      <c r="I44" s="1293" t="s">
        <v>121</v>
      </c>
      <c r="J44" s="1294" t="s">
        <v>61</v>
      </c>
      <c r="K44" s="1294" t="s">
        <v>122</v>
      </c>
      <c r="L44" s="1295"/>
      <c r="M44" s="903">
        <f>+M39+M43</f>
        <v>1022476</v>
      </c>
      <c r="N44" s="903">
        <f>+N43+H39</f>
        <v>5495141</v>
      </c>
    </row>
    <row r="45" spans="1:35" ht="18" hidden="1" customHeight="1" x14ac:dyDescent="0.25">
      <c r="D45" s="1205"/>
      <c r="E45" s="127"/>
      <c r="F45" s="57"/>
      <c r="G45" s="1296"/>
      <c r="I45" s="1205" t="s">
        <v>15</v>
      </c>
      <c r="J45" s="127"/>
      <c r="K45" s="57"/>
      <c r="L45" s="1296"/>
      <c r="M45" s="903"/>
      <c r="N45" s="283"/>
    </row>
    <row r="46" spans="1:35" ht="18" hidden="1" customHeight="1" x14ac:dyDescent="0.25">
      <c r="D46" s="1205"/>
      <c r="E46" s="113"/>
      <c r="F46" s="57"/>
      <c r="G46" s="1297">
        <f>E46*F46</f>
        <v>0</v>
      </c>
      <c r="I46" s="1205" t="s">
        <v>16</v>
      </c>
      <c r="J46" s="113">
        <f>+I40</f>
        <v>0</v>
      </c>
      <c r="K46" s="57">
        <v>3</v>
      </c>
      <c r="L46" s="1297"/>
      <c r="M46" s="283"/>
      <c r="N46" s="283"/>
    </row>
    <row r="47" spans="1:35" ht="18" hidden="1" customHeight="1" x14ac:dyDescent="0.25">
      <c r="D47" s="1205"/>
      <c r="E47" s="127"/>
      <c r="F47" s="57"/>
      <c r="G47" s="1296">
        <f>E47*F47</f>
        <v>0</v>
      </c>
      <c r="I47" s="1205" t="s">
        <v>17</v>
      </c>
      <c r="J47" s="127"/>
      <c r="K47" s="57"/>
      <c r="L47" s="1296"/>
      <c r="M47" s="283">
        <v>182700</v>
      </c>
      <c r="N47" s="283"/>
    </row>
    <row r="48" spans="1:35" ht="18.75" hidden="1" customHeight="1" thickBot="1" x14ac:dyDescent="0.3">
      <c r="D48" s="2907"/>
      <c r="E48" s="2908"/>
      <c r="F48" s="2909"/>
      <c r="G48" s="1298">
        <f>SUM(G45:G47)</f>
        <v>0</v>
      </c>
      <c r="I48" s="2907" t="s">
        <v>18</v>
      </c>
      <c r="J48" s="2908"/>
      <c r="K48" s="2909"/>
      <c r="L48" s="1298"/>
      <c r="M48" s="283">
        <v>121800</v>
      </c>
      <c r="N48" s="283"/>
    </row>
    <row r="49" spans="1:18" ht="18" hidden="1" customHeight="1" x14ac:dyDescent="0.25">
      <c r="M49" s="283">
        <v>718000</v>
      </c>
      <c r="N49" s="283"/>
    </row>
    <row r="50" spans="1:18" ht="18" hidden="1" customHeight="1" x14ac:dyDescent="0.25">
      <c r="A50" s="38" t="s">
        <v>412</v>
      </c>
      <c r="I50" s="237" t="s">
        <v>934</v>
      </c>
      <c r="J50" s="237"/>
      <c r="K50" s="1681"/>
      <c r="L50" s="1682"/>
      <c r="M50" s="1684">
        <f>401940+30450</f>
        <v>432390</v>
      </c>
      <c r="O50" s="1656"/>
      <c r="Q50" s="218"/>
    </row>
    <row r="51" spans="1:18" ht="18" hidden="1" customHeight="1" x14ac:dyDescent="0.25">
      <c r="H51" s="218"/>
      <c r="I51" s="38" t="s">
        <v>935</v>
      </c>
      <c r="K51" s="1654"/>
      <c r="L51" s="1655"/>
      <c r="M51" s="1684"/>
      <c r="O51" s="283">
        <f>4112922+2705912</f>
        <v>6818834</v>
      </c>
    </row>
    <row r="52" spans="1:18" ht="17.25" hidden="1" customHeight="1" x14ac:dyDescent="0.25">
      <c r="H52" s="218"/>
      <c r="I52" s="1678" t="s">
        <v>936</v>
      </c>
      <c r="J52" s="1678"/>
      <c r="K52" s="1679"/>
      <c r="L52" s="1680"/>
      <c r="M52" s="1683">
        <f>+M39+M50-M51</f>
        <v>432366</v>
      </c>
      <c r="N52" s="218"/>
      <c r="O52" s="1656"/>
      <c r="R52" s="218"/>
    </row>
    <row r="53" spans="1:18" ht="19.5" hidden="1" customHeight="1" x14ac:dyDescent="0.25">
      <c r="K53" s="1654"/>
      <c r="L53" s="1655"/>
      <c r="M53" s="218"/>
      <c r="O53" s="1656"/>
    </row>
    <row r="54" spans="1:18" ht="18" hidden="1" customHeight="1" x14ac:dyDescent="0.25">
      <c r="H54" s="218"/>
      <c r="K54" s="1654"/>
      <c r="L54" s="634"/>
      <c r="M54" s="218"/>
      <c r="O54" s="1656"/>
    </row>
    <row r="55" spans="1:18" hidden="1" x14ac:dyDescent="0.25">
      <c r="G55" s="1686"/>
      <c r="K55" s="1654"/>
      <c r="L55" s="1655"/>
      <c r="O55" s="1656"/>
    </row>
    <row r="56" spans="1:18" hidden="1" x14ac:dyDescent="0.25">
      <c r="K56" s="1654"/>
      <c r="L56" s="1655"/>
    </row>
    <row r="57" spans="1:18" hidden="1" x14ac:dyDescent="0.25">
      <c r="H57" s="218"/>
      <c r="K57" s="1654"/>
      <c r="L57" s="1655"/>
    </row>
    <row r="58" spans="1:18" hidden="1" x14ac:dyDescent="0.25">
      <c r="K58" s="1654"/>
      <c r="L58" s="1655"/>
      <c r="P58" s="218"/>
    </row>
    <row r="59" spans="1:18" hidden="1" x14ac:dyDescent="0.25">
      <c r="K59" s="1654"/>
      <c r="L59" s="1655"/>
      <c r="P59" s="1677"/>
      <c r="Q59" s="218"/>
    </row>
    <row r="60" spans="1:18" hidden="1" x14ac:dyDescent="0.25">
      <c r="Q60" s="218"/>
    </row>
    <row r="61" spans="1:18" hidden="1" x14ac:dyDescent="0.25">
      <c r="Q61" s="218"/>
    </row>
    <row r="62" spans="1:18" hidden="1" x14ac:dyDescent="0.25"/>
    <row r="63" spans="1:18" hidden="1" x14ac:dyDescent="0.25"/>
    <row r="64" spans="1:18"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spans="1:17" hidden="1" x14ac:dyDescent="0.25"/>
    <row r="578" spans="1:17" hidden="1" x14ac:dyDescent="0.25"/>
    <row r="579" spans="1:17" hidden="1" x14ac:dyDescent="0.25"/>
    <row r="580" spans="1:17" hidden="1" x14ac:dyDescent="0.25"/>
    <row r="581" spans="1:17" hidden="1" x14ac:dyDescent="0.25"/>
    <row r="582" spans="1:17" hidden="1" x14ac:dyDescent="0.25"/>
    <row r="583" spans="1:17" hidden="1" x14ac:dyDescent="0.25"/>
    <row r="584" spans="1:17" x14ac:dyDescent="0.25">
      <c r="A584" s="1910" t="s">
        <v>18</v>
      </c>
      <c r="B584" s="1911">
        <f>SUM(B9:B583)</f>
        <v>0</v>
      </c>
      <c r="C584" s="1911">
        <f>SUM(C9:C583)</f>
        <v>0</v>
      </c>
      <c r="D584" s="1912">
        <f>SUM(D9:D38)</f>
        <v>0</v>
      </c>
      <c r="E584" s="1912">
        <f>SUM(E9:E38)</f>
        <v>0</v>
      </c>
      <c r="F584" s="1911">
        <f>SUM(F9:F38)</f>
        <v>0</v>
      </c>
      <c r="G584" s="1913">
        <f>SUM(G9:G38)</f>
        <v>0</v>
      </c>
      <c r="H584" s="1914">
        <f>H8+E584-G584</f>
        <v>0</v>
      </c>
      <c r="I584" s="1913">
        <f>SUM(I9:I39)</f>
        <v>0</v>
      </c>
      <c r="J584" s="1913">
        <f>SUM(J9:J39)</f>
        <v>0</v>
      </c>
      <c r="K584" s="1913">
        <f>SUM(K9:K39)</f>
        <v>0</v>
      </c>
      <c r="L584" s="1913">
        <f>SUM(L9:L39)</f>
        <v>0</v>
      </c>
      <c r="M584" s="106">
        <f>+M8+J584-L584</f>
        <v>-24</v>
      </c>
      <c r="N584" s="1913">
        <f ca="1">SUM(N9:N39)</f>
        <v>0</v>
      </c>
      <c r="O584" s="1910"/>
      <c r="P584" s="1910"/>
      <c r="Q584" s="1916" t="s">
        <v>1043</v>
      </c>
    </row>
    <row r="586" spans="1:17" x14ac:dyDescent="0.25">
      <c r="K586" s="2004"/>
      <c r="L586" s="218"/>
      <c r="M586" s="38">
        <f>11500+2661875-3000000</f>
        <v>-326625</v>
      </c>
    </row>
    <row r="587" spans="1:17" x14ac:dyDescent="0.25">
      <c r="L587" s="218"/>
      <c r="M587" s="218"/>
    </row>
    <row r="588" spans="1:17" x14ac:dyDescent="0.25">
      <c r="M588" s="218">
        <f>+M39-2030000</f>
        <v>-2030024</v>
      </c>
    </row>
    <row r="589" spans="1:17" x14ac:dyDescent="0.25">
      <c r="I589" s="218"/>
    </row>
  </sheetData>
  <autoFilter ref="A3:Q41">
    <filterColumn colId="6">
      <filters blank="1"/>
    </filterColumn>
  </autoFilter>
  <mergeCells count="12">
    <mergeCell ref="D4:H4"/>
    <mergeCell ref="I4:M4"/>
    <mergeCell ref="D6:E6"/>
    <mergeCell ref="I6:J6"/>
    <mergeCell ref="N6:N7"/>
    <mergeCell ref="P6:P7"/>
    <mergeCell ref="Q6:Q7"/>
    <mergeCell ref="D7:E7"/>
    <mergeCell ref="I7:J7"/>
    <mergeCell ref="D48:F48"/>
    <mergeCell ref="I48:K48"/>
    <mergeCell ref="O6:O7"/>
  </mergeCells>
  <printOptions horizontalCentered="1"/>
  <pageMargins left="0.19685039370078741" right="0.19685039370078741" top="0.39370078740157483" bottom="0.39370078740157483" header="0.31496062992125984" footer="0.31496062992125984"/>
  <pageSetup paperSize="9" scale="10" orientation="portrait"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1">
    <tabColor theme="4" tint="-0.249977111117893"/>
    <pageSetUpPr fitToPage="1"/>
  </sheetPr>
  <dimension ref="A2:S48"/>
  <sheetViews>
    <sheetView zoomScaleNormal="100" workbookViewId="0">
      <selection activeCell="A10" sqref="A10"/>
    </sheetView>
  </sheetViews>
  <sheetFormatPr baseColWidth="10" defaultColWidth="14" defaultRowHeight="15" x14ac:dyDescent="0.2"/>
  <cols>
    <col min="1" max="2" width="14" style="37"/>
    <col min="3" max="3" width="17.28515625" style="37" customWidth="1"/>
    <col min="4" max="4" width="14" style="37"/>
    <col min="5" max="5" width="17" style="37" customWidth="1"/>
    <col min="6" max="10" width="14" style="37"/>
    <col min="11" max="11" width="17.42578125" style="37" customWidth="1"/>
    <col min="12" max="12" width="18.28515625" style="37" customWidth="1"/>
    <col min="13" max="13" width="16.7109375" style="37" customWidth="1"/>
    <col min="14" max="14" width="15.5703125" style="37" customWidth="1"/>
    <col min="15" max="15" width="16.5703125" style="37" customWidth="1"/>
    <col min="16" max="16" width="19.28515625" style="37" customWidth="1"/>
    <col min="17" max="16384" width="14" style="37"/>
  </cols>
  <sheetData>
    <row r="2" spans="1:16" ht="21" x14ac:dyDescent="0.35">
      <c r="A2" s="1" t="s">
        <v>118</v>
      </c>
      <c r="B2" s="52" t="s">
        <v>937</v>
      </c>
    </row>
    <row r="3" spans="1:16" ht="15.75" x14ac:dyDescent="0.25">
      <c r="C3" s="99"/>
    </row>
    <row r="4" spans="1:16" ht="18.75" x14ac:dyDescent="0.3">
      <c r="A4" s="1" t="s">
        <v>19</v>
      </c>
      <c r="B4" s="142">
        <v>43221</v>
      </c>
      <c r="C4" s="1"/>
    </row>
    <row r="5" spans="1:16" ht="16.5" x14ac:dyDescent="0.3">
      <c r="A5" s="1"/>
      <c r="B5" s="1"/>
      <c r="C5" s="1"/>
    </row>
    <row r="6" spans="1:16" ht="16.5" x14ac:dyDescent="0.2">
      <c r="A6" s="100" t="s">
        <v>3</v>
      </c>
      <c r="B6" s="1687" t="s">
        <v>15</v>
      </c>
      <c r="C6" s="1688"/>
      <c r="D6" s="1687" t="s">
        <v>16</v>
      </c>
      <c r="E6" s="1688"/>
      <c r="F6" s="1687" t="s">
        <v>17</v>
      </c>
      <c r="G6" s="1688"/>
      <c r="H6" s="2910" t="s">
        <v>52</v>
      </c>
      <c r="I6" s="2910" t="s">
        <v>53</v>
      </c>
      <c r="J6" s="2910" t="s">
        <v>119</v>
      </c>
      <c r="K6" s="2910" t="s">
        <v>18</v>
      </c>
      <c r="L6" s="3062" t="s">
        <v>416</v>
      </c>
      <c r="M6" s="2910" t="s">
        <v>60</v>
      </c>
      <c r="N6" s="2910" t="s">
        <v>55</v>
      </c>
      <c r="O6" s="2910" t="s">
        <v>120</v>
      </c>
    </row>
    <row r="7" spans="1:16" ht="21" x14ac:dyDescent="0.2">
      <c r="A7" s="103"/>
      <c r="B7" s="915">
        <v>630</v>
      </c>
      <c r="C7" s="916"/>
      <c r="D7" s="915">
        <v>575</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v>72385039</v>
      </c>
      <c r="O8" s="118">
        <f>N8</f>
        <v>72385039</v>
      </c>
      <c r="P8" s="1731"/>
    </row>
    <row r="9" spans="1:16" s="94" customFormat="1" ht="16.5" x14ac:dyDescent="0.3">
      <c r="A9" s="110">
        <v>44044</v>
      </c>
      <c r="B9" s="118">
        <f>C9/B$7</f>
        <v>0</v>
      </c>
      <c r="C9" s="189"/>
      <c r="D9" s="118">
        <f>+E9/D$7</f>
        <v>0</v>
      </c>
      <c r="E9" s="189"/>
      <c r="F9" s="117">
        <f>+G9/F$7</f>
        <v>0</v>
      </c>
      <c r="G9" s="118"/>
      <c r="H9" s="118"/>
      <c r="I9" s="118"/>
      <c r="J9" s="118"/>
      <c r="K9" s="134">
        <f>C9+E9+G9+H9+I9+J9</f>
        <v>0</v>
      </c>
      <c r="L9" s="134"/>
      <c r="M9" s="86"/>
      <c r="N9" s="118">
        <f>K9-M9</f>
        <v>0</v>
      </c>
      <c r="O9" s="118">
        <f>+O8+K9-M9</f>
        <v>72385039</v>
      </c>
      <c r="P9" s="1558"/>
    </row>
    <row r="10" spans="1:16" s="94" customFormat="1" ht="16.5" x14ac:dyDescent="0.3">
      <c r="A10" s="110">
        <f>+A9+1</f>
        <v>44045</v>
      </c>
      <c r="B10" s="118">
        <f t="shared" ref="B10:B39" si="0">C10/B$7</f>
        <v>0</v>
      </c>
      <c r="C10" s="189"/>
      <c r="D10" s="118">
        <f t="shared" ref="D10:D39" si="1">+E10/D$7</f>
        <v>0</v>
      </c>
      <c r="E10" s="189"/>
      <c r="F10" s="117">
        <f>+G10/F$7</f>
        <v>0</v>
      </c>
      <c r="G10" s="118"/>
      <c r="H10" s="118"/>
      <c r="I10" s="118"/>
      <c r="J10" s="118"/>
      <c r="K10" s="134">
        <f t="shared" ref="K10:K39" si="2">C10+E10+G10+H10+I10+J10</f>
        <v>0</v>
      </c>
      <c r="L10" s="134"/>
      <c r="M10" s="86"/>
      <c r="N10" s="118">
        <f t="shared" ref="N10:N37" si="3">K10-M10</f>
        <v>0</v>
      </c>
      <c r="O10" s="118">
        <f t="shared" ref="O10:O37" si="4">+O9+K10-M10</f>
        <v>72385039</v>
      </c>
      <c r="P10" s="1558"/>
    </row>
    <row r="11" spans="1:16" s="94" customFormat="1" ht="16.5" x14ac:dyDescent="0.3">
      <c r="A11" s="110">
        <f t="shared" ref="A11:A39" si="5">+A10+1</f>
        <v>44046</v>
      </c>
      <c r="B11" s="118">
        <f t="shared" si="0"/>
        <v>0</v>
      </c>
      <c r="C11" s="86"/>
      <c r="D11" s="118">
        <f t="shared" si="1"/>
        <v>0</v>
      </c>
      <c r="E11" s="189"/>
      <c r="F11" s="117">
        <f t="shared" ref="F11:F39" si="6">+G11/F$7</f>
        <v>0</v>
      </c>
      <c r="G11" s="118"/>
      <c r="H11" s="118"/>
      <c r="I11" s="118"/>
      <c r="J11" s="118"/>
      <c r="K11" s="134">
        <f t="shared" si="2"/>
        <v>0</v>
      </c>
      <c r="L11" s="831"/>
      <c r="M11" s="86"/>
      <c r="N11" s="118">
        <f t="shared" si="3"/>
        <v>0</v>
      </c>
      <c r="O11" s="118">
        <f t="shared" si="4"/>
        <v>72385039</v>
      </c>
      <c r="P11" s="1558"/>
    </row>
    <row r="12" spans="1:16" s="94" customFormat="1" ht="16.5" x14ac:dyDescent="0.3">
      <c r="A12" s="110">
        <f t="shared" si="5"/>
        <v>44047</v>
      </c>
      <c r="B12" s="118">
        <f t="shared" si="0"/>
        <v>0</v>
      </c>
      <c r="C12" s="86"/>
      <c r="D12" s="118">
        <f t="shared" si="1"/>
        <v>0</v>
      </c>
      <c r="E12" s="189"/>
      <c r="F12" s="117">
        <f t="shared" si="6"/>
        <v>0</v>
      </c>
      <c r="G12" s="118"/>
      <c r="H12" s="118"/>
      <c r="I12" s="118"/>
      <c r="J12" s="118"/>
      <c r="K12" s="134">
        <f t="shared" si="2"/>
        <v>0</v>
      </c>
      <c r="L12" s="134"/>
      <c r="M12" s="86"/>
      <c r="N12" s="118">
        <f t="shared" si="3"/>
        <v>0</v>
      </c>
      <c r="O12" s="118">
        <f t="shared" si="4"/>
        <v>72385039</v>
      </c>
      <c r="P12" s="1558"/>
    </row>
    <row r="13" spans="1:16" s="94" customFormat="1" ht="16.5" x14ac:dyDescent="0.3">
      <c r="A13" s="110">
        <f t="shared" si="5"/>
        <v>44048</v>
      </c>
      <c r="B13" s="118">
        <f t="shared" si="0"/>
        <v>0</v>
      </c>
      <c r="C13" s="189"/>
      <c r="D13" s="118">
        <f t="shared" si="1"/>
        <v>0</v>
      </c>
      <c r="E13" s="189"/>
      <c r="F13" s="117">
        <f t="shared" si="6"/>
        <v>0</v>
      </c>
      <c r="G13" s="118"/>
      <c r="H13" s="118"/>
      <c r="I13" s="118"/>
      <c r="J13" s="118"/>
      <c r="K13" s="134">
        <f t="shared" si="2"/>
        <v>0</v>
      </c>
      <c r="L13" s="134"/>
      <c r="M13" s="86"/>
      <c r="N13" s="118">
        <f t="shared" si="3"/>
        <v>0</v>
      </c>
      <c r="O13" s="118">
        <f t="shared" si="4"/>
        <v>72385039</v>
      </c>
      <c r="P13" s="1558"/>
    </row>
    <row r="14" spans="1:16" s="94" customFormat="1" ht="16.5" x14ac:dyDescent="0.3">
      <c r="A14" s="110">
        <f t="shared" si="5"/>
        <v>44049</v>
      </c>
      <c r="B14" s="118">
        <f t="shared" si="0"/>
        <v>0</v>
      </c>
      <c r="C14" s="86"/>
      <c r="D14" s="118">
        <f t="shared" si="1"/>
        <v>0</v>
      </c>
      <c r="E14" s="189"/>
      <c r="F14" s="117">
        <f t="shared" si="6"/>
        <v>0</v>
      </c>
      <c r="G14" s="118"/>
      <c r="H14" s="118"/>
      <c r="I14" s="118"/>
      <c r="J14" s="118"/>
      <c r="K14" s="134">
        <f t="shared" si="2"/>
        <v>0</v>
      </c>
      <c r="L14" s="134"/>
      <c r="M14" s="86"/>
      <c r="N14" s="118">
        <f t="shared" si="3"/>
        <v>0</v>
      </c>
      <c r="O14" s="118">
        <f t="shared" si="4"/>
        <v>72385039</v>
      </c>
      <c r="P14" s="1558"/>
    </row>
    <row r="15" spans="1:16" s="94" customFormat="1" ht="16.5" x14ac:dyDescent="0.3">
      <c r="A15" s="110">
        <f t="shared" si="5"/>
        <v>44050</v>
      </c>
      <c r="B15" s="118">
        <f t="shared" si="0"/>
        <v>0</v>
      </c>
      <c r="C15" s="86"/>
      <c r="D15" s="118">
        <f t="shared" si="1"/>
        <v>0</v>
      </c>
      <c r="E15" s="189"/>
      <c r="F15" s="117">
        <f t="shared" si="6"/>
        <v>0</v>
      </c>
      <c r="G15" s="118"/>
      <c r="H15" s="118"/>
      <c r="I15" s="118"/>
      <c r="J15" s="118"/>
      <c r="K15" s="134">
        <f t="shared" si="2"/>
        <v>0</v>
      </c>
      <c r="L15" s="134"/>
      <c r="M15" s="86"/>
      <c r="N15" s="118">
        <f t="shared" si="3"/>
        <v>0</v>
      </c>
      <c r="O15" s="118">
        <f t="shared" si="4"/>
        <v>72385039</v>
      </c>
      <c r="P15" s="1558"/>
    </row>
    <row r="16" spans="1:16" s="94" customFormat="1" ht="16.5" x14ac:dyDescent="0.3">
      <c r="A16" s="110">
        <f t="shared" si="5"/>
        <v>44051</v>
      </c>
      <c r="B16" s="118">
        <f t="shared" si="0"/>
        <v>0</v>
      </c>
      <c r="C16" s="86"/>
      <c r="D16" s="118">
        <f t="shared" si="1"/>
        <v>0</v>
      </c>
      <c r="E16" s="189"/>
      <c r="F16" s="117">
        <f t="shared" si="6"/>
        <v>0</v>
      </c>
      <c r="G16" s="118"/>
      <c r="H16" s="118"/>
      <c r="I16" s="118"/>
      <c r="J16" s="118"/>
      <c r="K16" s="134">
        <f t="shared" si="2"/>
        <v>0</v>
      </c>
      <c r="L16" s="134"/>
      <c r="M16" s="86"/>
      <c r="N16" s="118">
        <f t="shared" si="3"/>
        <v>0</v>
      </c>
      <c r="O16" s="118">
        <f t="shared" si="4"/>
        <v>72385039</v>
      </c>
      <c r="P16" s="1558"/>
    </row>
    <row r="17" spans="1:17" s="94" customFormat="1" ht="16.5" x14ac:dyDescent="0.3">
      <c r="A17" s="110">
        <f t="shared" si="5"/>
        <v>44052</v>
      </c>
      <c r="B17" s="118">
        <f t="shared" si="0"/>
        <v>0</v>
      </c>
      <c r="C17" s="86"/>
      <c r="D17" s="118">
        <f t="shared" si="1"/>
        <v>0</v>
      </c>
      <c r="E17" s="189"/>
      <c r="F17" s="117">
        <f t="shared" si="6"/>
        <v>0</v>
      </c>
      <c r="G17" s="118"/>
      <c r="H17" s="118"/>
      <c r="I17" s="118"/>
      <c r="J17" s="118"/>
      <c r="K17" s="134">
        <f t="shared" si="2"/>
        <v>0</v>
      </c>
      <c r="L17" s="134"/>
      <c r="M17" s="86"/>
      <c r="N17" s="118">
        <f t="shared" si="3"/>
        <v>0</v>
      </c>
      <c r="O17" s="118">
        <f t="shared" si="4"/>
        <v>72385039</v>
      </c>
      <c r="P17" s="1558"/>
    </row>
    <row r="18" spans="1:17" s="94" customFormat="1" ht="16.5" x14ac:dyDescent="0.3">
      <c r="A18" s="110">
        <f t="shared" si="5"/>
        <v>44053</v>
      </c>
      <c r="B18" s="118">
        <f t="shared" si="0"/>
        <v>0</v>
      </c>
      <c r="C18" s="86"/>
      <c r="D18" s="118">
        <f t="shared" si="1"/>
        <v>0</v>
      </c>
      <c r="E18" s="189"/>
      <c r="F18" s="117">
        <f t="shared" si="6"/>
        <v>0</v>
      </c>
      <c r="G18" s="118"/>
      <c r="H18" s="118"/>
      <c r="I18" s="118"/>
      <c r="J18" s="118"/>
      <c r="K18" s="134">
        <f t="shared" si="2"/>
        <v>0</v>
      </c>
      <c r="L18" s="134"/>
      <c r="M18" s="86"/>
      <c r="N18" s="118">
        <f t="shared" si="3"/>
        <v>0</v>
      </c>
      <c r="O18" s="118">
        <f t="shared" si="4"/>
        <v>72385039</v>
      </c>
      <c r="P18" s="1558"/>
    </row>
    <row r="19" spans="1:17" s="94" customFormat="1" ht="16.5" x14ac:dyDescent="0.3">
      <c r="A19" s="110">
        <f t="shared" si="5"/>
        <v>44054</v>
      </c>
      <c r="B19" s="118">
        <f t="shared" si="0"/>
        <v>0</v>
      </c>
      <c r="C19" s="86"/>
      <c r="D19" s="118">
        <f t="shared" si="1"/>
        <v>0</v>
      </c>
      <c r="E19" s="189"/>
      <c r="F19" s="117">
        <f t="shared" si="6"/>
        <v>0</v>
      </c>
      <c r="G19" s="118"/>
      <c r="H19" s="118"/>
      <c r="I19" s="118"/>
      <c r="J19" s="118"/>
      <c r="K19" s="134">
        <f t="shared" si="2"/>
        <v>0</v>
      </c>
      <c r="L19" s="134"/>
      <c r="M19" s="86"/>
      <c r="N19" s="118">
        <f t="shared" si="3"/>
        <v>0</v>
      </c>
      <c r="O19" s="118">
        <f t="shared" si="4"/>
        <v>72385039</v>
      </c>
      <c r="P19" s="1558"/>
    </row>
    <row r="20" spans="1:17" s="94" customFormat="1" ht="16.5" x14ac:dyDescent="0.3">
      <c r="A20" s="110">
        <f t="shared" si="5"/>
        <v>44055</v>
      </c>
      <c r="B20" s="118">
        <f t="shared" si="0"/>
        <v>0</v>
      </c>
      <c r="C20" s="86"/>
      <c r="D20" s="118">
        <f t="shared" si="1"/>
        <v>0</v>
      </c>
      <c r="E20" s="189"/>
      <c r="F20" s="117">
        <f t="shared" si="6"/>
        <v>0</v>
      </c>
      <c r="G20" s="118"/>
      <c r="H20" s="118"/>
      <c r="I20" s="118"/>
      <c r="J20" s="118"/>
      <c r="K20" s="134">
        <f t="shared" si="2"/>
        <v>0</v>
      </c>
      <c r="L20" s="134"/>
      <c r="M20" s="86"/>
      <c r="N20" s="118">
        <f t="shared" si="3"/>
        <v>0</v>
      </c>
      <c r="O20" s="118">
        <f>+O19+K20-M20</f>
        <v>72385039</v>
      </c>
      <c r="P20" s="1558">
        <f>Q20-D20</f>
        <v>6550</v>
      </c>
      <c r="Q20" s="94">
        <f>2280+1900+2370</f>
        <v>6550</v>
      </c>
    </row>
    <row r="21" spans="1:17" s="94" customFormat="1" ht="16.5" x14ac:dyDescent="0.3">
      <c r="A21" s="110">
        <f t="shared" si="5"/>
        <v>44056</v>
      </c>
      <c r="B21" s="118">
        <f t="shared" si="0"/>
        <v>0</v>
      </c>
      <c r="C21" s="86"/>
      <c r="D21" s="118">
        <f t="shared" si="1"/>
        <v>0</v>
      </c>
      <c r="E21" s="189"/>
      <c r="F21" s="117">
        <f t="shared" si="6"/>
        <v>0</v>
      </c>
      <c r="G21" s="118"/>
      <c r="H21" s="118"/>
      <c r="I21" s="118"/>
      <c r="J21" s="118"/>
      <c r="K21" s="134">
        <f t="shared" si="2"/>
        <v>0</v>
      </c>
      <c r="L21" s="134"/>
      <c r="M21" s="86"/>
      <c r="N21" s="118">
        <f t="shared" si="3"/>
        <v>0</v>
      </c>
      <c r="O21" s="118">
        <f t="shared" si="4"/>
        <v>72385039</v>
      </c>
      <c r="P21" s="1558">
        <f t="shared" ref="P21:P38" si="7">Q21-D21</f>
        <v>0</v>
      </c>
    </row>
    <row r="22" spans="1:17" s="94" customFormat="1" ht="16.5" x14ac:dyDescent="0.3">
      <c r="A22" s="110">
        <f t="shared" si="5"/>
        <v>44057</v>
      </c>
      <c r="B22" s="118">
        <f t="shared" si="0"/>
        <v>0</v>
      </c>
      <c r="C22" s="86"/>
      <c r="D22" s="118">
        <f t="shared" si="1"/>
        <v>0</v>
      </c>
      <c r="E22" s="189"/>
      <c r="F22" s="117">
        <f t="shared" si="6"/>
        <v>0</v>
      </c>
      <c r="G22" s="118"/>
      <c r="H22" s="118"/>
      <c r="I22" s="118"/>
      <c r="J22" s="118"/>
      <c r="K22" s="134">
        <f t="shared" si="2"/>
        <v>0</v>
      </c>
      <c r="L22" s="134"/>
      <c r="M22" s="86"/>
      <c r="N22" s="118">
        <f t="shared" si="3"/>
        <v>0</v>
      </c>
      <c r="O22" s="118">
        <f t="shared" si="4"/>
        <v>72385039</v>
      </c>
      <c r="P22" s="1558">
        <f t="shared" si="7"/>
        <v>0</v>
      </c>
    </row>
    <row r="23" spans="1:17" s="94" customFormat="1" ht="16.5" x14ac:dyDescent="0.3">
      <c r="A23" s="110">
        <f t="shared" si="5"/>
        <v>44058</v>
      </c>
      <c r="B23" s="118">
        <f t="shared" si="0"/>
        <v>0</v>
      </c>
      <c r="C23" s="86"/>
      <c r="D23" s="118">
        <f t="shared" si="1"/>
        <v>0</v>
      </c>
      <c r="E23" s="189"/>
      <c r="F23" s="117">
        <f t="shared" si="6"/>
        <v>0</v>
      </c>
      <c r="G23" s="118"/>
      <c r="H23" s="118"/>
      <c r="I23" s="118"/>
      <c r="J23" s="118"/>
      <c r="K23" s="134">
        <f t="shared" si="2"/>
        <v>0</v>
      </c>
      <c r="L23" s="134"/>
      <c r="M23" s="86"/>
      <c r="N23" s="118">
        <f t="shared" si="3"/>
        <v>0</v>
      </c>
      <c r="O23" s="118">
        <f t="shared" si="4"/>
        <v>72385039</v>
      </c>
      <c r="P23" s="1558">
        <f t="shared" si="7"/>
        <v>0</v>
      </c>
    </row>
    <row r="24" spans="1:17" s="94" customFormat="1" ht="16.5" x14ac:dyDescent="0.3">
      <c r="A24" s="110">
        <f t="shared" si="5"/>
        <v>44059</v>
      </c>
      <c r="B24" s="118">
        <f t="shared" si="0"/>
        <v>0</v>
      </c>
      <c r="C24" s="86"/>
      <c r="D24" s="118">
        <f t="shared" si="1"/>
        <v>0</v>
      </c>
      <c r="E24" s="189"/>
      <c r="F24" s="117">
        <f t="shared" si="6"/>
        <v>0</v>
      </c>
      <c r="G24" s="118"/>
      <c r="H24" s="118"/>
      <c r="I24" s="118"/>
      <c r="J24" s="118"/>
      <c r="K24" s="134">
        <f t="shared" si="2"/>
        <v>0</v>
      </c>
      <c r="L24" s="134"/>
      <c r="M24" s="86"/>
      <c r="N24" s="118">
        <f t="shared" si="3"/>
        <v>0</v>
      </c>
      <c r="O24" s="118">
        <f t="shared" si="4"/>
        <v>72385039</v>
      </c>
      <c r="P24" s="1558">
        <f t="shared" si="7"/>
        <v>0</v>
      </c>
    </row>
    <row r="25" spans="1:17" s="94" customFormat="1" ht="16.5" x14ac:dyDescent="0.3">
      <c r="A25" s="110">
        <f t="shared" si="5"/>
        <v>44060</v>
      </c>
      <c r="B25" s="118">
        <f t="shared" si="0"/>
        <v>0</v>
      </c>
      <c r="C25" s="86"/>
      <c r="D25" s="118">
        <f t="shared" si="1"/>
        <v>0</v>
      </c>
      <c r="E25" s="189"/>
      <c r="F25" s="117">
        <f t="shared" si="6"/>
        <v>0</v>
      </c>
      <c r="G25" s="118"/>
      <c r="H25" s="118"/>
      <c r="I25" s="118"/>
      <c r="J25" s="118"/>
      <c r="K25" s="134">
        <f t="shared" si="2"/>
        <v>0</v>
      </c>
      <c r="L25" s="134"/>
      <c r="M25" s="86"/>
      <c r="N25" s="118">
        <f t="shared" si="3"/>
        <v>0</v>
      </c>
      <c r="O25" s="118">
        <f t="shared" si="4"/>
        <v>72385039</v>
      </c>
      <c r="P25" s="1558">
        <f t="shared" si="7"/>
        <v>0</v>
      </c>
    </row>
    <row r="26" spans="1:17" s="94" customFormat="1" ht="16.5" x14ac:dyDescent="0.3">
      <c r="A26" s="110">
        <f t="shared" si="5"/>
        <v>44061</v>
      </c>
      <c r="B26" s="118">
        <f t="shared" si="0"/>
        <v>0</v>
      </c>
      <c r="C26" s="86"/>
      <c r="D26" s="118">
        <f t="shared" si="1"/>
        <v>0</v>
      </c>
      <c r="E26" s="189"/>
      <c r="F26" s="117">
        <f t="shared" si="6"/>
        <v>0</v>
      </c>
      <c r="G26" s="118"/>
      <c r="H26" s="118"/>
      <c r="I26" s="118"/>
      <c r="J26" s="118"/>
      <c r="K26" s="134">
        <f t="shared" si="2"/>
        <v>0</v>
      </c>
      <c r="L26" s="134"/>
      <c r="M26" s="86"/>
      <c r="N26" s="118">
        <f t="shared" si="3"/>
        <v>0</v>
      </c>
      <c r="O26" s="118">
        <f t="shared" si="4"/>
        <v>72385039</v>
      </c>
      <c r="P26" s="1558">
        <f t="shared" si="7"/>
        <v>0</v>
      </c>
    </row>
    <row r="27" spans="1:17" ht="16.5" x14ac:dyDescent="0.3">
      <c r="A27" s="110">
        <f t="shared" si="5"/>
        <v>44062</v>
      </c>
      <c r="B27" s="118">
        <f t="shared" si="0"/>
        <v>0</v>
      </c>
      <c r="C27" s="86"/>
      <c r="D27" s="114">
        <f t="shared" si="1"/>
        <v>0</v>
      </c>
      <c r="E27" s="189"/>
      <c r="F27" s="117">
        <f t="shared" si="6"/>
        <v>0</v>
      </c>
      <c r="G27" s="118"/>
      <c r="H27" s="118"/>
      <c r="I27" s="118"/>
      <c r="J27" s="118"/>
      <c r="K27" s="134">
        <f t="shared" si="2"/>
        <v>0</v>
      </c>
      <c r="L27" s="115"/>
      <c r="M27" s="86"/>
      <c r="N27" s="118">
        <f t="shared" si="3"/>
        <v>0</v>
      </c>
      <c r="O27" s="118">
        <f t="shared" si="4"/>
        <v>72385039</v>
      </c>
      <c r="P27" s="1558">
        <f t="shared" si="7"/>
        <v>0</v>
      </c>
    </row>
    <row r="28" spans="1:17" ht="16.5" x14ac:dyDescent="0.3">
      <c r="A28" s="110">
        <f t="shared" si="5"/>
        <v>44063</v>
      </c>
      <c r="B28" s="118">
        <f t="shared" si="0"/>
        <v>0</v>
      </c>
      <c r="C28" s="86"/>
      <c r="D28" s="114">
        <f t="shared" si="1"/>
        <v>0</v>
      </c>
      <c r="E28" s="189"/>
      <c r="F28" s="117">
        <f t="shared" si="6"/>
        <v>0</v>
      </c>
      <c r="G28" s="118"/>
      <c r="H28" s="118"/>
      <c r="I28" s="118"/>
      <c r="J28" s="118"/>
      <c r="K28" s="134">
        <f t="shared" si="2"/>
        <v>0</v>
      </c>
      <c r="L28" s="115"/>
      <c r="M28" s="86"/>
      <c r="N28" s="118">
        <f t="shared" si="3"/>
        <v>0</v>
      </c>
      <c r="O28" s="118">
        <f t="shared" si="4"/>
        <v>72385039</v>
      </c>
      <c r="P28" s="1558">
        <f t="shared" si="7"/>
        <v>0</v>
      </c>
    </row>
    <row r="29" spans="1:17" ht="16.5" x14ac:dyDescent="0.3">
      <c r="A29" s="110">
        <f t="shared" si="5"/>
        <v>44064</v>
      </c>
      <c r="B29" s="118">
        <f t="shared" si="0"/>
        <v>0</v>
      </c>
      <c r="C29" s="86"/>
      <c r="D29" s="114">
        <f t="shared" si="1"/>
        <v>0</v>
      </c>
      <c r="E29" s="189"/>
      <c r="F29" s="117">
        <f t="shared" si="6"/>
        <v>0</v>
      </c>
      <c r="G29" s="118"/>
      <c r="H29" s="118"/>
      <c r="I29" s="118"/>
      <c r="J29" s="118"/>
      <c r="K29" s="134">
        <f t="shared" si="2"/>
        <v>0</v>
      </c>
      <c r="L29" s="115"/>
      <c r="M29" s="86"/>
      <c r="N29" s="118">
        <f t="shared" si="3"/>
        <v>0</v>
      </c>
      <c r="O29" s="118">
        <f t="shared" si="4"/>
        <v>72385039</v>
      </c>
      <c r="P29" s="1558">
        <f t="shared" si="7"/>
        <v>0</v>
      </c>
    </row>
    <row r="30" spans="1:17" ht="16.5" x14ac:dyDescent="0.3">
      <c r="A30" s="110">
        <f t="shared" si="5"/>
        <v>44065</v>
      </c>
      <c r="B30" s="118">
        <f t="shared" si="0"/>
        <v>0</v>
      </c>
      <c r="C30" s="86"/>
      <c r="D30" s="114">
        <f t="shared" si="1"/>
        <v>0</v>
      </c>
      <c r="E30" s="189"/>
      <c r="F30" s="117">
        <f t="shared" si="6"/>
        <v>0</v>
      </c>
      <c r="G30" s="118"/>
      <c r="H30" s="118"/>
      <c r="I30" s="118"/>
      <c r="J30" s="118"/>
      <c r="K30" s="134">
        <f t="shared" si="2"/>
        <v>0</v>
      </c>
      <c r="L30" s="115"/>
      <c r="M30" s="86"/>
      <c r="N30" s="118">
        <f t="shared" si="3"/>
        <v>0</v>
      </c>
      <c r="O30" s="118">
        <f>+O29+K30-M30</f>
        <v>72385039</v>
      </c>
      <c r="P30" s="1558">
        <f t="shared" si="7"/>
        <v>0</v>
      </c>
    </row>
    <row r="31" spans="1:17" ht="16.5" x14ac:dyDescent="0.3">
      <c r="A31" s="110">
        <f t="shared" si="5"/>
        <v>44066</v>
      </c>
      <c r="B31" s="118">
        <f t="shared" si="0"/>
        <v>0</v>
      </c>
      <c r="C31" s="86"/>
      <c r="D31" s="114">
        <f t="shared" si="1"/>
        <v>0</v>
      </c>
      <c r="E31" s="189"/>
      <c r="F31" s="117">
        <f t="shared" si="6"/>
        <v>0</v>
      </c>
      <c r="G31" s="118"/>
      <c r="H31" s="118"/>
      <c r="I31" s="118"/>
      <c r="J31" s="118"/>
      <c r="K31" s="134">
        <f t="shared" si="2"/>
        <v>0</v>
      </c>
      <c r="L31" s="115"/>
      <c r="M31" s="86"/>
      <c r="N31" s="118">
        <f t="shared" si="3"/>
        <v>0</v>
      </c>
      <c r="O31" s="118">
        <f t="shared" si="4"/>
        <v>72385039</v>
      </c>
      <c r="P31" s="1558">
        <f t="shared" si="7"/>
        <v>0</v>
      </c>
    </row>
    <row r="32" spans="1:17" ht="16.5" x14ac:dyDescent="0.3">
      <c r="A32" s="110">
        <f t="shared" si="5"/>
        <v>44067</v>
      </c>
      <c r="B32" s="114">
        <f t="shared" si="0"/>
        <v>0</v>
      </c>
      <c r="C32" s="113"/>
      <c r="D32" s="114">
        <f t="shared" si="1"/>
        <v>0</v>
      </c>
      <c r="E32" s="189"/>
      <c r="F32" s="111">
        <f t="shared" si="6"/>
        <v>0</v>
      </c>
      <c r="G32" s="114"/>
      <c r="H32" s="114"/>
      <c r="I32" s="114"/>
      <c r="J32" s="114"/>
      <c r="K32" s="134">
        <f t="shared" si="2"/>
        <v>0</v>
      </c>
      <c r="L32" s="115"/>
      <c r="M32" s="1696"/>
      <c r="N32" s="114">
        <f t="shared" si="3"/>
        <v>0</v>
      </c>
      <c r="O32" s="114">
        <f t="shared" si="4"/>
        <v>72385039</v>
      </c>
      <c r="P32" s="1558">
        <f t="shared" si="7"/>
        <v>0</v>
      </c>
    </row>
    <row r="33" spans="1:19" ht="16.5" x14ac:dyDescent="0.3">
      <c r="A33" s="110">
        <f t="shared" si="5"/>
        <v>44068</v>
      </c>
      <c r="B33" s="114">
        <f t="shared" si="0"/>
        <v>0</v>
      </c>
      <c r="C33" s="113"/>
      <c r="D33" s="114">
        <f t="shared" si="1"/>
        <v>0</v>
      </c>
      <c r="E33" s="189"/>
      <c r="F33" s="111">
        <f t="shared" si="6"/>
        <v>0</v>
      </c>
      <c r="G33" s="114"/>
      <c r="H33" s="114"/>
      <c r="I33" s="114"/>
      <c r="J33" s="114"/>
      <c r="K33" s="134">
        <f t="shared" si="2"/>
        <v>0</v>
      </c>
      <c r="L33" s="115"/>
      <c r="M33" s="1696"/>
      <c r="N33" s="114">
        <f t="shared" si="3"/>
        <v>0</v>
      </c>
      <c r="O33" s="114">
        <f t="shared" si="4"/>
        <v>72385039</v>
      </c>
      <c r="P33" s="1558">
        <f t="shared" si="7"/>
        <v>0</v>
      </c>
    </row>
    <row r="34" spans="1:19" ht="16.5" x14ac:dyDescent="0.3">
      <c r="A34" s="110">
        <f t="shared" si="5"/>
        <v>44069</v>
      </c>
      <c r="B34" s="114">
        <f t="shared" si="0"/>
        <v>0</v>
      </c>
      <c r="C34" s="113"/>
      <c r="D34" s="114">
        <f t="shared" si="1"/>
        <v>0</v>
      </c>
      <c r="E34" s="189"/>
      <c r="F34" s="111">
        <f t="shared" si="6"/>
        <v>0</v>
      </c>
      <c r="G34" s="114"/>
      <c r="H34" s="114"/>
      <c r="I34" s="114"/>
      <c r="J34" s="114"/>
      <c r="K34" s="134">
        <f t="shared" si="2"/>
        <v>0</v>
      </c>
      <c r="L34" s="115"/>
      <c r="M34" s="1696"/>
      <c r="N34" s="114">
        <f t="shared" si="3"/>
        <v>0</v>
      </c>
      <c r="O34" s="114">
        <f t="shared" si="4"/>
        <v>72385039</v>
      </c>
      <c r="P34" s="1558">
        <f t="shared" si="7"/>
        <v>0</v>
      </c>
    </row>
    <row r="35" spans="1:19" ht="16.5" x14ac:dyDescent="0.3">
      <c r="A35" s="110">
        <f t="shared" si="5"/>
        <v>44070</v>
      </c>
      <c r="B35" s="114">
        <f t="shared" si="0"/>
        <v>0</v>
      </c>
      <c r="C35" s="113"/>
      <c r="D35" s="114">
        <f t="shared" si="1"/>
        <v>0</v>
      </c>
      <c r="E35" s="189"/>
      <c r="F35" s="111">
        <f t="shared" si="6"/>
        <v>0</v>
      </c>
      <c r="G35" s="114"/>
      <c r="H35" s="114"/>
      <c r="I35" s="114"/>
      <c r="J35" s="114"/>
      <c r="K35" s="134">
        <f t="shared" si="2"/>
        <v>0</v>
      </c>
      <c r="L35" s="115"/>
      <c r="M35" s="1696"/>
      <c r="N35" s="114">
        <f t="shared" si="3"/>
        <v>0</v>
      </c>
      <c r="O35" s="114">
        <f t="shared" si="4"/>
        <v>72385039</v>
      </c>
      <c r="P35" s="1558">
        <f t="shared" si="7"/>
        <v>0</v>
      </c>
      <c r="S35" s="386"/>
    </row>
    <row r="36" spans="1:19" ht="16.5" x14ac:dyDescent="0.3">
      <c r="A36" s="110">
        <f t="shared" si="5"/>
        <v>44071</v>
      </c>
      <c r="B36" s="114">
        <f t="shared" si="0"/>
        <v>0</v>
      </c>
      <c r="C36" s="113"/>
      <c r="D36" s="114">
        <f t="shared" si="1"/>
        <v>0</v>
      </c>
      <c r="E36" s="189"/>
      <c r="F36" s="111">
        <f t="shared" si="6"/>
        <v>0</v>
      </c>
      <c r="G36" s="114"/>
      <c r="H36" s="114"/>
      <c r="I36" s="114"/>
      <c r="J36" s="114"/>
      <c r="K36" s="134">
        <f t="shared" si="2"/>
        <v>0</v>
      </c>
      <c r="L36" s="115"/>
      <c r="M36" s="1696"/>
      <c r="N36" s="114">
        <f t="shared" si="3"/>
        <v>0</v>
      </c>
      <c r="O36" s="114">
        <f t="shared" si="4"/>
        <v>72385039</v>
      </c>
      <c r="P36" s="1558">
        <f t="shared" si="7"/>
        <v>0</v>
      </c>
      <c r="Q36" s="386"/>
    </row>
    <row r="37" spans="1:19" ht="16.5" x14ac:dyDescent="0.3">
      <c r="A37" s="110">
        <f t="shared" si="5"/>
        <v>44072</v>
      </c>
      <c r="B37" s="114">
        <f t="shared" si="0"/>
        <v>0</v>
      </c>
      <c r="C37" s="113"/>
      <c r="D37" s="114">
        <f t="shared" si="1"/>
        <v>0</v>
      </c>
      <c r="E37" s="189"/>
      <c r="F37" s="111">
        <f t="shared" si="6"/>
        <v>0</v>
      </c>
      <c r="G37" s="114"/>
      <c r="H37" s="114"/>
      <c r="I37" s="114"/>
      <c r="J37" s="114"/>
      <c r="K37" s="134">
        <f t="shared" si="2"/>
        <v>0</v>
      </c>
      <c r="L37" s="115"/>
      <c r="M37" s="1696"/>
      <c r="N37" s="114">
        <f t="shared" si="3"/>
        <v>0</v>
      </c>
      <c r="O37" s="114">
        <f t="shared" si="4"/>
        <v>72385039</v>
      </c>
      <c r="P37" s="1558">
        <f t="shared" si="7"/>
        <v>0</v>
      </c>
    </row>
    <row r="38" spans="1:19" ht="16.5" x14ac:dyDescent="0.3">
      <c r="A38" s="110">
        <f t="shared" si="5"/>
        <v>44073</v>
      </c>
      <c r="B38" s="114">
        <f t="shared" si="0"/>
        <v>0</v>
      </c>
      <c r="C38" s="113"/>
      <c r="D38" s="111">
        <f t="shared" si="1"/>
        <v>0</v>
      </c>
      <c r="E38" s="189"/>
      <c r="F38" s="111">
        <f t="shared" si="6"/>
        <v>0</v>
      </c>
      <c r="G38" s="114"/>
      <c r="H38" s="114"/>
      <c r="I38" s="114"/>
      <c r="J38" s="114"/>
      <c r="K38" s="134">
        <f t="shared" si="2"/>
        <v>0</v>
      </c>
      <c r="L38" s="115"/>
      <c r="M38" s="113"/>
      <c r="N38" s="114">
        <f>K38-M38</f>
        <v>0</v>
      </c>
      <c r="O38" s="114">
        <f>+O37+K38-M38</f>
        <v>72385039</v>
      </c>
      <c r="P38" s="1558">
        <f t="shared" si="7"/>
        <v>0</v>
      </c>
    </row>
    <row r="39" spans="1:19" ht="16.5" x14ac:dyDescent="0.3">
      <c r="A39" s="110">
        <f t="shared" si="5"/>
        <v>44074</v>
      </c>
      <c r="B39" s="111">
        <f t="shared" si="0"/>
        <v>0</v>
      </c>
      <c r="C39" s="113"/>
      <c r="D39" s="111">
        <f t="shared" si="1"/>
        <v>0</v>
      </c>
      <c r="E39" s="189"/>
      <c r="F39" s="111">
        <f t="shared" si="6"/>
        <v>0</v>
      </c>
      <c r="G39" s="114"/>
      <c r="H39" s="114"/>
      <c r="I39" s="114"/>
      <c r="J39" s="114"/>
      <c r="K39" s="134">
        <f t="shared" si="2"/>
        <v>0</v>
      </c>
      <c r="L39" s="115"/>
      <c r="M39" s="113"/>
      <c r="N39" s="114">
        <f>K39-M39</f>
        <v>0</v>
      </c>
      <c r="O39" s="120">
        <f>+O38+K39-M39</f>
        <v>72385039</v>
      </c>
      <c r="P39" s="1558">
        <f>SUM(P20:P38)</f>
        <v>6550</v>
      </c>
    </row>
    <row r="40" spans="1:19" ht="16.5" x14ac:dyDescent="0.2">
      <c r="A40" s="121" t="s">
        <v>18</v>
      </c>
      <c r="B40" s="115">
        <f t="shared" ref="B40:M40" si="8">SUM(B9:B39)</f>
        <v>0</v>
      </c>
      <c r="C40" s="115">
        <f>SUM(C9:C39)</f>
        <v>0</v>
      </c>
      <c r="D40" s="122">
        <f t="shared" si="8"/>
        <v>0</v>
      </c>
      <c r="E40" s="115">
        <f>SUM(E9:E39)</f>
        <v>0</v>
      </c>
      <c r="F40" s="115">
        <f t="shared" si="8"/>
        <v>0</v>
      </c>
      <c r="G40" s="115">
        <f t="shared" si="8"/>
        <v>0</v>
      </c>
      <c r="H40" s="115">
        <f t="shared" si="8"/>
        <v>0</v>
      </c>
      <c r="I40" s="115">
        <f t="shared" si="8"/>
        <v>0</v>
      </c>
      <c r="J40" s="115">
        <f t="shared" si="8"/>
        <v>0</v>
      </c>
      <c r="K40" s="115">
        <f>SUM(K9:K39)</f>
        <v>0</v>
      </c>
      <c r="L40" s="115"/>
      <c r="M40" s="115">
        <f t="shared" si="8"/>
        <v>0</v>
      </c>
      <c r="N40" s="120">
        <f>SUM(N8:N39)</f>
        <v>72385039</v>
      </c>
      <c r="O40" s="123"/>
    </row>
    <row r="41" spans="1:19" ht="15.75" x14ac:dyDescent="0.2">
      <c r="A41" s="124"/>
      <c r="B41" s="124"/>
      <c r="C41" s="124"/>
      <c r="D41" s="125"/>
      <c r="E41" s="124"/>
      <c r="F41" s="124"/>
      <c r="G41" s="124"/>
      <c r="H41" s="124"/>
      <c r="I41" s="124"/>
      <c r="J41" s="124"/>
      <c r="K41" s="124"/>
      <c r="L41" s="124"/>
      <c r="M41" s="124"/>
      <c r="N41" s="124"/>
      <c r="O41" s="124"/>
    </row>
    <row r="42" spans="1:19" ht="15.75" x14ac:dyDescent="0.25">
      <c r="A42" s="57" t="s">
        <v>121</v>
      </c>
      <c r="B42" s="57" t="s">
        <v>61</v>
      </c>
      <c r="C42" s="57" t="s">
        <v>122</v>
      </c>
      <c r="D42" s="126" t="s">
        <v>39</v>
      </c>
      <c r="E42" s="386">
        <f>+E40-4000000</f>
        <v>-4000000</v>
      </c>
      <c r="F42" s="37">
        <f>+E42/600</f>
        <v>-6666.666666666667</v>
      </c>
    </row>
    <row r="43" spans="1:19" ht="15.75" x14ac:dyDescent="0.25">
      <c r="A43" s="57" t="s">
        <v>15</v>
      </c>
      <c r="B43" s="127">
        <f>B40</f>
        <v>0</v>
      </c>
      <c r="C43" s="57"/>
      <c r="D43" s="126">
        <f>B43*C43</f>
        <v>0</v>
      </c>
    </row>
    <row r="44" spans="1:19" ht="15.75" x14ac:dyDescent="0.25">
      <c r="A44" s="57" t="s">
        <v>16</v>
      </c>
      <c r="B44" s="126">
        <f>D40</f>
        <v>0</v>
      </c>
      <c r="C44" s="57"/>
      <c r="D44" s="126">
        <f>B44*C44</f>
        <v>0</v>
      </c>
      <c r="H44" s="116"/>
      <c r="K44" s="116"/>
      <c r="L44" s="116"/>
      <c r="M44" s="116"/>
      <c r="N44" s="116"/>
    </row>
    <row r="45" spans="1:19" ht="15.75" x14ac:dyDescent="0.25">
      <c r="A45" s="57" t="s">
        <v>17</v>
      </c>
      <c r="B45" s="127">
        <f>F40</f>
        <v>0</v>
      </c>
      <c r="C45" s="57"/>
      <c r="D45" s="126">
        <f>B45*C45</f>
        <v>0</v>
      </c>
      <c r="E45" s="99"/>
      <c r="O45" s="116"/>
    </row>
    <row r="46" spans="1:19" ht="15.75" x14ac:dyDescent="0.25">
      <c r="A46" s="128" t="s">
        <v>18</v>
      </c>
      <c r="B46" s="129"/>
      <c r="C46" s="130"/>
      <c r="D46" s="126">
        <f>SUM(D43:D45)</f>
        <v>0</v>
      </c>
      <c r="O46" s="116"/>
    </row>
    <row r="48" spans="1:19" ht="16.5" x14ac:dyDescent="0.3">
      <c r="C48" s="1" t="s">
        <v>174</v>
      </c>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5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tabColor rgb="FFFF0000"/>
    <pageSetUpPr fitToPage="1"/>
  </sheetPr>
  <dimension ref="A2:Q54"/>
  <sheetViews>
    <sheetView zoomScaleNormal="100" workbookViewId="0">
      <selection activeCell="E17" sqref="E17"/>
    </sheetView>
  </sheetViews>
  <sheetFormatPr baseColWidth="10" defaultRowHeight="18" x14ac:dyDescent="0.25"/>
  <cols>
    <col min="1" max="1" width="17.42578125" style="37" customWidth="1"/>
    <col min="2" max="2" width="13.5703125" style="37" customWidth="1"/>
    <col min="3" max="3" width="11.28515625" style="37" customWidth="1"/>
    <col min="4" max="4" width="17" style="37" customWidth="1"/>
    <col min="5" max="5" width="14.85546875" style="37" customWidth="1"/>
    <col min="6" max="6" width="12.7109375" style="37" customWidth="1"/>
    <col min="7" max="7" width="15.5703125" style="37" customWidth="1"/>
    <col min="8" max="8" width="13.85546875" style="37" customWidth="1"/>
    <col min="9" max="10" width="13.28515625" style="37" customWidth="1"/>
    <col min="11" max="11" width="15" style="37" customWidth="1"/>
    <col min="12" max="12" width="14.140625" style="37" customWidth="1"/>
    <col min="13" max="13" width="14.7109375" style="37" customWidth="1"/>
    <col min="14" max="14" width="16.42578125" style="37" bestFit="1" customWidth="1"/>
    <col min="15" max="15" width="14.5703125" style="37" customWidth="1"/>
    <col min="16" max="16" width="19.5703125" style="38" bestFit="1" customWidth="1"/>
    <col min="17" max="17" width="15.5703125" style="38" bestFit="1" customWidth="1"/>
    <col min="18" max="16384" width="11.42578125" style="38"/>
  </cols>
  <sheetData>
    <row r="2" spans="1:17" ht="18.75" x14ac:dyDescent="0.3">
      <c r="A2" s="1" t="s">
        <v>118</v>
      </c>
      <c r="D2" s="1" t="s">
        <v>250</v>
      </c>
    </row>
    <row r="3" spans="1:17" x14ac:dyDescent="0.25">
      <c r="C3" s="99"/>
      <c r="E3" s="37" t="s">
        <v>517</v>
      </c>
      <c r="H3" s="1567"/>
      <c r="K3" s="116"/>
      <c r="L3" s="116"/>
      <c r="M3" s="1567"/>
    </row>
    <row r="4" spans="1:17" ht="18.75" x14ac:dyDescent="0.3">
      <c r="A4" s="1" t="s">
        <v>19</v>
      </c>
      <c r="C4" s="1"/>
      <c r="D4" s="142">
        <v>43221</v>
      </c>
    </row>
    <row r="5" spans="1:17" ht="18.75" x14ac:dyDescent="0.3">
      <c r="A5" s="1"/>
      <c r="B5" s="1"/>
      <c r="C5" s="1"/>
      <c r="F5" s="37" t="s">
        <v>62</v>
      </c>
      <c r="N5" s="386"/>
      <c r="P5" s="218"/>
    </row>
    <row r="6" spans="1:17" ht="29.25" customHeight="1" x14ac:dyDescent="0.25">
      <c r="A6" s="100" t="s">
        <v>3</v>
      </c>
      <c r="B6" s="101" t="s">
        <v>15</v>
      </c>
      <c r="C6" s="102"/>
      <c r="D6" s="101" t="s">
        <v>16</v>
      </c>
      <c r="E6" s="102"/>
      <c r="F6" s="101" t="s">
        <v>17</v>
      </c>
      <c r="G6" s="102"/>
      <c r="H6" s="3057" t="s">
        <v>52</v>
      </c>
      <c r="I6" s="2910" t="s">
        <v>53</v>
      </c>
      <c r="J6" s="2910" t="s">
        <v>119</v>
      </c>
      <c r="K6" s="3060" t="s">
        <v>18</v>
      </c>
      <c r="L6" s="796" t="s">
        <v>403</v>
      </c>
      <c r="M6" s="658" t="s">
        <v>60</v>
      </c>
      <c r="N6" s="370" t="s">
        <v>55</v>
      </c>
      <c r="O6" s="370" t="s">
        <v>120</v>
      </c>
    </row>
    <row r="7" spans="1:17" x14ac:dyDescent="0.25">
      <c r="A7" s="103"/>
      <c r="B7" s="913">
        <v>630</v>
      </c>
      <c r="C7" s="914"/>
      <c r="D7" s="913">
        <v>575</v>
      </c>
      <c r="E7" s="914"/>
      <c r="F7" s="913">
        <v>350</v>
      </c>
      <c r="G7" s="914"/>
      <c r="H7" s="3058"/>
      <c r="I7" s="3059"/>
      <c r="J7" s="2911"/>
      <c r="K7" s="3061"/>
      <c r="L7" s="795"/>
      <c r="M7" s="656"/>
      <c r="N7" s="657">
        <v>66395967</v>
      </c>
      <c r="O7" s="118">
        <f>N7</f>
        <v>66395967</v>
      </c>
      <c r="Q7" s="218"/>
    </row>
    <row r="8" spans="1:17" x14ac:dyDescent="0.25">
      <c r="A8" s="105"/>
      <c r="B8" s="106" t="s">
        <v>56</v>
      </c>
      <c r="C8" s="106" t="s">
        <v>37</v>
      </c>
      <c r="D8" s="107" t="s">
        <v>56</v>
      </c>
      <c r="E8" s="106"/>
      <c r="F8" s="106" t="s">
        <v>56</v>
      </c>
      <c r="G8" s="106" t="s">
        <v>37</v>
      </c>
      <c r="H8" s="132"/>
      <c r="I8" s="132"/>
      <c r="J8" s="132"/>
      <c r="K8" s="370"/>
      <c r="L8" s="1383"/>
      <c r="M8" s="134"/>
      <c r="N8" s="371"/>
      <c r="O8" s="118">
        <f t="shared" ref="O8:O45" si="0">+O7+K8-M8</f>
        <v>66395967</v>
      </c>
    </row>
    <row r="9" spans="1:17" ht="18.75" x14ac:dyDescent="0.3">
      <c r="A9" s="2060">
        <v>44105</v>
      </c>
      <c r="B9" s="111">
        <f>C9/B$7</f>
        <v>0</v>
      </c>
      <c r="C9" s="112"/>
      <c r="D9" s="1809">
        <f>+E9/D$7</f>
        <v>0</v>
      </c>
      <c r="E9" s="113"/>
      <c r="F9" s="111">
        <f>+G9/F$7</f>
        <v>0</v>
      </c>
      <c r="G9" s="114"/>
      <c r="H9" s="114"/>
      <c r="I9" s="114"/>
      <c r="J9" s="114"/>
      <c r="K9" s="134">
        <f t="shared" ref="K9:K46" si="1">C9+E9+G9+H9+I9+J9</f>
        <v>0</v>
      </c>
      <c r="L9" s="1383"/>
      <c r="M9" s="86"/>
      <c r="N9" s="118">
        <f>K9-M9</f>
        <v>0</v>
      </c>
      <c r="O9" s="118">
        <f>+O8+K9-M9</f>
        <v>66395967</v>
      </c>
    </row>
    <row r="10" spans="1:17" ht="18.75" x14ac:dyDescent="0.3">
      <c r="A10" s="110">
        <f>+A9+1</f>
        <v>44106</v>
      </c>
      <c r="B10" s="111">
        <f t="shared" ref="B10:B46" si="2">C10/B$7</f>
        <v>0</v>
      </c>
      <c r="C10" s="112"/>
      <c r="D10" s="1810">
        <f t="shared" ref="D10:F24" si="3">+E10/D$7</f>
        <v>0</v>
      </c>
      <c r="E10" s="113"/>
      <c r="F10" s="111">
        <f>+G10/F$7</f>
        <v>0</v>
      </c>
      <c r="G10" s="114"/>
      <c r="H10" s="114"/>
      <c r="I10" s="114"/>
      <c r="J10" s="114"/>
      <c r="K10" s="134">
        <f t="shared" si="1"/>
        <v>0</v>
      </c>
      <c r="L10" s="134"/>
      <c r="M10" s="86"/>
      <c r="N10" s="118">
        <f t="shared" ref="N10:N18" si="4">K10-M10</f>
        <v>0</v>
      </c>
      <c r="O10" s="118">
        <f t="shared" si="0"/>
        <v>66395967</v>
      </c>
    </row>
    <row r="11" spans="1:17" x14ac:dyDescent="0.25">
      <c r="A11" s="110">
        <f t="shared" ref="A11:A46" si="5">+A10+1</f>
        <v>44107</v>
      </c>
      <c r="B11" s="111">
        <f t="shared" si="2"/>
        <v>0</v>
      </c>
      <c r="C11" s="113"/>
      <c r="D11" s="1810">
        <f t="shared" si="3"/>
        <v>0</v>
      </c>
      <c r="E11" s="113"/>
      <c r="F11" s="111">
        <f t="shared" si="3"/>
        <v>0</v>
      </c>
      <c r="G11" s="114"/>
      <c r="H11" s="114"/>
      <c r="I11" s="114"/>
      <c r="J11" s="114"/>
      <c r="K11" s="134">
        <f t="shared" si="1"/>
        <v>0</v>
      </c>
      <c r="L11" s="134"/>
      <c r="M11" s="86"/>
      <c r="N11" s="118">
        <f t="shared" si="4"/>
        <v>0</v>
      </c>
      <c r="O11" s="118">
        <f t="shared" si="0"/>
        <v>66395967</v>
      </c>
    </row>
    <row r="12" spans="1:17" x14ac:dyDescent="0.25">
      <c r="A12" s="110">
        <f t="shared" si="5"/>
        <v>44108</v>
      </c>
      <c r="B12" s="111">
        <f t="shared" si="2"/>
        <v>0</v>
      </c>
      <c r="C12" s="113"/>
      <c r="D12" s="1810">
        <f t="shared" si="3"/>
        <v>0</v>
      </c>
      <c r="E12" s="113"/>
      <c r="F12" s="111">
        <f t="shared" si="3"/>
        <v>0</v>
      </c>
      <c r="G12" s="114"/>
      <c r="H12" s="114"/>
      <c r="I12" s="114"/>
      <c r="J12" s="114"/>
      <c r="K12" s="134">
        <f t="shared" si="1"/>
        <v>0</v>
      </c>
      <c r="L12" s="134"/>
      <c r="M12" s="86"/>
      <c r="N12" s="118">
        <f t="shared" si="4"/>
        <v>0</v>
      </c>
      <c r="O12" s="118">
        <f t="shared" si="0"/>
        <v>66395967</v>
      </c>
    </row>
    <row r="13" spans="1:17" ht="18.75" x14ac:dyDescent="0.3">
      <c r="A13" s="110">
        <f t="shared" si="5"/>
        <v>44109</v>
      </c>
      <c r="B13" s="111">
        <f t="shared" si="2"/>
        <v>0</v>
      </c>
      <c r="C13" s="112"/>
      <c r="D13" s="1810">
        <f t="shared" si="3"/>
        <v>0</v>
      </c>
      <c r="E13" s="113"/>
      <c r="F13" s="111">
        <f t="shared" si="3"/>
        <v>0</v>
      </c>
      <c r="G13" s="114"/>
      <c r="H13" s="114"/>
      <c r="I13" s="114"/>
      <c r="J13" s="114"/>
      <c r="K13" s="134">
        <f t="shared" si="1"/>
        <v>0</v>
      </c>
      <c r="L13" s="134"/>
      <c r="M13" s="86"/>
      <c r="N13" s="118">
        <f t="shared" si="4"/>
        <v>0</v>
      </c>
      <c r="O13" s="118">
        <f t="shared" si="0"/>
        <v>66395967</v>
      </c>
    </row>
    <row r="14" spans="1:17" ht="18.75" x14ac:dyDescent="0.3">
      <c r="A14" s="110">
        <f t="shared" si="5"/>
        <v>44110</v>
      </c>
      <c r="B14" s="111">
        <f t="shared" si="2"/>
        <v>0</v>
      </c>
      <c r="C14" s="112"/>
      <c r="D14" s="1810">
        <f t="shared" si="3"/>
        <v>0</v>
      </c>
      <c r="E14" s="113"/>
      <c r="F14" s="111">
        <f t="shared" si="3"/>
        <v>0</v>
      </c>
      <c r="G14" s="114"/>
      <c r="H14" s="114"/>
      <c r="I14" s="114"/>
      <c r="J14" s="114"/>
      <c r="K14" s="134">
        <f t="shared" si="1"/>
        <v>0</v>
      </c>
      <c r="L14" s="134"/>
      <c r="M14" s="134"/>
      <c r="N14" s="118">
        <f t="shared" si="4"/>
        <v>0</v>
      </c>
      <c r="O14" s="118">
        <f t="shared" si="0"/>
        <v>66395967</v>
      </c>
    </row>
    <row r="15" spans="1:17" x14ac:dyDescent="0.25">
      <c r="A15" s="110">
        <f t="shared" si="5"/>
        <v>44111</v>
      </c>
      <c r="B15" s="111">
        <f t="shared" si="2"/>
        <v>0</v>
      </c>
      <c r="C15" s="113"/>
      <c r="D15" s="1810">
        <f t="shared" si="3"/>
        <v>0</v>
      </c>
      <c r="E15" s="113"/>
      <c r="F15" s="111">
        <f t="shared" si="3"/>
        <v>0</v>
      </c>
      <c r="G15" s="114"/>
      <c r="H15" s="114"/>
      <c r="I15" s="114"/>
      <c r="J15" s="114"/>
      <c r="K15" s="134">
        <f t="shared" si="1"/>
        <v>0</v>
      </c>
      <c r="L15" s="134"/>
      <c r="M15" s="86"/>
      <c r="N15" s="118">
        <f t="shared" si="4"/>
        <v>0</v>
      </c>
      <c r="O15" s="118">
        <f t="shared" si="0"/>
        <v>66395967</v>
      </c>
    </row>
    <row r="16" spans="1:17" x14ac:dyDescent="0.25">
      <c r="A16" s="110">
        <f t="shared" si="5"/>
        <v>44112</v>
      </c>
      <c r="B16" s="111">
        <f t="shared" si="2"/>
        <v>0</v>
      </c>
      <c r="C16" s="113"/>
      <c r="D16" s="1810">
        <f t="shared" si="3"/>
        <v>0</v>
      </c>
      <c r="E16" s="113"/>
      <c r="F16" s="111">
        <f t="shared" si="3"/>
        <v>0</v>
      </c>
      <c r="G16" s="114"/>
      <c r="H16" s="114"/>
      <c r="I16" s="114"/>
      <c r="J16" s="114"/>
      <c r="K16" s="134">
        <f t="shared" si="1"/>
        <v>0</v>
      </c>
      <c r="L16" s="1463"/>
      <c r="M16" s="1800"/>
      <c r="N16" s="118">
        <f t="shared" si="4"/>
        <v>0</v>
      </c>
      <c r="O16" s="118">
        <f t="shared" si="0"/>
        <v>66395967</v>
      </c>
    </row>
    <row r="17" spans="1:17" x14ac:dyDescent="0.25">
      <c r="A17" s="110">
        <f t="shared" si="5"/>
        <v>44113</v>
      </c>
      <c r="B17" s="117">
        <f t="shared" si="2"/>
        <v>0</v>
      </c>
      <c r="C17" s="86"/>
      <c r="D17" s="1811">
        <f t="shared" si="3"/>
        <v>0</v>
      </c>
      <c r="E17" s="113"/>
      <c r="F17" s="111">
        <f t="shared" si="3"/>
        <v>0</v>
      </c>
      <c r="G17" s="118"/>
      <c r="H17" s="118"/>
      <c r="I17" s="118"/>
      <c r="J17" s="118"/>
      <c r="K17" s="134">
        <f t="shared" si="1"/>
        <v>0</v>
      </c>
      <c r="L17" s="1463"/>
      <c r="M17" s="1799"/>
      <c r="N17" s="118">
        <f t="shared" si="4"/>
        <v>0</v>
      </c>
      <c r="O17" s="118">
        <f t="shared" si="0"/>
        <v>66395967</v>
      </c>
      <c r="Q17" s="218"/>
    </row>
    <row r="18" spans="1:17" x14ac:dyDescent="0.25">
      <c r="A18" s="110">
        <f t="shared" si="5"/>
        <v>44114</v>
      </c>
      <c r="B18" s="117">
        <f t="shared" si="2"/>
        <v>0</v>
      </c>
      <c r="C18" s="86"/>
      <c r="D18" s="1811">
        <f t="shared" si="3"/>
        <v>0</v>
      </c>
      <c r="E18" s="113"/>
      <c r="F18" s="111">
        <f t="shared" si="3"/>
        <v>0</v>
      </c>
      <c r="G18" s="118"/>
      <c r="H18" s="118"/>
      <c r="I18" s="118"/>
      <c r="J18" s="118"/>
      <c r="K18" s="134">
        <f t="shared" si="1"/>
        <v>0</v>
      </c>
      <c r="L18" s="134"/>
      <c r="M18" s="86"/>
      <c r="N18" s="118">
        <f t="shared" si="4"/>
        <v>0</v>
      </c>
      <c r="O18" s="118">
        <f t="shared" si="0"/>
        <v>66395967</v>
      </c>
    </row>
    <row r="19" spans="1:17" x14ac:dyDescent="0.25">
      <c r="A19" s="110">
        <f t="shared" si="5"/>
        <v>44115</v>
      </c>
      <c r="B19" s="117">
        <f t="shared" si="2"/>
        <v>0</v>
      </c>
      <c r="C19" s="86"/>
      <c r="D19" s="1811">
        <f t="shared" si="3"/>
        <v>0</v>
      </c>
      <c r="E19" s="113"/>
      <c r="F19" s="111">
        <f t="shared" si="3"/>
        <v>0</v>
      </c>
      <c r="G19" s="118"/>
      <c r="H19" s="118"/>
      <c r="I19" s="118"/>
      <c r="J19" s="118"/>
      <c r="K19" s="134">
        <f t="shared" si="1"/>
        <v>0</v>
      </c>
      <c r="L19" s="1383"/>
      <c r="M19" s="86"/>
      <c r="N19" s="118">
        <f t="shared" ref="N19:N46" si="6">K19-M19</f>
        <v>0</v>
      </c>
      <c r="O19" s="118">
        <f t="shared" si="0"/>
        <v>66395967</v>
      </c>
    </row>
    <row r="20" spans="1:17" x14ac:dyDescent="0.25">
      <c r="A20" s="110">
        <f t="shared" si="5"/>
        <v>44116</v>
      </c>
      <c r="B20" s="117">
        <f t="shared" si="2"/>
        <v>0</v>
      </c>
      <c r="C20" s="86"/>
      <c r="D20" s="1811">
        <f>+E20/D$7</f>
        <v>0</v>
      </c>
      <c r="E20" s="113"/>
      <c r="F20" s="111">
        <f t="shared" si="3"/>
        <v>0</v>
      </c>
      <c r="G20" s="118"/>
      <c r="H20" s="118"/>
      <c r="I20" s="118"/>
      <c r="J20" s="118"/>
      <c r="K20" s="134">
        <f t="shared" si="1"/>
        <v>0</v>
      </c>
      <c r="L20" s="1383"/>
      <c r="M20" s="86"/>
      <c r="N20" s="118">
        <f t="shared" si="6"/>
        <v>0</v>
      </c>
      <c r="O20" s="118">
        <f t="shared" si="0"/>
        <v>66395967</v>
      </c>
    </row>
    <row r="21" spans="1:17" x14ac:dyDescent="0.25">
      <c r="A21" s="110">
        <f t="shared" si="5"/>
        <v>44117</v>
      </c>
      <c r="B21" s="117">
        <f t="shared" si="2"/>
        <v>0</v>
      </c>
      <c r="C21" s="86"/>
      <c r="D21" s="1811">
        <f t="shared" si="3"/>
        <v>0</v>
      </c>
      <c r="E21" s="113"/>
      <c r="F21" s="111">
        <f t="shared" si="3"/>
        <v>0</v>
      </c>
      <c r="G21" s="118"/>
      <c r="H21" s="118"/>
      <c r="I21" s="118"/>
      <c r="J21" s="118"/>
      <c r="K21" s="134">
        <f t="shared" si="1"/>
        <v>0</v>
      </c>
      <c r="L21" s="1383"/>
      <c r="M21" s="86"/>
      <c r="N21" s="118">
        <f t="shared" si="6"/>
        <v>0</v>
      </c>
      <c r="O21" s="118">
        <f t="shared" si="0"/>
        <v>66395967</v>
      </c>
    </row>
    <row r="22" spans="1:17" x14ac:dyDescent="0.25">
      <c r="A22" s="110">
        <f t="shared" si="5"/>
        <v>44118</v>
      </c>
      <c r="B22" s="117">
        <f t="shared" si="2"/>
        <v>0</v>
      </c>
      <c r="C22" s="86"/>
      <c r="D22" s="1811">
        <f t="shared" si="3"/>
        <v>0</v>
      </c>
      <c r="E22" s="113"/>
      <c r="F22" s="111">
        <f t="shared" si="3"/>
        <v>0</v>
      </c>
      <c r="G22" s="118"/>
      <c r="H22" s="118"/>
      <c r="I22" s="118"/>
      <c r="J22" s="118"/>
      <c r="K22" s="134">
        <f t="shared" si="1"/>
        <v>0</v>
      </c>
      <c r="L22" s="134"/>
      <c r="M22" s="86"/>
      <c r="N22" s="118">
        <f t="shared" si="6"/>
        <v>0</v>
      </c>
      <c r="O22" s="118">
        <f t="shared" si="0"/>
        <v>66395967</v>
      </c>
    </row>
    <row r="23" spans="1:17" x14ac:dyDescent="0.25">
      <c r="A23" s="110">
        <f t="shared" si="5"/>
        <v>44119</v>
      </c>
      <c r="B23" s="117">
        <f t="shared" si="2"/>
        <v>0</v>
      </c>
      <c r="C23" s="86"/>
      <c r="D23" s="1811">
        <f t="shared" si="3"/>
        <v>0</v>
      </c>
      <c r="E23" s="113"/>
      <c r="F23" s="117">
        <f t="shared" si="3"/>
        <v>0</v>
      </c>
      <c r="G23" s="118"/>
      <c r="H23" s="118"/>
      <c r="I23" s="118"/>
      <c r="J23" s="118"/>
      <c r="K23" s="134">
        <f t="shared" si="1"/>
        <v>0</v>
      </c>
      <c r="L23" s="134"/>
      <c r="M23" s="86"/>
      <c r="N23" s="118">
        <f t="shared" si="6"/>
        <v>0</v>
      </c>
      <c r="O23" s="118">
        <f>+O22+K23-M23</f>
        <v>66395967</v>
      </c>
    </row>
    <row r="24" spans="1:17" x14ac:dyDescent="0.25">
      <c r="A24" s="110">
        <f t="shared" si="5"/>
        <v>44120</v>
      </c>
      <c r="B24" s="111">
        <f t="shared" si="2"/>
        <v>0</v>
      </c>
      <c r="C24" s="113"/>
      <c r="D24" s="1810">
        <f t="shared" si="3"/>
        <v>0</v>
      </c>
      <c r="E24" s="113"/>
      <c r="F24" s="111">
        <f t="shared" ref="D24:F46" si="7">+G24/F$7</f>
        <v>0</v>
      </c>
      <c r="G24" s="114"/>
      <c r="H24" s="114"/>
      <c r="I24" s="114"/>
      <c r="J24" s="114"/>
      <c r="K24" s="134">
        <f t="shared" si="1"/>
        <v>0</v>
      </c>
      <c r="L24" s="134"/>
      <c r="M24" s="86"/>
      <c r="N24" s="118">
        <f t="shared" si="6"/>
        <v>0</v>
      </c>
      <c r="O24" s="118">
        <f t="shared" si="0"/>
        <v>66395967</v>
      </c>
    </row>
    <row r="25" spans="1:17" x14ac:dyDescent="0.25">
      <c r="A25" s="110">
        <f t="shared" si="5"/>
        <v>44121</v>
      </c>
      <c r="B25" s="111">
        <f t="shared" si="2"/>
        <v>0</v>
      </c>
      <c r="C25" s="113"/>
      <c r="D25" s="1810">
        <f>+E25/D$7</f>
        <v>0</v>
      </c>
      <c r="E25" s="113"/>
      <c r="F25" s="111">
        <f t="shared" si="7"/>
        <v>0</v>
      </c>
      <c r="G25" s="114"/>
      <c r="H25" s="114"/>
      <c r="I25" s="114"/>
      <c r="J25" s="114"/>
      <c r="K25" s="134">
        <f t="shared" si="1"/>
        <v>0</v>
      </c>
      <c r="L25" s="115"/>
      <c r="M25" s="86"/>
      <c r="N25" s="118">
        <f t="shared" si="6"/>
        <v>0</v>
      </c>
      <c r="O25" s="118">
        <f t="shared" si="0"/>
        <v>66395967</v>
      </c>
    </row>
    <row r="26" spans="1:17" x14ac:dyDescent="0.25">
      <c r="A26" s="110">
        <f t="shared" si="5"/>
        <v>44122</v>
      </c>
      <c r="B26" s="111">
        <f t="shared" si="2"/>
        <v>0</v>
      </c>
      <c r="C26" s="113"/>
      <c r="D26" s="1810">
        <f t="shared" si="7"/>
        <v>0</v>
      </c>
      <c r="E26" s="113"/>
      <c r="F26" s="111">
        <f t="shared" si="7"/>
        <v>0</v>
      </c>
      <c r="G26" s="114"/>
      <c r="H26" s="114"/>
      <c r="I26" s="114"/>
      <c r="J26" s="114"/>
      <c r="K26" s="134">
        <f t="shared" si="1"/>
        <v>0</v>
      </c>
      <c r="L26" s="115"/>
      <c r="M26" s="113"/>
      <c r="N26" s="118">
        <f t="shared" si="6"/>
        <v>0</v>
      </c>
      <c r="O26" s="118">
        <f t="shared" si="0"/>
        <v>66395967</v>
      </c>
      <c r="P26" s="218"/>
    </row>
    <row r="27" spans="1:17" x14ac:dyDescent="0.25">
      <c r="A27" s="110">
        <f t="shared" si="5"/>
        <v>44123</v>
      </c>
      <c r="B27" s="111">
        <f t="shared" si="2"/>
        <v>0</v>
      </c>
      <c r="C27" s="113"/>
      <c r="D27" s="1810">
        <f t="shared" si="7"/>
        <v>0</v>
      </c>
      <c r="E27" s="113"/>
      <c r="F27" s="111">
        <f t="shared" si="7"/>
        <v>0</v>
      </c>
      <c r="G27" s="114"/>
      <c r="H27" s="114"/>
      <c r="I27" s="114"/>
      <c r="J27" s="114"/>
      <c r="K27" s="134">
        <f t="shared" si="1"/>
        <v>0</v>
      </c>
      <c r="L27" s="115"/>
      <c r="M27" s="113"/>
      <c r="N27" s="118">
        <f t="shared" si="6"/>
        <v>0</v>
      </c>
      <c r="O27" s="118">
        <f t="shared" si="0"/>
        <v>66395967</v>
      </c>
    </row>
    <row r="28" spans="1:17" x14ac:dyDescent="0.25">
      <c r="A28" s="110">
        <f t="shared" si="5"/>
        <v>44124</v>
      </c>
      <c r="B28" s="111">
        <f t="shared" si="2"/>
        <v>0</v>
      </c>
      <c r="C28" s="113"/>
      <c r="D28" s="1810">
        <f t="shared" si="7"/>
        <v>0</v>
      </c>
      <c r="E28" s="113"/>
      <c r="F28" s="111">
        <f t="shared" si="7"/>
        <v>0</v>
      </c>
      <c r="G28" s="114"/>
      <c r="H28" s="114"/>
      <c r="I28" s="114"/>
      <c r="J28" s="114"/>
      <c r="K28" s="134">
        <f t="shared" si="1"/>
        <v>0</v>
      </c>
      <c r="L28" s="115"/>
      <c r="M28" s="113"/>
      <c r="N28" s="118">
        <f t="shared" si="6"/>
        <v>0</v>
      </c>
      <c r="O28" s="118">
        <f t="shared" si="0"/>
        <v>66395967</v>
      </c>
    </row>
    <row r="29" spans="1:17" x14ac:dyDescent="0.25">
      <c r="A29" s="110">
        <f t="shared" si="5"/>
        <v>44125</v>
      </c>
      <c r="B29" s="111">
        <f t="shared" si="2"/>
        <v>0</v>
      </c>
      <c r="C29" s="113"/>
      <c r="D29" s="1810">
        <f t="shared" si="7"/>
        <v>0</v>
      </c>
      <c r="E29" s="113"/>
      <c r="F29" s="111">
        <f t="shared" si="7"/>
        <v>0</v>
      </c>
      <c r="G29" s="114"/>
      <c r="H29" s="114"/>
      <c r="I29" s="114"/>
      <c r="J29" s="114"/>
      <c r="K29" s="134">
        <f t="shared" si="1"/>
        <v>0</v>
      </c>
      <c r="L29" s="115"/>
      <c r="M29" s="1090"/>
      <c r="N29" s="118">
        <f t="shared" si="6"/>
        <v>0</v>
      </c>
      <c r="O29" s="118">
        <f t="shared" si="0"/>
        <v>66395967</v>
      </c>
    </row>
    <row r="30" spans="1:17" x14ac:dyDescent="0.25">
      <c r="A30" s="110">
        <f t="shared" si="5"/>
        <v>44126</v>
      </c>
      <c r="B30" s="111">
        <f t="shared" si="2"/>
        <v>0</v>
      </c>
      <c r="C30" s="113"/>
      <c r="D30" s="1810">
        <f t="shared" si="7"/>
        <v>0</v>
      </c>
      <c r="E30" s="113"/>
      <c r="F30" s="111">
        <f t="shared" si="7"/>
        <v>0</v>
      </c>
      <c r="G30" s="114"/>
      <c r="H30" s="114"/>
      <c r="I30" s="114"/>
      <c r="J30" s="114"/>
      <c r="K30" s="134">
        <f t="shared" si="1"/>
        <v>0</v>
      </c>
      <c r="L30" s="115"/>
      <c r="M30" s="1696"/>
      <c r="N30" s="118">
        <f t="shared" si="6"/>
        <v>0</v>
      </c>
      <c r="O30" s="118">
        <f t="shared" si="0"/>
        <v>66395967</v>
      </c>
    </row>
    <row r="31" spans="1:17" s="139" customFormat="1" x14ac:dyDescent="0.25">
      <c r="A31" s="110">
        <f t="shared" si="5"/>
        <v>44127</v>
      </c>
      <c r="B31" s="117">
        <f t="shared" si="2"/>
        <v>0</v>
      </c>
      <c r="C31" s="86"/>
      <c r="D31" s="1810">
        <f t="shared" si="7"/>
        <v>0</v>
      </c>
      <c r="E31" s="86"/>
      <c r="F31" s="117">
        <f t="shared" si="7"/>
        <v>0</v>
      </c>
      <c r="G31" s="118"/>
      <c r="H31" s="118"/>
      <c r="I31" s="118"/>
      <c r="J31" s="118"/>
      <c r="K31" s="134">
        <f t="shared" si="1"/>
        <v>0</v>
      </c>
      <c r="L31" s="134"/>
      <c r="M31" s="1696"/>
      <c r="N31" s="118">
        <f t="shared" si="6"/>
        <v>0</v>
      </c>
      <c r="O31" s="118">
        <f t="shared" si="0"/>
        <v>66395967</v>
      </c>
    </row>
    <row r="32" spans="1:17" x14ac:dyDescent="0.25">
      <c r="A32" s="110">
        <f t="shared" si="5"/>
        <v>44128</v>
      </c>
      <c r="B32" s="111">
        <f t="shared" si="2"/>
        <v>0</v>
      </c>
      <c r="C32" s="113"/>
      <c r="D32" s="1810">
        <f t="shared" si="7"/>
        <v>0</v>
      </c>
      <c r="E32" s="113"/>
      <c r="F32" s="111">
        <f t="shared" si="7"/>
        <v>0</v>
      </c>
      <c r="G32" s="114"/>
      <c r="H32" s="114"/>
      <c r="I32" s="114"/>
      <c r="J32" s="114"/>
      <c r="K32" s="134">
        <f t="shared" si="1"/>
        <v>0</v>
      </c>
      <c r="L32" s="115"/>
      <c r="M32" s="1696"/>
      <c r="N32" s="118">
        <f t="shared" si="6"/>
        <v>0</v>
      </c>
      <c r="O32" s="118">
        <f t="shared" si="0"/>
        <v>66395967</v>
      </c>
    </row>
    <row r="33" spans="1:17" x14ac:dyDescent="0.25">
      <c r="A33" s="110">
        <f t="shared" si="5"/>
        <v>44129</v>
      </c>
      <c r="B33" s="111">
        <f t="shared" si="2"/>
        <v>0</v>
      </c>
      <c r="C33" s="113"/>
      <c r="D33" s="1810">
        <f t="shared" si="7"/>
        <v>0</v>
      </c>
      <c r="E33" s="113"/>
      <c r="F33" s="111">
        <f t="shared" si="7"/>
        <v>0</v>
      </c>
      <c r="G33" s="114"/>
      <c r="H33" s="114"/>
      <c r="I33" s="114"/>
      <c r="J33" s="114"/>
      <c r="K33" s="134">
        <f t="shared" si="1"/>
        <v>0</v>
      </c>
      <c r="L33" s="115"/>
      <c r="M33" s="113"/>
      <c r="N33" s="118">
        <f t="shared" si="6"/>
        <v>0</v>
      </c>
      <c r="O33" s="118">
        <f t="shared" si="0"/>
        <v>66395967</v>
      </c>
    </row>
    <row r="34" spans="1:17" x14ac:dyDescent="0.25">
      <c r="A34" s="110">
        <f t="shared" si="5"/>
        <v>44130</v>
      </c>
      <c r="B34" s="111">
        <f t="shared" si="2"/>
        <v>0</v>
      </c>
      <c r="C34" s="113"/>
      <c r="D34" s="1810">
        <f t="shared" si="7"/>
        <v>0</v>
      </c>
      <c r="E34" s="113"/>
      <c r="F34" s="111">
        <f t="shared" si="7"/>
        <v>0</v>
      </c>
      <c r="G34" s="114"/>
      <c r="H34" s="114"/>
      <c r="I34" s="114"/>
      <c r="J34" s="114"/>
      <c r="K34" s="134">
        <f t="shared" si="1"/>
        <v>0</v>
      </c>
      <c r="L34" s="115"/>
      <c r="M34" s="113"/>
      <c r="N34" s="118">
        <f t="shared" si="6"/>
        <v>0</v>
      </c>
      <c r="O34" s="118">
        <f t="shared" si="0"/>
        <v>66395967</v>
      </c>
    </row>
    <row r="35" spans="1:17" x14ac:dyDescent="0.25">
      <c r="A35" s="110">
        <f t="shared" si="5"/>
        <v>44131</v>
      </c>
      <c r="B35" s="111">
        <f t="shared" si="2"/>
        <v>0</v>
      </c>
      <c r="C35" s="113"/>
      <c r="D35" s="1810">
        <f t="shared" si="7"/>
        <v>0</v>
      </c>
      <c r="E35" s="113"/>
      <c r="F35" s="111">
        <f t="shared" si="7"/>
        <v>0</v>
      </c>
      <c r="G35" s="114"/>
      <c r="H35" s="114"/>
      <c r="I35" s="114"/>
      <c r="J35" s="114"/>
      <c r="K35" s="134">
        <f t="shared" si="1"/>
        <v>0</v>
      </c>
      <c r="L35" s="950"/>
      <c r="M35" s="1010"/>
      <c r="N35" s="118">
        <f t="shared" si="6"/>
        <v>0</v>
      </c>
      <c r="O35" s="118">
        <f t="shared" si="0"/>
        <v>66395967</v>
      </c>
      <c r="Q35" s="218"/>
    </row>
    <row r="36" spans="1:17" x14ac:dyDescent="0.25">
      <c r="A36" s="110">
        <f t="shared" si="5"/>
        <v>44132</v>
      </c>
      <c r="B36" s="111">
        <f t="shared" si="2"/>
        <v>0</v>
      </c>
      <c r="C36" s="113"/>
      <c r="D36" s="1810">
        <f t="shared" si="7"/>
        <v>0</v>
      </c>
      <c r="E36" s="113"/>
      <c r="F36" s="111">
        <f t="shared" si="7"/>
        <v>0</v>
      </c>
      <c r="G36" s="114"/>
      <c r="H36" s="114"/>
      <c r="I36" s="114"/>
      <c r="J36" s="114"/>
      <c r="K36" s="134">
        <f t="shared" si="1"/>
        <v>0</v>
      </c>
      <c r="L36" s="115"/>
      <c r="M36" s="113"/>
      <c r="N36" s="118">
        <f t="shared" si="6"/>
        <v>0</v>
      </c>
      <c r="O36" s="118">
        <f t="shared" si="0"/>
        <v>66395967</v>
      </c>
      <c r="P36" s="218"/>
    </row>
    <row r="37" spans="1:17" x14ac:dyDescent="0.25">
      <c r="A37" s="110">
        <f t="shared" si="5"/>
        <v>44133</v>
      </c>
      <c r="B37" s="111">
        <f t="shared" si="2"/>
        <v>0</v>
      </c>
      <c r="C37" s="113"/>
      <c r="D37" s="1810">
        <f t="shared" si="7"/>
        <v>0</v>
      </c>
      <c r="E37" s="113"/>
      <c r="F37" s="111">
        <f t="shared" si="7"/>
        <v>0</v>
      </c>
      <c r="G37" s="114"/>
      <c r="H37" s="114"/>
      <c r="I37" s="114"/>
      <c r="J37" s="114"/>
      <c r="K37" s="134">
        <f t="shared" si="1"/>
        <v>0</v>
      </c>
      <c r="L37" s="115"/>
      <c r="M37" s="113"/>
      <c r="N37" s="118">
        <f t="shared" si="6"/>
        <v>0</v>
      </c>
      <c r="O37" s="118">
        <f t="shared" si="0"/>
        <v>66395967</v>
      </c>
      <c r="P37" s="218"/>
    </row>
    <row r="38" spans="1:17" x14ac:dyDescent="0.25">
      <c r="A38" s="110">
        <f t="shared" si="5"/>
        <v>44134</v>
      </c>
      <c r="B38" s="111">
        <f t="shared" si="2"/>
        <v>0</v>
      </c>
      <c r="C38" s="113"/>
      <c r="D38" s="1810">
        <f t="shared" si="7"/>
        <v>0</v>
      </c>
      <c r="E38" s="113"/>
      <c r="F38" s="111">
        <f t="shared" si="7"/>
        <v>0</v>
      </c>
      <c r="G38" s="114"/>
      <c r="H38" s="114"/>
      <c r="I38" s="114"/>
      <c r="J38" s="114"/>
      <c r="K38" s="134">
        <f t="shared" si="1"/>
        <v>0</v>
      </c>
      <c r="L38" s="115"/>
      <c r="M38" s="113"/>
      <c r="N38" s="118">
        <f t="shared" si="6"/>
        <v>0</v>
      </c>
      <c r="O38" s="118">
        <f t="shared" si="0"/>
        <v>66395967</v>
      </c>
    </row>
    <row r="39" spans="1:17" x14ac:dyDescent="0.25">
      <c r="A39" s="110">
        <f t="shared" si="5"/>
        <v>44135</v>
      </c>
      <c r="B39" s="111"/>
      <c r="C39" s="113"/>
      <c r="D39" s="1810">
        <f t="shared" si="7"/>
        <v>0</v>
      </c>
      <c r="E39" s="113"/>
      <c r="F39" s="111"/>
      <c r="G39" s="114"/>
      <c r="H39" s="114"/>
      <c r="I39" s="114"/>
      <c r="J39" s="114"/>
      <c r="K39" s="134">
        <f t="shared" si="1"/>
        <v>0</v>
      </c>
      <c r="L39" s="115"/>
      <c r="M39" s="113"/>
      <c r="N39" s="118">
        <f t="shared" si="6"/>
        <v>0</v>
      </c>
      <c r="O39" s="118">
        <f t="shared" si="0"/>
        <v>66395967</v>
      </c>
    </row>
    <row r="40" spans="1:17" hidden="1" x14ac:dyDescent="0.25">
      <c r="A40" s="110">
        <f t="shared" si="5"/>
        <v>44136</v>
      </c>
      <c r="B40" s="111"/>
      <c r="C40" s="113"/>
      <c r="D40" s="1809">
        <f t="shared" si="7"/>
        <v>0</v>
      </c>
      <c r="E40" s="113"/>
      <c r="F40" s="111"/>
      <c r="G40" s="114"/>
      <c r="H40" s="114"/>
      <c r="I40" s="114"/>
      <c r="J40" s="114"/>
      <c r="K40" s="134">
        <f t="shared" si="1"/>
        <v>0</v>
      </c>
      <c r="L40" s="115"/>
      <c r="M40" s="113"/>
      <c r="N40" s="118">
        <f t="shared" si="6"/>
        <v>0</v>
      </c>
      <c r="O40" s="118">
        <f t="shared" si="0"/>
        <v>66395967</v>
      </c>
    </row>
    <row r="41" spans="1:17" hidden="1" x14ac:dyDescent="0.25">
      <c r="A41" s="110">
        <f t="shared" si="5"/>
        <v>44137</v>
      </c>
      <c r="B41" s="111"/>
      <c r="C41" s="113"/>
      <c r="D41" s="1809">
        <f t="shared" si="7"/>
        <v>0</v>
      </c>
      <c r="E41" s="113"/>
      <c r="F41" s="111"/>
      <c r="G41" s="114"/>
      <c r="H41" s="114"/>
      <c r="I41" s="114"/>
      <c r="J41" s="114"/>
      <c r="K41" s="134">
        <f t="shared" si="1"/>
        <v>0</v>
      </c>
      <c r="L41" s="115"/>
      <c r="M41" s="113"/>
      <c r="N41" s="118">
        <f t="shared" si="6"/>
        <v>0</v>
      </c>
      <c r="O41" s="118">
        <f t="shared" si="0"/>
        <v>66395967</v>
      </c>
    </row>
    <row r="42" spans="1:17" ht="54.75" hidden="1" customHeight="1" x14ac:dyDescent="0.25">
      <c r="A42" s="110">
        <f t="shared" si="5"/>
        <v>44138</v>
      </c>
      <c r="B42" s="111"/>
      <c r="C42" s="113"/>
      <c r="D42" s="1809">
        <f t="shared" si="7"/>
        <v>0</v>
      </c>
      <c r="E42" s="113"/>
      <c r="F42" s="111"/>
      <c r="G42" s="114"/>
      <c r="H42" s="114"/>
      <c r="I42" s="114"/>
      <c r="J42" s="114"/>
      <c r="K42" s="134">
        <f t="shared" si="1"/>
        <v>0</v>
      </c>
      <c r="L42" s="115"/>
      <c r="M42" s="113"/>
      <c r="N42" s="118">
        <f t="shared" si="6"/>
        <v>0</v>
      </c>
      <c r="O42" s="118">
        <f t="shared" si="0"/>
        <v>66395967</v>
      </c>
    </row>
    <row r="43" spans="1:17" hidden="1" x14ac:dyDescent="0.25">
      <c r="A43" s="110">
        <f t="shared" si="5"/>
        <v>44139</v>
      </c>
      <c r="B43" s="111"/>
      <c r="C43" s="113"/>
      <c r="D43" s="1809">
        <f t="shared" si="7"/>
        <v>0</v>
      </c>
      <c r="E43" s="113"/>
      <c r="F43" s="111"/>
      <c r="G43" s="114"/>
      <c r="H43" s="114"/>
      <c r="I43" s="114"/>
      <c r="J43" s="114"/>
      <c r="K43" s="134">
        <f t="shared" si="1"/>
        <v>0</v>
      </c>
      <c r="L43" s="115"/>
      <c r="M43" s="113"/>
      <c r="N43" s="118">
        <f t="shared" si="6"/>
        <v>0</v>
      </c>
      <c r="O43" s="118">
        <f t="shared" si="0"/>
        <v>66395967</v>
      </c>
    </row>
    <row r="44" spans="1:17" hidden="1" x14ac:dyDescent="0.25">
      <c r="A44" s="110">
        <f t="shared" si="5"/>
        <v>44140</v>
      </c>
      <c r="B44" s="111"/>
      <c r="C44" s="113"/>
      <c r="D44" s="1809">
        <f t="shared" si="7"/>
        <v>0</v>
      </c>
      <c r="E44" s="113"/>
      <c r="F44" s="111"/>
      <c r="G44" s="114"/>
      <c r="H44" s="114"/>
      <c r="I44" s="114"/>
      <c r="J44" s="114"/>
      <c r="K44" s="134">
        <f t="shared" si="1"/>
        <v>0</v>
      </c>
      <c r="L44" s="115"/>
      <c r="M44" s="113"/>
      <c r="N44" s="118">
        <f t="shared" si="6"/>
        <v>0</v>
      </c>
      <c r="O44" s="118">
        <f t="shared" si="0"/>
        <v>66395967</v>
      </c>
    </row>
    <row r="45" spans="1:17" hidden="1" x14ac:dyDescent="0.25">
      <c r="A45" s="110">
        <f t="shared" si="5"/>
        <v>44141</v>
      </c>
      <c r="B45" s="111"/>
      <c r="C45" s="113"/>
      <c r="D45" s="1809">
        <f t="shared" si="7"/>
        <v>0</v>
      </c>
      <c r="E45" s="113"/>
      <c r="F45" s="111"/>
      <c r="G45" s="114"/>
      <c r="H45" s="114"/>
      <c r="I45" s="114"/>
      <c r="J45" s="114"/>
      <c r="K45" s="134">
        <f t="shared" si="1"/>
        <v>0</v>
      </c>
      <c r="L45" s="115"/>
      <c r="M45" s="113"/>
      <c r="N45" s="118">
        <f t="shared" si="6"/>
        <v>0</v>
      </c>
      <c r="O45" s="118">
        <f t="shared" si="0"/>
        <v>66395967</v>
      </c>
    </row>
    <row r="46" spans="1:17" x14ac:dyDescent="0.25">
      <c r="A46" s="110">
        <f t="shared" si="5"/>
        <v>44142</v>
      </c>
      <c r="B46" s="111">
        <f t="shared" si="2"/>
        <v>0</v>
      </c>
      <c r="C46" s="113"/>
      <c r="D46" s="1809">
        <f t="shared" si="7"/>
        <v>0</v>
      </c>
      <c r="E46" s="113"/>
      <c r="F46" s="111">
        <f t="shared" si="7"/>
        <v>0</v>
      </c>
      <c r="G46" s="114"/>
      <c r="H46" s="114"/>
      <c r="I46" s="114"/>
      <c r="J46" s="114"/>
      <c r="K46" s="134">
        <f t="shared" si="1"/>
        <v>0</v>
      </c>
      <c r="L46" s="115"/>
      <c r="M46" s="113"/>
      <c r="N46" s="114">
        <f t="shared" si="6"/>
        <v>0</v>
      </c>
      <c r="O46" s="120">
        <f>+O38+K46-M46</f>
        <v>66395967</v>
      </c>
      <c r="P46" s="218"/>
    </row>
    <row r="47" spans="1:17" x14ac:dyDescent="0.25">
      <c r="A47" s="110" t="s">
        <v>18</v>
      </c>
      <c r="B47" s="115">
        <f t="shared" ref="B47:J47" si="8">SUM(B9:B46)</f>
        <v>0</v>
      </c>
      <c r="C47" s="115">
        <f>SUM(C9:C46)</f>
        <v>0</v>
      </c>
      <c r="D47" s="122">
        <f t="shared" si="8"/>
        <v>0</v>
      </c>
      <c r="E47" s="115">
        <f>SUM(E9:E46)</f>
        <v>0</v>
      </c>
      <c r="F47" s="115">
        <f>SUM(F9:F46)</f>
        <v>0</v>
      </c>
      <c r="G47" s="115">
        <f t="shared" si="8"/>
        <v>0</v>
      </c>
      <c r="H47" s="115">
        <f t="shared" si="8"/>
        <v>0</v>
      </c>
      <c r="I47" s="115">
        <f t="shared" si="8"/>
        <v>0</v>
      </c>
      <c r="J47" s="115">
        <f t="shared" si="8"/>
        <v>0</v>
      </c>
      <c r="K47" s="115">
        <f>SUM(K9:K46)</f>
        <v>0</v>
      </c>
      <c r="L47" s="115"/>
      <c r="M47" s="950">
        <f>SUM(M8:M46)</f>
        <v>0</v>
      </c>
      <c r="N47" s="120">
        <f>+O46</f>
        <v>66395967</v>
      </c>
      <c r="O47" s="123"/>
    </row>
    <row r="48" spans="1:17" x14ac:dyDescent="0.25">
      <c r="A48" s="124"/>
      <c r="B48" s="124"/>
      <c r="C48" s="124"/>
      <c r="D48" s="125"/>
      <c r="E48" s="124"/>
      <c r="F48" s="124"/>
      <c r="G48" s="124"/>
      <c r="H48" s="124"/>
      <c r="I48" s="124"/>
      <c r="J48" s="124"/>
      <c r="K48" s="1564"/>
      <c r="L48" s="124"/>
      <c r="M48" s="1564"/>
      <c r="N48" s="124"/>
      <c r="O48" s="124"/>
    </row>
    <row r="49" spans="1:15" x14ac:dyDescent="0.25">
      <c r="A49" s="57" t="s">
        <v>121</v>
      </c>
      <c r="B49" s="57" t="s">
        <v>61</v>
      </c>
      <c r="C49" s="57" t="s">
        <v>122</v>
      </c>
      <c r="D49" s="126" t="s">
        <v>39</v>
      </c>
      <c r="M49" s="386"/>
      <c r="O49" s="386"/>
    </row>
    <row r="50" spans="1:15" x14ac:dyDescent="0.25">
      <c r="A50" s="57" t="s">
        <v>15</v>
      </c>
      <c r="B50" s="127">
        <f>B47</f>
        <v>0</v>
      </c>
      <c r="C50" s="57"/>
      <c r="D50" s="126">
        <f>B50*C50</f>
        <v>0</v>
      </c>
      <c r="M50" s="661">
        <v>31376</v>
      </c>
      <c r="N50" s="662"/>
      <c r="O50" s="663">
        <f>+O46-250000</f>
        <v>66145967</v>
      </c>
    </row>
    <row r="51" spans="1:15" x14ac:dyDescent="0.25">
      <c r="A51" s="57" t="s">
        <v>16</v>
      </c>
      <c r="B51" s="126">
        <f>D47</f>
        <v>0</v>
      </c>
      <c r="C51" s="57">
        <v>5</v>
      </c>
      <c r="D51" s="113">
        <f>B51*C51</f>
        <v>0</v>
      </c>
      <c r="H51" s="116"/>
      <c r="K51" s="116"/>
      <c r="L51" s="116"/>
      <c r="M51" s="664"/>
      <c r="N51" s="664"/>
      <c r="O51" s="662"/>
    </row>
    <row r="52" spans="1:15" x14ac:dyDescent="0.25">
      <c r="A52" s="57" t="s">
        <v>17</v>
      </c>
      <c r="B52" s="127">
        <f>F47</f>
        <v>0</v>
      </c>
      <c r="C52" s="57"/>
      <c r="D52" s="126">
        <f>B52*C52</f>
        <v>0</v>
      </c>
      <c r="E52" s="99"/>
      <c r="G52" s="386"/>
      <c r="H52" s="386"/>
      <c r="M52" s="662"/>
      <c r="N52" s="662"/>
      <c r="O52" s="664">
        <f>86000/520</f>
        <v>165.38461538461539</v>
      </c>
    </row>
    <row r="53" spans="1:15" x14ac:dyDescent="0.25">
      <c r="A53" s="128" t="s">
        <v>18</v>
      </c>
      <c r="B53" s="129"/>
      <c r="C53" s="130"/>
      <c r="D53" s="113">
        <f>SUM(D50:D52)</f>
        <v>0</v>
      </c>
      <c r="E53" s="386"/>
      <c r="M53" s="386"/>
      <c r="O53" s="116"/>
    </row>
    <row r="54" spans="1:15" ht="18.75" x14ac:dyDescent="0.3">
      <c r="C54" s="1" t="s">
        <v>167</v>
      </c>
    </row>
  </sheetData>
  <mergeCells count="4">
    <mergeCell ref="H6:H7"/>
    <mergeCell ref="K6:K7"/>
    <mergeCell ref="J6:J7"/>
    <mergeCell ref="I6:I7"/>
  </mergeCells>
  <pageMargins left="0.70866141732283472" right="0.70866141732283472" top="0.74803149606299213" bottom="0.74803149606299213" header="0.31496062992125984" footer="0.31496062992125984"/>
  <pageSetup paperSize="9" scale="41"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tabColor theme="4" tint="-0.249977111117893"/>
  </sheetPr>
  <dimension ref="A2:Q48"/>
  <sheetViews>
    <sheetView zoomScaleNormal="100" workbookViewId="0">
      <selection activeCell="A9" sqref="A9"/>
    </sheetView>
  </sheetViews>
  <sheetFormatPr baseColWidth="10" defaultRowHeight="15" x14ac:dyDescent="0.2"/>
  <cols>
    <col min="1" max="1" width="11.42578125" style="37"/>
    <col min="2" max="2" width="14.5703125" style="37" customWidth="1"/>
    <col min="3" max="3" width="12.7109375" style="37" customWidth="1"/>
    <col min="4" max="4" width="14" style="37" customWidth="1"/>
    <col min="5" max="5" width="15.28515625" style="37" customWidth="1"/>
    <col min="6" max="6" width="11.42578125" style="37" customWidth="1"/>
    <col min="7" max="10" width="11.42578125" style="37"/>
    <col min="11" max="11" width="14.42578125" style="37" customWidth="1"/>
    <col min="12" max="12" width="21.28515625" style="37" customWidth="1"/>
    <col min="13" max="13" width="14.42578125" style="37" bestFit="1" customWidth="1"/>
    <col min="14" max="14" width="18" style="37" bestFit="1" customWidth="1"/>
    <col min="15" max="15" width="18" style="37" customWidth="1"/>
    <col min="16" max="16" width="11.42578125" style="37"/>
    <col min="17" max="17" width="13" style="37" bestFit="1" customWidth="1"/>
    <col min="18" max="16384" width="11.42578125" style="37"/>
  </cols>
  <sheetData>
    <row r="2" spans="1:16" ht="16.5" x14ac:dyDescent="0.3">
      <c r="A2" s="1" t="s">
        <v>118</v>
      </c>
      <c r="B2" s="1" t="s">
        <v>1727</v>
      </c>
    </row>
    <row r="3" spans="1:16" ht="15.75" x14ac:dyDescent="0.25">
      <c r="C3" s="99"/>
    </row>
    <row r="4" spans="1:16" ht="18.75" x14ac:dyDescent="0.3">
      <c r="A4" s="1" t="s">
        <v>19</v>
      </c>
      <c r="B4" s="142">
        <f>+SODITRAT!B4</f>
        <v>44075</v>
      </c>
    </row>
    <row r="5" spans="1:16" ht="16.5" x14ac:dyDescent="0.3">
      <c r="A5" s="1"/>
      <c r="B5" s="1"/>
      <c r="C5" s="1"/>
      <c r="K5" s="131"/>
      <c r="L5" s="131"/>
    </row>
    <row r="6" spans="1:16" ht="16.5" x14ac:dyDescent="0.2">
      <c r="A6" s="100" t="s">
        <v>3</v>
      </c>
      <c r="B6" s="101" t="s">
        <v>15</v>
      </c>
      <c r="C6" s="102"/>
      <c r="D6" s="101" t="s">
        <v>16</v>
      </c>
      <c r="E6" s="102"/>
      <c r="F6" s="101" t="s">
        <v>17</v>
      </c>
      <c r="G6" s="102"/>
      <c r="H6" s="345" t="s">
        <v>52</v>
      </c>
      <c r="I6" s="345" t="s">
        <v>53</v>
      </c>
      <c r="J6" s="2910" t="s">
        <v>119</v>
      </c>
      <c r="K6" s="2910" t="s">
        <v>18</v>
      </c>
      <c r="L6" s="3062" t="s">
        <v>435</v>
      </c>
      <c r="M6" s="2910" t="s">
        <v>60</v>
      </c>
      <c r="N6" s="2910" t="s">
        <v>55</v>
      </c>
      <c r="O6" s="2910" t="s">
        <v>120</v>
      </c>
    </row>
    <row r="7" spans="1:16" ht="21" x14ac:dyDescent="0.2">
      <c r="A7" s="103"/>
      <c r="B7" s="915">
        <v>650</v>
      </c>
      <c r="C7" s="916"/>
      <c r="D7" s="915">
        <v>600</v>
      </c>
      <c r="E7" s="916"/>
      <c r="F7" s="915">
        <v>350</v>
      </c>
      <c r="G7" s="916"/>
      <c r="H7" s="347"/>
      <c r="I7" s="347"/>
      <c r="J7" s="2911"/>
      <c r="K7" s="2911"/>
      <c r="L7" s="3064"/>
      <c r="M7" s="2911"/>
      <c r="N7" s="2911"/>
      <c r="O7" s="2911"/>
    </row>
    <row r="8" spans="1:16" ht="16.5" x14ac:dyDescent="0.2">
      <c r="A8" s="472"/>
      <c r="B8" s="106" t="s">
        <v>56</v>
      </c>
      <c r="C8" s="106" t="s">
        <v>37</v>
      </c>
      <c r="D8" s="107" t="s">
        <v>56</v>
      </c>
      <c r="E8" s="106" t="s">
        <v>37</v>
      </c>
      <c r="F8" s="106" t="s">
        <v>56</v>
      </c>
      <c r="G8" s="106" t="s">
        <v>37</v>
      </c>
      <c r="H8" s="468"/>
      <c r="I8" s="468"/>
      <c r="J8" s="370"/>
      <c r="K8" s="370"/>
      <c r="L8" s="370"/>
      <c r="M8" s="473"/>
      <c r="N8" s="371">
        <v>0</v>
      </c>
      <c r="O8" s="109">
        <f>+N8-M8</f>
        <v>0</v>
      </c>
    </row>
    <row r="9" spans="1:16" ht="16.5" x14ac:dyDescent="0.25">
      <c r="A9" s="110">
        <f>+SODITRAT!A9</f>
        <v>44105</v>
      </c>
      <c r="B9" s="111">
        <f>C9/B$7</f>
        <v>0</v>
      </c>
      <c r="C9" s="113"/>
      <c r="D9" s="111">
        <f>+E9/D$7</f>
        <v>0</v>
      </c>
      <c r="E9" s="279"/>
      <c r="F9" s="111">
        <f>+G9/F$7</f>
        <v>0</v>
      </c>
      <c r="G9" s="114"/>
      <c r="H9" s="114"/>
      <c r="I9" s="114"/>
      <c r="J9" s="114"/>
      <c r="K9" s="115">
        <f>C9+E9+G9+H9+I9+J9</f>
        <v>0</v>
      </c>
      <c r="L9" s="115"/>
      <c r="M9" s="106"/>
      <c r="N9" s="114">
        <f>K9-M9</f>
        <v>0</v>
      </c>
      <c r="O9" s="114">
        <f>+O8+K9-M9</f>
        <v>0</v>
      </c>
    </row>
    <row r="10" spans="1:16" ht="16.5" x14ac:dyDescent="0.3">
      <c r="A10" s="110">
        <f>+A9+1</f>
        <v>44106</v>
      </c>
      <c r="B10" s="111">
        <f t="shared" ref="B10:B39" si="0">C10/B$7</f>
        <v>0</v>
      </c>
      <c r="C10" s="113"/>
      <c r="D10" s="111">
        <f t="shared" ref="D10:F25" si="1">+E10/D$7</f>
        <v>0</v>
      </c>
      <c r="E10" s="279"/>
      <c r="F10" s="111">
        <f>+G10/F$7</f>
        <v>0</v>
      </c>
      <c r="G10" s="114"/>
      <c r="H10" s="114"/>
      <c r="I10" s="114"/>
      <c r="J10" s="114"/>
      <c r="K10" s="115">
        <f t="shared" ref="K10:K39" si="2">C10+E10+G10+H10+I10+J10</f>
        <v>0</v>
      </c>
      <c r="L10" s="115"/>
      <c r="M10" s="112"/>
      <c r="N10" s="114">
        <f t="shared" ref="N10:N39" si="3">K10-M10</f>
        <v>0</v>
      </c>
      <c r="O10" s="114">
        <f t="shared" ref="O10:O38" si="4">+O9+K10-M10</f>
        <v>0</v>
      </c>
    </row>
    <row r="11" spans="1:16" ht="16.5" x14ac:dyDescent="0.25">
      <c r="A11" s="110">
        <f t="shared" ref="A11:A39" si="5">+A10+1</f>
        <v>44107</v>
      </c>
      <c r="B11" s="111">
        <f t="shared" si="0"/>
        <v>0</v>
      </c>
      <c r="C11" s="113"/>
      <c r="D11" s="111">
        <f t="shared" si="1"/>
        <v>0</v>
      </c>
      <c r="E11" s="279"/>
      <c r="F11" s="111">
        <f t="shared" si="1"/>
        <v>0</v>
      </c>
      <c r="G11" s="114"/>
      <c r="H11" s="114"/>
      <c r="I11" s="114"/>
      <c r="J11" s="114"/>
      <c r="K11" s="115">
        <f t="shared" si="2"/>
        <v>0</v>
      </c>
      <c r="L11" s="115"/>
      <c r="M11" s="106"/>
      <c r="N11" s="114">
        <f t="shared" si="3"/>
        <v>0</v>
      </c>
      <c r="O11" s="114">
        <f t="shared" si="4"/>
        <v>0</v>
      </c>
    </row>
    <row r="12" spans="1:16" ht="16.5" x14ac:dyDescent="0.25">
      <c r="A12" s="110">
        <f t="shared" si="5"/>
        <v>44108</v>
      </c>
      <c r="B12" s="111">
        <f t="shared" si="0"/>
        <v>0</v>
      </c>
      <c r="C12" s="113"/>
      <c r="D12" s="111">
        <f t="shared" si="1"/>
        <v>0</v>
      </c>
      <c r="E12" s="279"/>
      <c r="F12" s="111">
        <f t="shared" si="1"/>
        <v>0</v>
      </c>
      <c r="G12" s="114"/>
      <c r="H12" s="114"/>
      <c r="I12" s="114"/>
      <c r="J12" s="114"/>
      <c r="K12" s="115">
        <f t="shared" si="2"/>
        <v>0</v>
      </c>
      <c r="L12" s="115"/>
      <c r="M12" s="106"/>
      <c r="N12" s="114">
        <f t="shared" si="3"/>
        <v>0</v>
      </c>
      <c r="O12" s="114">
        <f>+O11+K12-M12</f>
        <v>0</v>
      </c>
      <c r="P12" s="116"/>
    </row>
    <row r="13" spans="1:16" ht="16.5" x14ac:dyDescent="0.25">
      <c r="A13" s="110">
        <f t="shared" si="5"/>
        <v>44109</v>
      </c>
      <c r="B13" s="111">
        <f t="shared" si="0"/>
        <v>0</v>
      </c>
      <c r="C13" s="113"/>
      <c r="D13" s="111">
        <f t="shared" si="1"/>
        <v>0</v>
      </c>
      <c r="E13" s="279"/>
      <c r="F13" s="111">
        <f t="shared" si="1"/>
        <v>0</v>
      </c>
      <c r="G13" s="114"/>
      <c r="H13" s="114"/>
      <c r="I13" s="114"/>
      <c r="J13" s="114"/>
      <c r="K13" s="115">
        <f t="shared" si="2"/>
        <v>0</v>
      </c>
      <c r="L13" s="115"/>
      <c r="M13" s="106"/>
      <c r="N13" s="114">
        <f t="shared" si="3"/>
        <v>0</v>
      </c>
      <c r="O13" s="114">
        <f t="shared" si="4"/>
        <v>0</v>
      </c>
    </row>
    <row r="14" spans="1:16" ht="16.5" x14ac:dyDescent="0.25">
      <c r="A14" s="110">
        <f t="shared" si="5"/>
        <v>44110</v>
      </c>
      <c r="B14" s="111">
        <f t="shared" si="0"/>
        <v>0</v>
      </c>
      <c r="C14" s="113"/>
      <c r="D14" s="111">
        <f t="shared" si="1"/>
        <v>0</v>
      </c>
      <c r="E14" s="279"/>
      <c r="F14" s="111">
        <f t="shared" si="1"/>
        <v>0</v>
      </c>
      <c r="G14" s="114"/>
      <c r="H14" s="114"/>
      <c r="I14" s="114"/>
      <c r="J14" s="114"/>
      <c r="K14" s="115">
        <f t="shared" si="2"/>
        <v>0</v>
      </c>
      <c r="L14" s="115"/>
      <c r="M14" s="106"/>
      <c r="N14" s="114">
        <f t="shared" si="3"/>
        <v>0</v>
      </c>
      <c r="O14" s="114">
        <f t="shared" si="4"/>
        <v>0</v>
      </c>
    </row>
    <row r="15" spans="1:16" ht="16.5" x14ac:dyDescent="0.25">
      <c r="A15" s="110">
        <f t="shared" si="5"/>
        <v>44111</v>
      </c>
      <c r="B15" s="111">
        <f t="shared" si="0"/>
        <v>0</v>
      </c>
      <c r="C15" s="113"/>
      <c r="D15" s="111">
        <f t="shared" si="1"/>
        <v>0</v>
      </c>
      <c r="E15" s="279"/>
      <c r="F15" s="111">
        <f t="shared" si="1"/>
        <v>0</v>
      </c>
      <c r="G15" s="114"/>
      <c r="H15" s="114"/>
      <c r="I15" s="114"/>
      <c r="J15" s="114"/>
      <c r="K15" s="115">
        <f t="shared" si="2"/>
        <v>0</v>
      </c>
      <c r="L15" s="115"/>
      <c r="M15" s="106"/>
      <c r="N15" s="114">
        <f t="shared" si="3"/>
        <v>0</v>
      </c>
      <c r="O15" s="114">
        <f t="shared" si="4"/>
        <v>0</v>
      </c>
    </row>
    <row r="16" spans="1:16" ht="16.5" x14ac:dyDescent="0.25">
      <c r="A16" s="110">
        <f t="shared" si="5"/>
        <v>44112</v>
      </c>
      <c r="B16" s="111">
        <f t="shared" si="0"/>
        <v>0</v>
      </c>
      <c r="C16" s="113"/>
      <c r="D16" s="111">
        <f t="shared" si="1"/>
        <v>0</v>
      </c>
      <c r="E16" s="279"/>
      <c r="F16" s="111">
        <f t="shared" si="1"/>
        <v>0</v>
      </c>
      <c r="G16" s="114"/>
      <c r="H16" s="114"/>
      <c r="I16" s="114"/>
      <c r="J16" s="114"/>
      <c r="K16" s="115">
        <f t="shared" si="2"/>
        <v>0</v>
      </c>
      <c r="L16" s="115"/>
      <c r="M16" s="106"/>
      <c r="N16" s="114">
        <f t="shared" si="3"/>
        <v>0</v>
      </c>
      <c r="O16" s="114">
        <f t="shared" si="4"/>
        <v>0</v>
      </c>
    </row>
    <row r="17" spans="1:17" ht="16.5" x14ac:dyDescent="0.25">
      <c r="A17" s="110">
        <f t="shared" si="5"/>
        <v>44113</v>
      </c>
      <c r="B17" s="111">
        <f t="shared" si="0"/>
        <v>0</v>
      </c>
      <c r="C17" s="113"/>
      <c r="D17" s="117">
        <f t="shared" si="1"/>
        <v>0</v>
      </c>
      <c r="E17" s="279"/>
      <c r="F17" s="111">
        <f t="shared" si="1"/>
        <v>0</v>
      </c>
      <c r="G17" s="118"/>
      <c r="H17" s="118"/>
      <c r="I17" s="118"/>
      <c r="J17" s="118"/>
      <c r="K17" s="115">
        <f t="shared" si="2"/>
        <v>0</v>
      </c>
      <c r="L17" s="134"/>
      <c r="M17" s="106"/>
      <c r="N17" s="114">
        <f t="shared" si="3"/>
        <v>0</v>
      </c>
      <c r="O17" s="118">
        <f t="shared" si="4"/>
        <v>0</v>
      </c>
    </row>
    <row r="18" spans="1:17" ht="16.5" x14ac:dyDescent="0.25">
      <c r="A18" s="110">
        <f t="shared" si="5"/>
        <v>44114</v>
      </c>
      <c r="B18" s="111">
        <f t="shared" si="0"/>
        <v>0</v>
      </c>
      <c r="C18" s="113"/>
      <c r="D18" s="117">
        <f t="shared" si="1"/>
        <v>0</v>
      </c>
      <c r="E18" s="279"/>
      <c r="F18" s="111">
        <f t="shared" si="1"/>
        <v>0</v>
      </c>
      <c r="G18" s="118"/>
      <c r="H18" s="118"/>
      <c r="I18" s="118"/>
      <c r="J18" s="118"/>
      <c r="K18" s="115">
        <f t="shared" si="2"/>
        <v>0</v>
      </c>
      <c r="L18" s="134"/>
      <c r="M18" s="106"/>
      <c r="N18" s="114">
        <f t="shared" si="3"/>
        <v>0</v>
      </c>
      <c r="O18" s="118">
        <f t="shared" si="4"/>
        <v>0</v>
      </c>
    </row>
    <row r="19" spans="1:17" ht="16.5" x14ac:dyDescent="0.25">
      <c r="A19" s="110">
        <f t="shared" si="5"/>
        <v>44115</v>
      </c>
      <c r="B19" s="111">
        <f t="shared" si="0"/>
        <v>0</v>
      </c>
      <c r="C19" s="113"/>
      <c r="D19" s="118">
        <f t="shared" si="1"/>
        <v>0</v>
      </c>
      <c r="E19" s="279"/>
      <c r="F19" s="111">
        <f t="shared" si="1"/>
        <v>0</v>
      </c>
      <c r="G19" s="118"/>
      <c r="H19" s="118"/>
      <c r="I19" s="118"/>
      <c r="J19" s="118"/>
      <c r="K19" s="115">
        <f t="shared" si="2"/>
        <v>0</v>
      </c>
      <c r="L19" s="134"/>
      <c r="M19" s="106"/>
      <c r="N19" s="114">
        <f t="shared" si="3"/>
        <v>0</v>
      </c>
      <c r="O19" s="118">
        <f t="shared" si="4"/>
        <v>0</v>
      </c>
      <c r="Q19" s="386"/>
    </row>
    <row r="20" spans="1:17" ht="16.5" x14ac:dyDescent="0.25">
      <c r="A20" s="110">
        <f t="shared" si="5"/>
        <v>44116</v>
      </c>
      <c r="B20" s="117">
        <f t="shared" si="0"/>
        <v>0</v>
      </c>
      <c r="C20" s="113"/>
      <c r="D20" s="117">
        <f t="shared" si="1"/>
        <v>0</v>
      </c>
      <c r="E20" s="279"/>
      <c r="F20" s="111">
        <f t="shared" si="1"/>
        <v>0</v>
      </c>
      <c r="G20" s="118"/>
      <c r="H20" s="118"/>
      <c r="I20" s="118"/>
      <c r="J20" s="118"/>
      <c r="K20" s="115">
        <f t="shared" si="2"/>
        <v>0</v>
      </c>
      <c r="L20" s="134"/>
      <c r="M20" s="106"/>
      <c r="N20" s="114">
        <f t="shared" si="3"/>
        <v>0</v>
      </c>
      <c r="O20" s="118">
        <f t="shared" si="4"/>
        <v>0</v>
      </c>
    </row>
    <row r="21" spans="1:17" ht="16.5" x14ac:dyDescent="0.25">
      <c r="A21" s="110">
        <f t="shared" si="5"/>
        <v>44117</v>
      </c>
      <c r="B21" s="117">
        <f t="shared" si="0"/>
        <v>0</v>
      </c>
      <c r="C21" s="113"/>
      <c r="D21" s="117">
        <f t="shared" si="1"/>
        <v>0</v>
      </c>
      <c r="E21" s="279"/>
      <c r="F21" s="111">
        <f t="shared" si="1"/>
        <v>0</v>
      </c>
      <c r="G21" s="118"/>
      <c r="H21" s="118"/>
      <c r="I21" s="118"/>
      <c r="J21" s="118"/>
      <c r="K21" s="115">
        <f t="shared" si="2"/>
        <v>0</v>
      </c>
      <c r="L21" s="134"/>
      <c r="M21" s="106"/>
      <c r="N21" s="114">
        <f t="shared" si="3"/>
        <v>0</v>
      </c>
      <c r="O21" s="118">
        <f t="shared" si="4"/>
        <v>0</v>
      </c>
    </row>
    <row r="22" spans="1:17" ht="16.5" x14ac:dyDescent="0.25">
      <c r="A22" s="110">
        <f t="shared" si="5"/>
        <v>44118</v>
      </c>
      <c r="B22" s="117">
        <f t="shared" si="0"/>
        <v>0</v>
      </c>
      <c r="C22" s="113"/>
      <c r="D22" s="117">
        <f t="shared" si="1"/>
        <v>0</v>
      </c>
      <c r="E22" s="279"/>
      <c r="F22" s="111">
        <f t="shared" si="1"/>
        <v>0</v>
      </c>
      <c r="G22" s="118"/>
      <c r="H22" s="118"/>
      <c r="I22" s="118"/>
      <c r="J22" s="118"/>
      <c r="K22" s="115">
        <f t="shared" si="2"/>
        <v>0</v>
      </c>
      <c r="L22" s="134"/>
      <c r="M22" s="106"/>
      <c r="N22" s="114">
        <f t="shared" si="3"/>
        <v>0</v>
      </c>
      <c r="O22" s="118">
        <f t="shared" si="4"/>
        <v>0</v>
      </c>
    </row>
    <row r="23" spans="1:17" ht="16.5" x14ac:dyDescent="0.25">
      <c r="A23" s="110">
        <f t="shared" si="5"/>
        <v>44119</v>
      </c>
      <c r="B23" s="117">
        <f t="shared" si="0"/>
        <v>0</v>
      </c>
      <c r="C23" s="113"/>
      <c r="D23" s="117">
        <f t="shared" si="1"/>
        <v>0</v>
      </c>
      <c r="E23" s="279"/>
      <c r="F23" s="117">
        <f t="shared" si="1"/>
        <v>0</v>
      </c>
      <c r="G23" s="118"/>
      <c r="H23" s="118"/>
      <c r="I23" s="118"/>
      <c r="J23" s="118"/>
      <c r="K23" s="115">
        <f t="shared" si="2"/>
        <v>0</v>
      </c>
      <c r="L23" s="134"/>
      <c r="M23" s="106"/>
      <c r="N23" s="114">
        <f t="shared" si="3"/>
        <v>0</v>
      </c>
      <c r="O23" s="118">
        <f t="shared" si="4"/>
        <v>0</v>
      </c>
    </row>
    <row r="24" spans="1:17" ht="16.5" x14ac:dyDescent="0.25">
      <c r="A24" s="110">
        <f t="shared" si="5"/>
        <v>44120</v>
      </c>
      <c r="B24" s="117">
        <f t="shared" si="0"/>
        <v>0</v>
      </c>
      <c r="C24" s="113"/>
      <c r="D24" s="117">
        <f t="shared" si="1"/>
        <v>0</v>
      </c>
      <c r="E24" s="279"/>
      <c r="F24" s="117">
        <f t="shared" si="1"/>
        <v>0</v>
      </c>
      <c r="G24" s="118"/>
      <c r="H24" s="118"/>
      <c r="I24" s="118"/>
      <c r="J24" s="118"/>
      <c r="K24" s="115">
        <f t="shared" si="2"/>
        <v>0</v>
      </c>
      <c r="L24" s="134"/>
      <c r="M24" s="106"/>
      <c r="N24" s="114">
        <f t="shared" si="3"/>
        <v>0</v>
      </c>
      <c r="O24" s="118">
        <f t="shared" si="4"/>
        <v>0</v>
      </c>
    </row>
    <row r="25" spans="1:17" ht="16.5" x14ac:dyDescent="0.25">
      <c r="A25" s="110">
        <f t="shared" si="5"/>
        <v>44121</v>
      </c>
      <c r="B25" s="117">
        <f t="shared" si="0"/>
        <v>0</v>
      </c>
      <c r="C25" s="113"/>
      <c r="D25" s="117">
        <f t="shared" si="1"/>
        <v>0</v>
      </c>
      <c r="E25" s="279"/>
      <c r="F25" s="117">
        <f t="shared" si="1"/>
        <v>0</v>
      </c>
      <c r="G25" s="118"/>
      <c r="H25" s="118"/>
      <c r="I25" s="118"/>
      <c r="J25" s="118"/>
      <c r="K25" s="115">
        <f t="shared" si="2"/>
        <v>0</v>
      </c>
      <c r="L25" s="134"/>
      <c r="M25" s="106"/>
      <c r="N25" s="114">
        <f t="shared" si="3"/>
        <v>0</v>
      </c>
      <c r="O25" s="118">
        <f t="shared" si="4"/>
        <v>0</v>
      </c>
      <c r="Q25" s="386"/>
    </row>
    <row r="26" spans="1:17" ht="16.5" x14ac:dyDescent="0.3">
      <c r="A26" s="110">
        <f t="shared" si="5"/>
        <v>44122</v>
      </c>
      <c r="B26" s="117">
        <f t="shared" si="0"/>
        <v>0</v>
      </c>
      <c r="C26" s="113"/>
      <c r="D26" s="117">
        <f t="shared" ref="D26:F39" si="6">+E26/D$7</f>
        <v>0</v>
      </c>
      <c r="E26" s="279"/>
      <c r="F26" s="117">
        <f t="shared" si="6"/>
        <v>0</v>
      </c>
      <c r="G26" s="118"/>
      <c r="H26" s="118"/>
      <c r="I26" s="118"/>
      <c r="J26" s="118"/>
      <c r="K26" s="115">
        <f t="shared" si="2"/>
        <v>0</v>
      </c>
      <c r="L26" s="831"/>
      <c r="M26" s="106"/>
      <c r="N26" s="114">
        <f t="shared" si="3"/>
        <v>0</v>
      </c>
      <c r="O26" s="118">
        <f t="shared" si="4"/>
        <v>0</v>
      </c>
      <c r="P26" s="119"/>
    </row>
    <row r="27" spans="1:17" ht="16.5" x14ac:dyDescent="0.25">
      <c r="A27" s="110">
        <f t="shared" si="5"/>
        <v>44123</v>
      </c>
      <c r="B27" s="117">
        <f t="shared" si="0"/>
        <v>0</v>
      </c>
      <c r="C27" s="113"/>
      <c r="D27" s="117">
        <f t="shared" si="6"/>
        <v>0</v>
      </c>
      <c r="E27" s="279"/>
      <c r="F27" s="117">
        <f t="shared" si="6"/>
        <v>0</v>
      </c>
      <c r="G27" s="118"/>
      <c r="H27" s="118"/>
      <c r="I27" s="118"/>
      <c r="J27" s="118"/>
      <c r="K27" s="115">
        <f t="shared" si="2"/>
        <v>0</v>
      </c>
      <c r="L27" s="134"/>
      <c r="M27" s="106"/>
      <c r="N27" s="114">
        <f t="shared" si="3"/>
        <v>0</v>
      </c>
      <c r="O27" s="118">
        <f t="shared" si="4"/>
        <v>0</v>
      </c>
    </row>
    <row r="28" spans="1:17" ht="16.5" x14ac:dyDescent="0.25">
      <c r="A28" s="110">
        <f t="shared" si="5"/>
        <v>44124</v>
      </c>
      <c r="B28" s="117">
        <f t="shared" si="0"/>
        <v>0</v>
      </c>
      <c r="C28" s="113"/>
      <c r="D28" s="117">
        <f t="shared" si="6"/>
        <v>0</v>
      </c>
      <c r="E28" s="279"/>
      <c r="F28" s="117">
        <f t="shared" si="6"/>
        <v>0</v>
      </c>
      <c r="G28" s="118"/>
      <c r="H28" s="118"/>
      <c r="I28" s="118"/>
      <c r="J28" s="118"/>
      <c r="K28" s="115">
        <f t="shared" si="2"/>
        <v>0</v>
      </c>
      <c r="L28" s="134"/>
      <c r="M28" s="106"/>
      <c r="N28" s="114">
        <f t="shared" si="3"/>
        <v>0</v>
      </c>
      <c r="O28" s="118">
        <f t="shared" si="4"/>
        <v>0</v>
      </c>
    </row>
    <row r="29" spans="1:17" ht="16.5" x14ac:dyDescent="0.25">
      <c r="A29" s="110">
        <f t="shared" si="5"/>
        <v>44125</v>
      </c>
      <c r="B29" s="117">
        <f t="shared" si="0"/>
        <v>0</v>
      </c>
      <c r="C29" s="113"/>
      <c r="D29" s="117">
        <f t="shared" si="6"/>
        <v>0</v>
      </c>
      <c r="E29" s="279"/>
      <c r="F29" s="117">
        <f t="shared" si="6"/>
        <v>0</v>
      </c>
      <c r="G29" s="118"/>
      <c r="H29" s="118"/>
      <c r="I29" s="118"/>
      <c r="J29" s="118"/>
      <c r="K29" s="115">
        <f t="shared" si="2"/>
        <v>0</v>
      </c>
      <c r="L29" s="134"/>
      <c r="M29" s="106"/>
      <c r="N29" s="114">
        <f t="shared" si="3"/>
        <v>0</v>
      </c>
      <c r="O29" s="118">
        <f t="shared" si="4"/>
        <v>0</v>
      </c>
    </row>
    <row r="30" spans="1:17" ht="16.5" x14ac:dyDescent="0.25">
      <c r="A30" s="110">
        <f t="shared" si="5"/>
        <v>44126</v>
      </c>
      <c r="B30" s="117">
        <f t="shared" si="0"/>
        <v>0</v>
      </c>
      <c r="C30" s="113"/>
      <c r="D30" s="117">
        <f t="shared" si="6"/>
        <v>0</v>
      </c>
      <c r="E30" s="279"/>
      <c r="F30" s="117">
        <f t="shared" si="6"/>
        <v>0</v>
      </c>
      <c r="G30" s="118"/>
      <c r="H30" s="118"/>
      <c r="I30" s="118"/>
      <c r="J30" s="118"/>
      <c r="K30" s="115">
        <f t="shared" si="2"/>
        <v>0</v>
      </c>
      <c r="L30" s="134"/>
      <c r="M30" s="106"/>
      <c r="N30" s="114">
        <f t="shared" si="3"/>
        <v>0</v>
      </c>
      <c r="O30" s="118">
        <f t="shared" si="4"/>
        <v>0</v>
      </c>
    </row>
    <row r="31" spans="1:17" ht="16.5" x14ac:dyDescent="0.25">
      <c r="A31" s="110">
        <f t="shared" si="5"/>
        <v>44127</v>
      </c>
      <c r="B31" s="117">
        <f t="shared" si="0"/>
        <v>0</v>
      </c>
      <c r="C31" s="113"/>
      <c r="D31" s="117">
        <f t="shared" si="6"/>
        <v>0</v>
      </c>
      <c r="E31" s="279"/>
      <c r="F31" s="117">
        <f t="shared" si="6"/>
        <v>0</v>
      </c>
      <c r="G31" s="118"/>
      <c r="H31" s="118"/>
      <c r="I31" s="118"/>
      <c r="J31" s="118"/>
      <c r="K31" s="115">
        <f t="shared" si="2"/>
        <v>0</v>
      </c>
      <c r="L31" s="134"/>
      <c r="M31" s="106"/>
      <c r="N31" s="114">
        <f t="shared" si="3"/>
        <v>0</v>
      </c>
      <c r="O31" s="118">
        <f t="shared" si="4"/>
        <v>0</v>
      </c>
    </row>
    <row r="32" spans="1:17" ht="16.5" x14ac:dyDescent="0.25">
      <c r="A32" s="110">
        <f t="shared" si="5"/>
        <v>44128</v>
      </c>
      <c r="B32" s="111">
        <f t="shared" si="0"/>
        <v>0</v>
      </c>
      <c r="C32" s="113"/>
      <c r="D32" s="111">
        <f t="shared" si="6"/>
        <v>0</v>
      </c>
      <c r="E32" s="279"/>
      <c r="F32" s="111">
        <f t="shared" si="6"/>
        <v>0</v>
      </c>
      <c r="G32" s="114"/>
      <c r="H32" s="114"/>
      <c r="I32" s="114"/>
      <c r="J32" s="114"/>
      <c r="K32" s="115">
        <f t="shared" si="2"/>
        <v>0</v>
      </c>
      <c r="L32" s="115"/>
      <c r="M32" s="106"/>
      <c r="N32" s="114">
        <f t="shared" si="3"/>
        <v>0</v>
      </c>
      <c r="O32" s="118">
        <f t="shared" si="4"/>
        <v>0</v>
      </c>
      <c r="P32" s="3" t="s">
        <v>62</v>
      </c>
    </row>
    <row r="33" spans="1:17" ht="16.5" x14ac:dyDescent="0.25">
      <c r="A33" s="110">
        <f t="shared" si="5"/>
        <v>44129</v>
      </c>
      <c r="B33" s="111">
        <f t="shared" si="0"/>
        <v>0</v>
      </c>
      <c r="C33" s="113"/>
      <c r="D33" s="111">
        <f t="shared" si="6"/>
        <v>0</v>
      </c>
      <c r="E33" s="279"/>
      <c r="F33" s="111">
        <f t="shared" si="6"/>
        <v>0</v>
      </c>
      <c r="G33" s="114"/>
      <c r="H33" s="114"/>
      <c r="I33" s="114"/>
      <c r="J33" s="114"/>
      <c r="K33" s="115">
        <f t="shared" si="2"/>
        <v>0</v>
      </c>
      <c r="L33" s="115"/>
      <c r="M33" s="106"/>
      <c r="N33" s="114">
        <f t="shared" si="3"/>
        <v>0</v>
      </c>
      <c r="O33" s="118">
        <f t="shared" si="4"/>
        <v>0</v>
      </c>
    </row>
    <row r="34" spans="1:17" ht="16.5" x14ac:dyDescent="0.25">
      <c r="A34" s="110">
        <f t="shared" si="5"/>
        <v>44130</v>
      </c>
      <c r="B34" s="111">
        <f t="shared" si="0"/>
        <v>0</v>
      </c>
      <c r="C34" s="113"/>
      <c r="D34" s="111">
        <f t="shared" si="6"/>
        <v>0</v>
      </c>
      <c r="E34" s="86"/>
      <c r="F34" s="111">
        <f t="shared" si="6"/>
        <v>0</v>
      </c>
      <c r="G34" s="114"/>
      <c r="H34" s="114"/>
      <c r="I34" s="114"/>
      <c r="J34" s="114"/>
      <c r="K34" s="115">
        <f t="shared" si="2"/>
        <v>0</v>
      </c>
      <c r="L34" s="115"/>
      <c r="M34" s="106"/>
      <c r="N34" s="114">
        <f t="shared" si="3"/>
        <v>0</v>
      </c>
      <c r="O34" s="118">
        <f t="shared" si="4"/>
        <v>0</v>
      </c>
    </row>
    <row r="35" spans="1:17" ht="16.5" x14ac:dyDescent="0.25">
      <c r="A35" s="110">
        <f t="shared" si="5"/>
        <v>44131</v>
      </c>
      <c r="B35" s="111">
        <f t="shared" si="0"/>
        <v>0</v>
      </c>
      <c r="C35" s="113"/>
      <c r="D35" s="111">
        <f t="shared" si="6"/>
        <v>0</v>
      </c>
      <c r="E35" s="86"/>
      <c r="F35" s="111">
        <f t="shared" si="6"/>
        <v>0</v>
      </c>
      <c r="G35" s="114"/>
      <c r="H35" s="114"/>
      <c r="I35" s="114"/>
      <c r="J35" s="114"/>
      <c r="K35" s="115">
        <f t="shared" si="2"/>
        <v>0</v>
      </c>
      <c r="L35" s="115"/>
      <c r="M35" s="106"/>
      <c r="N35" s="114">
        <f t="shared" si="3"/>
        <v>0</v>
      </c>
      <c r="O35" s="118">
        <f t="shared" si="4"/>
        <v>0</v>
      </c>
    </row>
    <row r="36" spans="1:17" ht="16.5" x14ac:dyDescent="0.25">
      <c r="A36" s="110">
        <f t="shared" si="5"/>
        <v>44132</v>
      </c>
      <c r="B36" s="111">
        <f t="shared" si="0"/>
        <v>0</v>
      </c>
      <c r="C36" s="113"/>
      <c r="D36" s="111">
        <f t="shared" si="6"/>
        <v>0</v>
      </c>
      <c r="E36" s="86"/>
      <c r="F36" s="111">
        <f t="shared" si="6"/>
        <v>0</v>
      </c>
      <c r="G36" s="114"/>
      <c r="H36" s="114"/>
      <c r="I36" s="114"/>
      <c r="J36" s="114"/>
      <c r="K36" s="115">
        <f t="shared" si="2"/>
        <v>0</v>
      </c>
      <c r="L36" s="115"/>
      <c r="M36" s="106"/>
      <c r="N36" s="114">
        <f t="shared" si="3"/>
        <v>0</v>
      </c>
      <c r="O36" s="118">
        <f t="shared" si="4"/>
        <v>0</v>
      </c>
      <c r="Q36" s="116"/>
    </row>
    <row r="37" spans="1:17" ht="16.5" x14ac:dyDescent="0.25">
      <c r="A37" s="110">
        <f t="shared" si="5"/>
        <v>44133</v>
      </c>
      <c r="B37" s="111">
        <f t="shared" si="0"/>
        <v>0</v>
      </c>
      <c r="C37" s="113"/>
      <c r="D37" s="111">
        <f t="shared" si="6"/>
        <v>0</v>
      </c>
      <c r="E37" s="86"/>
      <c r="F37" s="111">
        <f t="shared" si="6"/>
        <v>0</v>
      </c>
      <c r="G37" s="114"/>
      <c r="H37" s="114"/>
      <c r="I37" s="114"/>
      <c r="J37" s="114"/>
      <c r="K37" s="115">
        <f t="shared" si="2"/>
        <v>0</v>
      </c>
      <c r="L37" s="115"/>
      <c r="M37" s="106"/>
      <c r="N37" s="114">
        <f t="shared" si="3"/>
        <v>0</v>
      </c>
      <c r="O37" s="118">
        <f t="shared" si="4"/>
        <v>0</v>
      </c>
    </row>
    <row r="38" spans="1:17" ht="16.5" x14ac:dyDescent="0.25">
      <c r="A38" s="110">
        <f t="shared" si="5"/>
        <v>44134</v>
      </c>
      <c r="B38" s="111">
        <f t="shared" si="0"/>
        <v>0</v>
      </c>
      <c r="C38" s="113"/>
      <c r="D38" s="111">
        <f t="shared" si="6"/>
        <v>0</v>
      </c>
      <c r="E38" s="113"/>
      <c r="F38" s="111">
        <f t="shared" si="6"/>
        <v>0</v>
      </c>
      <c r="G38" s="114"/>
      <c r="H38" s="114"/>
      <c r="I38" s="114"/>
      <c r="J38" s="114"/>
      <c r="K38" s="115">
        <f t="shared" si="2"/>
        <v>0</v>
      </c>
      <c r="L38" s="115"/>
      <c r="M38" s="106"/>
      <c r="N38" s="114">
        <f t="shared" si="3"/>
        <v>0</v>
      </c>
      <c r="O38" s="118">
        <f t="shared" si="4"/>
        <v>0</v>
      </c>
    </row>
    <row r="39" spans="1:17" ht="16.5" x14ac:dyDescent="0.25">
      <c r="A39" s="110">
        <f t="shared" si="5"/>
        <v>44135</v>
      </c>
      <c r="B39" s="111">
        <f t="shared" si="0"/>
        <v>0</v>
      </c>
      <c r="C39" s="113"/>
      <c r="D39" s="111">
        <f t="shared" si="6"/>
        <v>0</v>
      </c>
      <c r="E39" s="113"/>
      <c r="F39" s="111">
        <f t="shared" si="6"/>
        <v>0</v>
      </c>
      <c r="G39" s="114"/>
      <c r="H39" s="114"/>
      <c r="I39" s="114"/>
      <c r="J39" s="114"/>
      <c r="K39" s="115">
        <f t="shared" si="2"/>
        <v>0</v>
      </c>
      <c r="L39" s="115"/>
      <c r="M39" s="113"/>
      <c r="N39" s="114">
        <f t="shared" si="3"/>
        <v>0</v>
      </c>
      <c r="O39" s="120">
        <f>+O38+K39-M39</f>
        <v>0</v>
      </c>
    </row>
    <row r="40" spans="1:17" ht="16.5" x14ac:dyDescent="0.2">
      <c r="A40" s="121" t="s">
        <v>18</v>
      </c>
      <c r="B40" s="115">
        <f t="shared" ref="B40:M40" si="7">SUM(B9:B39)</f>
        <v>0</v>
      </c>
      <c r="C40" s="115">
        <f t="shared" si="7"/>
        <v>0</v>
      </c>
      <c r="D40" s="115">
        <f t="shared" si="7"/>
        <v>0</v>
      </c>
      <c r="E40" s="115">
        <f t="shared" si="7"/>
        <v>0</v>
      </c>
      <c r="F40" s="115">
        <f t="shared" si="7"/>
        <v>0</v>
      </c>
      <c r="G40" s="115">
        <f t="shared" si="7"/>
        <v>0</v>
      </c>
      <c r="H40" s="115">
        <f t="shared" si="7"/>
        <v>0</v>
      </c>
      <c r="I40" s="115">
        <f t="shared" si="7"/>
        <v>0</v>
      </c>
      <c r="J40" s="115">
        <f t="shared" si="7"/>
        <v>0</v>
      </c>
      <c r="K40" s="191">
        <f t="shared" si="7"/>
        <v>0</v>
      </c>
      <c r="L40" s="191"/>
      <c r="M40" s="191">
        <f t="shared" si="7"/>
        <v>0</v>
      </c>
      <c r="N40" s="120">
        <f>SUM(N8:N39)</f>
        <v>0</v>
      </c>
      <c r="O40" s="123"/>
    </row>
    <row r="41" spans="1:17" ht="15.75" x14ac:dyDescent="0.2">
      <c r="A41" s="124"/>
      <c r="B41" s="124"/>
      <c r="C41" s="124"/>
      <c r="D41" s="125"/>
      <c r="E41" s="124"/>
      <c r="F41" s="124"/>
      <c r="G41" s="124"/>
      <c r="H41" s="124"/>
      <c r="I41" s="124"/>
      <c r="J41" s="124"/>
      <c r="K41" s="124"/>
      <c r="L41" s="124"/>
      <c r="M41" s="124"/>
      <c r="N41" s="124"/>
      <c r="O41" s="124"/>
    </row>
    <row r="42" spans="1:17" ht="15.75" x14ac:dyDescent="0.25">
      <c r="A42" s="57" t="s">
        <v>121</v>
      </c>
      <c r="B42" s="57" t="s">
        <v>61</v>
      </c>
      <c r="C42" s="57" t="s">
        <v>122</v>
      </c>
      <c r="D42" s="126" t="s">
        <v>39</v>
      </c>
    </row>
    <row r="43" spans="1:17" ht="15.75" x14ac:dyDescent="0.25">
      <c r="A43" s="57" t="s">
        <v>15</v>
      </c>
      <c r="B43" s="127">
        <f>B40</f>
        <v>0</v>
      </c>
      <c r="C43" s="57">
        <v>0</v>
      </c>
      <c r="D43" s="126">
        <f>B43*C43</f>
        <v>0</v>
      </c>
      <c r="N43" s="386"/>
      <c r="O43" s="386"/>
    </row>
    <row r="44" spans="1:17" ht="15.75" x14ac:dyDescent="0.25">
      <c r="A44" s="57" t="s">
        <v>16</v>
      </c>
      <c r="B44" s="126">
        <f>D40</f>
        <v>0</v>
      </c>
      <c r="C44" s="57"/>
      <c r="D44" s="126">
        <f>B44*C44</f>
        <v>0</v>
      </c>
      <c r="H44" s="116"/>
      <c r="K44" s="116"/>
      <c r="L44" s="116"/>
      <c r="M44" s="116"/>
      <c r="N44" s="116"/>
    </row>
    <row r="45" spans="1:17" ht="15.75" x14ac:dyDescent="0.25">
      <c r="A45" s="57" t="s">
        <v>17</v>
      </c>
      <c r="B45" s="127">
        <f>F40</f>
        <v>0</v>
      </c>
      <c r="C45" s="57">
        <v>0</v>
      </c>
      <c r="D45" s="126">
        <f>B45*C45</f>
        <v>0</v>
      </c>
      <c r="E45" s="99"/>
      <c r="M45" s="135"/>
      <c r="O45" s="116"/>
    </row>
    <row r="46" spans="1:17" ht="15.75" x14ac:dyDescent="0.25">
      <c r="A46" s="128" t="s">
        <v>18</v>
      </c>
      <c r="B46" s="129"/>
      <c r="C46" s="130"/>
      <c r="D46" s="126">
        <f>SUM(D43:D45)</f>
        <v>0</v>
      </c>
      <c r="O46" s="116"/>
    </row>
    <row r="48" spans="1:17" ht="16.5" x14ac:dyDescent="0.3">
      <c r="C48" s="1" t="s">
        <v>168</v>
      </c>
    </row>
  </sheetData>
  <mergeCells count="6">
    <mergeCell ref="O6:O7"/>
    <mergeCell ref="J6:J7"/>
    <mergeCell ref="K6:K7"/>
    <mergeCell ref="M6:M7"/>
    <mergeCell ref="N6:N7"/>
    <mergeCell ref="L6:L7"/>
  </mergeCells>
  <printOptions horizontalCentered="1"/>
  <pageMargins left="0.39370078740157483" right="0.39370078740157483" top="0.74803149606299213" bottom="0.39370078740157483" header="0.31496062992125984" footer="0.31496062992125984"/>
  <pageSetup paperSize="9" scale="60" orientation="landscape"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6">
    <tabColor rgb="FFFF0000"/>
    <pageSetUpPr fitToPage="1"/>
  </sheetPr>
  <dimension ref="A1:Q56"/>
  <sheetViews>
    <sheetView zoomScaleNormal="100" workbookViewId="0">
      <selection activeCell="A8" sqref="A8"/>
    </sheetView>
  </sheetViews>
  <sheetFormatPr baseColWidth="10" defaultRowHeight="18" x14ac:dyDescent="0.25"/>
  <cols>
    <col min="1" max="1" width="13.85546875" style="38" customWidth="1"/>
    <col min="2" max="2" width="16.7109375" style="38" customWidth="1"/>
    <col min="3" max="3" width="15.85546875" style="38" bestFit="1" customWidth="1"/>
    <col min="4" max="4" width="16.5703125" style="38" customWidth="1"/>
    <col min="5" max="5" width="20" style="38" customWidth="1"/>
    <col min="6" max="6" width="21.85546875" style="38" bestFit="1" customWidth="1"/>
    <col min="7" max="7" width="10.28515625" style="38" customWidth="1"/>
    <col min="8" max="8" width="20.28515625" style="38" customWidth="1"/>
    <col min="9" max="9" width="13.85546875" style="38" bestFit="1" customWidth="1"/>
    <col min="10" max="10" width="19" style="38" bestFit="1" customWidth="1"/>
    <col min="11" max="12" width="17.140625" style="38" customWidth="1"/>
    <col min="13" max="13" width="19.7109375" style="74" customWidth="1"/>
    <col min="14" max="14" width="17.5703125" style="38" customWidth="1"/>
    <col min="15" max="15" width="18.42578125" style="38" bestFit="1" customWidth="1"/>
    <col min="16" max="16" width="19.5703125" style="38" customWidth="1"/>
    <col min="17" max="17" width="12.28515625" style="38" bestFit="1" customWidth="1"/>
    <col min="18" max="16384" width="11.42578125" style="38"/>
  </cols>
  <sheetData>
    <row r="1" spans="1:17" ht="21" x14ac:dyDescent="0.35">
      <c r="A1" s="36" t="s">
        <v>118</v>
      </c>
      <c r="B1" s="52" t="s">
        <v>406</v>
      </c>
    </row>
    <row r="2" spans="1:17" ht="13.5" customHeight="1" x14ac:dyDescent="0.35">
      <c r="C2" s="159"/>
      <c r="K2" s="148"/>
      <c r="L2" s="148"/>
    </row>
    <row r="3" spans="1:17" ht="16.5" customHeight="1" x14ac:dyDescent="0.3">
      <c r="A3" s="36" t="s">
        <v>19</v>
      </c>
      <c r="B3" s="142">
        <f>+ACHOU!B3</f>
        <v>44075</v>
      </c>
      <c r="C3" s="36"/>
      <c r="N3" s="37"/>
    </row>
    <row r="4" spans="1:17" ht="13.5" customHeight="1" x14ac:dyDescent="0.3">
      <c r="A4" s="36"/>
      <c r="B4" s="36"/>
      <c r="C4" s="36"/>
      <c r="N4" s="38">
        <v>4726</v>
      </c>
    </row>
    <row r="5" spans="1:17" ht="13.5" customHeight="1" x14ac:dyDescent="0.25">
      <c r="A5" s="807" t="s">
        <v>3</v>
      </c>
      <c r="B5" s="161" t="s">
        <v>15</v>
      </c>
      <c r="C5" s="162"/>
      <c r="D5" s="161" t="s">
        <v>16</v>
      </c>
      <c r="E5" s="162"/>
      <c r="F5" s="161" t="s">
        <v>17</v>
      </c>
      <c r="G5" s="162"/>
      <c r="H5" s="2910" t="s">
        <v>52</v>
      </c>
      <c r="I5" s="2901" t="s">
        <v>53</v>
      </c>
      <c r="J5" s="2901" t="s">
        <v>230</v>
      </c>
      <c r="K5" s="2901" t="s">
        <v>18</v>
      </c>
      <c r="L5" s="3088" t="s">
        <v>435</v>
      </c>
      <c r="M5" s="2901" t="s">
        <v>60</v>
      </c>
      <c r="N5" s="2901" t="s">
        <v>55</v>
      </c>
      <c r="O5" s="2901" t="s">
        <v>120</v>
      </c>
    </row>
    <row r="6" spans="1:17" ht="14.25" customHeight="1" x14ac:dyDescent="0.25">
      <c r="A6" s="163"/>
      <c r="B6" s="915">
        <v>630</v>
      </c>
      <c r="C6" s="916"/>
      <c r="D6" s="915">
        <v>575</v>
      </c>
      <c r="E6" s="916"/>
      <c r="F6" s="915">
        <v>350</v>
      </c>
      <c r="G6" s="916"/>
      <c r="H6" s="3059"/>
      <c r="I6" s="3070"/>
      <c r="J6" s="2902"/>
      <c r="K6" s="2902"/>
      <c r="L6" s="3089"/>
      <c r="M6" s="2902"/>
      <c r="N6" s="2902"/>
      <c r="O6" s="2902"/>
    </row>
    <row r="7" spans="1:17" ht="18" customHeight="1" x14ac:dyDescent="0.35">
      <c r="A7" s="808"/>
      <c r="B7" s="166" t="s">
        <v>56</v>
      </c>
      <c r="C7" s="166" t="s">
        <v>37</v>
      </c>
      <c r="D7" s="167" t="s">
        <v>56</v>
      </c>
      <c r="E7" s="166" t="s">
        <v>37</v>
      </c>
      <c r="F7" s="166" t="s">
        <v>56</v>
      </c>
      <c r="G7" s="166" t="s">
        <v>37</v>
      </c>
      <c r="H7" s="806"/>
      <c r="I7" s="806"/>
      <c r="J7" s="181"/>
      <c r="K7" s="181"/>
      <c r="L7" s="181"/>
      <c r="M7" s="182"/>
      <c r="N7" s="183">
        <v>9828042</v>
      </c>
      <c r="O7" s="168">
        <f>N7</f>
        <v>9828042</v>
      </c>
      <c r="Q7" s="38">
        <v>5310</v>
      </c>
    </row>
    <row r="8" spans="1:17" ht="15" customHeight="1" x14ac:dyDescent="0.25">
      <c r="A8" s="110">
        <f>+ACHOU!A8</f>
        <v>44105</v>
      </c>
      <c r="B8" s="174">
        <f t="shared" ref="B8:B16" si="0">+C8/569</f>
        <v>0</v>
      </c>
      <c r="C8" s="173"/>
      <c r="D8" s="174">
        <f>+E8/575</f>
        <v>0</v>
      </c>
      <c r="E8" s="172"/>
      <c r="F8" s="169">
        <v>0</v>
      </c>
      <c r="G8" s="172"/>
      <c r="H8" s="172"/>
      <c r="I8" s="172"/>
      <c r="J8" s="172"/>
      <c r="K8" s="173">
        <f t="shared" ref="K8:K38" si="1">C8+E8+G8+H8+I8+J8</f>
        <v>0</v>
      </c>
      <c r="L8" s="191"/>
      <c r="M8" s="173"/>
      <c r="N8" s="172">
        <f t="shared" ref="N8:N38" si="2">K8-M8</f>
        <v>0</v>
      </c>
      <c r="O8" s="172">
        <f t="shared" ref="O8:O37" si="3">+O7+K8-M8</f>
        <v>9828042</v>
      </c>
      <c r="P8" s="1657">
        <f>Q7-D8</f>
        <v>5310</v>
      </c>
    </row>
    <row r="9" spans="1:17" ht="15" customHeight="1" x14ac:dyDescent="0.25">
      <c r="A9" s="110">
        <f>+A8+1</f>
        <v>44106</v>
      </c>
      <c r="B9" s="174">
        <f t="shared" si="0"/>
        <v>0</v>
      </c>
      <c r="C9" s="173"/>
      <c r="D9" s="174">
        <f t="shared" ref="D9:D38" si="4">+E9/575</f>
        <v>0</v>
      </c>
      <c r="E9" s="172"/>
      <c r="F9" s="169">
        <v>0</v>
      </c>
      <c r="G9" s="172"/>
      <c r="H9" s="172"/>
      <c r="I9" s="172"/>
      <c r="J9" s="172"/>
      <c r="K9" s="173">
        <f t="shared" si="1"/>
        <v>0</v>
      </c>
      <c r="L9" s="191"/>
      <c r="M9" s="184"/>
      <c r="N9" s="172">
        <f t="shared" si="2"/>
        <v>0</v>
      </c>
      <c r="O9" s="172">
        <f t="shared" si="3"/>
        <v>9828042</v>
      </c>
      <c r="P9" s="1657">
        <f>P8-D9</f>
        <v>5310</v>
      </c>
    </row>
    <row r="10" spans="1:17" ht="15" customHeight="1" x14ac:dyDescent="0.25">
      <c r="A10" s="110">
        <f t="shared" ref="A10:A37" si="5">+A9+1</f>
        <v>44107</v>
      </c>
      <c r="B10" s="174">
        <f t="shared" si="0"/>
        <v>0</v>
      </c>
      <c r="C10" s="172"/>
      <c r="D10" s="174">
        <f t="shared" si="4"/>
        <v>0</v>
      </c>
      <c r="E10" s="172"/>
      <c r="F10" s="169">
        <v>0</v>
      </c>
      <c r="G10" s="172"/>
      <c r="H10" s="172"/>
      <c r="I10" s="172"/>
      <c r="J10" s="172"/>
      <c r="K10" s="173">
        <f t="shared" si="1"/>
        <v>0</v>
      </c>
      <c r="L10" s="191"/>
      <c r="M10" s="184"/>
      <c r="N10" s="172">
        <f t="shared" si="2"/>
        <v>0</v>
      </c>
      <c r="O10" s="172">
        <f t="shared" si="3"/>
        <v>9828042</v>
      </c>
      <c r="P10" s="1657">
        <f t="shared" ref="P10:P33" si="6">P9-D10</f>
        <v>5310</v>
      </c>
    </row>
    <row r="11" spans="1:17" ht="15" customHeight="1" x14ac:dyDescent="0.25">
      <c r="A11" s="110">
        <f t="shared" si="5"/>
        <v>44108</v>
      </c>
      <c r="B11" s="174">
        <f t="shared" si="0"/>
        <v>0</v>
      </c>
      <c r="C11" s="172"/>
      <c r="D11" s="174">
        <f t="shared" si="4"/>
        <v>0</v>
      </c>
      <c r="E11" s="172"/>
      <c r="F11" s="169">
        <v>0</v>
      </c>
      <c r="G11" s="172"/>
      <c r="H11" s="172"/>
      <c r="I11" s="172"/>
      <c r="J11" s="172"/>
      <c r="K11" s="173">
        <f t="shared" si="1"/>
        <v>0</v>
      </c>
      <c r="L11" s="191"/>
      <c r="M11" s="184"/>
      <c r="N11" s="172">
        <f t="shared" si="2"/>
        <v>0</v>
      </c>
      <c r="O11" s="172">
        <f t="shared" si="3"/>
        <v>9828042</v>
      </c>
      <c r="P11" s="1657">
        <f t="shared" si="6"/>
        <v>5310</v>
      </c>
    </row>
    <row r="12" spans="1:17" ht="15" customHeight="1" x14ac:dyDescent="0.25">
      <c r="A12" s="110">
        <f t="shared" si="5"/>
        <v>44109</v>
      </c>
      <c r="B12" s="174">
        <f t="shared" si="0"/>
        <v>0</v>
      </c>
      <c r="C12" s="173"/>
      <c r="D12" s="174">
        <f t="shared" si="4"/>
        <v>0</v>
      </c>
      <c r="E12" s="172"/>
      <c r="F12" s="169">
        <v>0</v>
      </c>
      <c r="G12" s="172"/>
      <c r="H12" s="172"/>
      <c r="I12" s="172"/>
      <c r="J12" s="172"/>
      <c r="K12" s="173">
        <f t="shared" si="1"/>
        <v>0</v>
      </c>
      <c r="L12" s="191"/>
      <c r="M12" s="184"/>
      <c r="N12" s="172">
        <f t="shared" si="2"/>
        <v>0</v>
      </c>
      <c r="O12" s="172">
        <f t="shared" si="3"/>
        <v>9828042</v>
      </c>
      <c r="P12" s="1657">
        <f t="shared" si="6"/>
        <v>5310</v>
      </c>
    </row>
    <row r="13" spans="1:17" ht="15" customHeight="1" x14ac:dyDescent="0.25">
      <c r="A13" s="110">
        <f t="shared" si="5"/>
        <v>44110</v>
      </c>
      <c r="B13" s="174">
        <f t="shared" si="0"/>
        <v>0</v>
      </c>
      <c r="C13" s="173"/>
      <c r="D13" s="174">
        <f t="shared" si="4"/>
        <v>0</v>
      </c>
      <c r="E13" s="172"/>
      <c r="F13" s="169">
        <v>0</v>
      </c>
      <c r="G13" s="172"/>
      <c r="H13" s="172"/>
      <c r="I13" s="172"/>
      <c r="J13" s="172"/>
      <c r="K13" s="173">
        <f t="shared" si="1"/>
        <v>0</v>
      </c>
      <c r="L13" s="191"/>
      <c r="M13" s="184"/>
      <c r="N13" s="172">
        <f t="shared" si="2"/>
        <v>0</v>
      </c>
      <c r="O13" s="172">
        <f t="shared" si="3"/>
        <v>9828042</v>
      </c>
      <c r="P13" s="1657">
        <f t="shared" si="6"/>
        <v>5310</v>
      </c>
    </row>
    <row r="14" spans="1:17" ht="15" customHeight="1" x14ac:dyDescent="0.25">
      <c r="A14" s="110">
        <f t="shared" si="5"/>
        <v>44111</v>
      </c>
      <c r="B14" s="174">
        <f t="shared" si="0"/>
        <v>0</v>
      </c>
      <c r="C14" s="172"/>
      <c r="D14" s="174">
        <f t="shared" si="4"/>
        <v>0</v>
      </c>
      <c r="E14" s="172"/>
      <c r="F14" s="169">
        <v>0</v>
      </c>
      <c r="G14" s="172"/>
      <c r="H14" s="172"/>
      <c r="I14" s="172"/>
      <c r="J14" s="172"/>
      <c r="K14" s="173">
        <f t="shared" si="1"/>
        <v>0</v>
      </c>
      <c r="L14" s="191"/>
      <c r="M14" s="184"/>
      <c r="N14" s="172">
        <f t="shared" si="2"/>
        <v>0</v>
      </c>
      <c r="O14" s="172">
        <f t="shared" si="3"/>
        <v>9828042</v>
      </c>
      <c r="P14" s="1657">
        <f t="shared" si="6"/>
        <v>5310</v>
      </c>
    </row>
    <row r="15" spans="1:17" ht="15" customHeight="1" x14ac:dyDescent="0.25">
      <c r="A15" s="110">
        <f t="shared" si="5"/>
        <v>44112</v>
      </c>
      <c r="B15" s="174">
        <f t="shared" si="0"/>
        <v>0</v>
      </c>
      <c r="C15" s="172"/>
      <c r="D15" s="174">
        <f t="shared" si="4"/>
        <v>0</v>
      </c>
      <c r="E15" s="172"/>
      <c r="F15" s="169">
        <v>0</v>
      </c>
      <c r="G15" s="172"/>
      <c r="H15" s="172"/>
      <c r="I15" s="172"/>
      <c r="J15" s="172"/>
      <c r="K15" s="173">
        <f t="shared" si="1"/>
        <v>0</v>
      </c>
      <c r="L15" s="191"/>
      <c r="M15" s="184"/>
      <c r="N15" s="172">
        <f t="shared" si="2"/>
        <v>0</v>
      </c>
      <c r="O15" s="172">
        <f t="shared" si="3"/>
        <v>9828042</v>
      </c>
      <c r="P15" s="1657">
        <f t="shared" si="6"/>
        <v>5310</v>
      </c>
    </row>
    <row r="16" spans="1:17" ht="15" customHeight="1" x14ac:dyDescent="0.25">
      <c r="A16" s="110">
        <f t="shared" si="5"/>
        <v>44113</v>
      </c>
      <c r="B16" s="174">
        <f t="shared" si="0"/>
        <v>0</v>
      </c>
      <c r="C16" s="175"/>
      <c r="D16" s="174">
        <f t="shared" si="4"/>
        <v>0</v>
      </c>
      <c r="E16" s="172"/>
      <c r="F16" s="169">
        <v>0</v>
      </c>
      <c r="G16" s="175"/>
      <c r="H16" s="175"/>
      <c r="I16" s="175"/>
      <c r="J16" s="175"/>
      <c r="K16" s="173">
        <f t="shared" si="1"/>
        <v>0</v>
      </c>
      <c r="L16" s="191"/>
      <c r="M16" s="184"/>
      <c r="N16" s="172">
        <f t="shared" si="2"/>
        <v>0</v>
      </c>
      <c r="O16" s="172">
        <f t="shared" si="3"/>
        <v>9828042</v>
      </c>
      <c r="P16" s="1657">
        <f t="shared" si="6"/>
        <v>5310</v>
      </c>
    </row>
    <row r="17" spans="1:16" ht="15" customHeight="1" x14ac:dyDescent="0.25">
      <c r="A17" s="110">
        <f t="shared" si="5"/>
        <v>44114</v>
      </c>
      <c r="B17" s="174">
        <f>+C17/569</f>
        <v>0</v>
      </c>
      <c r="C17" s="175"/>
      <c r="D17" s="174">
        <f t="shared" si="4"/>
        <v>0</v>
      </c>
      <c r="E17" s="172"/>
      <c r="F17" s="169">
        <v>0</v>
      </c>
      <c r="G17" s="175"/>
      <c r="H17" s="175"/>
      <c r="I17" s="175"/>
      <c r="J17" s="175"/>
      <c r="K17" s="173">
        <f t="shared" si="1"/>
        <v>0</v>
      </c>
      <c r="L17" s="191"/>
      <c r="M17" s="184"/>
      <c r="N17" s="172">
        <f t="shared" si="2"/>
        <v>0</v>
      </c>
      <c r="O17" s="172">
        <f t="shared" si="3"/>
        <v>9828042</v>
      </c>
      <c r="P17" s="1657">
        <f t="shared" si="6"/>
        <v>5310</v>
      </c>
    </row>
    <row r="18" spans="1:16" ht="15" customHeight="1" x14ac:dyDescent="0.25">
      <c r="A18" s="110">
        <f t="shared" si="5"/>
        <v>44115</v>
      </c>
      <c r="B18" s="174">
        <f t="shared" ref="B18:B38" si="7">+C18/569</f>
        <v>0</v>
      </c>
      <c r="C18" s="175"/>
      <c r="D18" s="174">
        <f t="shared" si="4"/>
        <v>0</v>
      </c>
      <c r="E18" s="172"/>
      <c r="F18" s="169">
        <v>0</v>
      </c>
      <c r="G18" s="175"/>
      <c r="H18" s="175"/>
      <c r="I18" s="175"/>
      <c r="J18" s="175"/>
      <c r="K18" s="173">
        <f t="shared" si="1"/>
        <v>0</v>
      </c>
      <c r="L18" s="1383"/>
      <c r="M18" s="184"/>
      <c r="N18" s="172">
        <f t="shared" si="2"/>
        <v>0</v>
      </c>
      <c r="O18" s="172">
        <f t="shared" si="3"/>
        <v>9828042</v>
      </c>
      <c r="P18" s="1657">
        <f t="shared" si="6"/>
        <v>5310</v>
      </c>
    </row>
    <row r="19" spans="1:16" ht="15" customHeight="1" x14ac:dyDescent="0.25">
      <c r="A19" s="110">
        <f t="shared" si="5"/>
        <v>44116</v>
      </c>
      <c r="B19" s="174">
        <f t="shared" si="7"/>
        <v>0</v>
      </c>
      <c r="C19" s="175"/>
      <c r="D19" s="174">
        <f t="shared" si="4"/>
        <v>0</v>
      </c>
      <c r="E19" s="172"/>
      <c r="F19" s="169">
        <v>0</v>
      </c>
      <c r="G19" s="175"/>
      <c r="H19" s="175"/>
      <c r="I19" s="175"/>
      <c r="J19" s="175"/>
      <c r="K19" s="173">
        <f t="shared" si="1"/>
        <v>0</v>
      </c>
      <c r="L19" s="1383"/>
      <c r="M19" s="184"/>
      <c r="N19" s="172">
        <f t="shared" si="2"/>
        <v>0</v>
      </c>
      <c r="O19" s="172">
        <f t="shared" si="3"/>
        <v>9828042</v>
      </c>
      <c r="P19" s="1657">
        <f t="shared" si="6"/>
        <v>5310</v>
      </c>
    </row>
    <row r="20" spans="1:16" ht="15" customHeight="1" x14ac:dyDescent="0.25">
      <c r="A20" s="110">
        <f t="shared" si="5"/>
        <v>44117</v>
      </c>
      <c r="B20" s="174">
        <f t="shared" si="7"/>
        <v>0</v>
      </c>
      <c r="C20" s="175"/>
      <c r="D20" s="174">
        <f t="shared" si="4"/>
        <v>0</v>
      </c>
      <c r="E20" s="172"/>
      <c r="F20" s="169">
        <v>0</v>
      </c>
      <c r="G20" s="175"/>
      <c r="H20" s="175"/>
      <c r="I20" s="175"/>
      <c r="J20" s="175"/>
      <c r="K20" s="173">
        <f t="shared" si="1"/>
        <v>0</v>
      </c>
      <c r="L20" s="1383"/>
      <c r="M20" s="184"/>
      <c r="N20" s="172">
        <f t="shared" si="2"/>
        <v>0</v>
      </c>
      <c r="O20" s="172">
        <f t="shared" si="3"/>
        <v>9828042</v>
      </c>
      <c r="P20" s="1657">
        <f t="shared" si="6"/>
        <v>5310</v>
      </c>
    </row>
    <row r="21" spans="1:16" ht="15" customHeight="1" x14ac:dyDescent="0.25">
      <c r="A21" s="110">
        <f t="shared" si="5"/>
        <v>44118</v>
      </c>
      <c r="B21" s="174">
        <f t="shared" si="7"/>
        <v>0</v>
      </c>
      <c r="C21" s="175"/>
      <c r="D21" s="174">
        <f t="shared" si="4"/>
        <v>0</v>
      </c>
      <c r="E21" s="172"/>
      <c r="F21" s="169">
        <v>0</v>
      </c>
      <c r="G21" s="175"/>
      <c r="H21" s="175"/>
      <c r="I21" s="175"/>
      <c r="J21" s="175"/>
      <c r="K21" s="173">
        <f t="shared" si="1"/>
        <v>0</v>
      </c>
      <c r="L21" s="1383"/>
      <c r="M21" s="184"/>
      <c r="N21" s="172">
        <f t="shared" si="2"/>
        <v>0</v>
      </c>
      <c r="O21" s="172">
        <f t="shared" si="3"/>
        <v>9828042</v>
      </c>
      <c r="P21" s="1657">
        <f t="shared" si="6"/>
        <v>5310</v>
      </c>
    </row>
    <row r="22" spans="1:16" ht="15" customHeight="1" x14ac:dyDescent="0.25">
      <c r="A22" s="110">
        <f t="shared" si="5"/>
        <v>44119</v>
      </c>
      <c r="B22" s="174">
        <f t="shared" si="7"/>
        <v>0</v>
      </c>
      <c r="C22" s="175"/>
      <c r="D22" s="174">
        <f t="shared" si="4"/>
        <v>0</v>
      </c>
      <c r="E22" s="172"/>
      <c r="F22" s="174">
        <v>0</v>
      </c>
      <c r="G22" s="175"/>
      <c r="H22" s="175"/>
      <c r="I22" s="175"/>
      <c r="J22" s="175"/>
      <c r="K22" s="173">
        <f t="shared" si="1"/>
        <v>0</v>
      </c>
      <c r="L22" s="1383"/>
      <c r="M22" s="184"/>
      <c r="N22" s="172">
        <f t="shared" si="2"/>
        <v>0</v>
      </c>
      <c r="O22" s="172">
        <f t="shared" si="3"/>
        <v>9828042</v>
      </c>
      <c r="P22" s="1657">
        <f t="shared" si="6"/>
        <v>5310</v>
      </c>
    </row>
    <row r="23" spans="1:16" ht="15" customHeight="1" x14ac:dyDescent="0.25">
      <c r="A23" s="110">
        <f t="shared" si="5"/>
        <v>44120</v>
      </c>
      <c r="B23" s="174">
        <f t="shared" si="7"/>
        <v>0</v>
      </c>
      <c r="C23" s="175"/>
      <c r="D23" s="174">
        <f t="shared" si="4"/>
        <v>0</v>
      </c>
      <c r="E23" s="172"/>
      <c r="F23" s="174">
        <v>0</v>
      </c>
      <c r="G23" s="175"/>
      <c r="H23" s="175"/>
      <c r="I23" s="175"/>
      <c r="J23" s="175"/>
      <c r="K23" s="173">
        <f t="shared" si="1"/>
        <v>0</v>
      </c>
      <c r="L23" s="1383"/>
      <c r="M23" s="173"/>
      <c r="N23" s="172">
        <f t="shared" si="2"/>
        <v>0</v>
      </c>
      <c r="O23" s="172">
        <f t="shared" si="3"/>
        <v>9828042</v>
      </c>
      <c r="P23" s="1657">
        <f t="shared" si="6"/>
        <v>5310</v>
      </c>
    </row>
    <row r="24" spans="1:16" ht="15" customHeight="1" x14ac:dyDescent="0.25">
      <c r="A24" s="110">
        <f t="shared" si="5"/>
        <v>44121</v>
      </c>
      <c r="B24" s="174">
        <f t="shared" si="7"/>
        <v>0</v>
      </c>
      <c r="C24" s="175"/>
      <c r="D24" s="174">
        <f t="shared" si="4"/>
        <v>0</v>
      </c>
      <c r="E24" s="172"/>
      <c r="F24" s="174">
        <v>0</v>
      </c>
      <c r="G24" s="175"/>
      <c r="H24" s="175"/>
      <c r="I24" s="175"/>
      <c r="J24" s="175"/>
      <c r="K24" s="173">
        <f t="shared" si="1"/>
        <v>0</v>
      </c>
      <c r="L24" s="1383"/>
      <c r="M24" s="173"/>
      <c r="N24" s="172">
        <f t="shared" si="2"/>
        <v>0</v>
      </c>
      <c r="O24" s="172">
        <f t="shared" si="3"/>
        <v>9828042</v>
      </c>
      <c r="P24" s="1657">
        <f t="shared" si="6"/>
        <v>5310</v>
      </c>
    </row>
    <row r="25" spans="1:16" ht="15" customHeight="1" x14ac:dyDescent="0.25">
      <c r="A25" s="110">
        <f t="shared" si="5"/>
        <v>44122</v>
      </c>
      <c r="B25" s="174">
        <f t="shared" si="7"/>
        <v>0</v>
      </c>
      <c r="C25" s="175"/>
      <c r="D25" s="174">
        <f t="shared" si="4"/>
        <v>0</v>
      </c>
      <c r="E25" s="172"/>
      <c r="F25" s="174">
        <v>0</v>
      </c>
      <c r="G25" s="175"/>
      <c r="H25" s="175"/>
      <c r="I25" s="175"/>
      <c r="J25" s="175"/>
      <c r="K25" s="173">
        <f t="shared" si="1"/>
        <v>0</v>
      </c>
      <c r="L25" s="1383"/>
      <c r="M25" s="173"/>
      <c r="N25" s="172">
        <f t="shared" si="2"/>
        <v>0</v>
      </c>
      <c r="O25" s="172">
        <f t="shared" si="3"/>
        <v>9828042</v>
      </c>
      <c r="P25" s="1657">
        <f t="shared" si="6"/>
        <v>5310</v>
      </c>
    </row>
    <row r="26" spans="1:16" ht="15" customHeight="1" x14ac:dyDescent="0.25">
      <c r="A26" s="110">
        <f t="shared" si="5"/>
        <v>44123</v>
      </c>
      <c r="B26" s="174">
        <f t="shared" si="7"/>
        <v>0</v>
      </c>
      <c r="C26" s="175"/>
      <c r="D26" s="174">
        <f t="shared" si="4"/>
        <v>0</v>
      </c>
      <c r="E26" s="172"/>
      <c r="F26" s="174">
        <v>0</v>
      </c>
      <c r="G26" s="175"/>
      <c r="H26" s="175"/>
      <c r="I26" s="175"/>
      <c r="J26" s="175"/>
      <c r="K26" s="173">
        <f t="shared" si="1"/>
        <v>0</v>
      </c>
      <c r="L26" s="1383"/>
      <c r="M26" s="173"/>
      <c r="N26" s="172">
        <f t="shared" si="2"/>
        <v>0</v>
      </c>
      <c r="O26" s="172">
        <f t="shared" si="3"/>
        <v>9828042</v>
      </c>
      <c r="P26" s="1657">
        <f t="shared" si="6"/>
        <v>5310</v>
      </c>
    </row>
    <row r="27" spans="1:16" ht="15" customHeight="1" x14ac:dyDescent="0.25">
      <c r="A27" s="110">
        <f t="shared" si="5"/>
        <v>44124</v>
      </c>
      <c r="B27" s="174">
        <f t="shared" si="7"/>
        <v>0</v>
      </c>
      <c r="C27" s="175"/>
      <c r="D27" s="174">
        <f t="shared" si="4"/>
        <v>0</v>
      </c>
      <c r="E27" s="172"/>
      <c r="F27" s="174">
        <v>0</v>
      </c>
      <c r="G27" s="175"/>
      <c r="H27" s="175"/>
      <c r="I27" s="175"/>
      <c r="J27" s="175"/>
      <c r="K27" s="173">
        <f t="shared" si="1"/>
        <v>0</v>
      </c>
      <c r="L27" s="1383"/>
      <c r="M27" s="173"/>
      <c r="N27" s="172">
        <f t="shared" si="2"/>
        <v>0</v>
      </c>
      <c r="O27" s="172">
        <f t="shared" si="3"/>
        <v>9828042</v>
      </c>
      <c r="P27" s="1657">
        <f t="shared" si="6"/>
        <v>5310</v>
      </c>
    </row>
    <row r="28" spans="1:16" ht="15" customHeight="1" x14ac:dyDescent="0.25">
      <c r="A28" s="110">
        <f t="shared" si="5"/>
        <v>44125</v>
      </c>
      <c r="B28" s="174">
        <f t="shared" si="7"/>
        <v>0</v>
      </c>
      <c r="C28" s="175"/>
      <c r="D28" s="174">
        <f t="shared" si="4"/>
        <v>0</v>
      </c>
      <c r="E28" s="172"/>
      <c r="F28" s="174">
        <v>0</v>
      </c>
      <c r="G28" s="175"/>
      <c r="H28" s="175"/>
      <c r="I28" s="175"/>
      <c r="J28" s="175"/>
      <c r="K28" s="173">
        <f t="shared" si="1"/>
        <v>0</v>
      </c>
      <c r="L28" s="1383"/>
      <c r="M28" s="173"/>
      <c r="N28" s="172">
        <f t="shared" si="2"/>
        <v>0</v>
      </c>
      <c r="O28" s="172">
        <f t="shared" si="3"/>
        <v>9828042</v>
      </c>
      <c r="P28" s="1657">
        <f t="shared" si="6"/>
        <v>5310</v>
      </c>
    </row>
    <row r="29" spans="1:16" ht="15" customHeight="1" x14ac:dyDescent="0.25">
      <c r="A29" s="110">
        <f t="shared" si="5"/>
        <v>44126</v>
      </c>
      <c r="B29" s="174">
        <f t="shared" si="7"/>
        <v>0</v>
      </c>
      <c r="C29" s="175"/>
      <c r="D29" s="174">
        <f t="shared" si="4"/>
        <v>0</v>
      </c>
      <c r="E29" s="172"/>
      <c r="F29" s="174">
        <v>0</v>
      </c>
      <c r="G29" s="175"/>
      <c r="H29" s="175"/>
      <c r="I29" s="175"/>
      <c r="J29" s="175"/>
      <c r="K29" s="173">
        <f t="shared" si="1"/>
        <v>0</v>
      </c>
      <c r="L29" s="1383"/>
      <c r="M29" s="173"/>
      <c r="N29" s="172">
        <f t="shared" si="2"/>
        <v>0</v>
      </c>
      <c r="O29" s="172">
        <f t="shared" si="3"/>
        <v>9828042</v>
      </c>
      <c r="P29" s="1657">
        <f t="shared" si="6"/>
        <v>5310</v>
      </c>
    </row>
    <row r="30" spans="1:16" ht="15" customHeight="1" x14ac:dyDescent="0.25">
      <c r="A30" s="110">
        <f t="shared" si="5"/>
        <v>44127</v>
      </c>
      <c r="B30" s="174">
        <f t="shared" si="7"/>
        <v>0</v>
      </c>
      <c r="C30" s="175"/>
      <c r="D30" s="174">
        <f t="shared" si="4"/>
        <v>0</v>
      </c>
      <c r="E30" s="172"/>
      <c r="F30" s="174">
        <v>0</v>
      </c>
      <c r="G30" s="175"/>
      <c r="H30" s="175"/>
      <c r="I30" s="175"/>
      <c r="J30" s="175"/>
      <c r="K30" s="173">
        <f t="shared" si="1"/>
        <v>0</v>
      </c>
      <c r="L30" s="1383"/>
      <c r="M30" s="1529"/>
      <c r="N30" s="172">
        <f t="shared" si="2"/>
        <v>0</v>
      </c>
      <c r="O30" s="172">
        <f t="shared" si="3"/>
        <v>9828042</v>
      </c>
      <c r="P30" s="1657">
        <f t="shared" si="6"/>
        <v>5310</v>
      </c>
    </row>
    <row r="31" spans="1:16" s="1554" customFormat="1" ht="15" customHeight="1" x14ac:dyDescent="0.25">
      <c r="A31" s="1547">
        <f t="shared" si="5"/>
        <v>44128</v>
      </c>
      <c r="B31" s="1551">
        <f t="shared" si="7"/>
        <v>0</v>
      </c>
      <c r="C31" s="1552"/>
      <c r="D31" s="174">
        <f t="shared" si="4"/>
        <v>0</v>
      </c>
      <c r="E31" s="172"/>
      <c r="F31" s="1551">
        <v>0</v>
      </c>
      <c r="G31" s="1552"/>
      <c r="H31" s="1552"/>
      <c r="I31" s="1552"/>
      <c r="J31" s="1552"/>
      <c r="K31" s="173">
        <f t="shared" si="1"/>
        <v>0</v>
      </c>
      <c r="L31" s="1557"/>
      <c r="M31" s="1553"/>
      <c r="N31" s="1552">
        <f t="shared" si="2"/>
        <v>0</v>
      </c>
      <c r="O31" s="1552">
        <f t="shared" si="3"/>
        <v>9828042</v>
      </c>
      <c r="P31" s="1657">
        <f t="shared" si="6"/>
        <v>5310</v>
      </c>
    </row>
    <row r="32" spans="1:16" ht="15" customHeight="1" x14ac:dyDescent="0.25">
      <c r="A32" s="110">
        <f t="shared" si="5"/>
        <v>44129</v>
      </c>
      <c r="B32" s="174">
        <f t="shared" si="7"/>
        <v>0</v>
      </c>
      <c r="C32" s="172"/>
      <c r="D32" s="174">
        <f>+E31/575</f>
        <v>0</v>
      </c>
      <c r="F32" s="169">
        <v>0</v>
      </c>
      <c r="G32" s="172"/>
      <c r="H32" s="172"/>
      <c r="I32" s="172"/>
      <c r="J32" s="172"/>
      <c r="K32" s="173">
        <f t="shared" si="1"/>
        <v>0</v>
      </c>
      <c r="L32" s="191"/>
      <c r="M32" s="1528"/>
      <c r="N32" s="172">
        <f t="shared" si="2"/>
        <v>0</v>
      </c>
      <c r="O32" s="172">
        <f t="shared" si="3"/>
        <v>9828042</v>
      </c>
      <c r="P32" s="1657">
        <f t="shared" si="6"/>
        <v>5310</v>
      </c>
    </row>
    <row r="33" spans="1:17" ht="19.5" x14ac:dyDescent="0.25">
      <c r="A33" s="110">
        <f t="shared" si="5"/>
        <v>44130</v>
      </c>
      <c r="B33" s="174">
        <f t="shared" si="7"/>
        <v>0</v>
      </c>
      <c r="C33" s="172"/>
      <c r="D33" s="174">
        <f t="shared" si="4"/>
        <v>0</v>
      </c>
      <c r="E33" s="172"/>
      <c r="F33" s="169">
        <v>0</v>
      </c>
      <c r="G33" s="172"/>
      <c r="H33" s="172"/>
      <c r="I33" s="172"/>
      <c r="J33" s="172"/>
      <c r="K33" s="173">
        <f t="shared" si="1"/>
        <v>0</v>
      </c>
      <c r="L33" s="191"/>
      <c r="M33" s="173"/>
      <c r="N33" s="172">
        <f t="shared" si="2"/>
        <v>0</v>
      </c>
      <c r="O33" s="172">
        <f t="shared" si="3"/>
        <v>9828042</v>
      </c>
      <c r="P33" s="1657">
        <f t="shared" si="6"/>
        <v>5310</v>
      </c>
    </row>
    <row r="34" spans="1:17" ht="19.5" x14ac:dyDescent="0.25">
      <c r="A34" s="110">
        <f t="shared" si="5"/>
        <v>44131</v>
      </c>
      <c r="B34" s="174">
        <f t="shared" si="7"/>
        <v>0</v>
      </c>
      <c r="C34" s="172"/>
      <c r="D34" s="174">
        <f t="shared" si="4"/>
        <v>0</v>
      </c>
      <c r="E34" s="172"/>
      <c r="F34" s="169">
        <v>0</v>
      </c>
      <c r="G34" s="172"/>
      <c r="H34" s="172"/>
      <c r="I34" s="172"/>
      <c r="J34" s="172"/>
      <c r="K34" s="173">
        <f t="shared" si="1"/>
        <v>0</v>
      </c>
      <c r="L34" s="191"/>
      <c r="M34" s="173"/>
      <c r="N34" s="172">
        <f t="shared" si="2"/>
        <v>0</v>
      </c>
      <c r="O34" s="172">
        <f t="shared" si="3"/>
        <v>9828042</v>
      </c>
      <c r="P34" s="1657">
        <f>P33-D34</f>
        <v>5310</v>
      </c>
      <c r="Q34" s="38">
        <f>+P34*600</f>
        <v>3186000</v>
      </c>
    </row>
    <row r="35" spans="1:17" ht="19.5" x14ac:dyDescent="0.25">
      <c r="A35" s="110">
        <f t="shared" si="5"/>
        <v>44132</v>
      </c>
      <c r="B35" s="174">
        <f t="shared" si="7"/>
        <v>0</v>
      </c>
      <c r="C35" s="172"/>
      <c r="D35" s="174">
        <f t="shared" si="4"/>
        <v>0</v>
      </c>
      <c r="E35" s="172"/>
      <c r="F35" s="169">
        <v>0</v>
      </c>
      <c r="G35" s="172"/>
      <c r="H35" s="172"/>
      <c r="I35" s="172"/>
      <c r="J35" s="172"/>
      <c r="K35" s="173">
        <f t="shared" si="1"/>
        <v>0</v>
      </c>
      <c r="L35" s="191"/>
      <c r="M35" s="173"/>
      <c r="N35" s="172">
        <f t="shared" si="2"/>
        <v>0</v>
      </c>
      <c r="O35" s="172">
        <f t="shared" si="3"/>
        <v>9828042</v>
      </c>
      <c r="P35" s="1657">
        <f>P34-D35</f>
        <v>5310</v>
      </c>
      <c r="Q35" s="38">
        <v>80</v>
      </c>
    </row>
    <row r="36" spans="1:17" ht="19.5" x14ac:dyDescent="0.25">
      <c r="A36" s="110">
        <f t="shared" si="5"/>
        <v>44133</v>
      </c>
      <c r="B36" s="174">
        <f t="shared" si="7"/>
        <v>0</v>
      </c>
      <c r="C36" s="172"/>
      <c r="D36" s="174">
        <f t="shared" si="4"/>
        <v>0</v>
      </c>
      <c r="E36" s="172"/>
      <c r="F36" s="169">
        <v>0</v>
      </c>
      <c r="G36" s="172"/>
      <c r="H36" s="172"/>
      <c r="I36" s="172"/>
      <c r="J36" s="172"/>
      <c r="K36" s="173">
        <f t="shared" si="1"/>
        <v>0</v>
      </c>
      <c r="L36" s="191"/>
      <c r="M36" s="173"/>
      <c r="N36" s="172">
        <f t="shared" si="2"/>
        <v>0</v>
      </c>
      <c r="O36" s="172">
        <f t="shared" si="3"/>
        <v>9828042</v>
      </c>
      <c r="P36" s="1657">
        <f>P35-D36</f>
        <v>5310</v>
      </c>
    </row>
    <row r="37" spans="1:17" ht="19.5" x14ac:dyDescent="0.25">
      <c r="A37" s="110">
        <f t="shared" si="5"/>
        <v>44134</v>
      </c>
      <c r="B37" s="174">
        <f t="shared" si="7"/>
        <v>0</v>
      </c>
      <c r="C37" s="172"/>
      <c r="D37" s="174">
        <f t="shared" si="4"/>
        <v>0</v>
      </c>
      <c r="E37" s="172"/>
      <c r="F37" s="169">
        <v>0</v>
      </c>
      <c r="G37" s="172"/>
      <c r="H37" s="172"/>
      <c r="I37" s="172"/>
      <c r="J37" s="172"/>
      <c r="K37" s="173">
        <f t="shared" si="1"/>
        <v>0</v>
      </c>
      <c r="L37" s="191"/>
      <c r="M37" s="173"/>
      <c r="N37" s="172">
        <f t="shared" si="2"/>
        <v>0</v>
      </c>
      <c r="O37" s="172">
        <f t="shared" si="3"/>
        <v>9828042</v>
      </c>
      <c r="P37" s="1657">
        <f>P36-D37</f>
        <v>5310</v>
      </c>
    </row>
    <row r="38" spans="1:17" ht="19.5" x14ac:dyDescent="0.25">
      <c r="A38" s="110">
        <f>+A37+1</f>
        <v>44135</v>
      </c>
      <c r="B38" s="174">
        <f t="shared" si="7"/>
        <v>0</v>
      </c>
      <c r="C38" s="172"/>
      <c r="D38" s="174">
        <f t="shared" si="4"/>
        <v>0</v>
      </c>
      <c r="E38" s="172"/>
      <c r="F38" s="169">
        <v>0</v>
      </c>
      <c r="G38" s="172"/>
      <c r="H38" s="172"/>
      <c r="I38" s="172"/>
      <c r="J38" s="172"/>
      <c r="K38" s="173">
        <f t="shared" si="1"/>
        <v>0</v>
      </c>
      <c r="L38" s="191"/>
      <c r="M38" s="173"/>
      <c r="N38" s="172">
        <f t="shared" si="2"/>
        <v>0</v>
      </c>
      <c r="O38" s="177">
        <f>+O37+K38-M38</f>
        <v>9828042</v>
      </c>
      <c r="P38" s="1657">
        <f>P37-D38</f>
        <v>5310</v>
      </c>
    </row>
    <row r="39" spans="1:17" ht="19.5" x14ac:dyDescent="0.25">
      <c r="A39" s="178" t="s">
        <v>18</v>
      </c>
      <c r="B39" s="185">
        <f t="shared" ref="B39:J39" si="8">SUM(B8:B38)</f>
        <v>0</v>
      </c>
      <c r="C39" s="173">
        <f t="shared" si="8"/>
        <v>0</v>
      </c>
      <c r="D39" s="179">
        <f t="shared" si="8"/>
        <v>0</v>
      </c>
      <c r="E39" s="173">
        <f>SUM(E8:E38)</f>
        <v>0</v>
      </c>
      <c r="F39" s="173">
        <f t="shared" si="8"/>
        <v>0</v>
      </c>
      <c r="G39" s="173">
        <f t="shared" si="8"/>
        <v>0</v>
      </c>
      <c r="H39" s="173">
        <f t="shared" si="8"/>
        <v>0</v>
      </c>
      <c r="I39" s="173">
        <f t="shared" si="8"/>
        <v>0</v>
      </c>
      <c r="J39" s="173">
        <f t="shared" si="8"/>
        <v>0</v>
      </c>
      <c r="K39" s="173">
        <f>SUM(K8:K38)</f>
        <v>0</v>
      </c>
      <c r="L39" s="173"/>
      <c r="M39" s="173">
        <f>SUM(M8:M38)</f>
        <v>0</v>
      </c>
      <c r="N39" s="177">
        <f>SUM(N7:N38)</f>
        <v>9828042</v>
      </c>
      <c r="O39" s="901"/>
      <c r="P39" s="1141"/>
    </row>
    <row r="40" spans="1:17" x14ac:dyDescent="0.25">
      <c r="O40" s="218"/>
    </row>
    <row r="41" spans="1:17" x14ac:dyDescent="0.25">
      <c r="E41" s="218"/>
      <c r="F41" s="218"/>
      <c r="M41" s="1661"/>
    </row>
    <row r="42" spans="1:17" x14ac:dyDescent="0.25">
      <c r="K42" s="1515"/>
      <c r="O42" s="218">
        <f>+O38-N39</f>
        <v>0</v>
      </c>
    </row>
    <row r="43" spans="1:17" x14ac:dyDescent="0.25">
      <c r="E43" s="1255"/>
      <c r="F43" s="1141"/>
      <c r="H43" s="1323"/>
      <c r="O43" s="218"/>
    </row>
    <row r="44" spans="1:17" x14ac:dyDescent="0.25">
      <c r="E44" s="667"/>
      <c r="F44" s="1141"/>
      <c r="H44" s="634"/>
    </row>
    <row r="45" spans="1:17" x14ac:dyDescent="0.25">
      <c r="E45" s="218"/>
      <c r="H45" s="218"/>
    </row>
    <row r="46" spans="1:17" x14ac:dyDescent="0.25">
      <c r="F46" s="1141"/>
      <c r="N46" s="218"/>
    </row>
    <row r="50" spans="2:13" ht="18.75" thickBot="1" x14ac:dyDescent="0.3"/>
    <row r="51" spans="2:13" ht="21" customHeight="1" x14ac:dyDescent="0.35">
      <c r="B51" s="3084" t="s">
        <v>857</v>
      </c>
      <c r="C51" s="3085"/>
      <c r="D51" s="3085"/>
      <c r="E51" s="3083" t="s">
        <v>856</v>
      </c>
      <c r="F51" s="3083"/>
      <c r="G51" s="3086" t="s">
        <v>859</v>
      </c>
      <c r="H51" s="18"/>
    </row>
    <row r="52" spans="2:13" s="1499" customFormat="1" ht="19.5" x14ac:dyDescent="0.35">
      <c r="B52" s="1500" t="s">
        <v>858</v>
      </c>
      <c r="C52" s="1498" t="s">
        <v>184</v>
      </c>
      <c r="D52" s="1498" t="s">
        <v>811</v>
      </c>
      <c r="E52" s="1498" t="s">
        <v>184</v>
      </c>
      <c r="F52" s="1498" t="s">
        <v>255</v>
      </c>
      <c r="G52" s="3087"/>
      <c r="H52" s="1501"/>
      <c r="M52" s="1397"/>
    </row>
    <row r="53" spans="2:13" ht="19.5" x14ac:dyDescent="0.35">
      <c r="B53" s="1502"/>
      <c r="C53" s="153"/>
      <c r="D53" s="153"/>
      <c r="E53" s="153"/>
      <c r="F53" s="153"/>
      <c r="G53" s="1503"/>
      <c r="H53" s="18"/>
    </row>
    <row r="54" spans="2:13" ht="19.5" x14ac:dyDescent="0.35">
      <c r="B54" s="1502"/>
      <c r="C54" s="153"/>
      <c r="D54" s="153"/>
      <c r="E54" s="153"/>
      <c r="F54" s="153"/>
      <c r="G54" s="1503"/>
      <c r="H54" s="18"/>
    </row>
    <row r="55" spans="2:13" ht="19.5" x14ac:dyDescent="0.35">
      <c r="B55" s="1502"/>
      <c r="C55" s="153"/>
      <c r="D55" s="153"/>
      <c r="E55" s="153"/>
      <c r="F55" s="153"/>
      <c r="G55" s="1503"/>
      <c r="H55" s="18"/>
    </row>
    <row r="56" spans="2:13" ht="20.25" thickBot="1" x14ac:dyDescent="0.4">
      <c r="B56" s="1504"/>
      <c r="C56" s="1505"/>
      <c r="D56" s="1505"/>
      <c r="E56" s="1505"/>
      <c r="F56" s="1505"/>
      <c r="G56" s="1506"/>
      <c r="H56" s="18"/>
    </row>
  </sheetData>
  <mergeCells count="11">
    <mergeCell ref="E51:F51"/>
    <mergeCell ref="B51:D51"/>
    <mergeCell ref="G51:G52"/>
    <mergeCell ref="O5:O6"/>
    <mergeCell ref="H5:H6"/>
    <mergeCell ref="I5:I6"/>
    <mergeCell ref="J5:J6"/>
    <mergeCell ref="K5:K6"/>
    <mergeCell ref="M5:M6"/>
    <mergeCell ref="N5:N6"/>
    <mergeCell ref="L5:L6"/>
  </mergeCells>
  <printOptions horizontalCentered="1"/>
  <pageMargins left="0.39370078740157483" right="0.39370078740157483" top="0.74803149606299213" bottom="0.39370078740157483" header="0.31496062992125984" footer="0.31496062992125984"/>
  <pageSetup paperSize="9" scale="10" orientation="landscape"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9">
    <tabColor rgb="FFFF0000"/>
    <pageSetUpPr fitToPage="1"/>
  </sheetPr>
  <dimension ref="A2:R42"/>
  <sheetViews>
    <sheetView topLeftCell="A2" zoomScaleNormal="100" workbookViewId="0">
      <selection activeCell="B4" sqref="B4"/>
    </sheetView>
  </sheetViews>
  <sheetFormatPr baseColWidth="10" defaultRowHeight="15" x14ac:dyDescent="0.2"/>
  <cols>
    <col min="1" max="1" width="10.5703125" style="37" bestFit="1" customWidth="1"/>
    <col min="2" max="2" width="13.28515625" style="37" customWidth="1"/>
    <col min="3" max="3" width="15.28515625" style="37" customWidth="1"/>
    <col min="4" max="4" width="12.7109375" style="37" bestFit="1" customWidth="1"/>
    <col min="5" max="5" width="14.85546875" style="37" bestFit="1" customWidth="1"/>
    <col min="6" max="6" width="11.28515625" style="37" bestFit="1" customWidth="1"/>
    <col min="7" max="7" width="10.85546875" style="37" bestFit="1" customWidth="1"/>
    <col min="8" max="8" width="14.5703125" style="37" hidden="1" customWidth="1"/>
    <col min="9" max="9" width="10.7109375" style="37" hidden="1" customWidth="1"/>
    <col min="10" max="10" width="12.28515625" style="37" hidden="1" customWidth="1"/>
    <col min="11" max="12" width="14" style="37" customWidth="1"/>
    <col min="13" max="13" width="14.140625" style="37" bestFit="1" customWidth="1"/>
    <col min="14" max="14" width="13.5703125" style="37" bestFit="1" customWidth="1"/>
    <col min="15" max="15" width="15.7109375" style="37" bestFit="1" customWidth="1"/>
    <col min="16" max="16" width="17.7109375" style="37" customWidth="1"/>
    <col min="17" max="17" width="13" style="37" bestFit="1" customWidth="1"/>
    <col min="18" max="16384" width="11.42578125" style="37"/>
  </cols>
  <sheetData>
    <row r="2" spans="1:18" ht="16.5" x14ac:dyDescent="0.3">
      <c r="A2" s="1" t="s">
        <v>118</v>
      </c>
      <c r="B2" s="1" t="s">
        <v>1017</v>
      </c>
    </row>
    <row r="3" spans="1:18" ht="15.75" x14ac:dyDescent="0.25">
      <c r="C3" s="99"/>
      <c r="K3" s="116"/>
      <c r="L3" s="116"/>
    </row>
    <row r="4" spans="1:18" ht="16.5" x14ac:dyDescent="0.3">
      <c r="A4" s="1" t="s">
        <v>19</v>
      </c>
      <c r="B4" s="2">
        <f>+BLESSING!B4</f>
        <v>44105</v>
      </c>
      <c r="C4" s="1"/>
      <c r="H4" s="37">
        <f>12200/4</f>
        <v>3050</v>
      </c>
    </row>
    <row r="5" spans="1:18" ht="16.5" x14ac:dyDescent="0.3">
      <c r="A5" s="1"/>
      <c r="B5" s="1"/>
      <c r="C5" s="1"/>
    </row>
    <row r="6" spans="1:18" ht="16.5" x14ac:dyDescent="0.2">
      <c r="A6" s="100" t="s">
        <v>3</v>
      </c>
      <c r="B6" s="1894" t="s">
        <v>15</v>
      </c>
      <c r="C6" s="1895"/>
      <c r="D6" s="1894" t="s">
        <v>16</v>
      </c>
      <c r="E6" s="1895"/>
      <c r="F6" s="1894" t="s">
        <v>17</v>
      </c>
      <c r="G6" s="1895"/>
      <c r="H6" s="2910" t="s">
        <v>52</v>
      </c>
      <c r="I6" s="2910" t="s">
        <v>53</v>
      </c>
      <c r="J6" s="2910" t="s">
        <v>119</v>
      </c>
      <c r="K6" s="2910" t="s">
        <v>18</v>
      </c>
      <c r="L6" s="3062" t="s">
        <v>416</v>
      </c>
      <c r="M6" s="2910" t="s">
        <v>60</v>
      </c>
      <c r="N6" s="2910" t="s">
        <v>55</v>
      </c>
      <c r="O6" s="2910" t="s">
        <v>120</v>
      </c>
    </row>
    <row r="7" spans="1:18" ht="21" x14ac:dyDescent="0.2">
      <c r="A7" s="103"/>
      <c r="B7" s="915">
        <v>630</v>
      </c>
      <c r="C7" s="916"/>
      <c r="D7" s="915">
        <v>575</v>
      </c>
      <c r="E7" s="916"/>
      <c r="F7" s="915">
        <v>350</v>
      </c>
      <c r="G7" s="916"/>
      <c r="H7" s="3059"/>
      <c r="I7" s="3059"/>
      <c r="J7" s="2911"/>
      <c r="K7" s="2911"/>
      <c r="L7" s="3064"/>
      <c r="M7" s="2911"/>
      <c r="N7" s="2911"/>
      <c r="O7" s="2911"/>
    </row>
    <row r="8" spans="1:18" ht="16.5" x14ac:dyDescent="0.25">
      <c r="A8" s="105"/>
      <c r="B8" s="106" t="s">
        <v>56</v>
      </c>
      <c r="C8" s="106" t="s">
        <v>37</v>
      </c>
      <c r="D8" s="107" t="s">
        <v>56</v>
      </c>
      <c r="E8" s="106" t="s">
        <v>37</v>
      </c>
      <c r="F8" s="106" t="s">
        <v>56</v>
      </c>
      <c r="G8" s="106" t="s">
        <v>37</v>
      </c>
      <c r="H8" s="1891"/>
      <c r="I8" s="1891"/>
      <c r="J8" s="1893"/>
      <c r="K8" s="1893"/>
      <c r="L8" s="1893"/>
      <c r="M8" s="133"/>
      <c r="N8" s="136">
        <v>0</v>
      </c>
      <c r="O8" s="109">
        <f>N8</f>
        <v>0</v>
      </c>
    </row>
    <row r="9" spans="1:18" ht="16.5" x14ac:dyDescent="0.3">
      <c r="A9" s="110">
        <f>+BLESSING!A9</f>
        <v>44105</v>
      </c>
      <c r="B9" s="111">
        <f>C9/B$7</f>
        <v>0</v>
      </c>
      <c r="C9" s="112"/>
      <c r="D9" s="111">
        <f>+E9/D$7</f>
        <v>0</v>
      </c>
      <c r="E9" s="275"/>
      <c r="F9" s="111">
        <f>+G9/F$7</f>
        <v>0</v>
      </c>
      <c r="G9" s="114"/>
      <c r="H9" s="114"/>
      <c r="I9" s="114"/>
      <c r="J9" s="114"/>
      <c r="K9" s="115">
        <f t="shared" ref="K9:K39" si="0">C9+E9+G9+H9+I9+J9</f>
        <v>0</v>
      </c>
      <c r="L9" s="115"/>
      <c r="M9" s="113"/>
      <c r="N9" s="114">
        <f>K9-M9</f>
        <v>0</v>
      </c>
      <c r="O9" s="114">
        <f>+O8+K9-M9</f>
        <v>0</v>
      </c>
      <c r="P9" s="386">
        <f>+R9-E9</f>
        <v>5000</v>
      </c>
      <c r="R9" s="37">
        <v>5000</v>
      </c>
    </row>
    <row r="10" spans="1:18" ht="16.5" x14ac:dyDescent="0.3">
      <c r="A10" s="110">
        <f>+A9+1</f>
        <v>44106</v>
      </c>
      <c r="B10" s="111">
        <f t="shared" ref="B10:B39" si="1">C10/B$7</f>
        <v>0</v>
      </c>
      <c r="C10" s="112"/>
      <c r="D10" s="111">
        <f t="shared" ref="D10:F25" si="2">+E10/D$7</f>
        <v>0</v>
      </c>
      <c r="E10" s="275"/>
      <c r="F10" s="111">
        <f>+G10/F$7</f>
        <v>0</v>
      </c>
      <c r="G10" s="114"/>
      <c r="H10" s="114"/>
      <c r="I10" s="114"/>
      <c r="J10" s="114"/>
      <c r="K10" s="115">
        <f t="shared" si="0"/>
        <v>0</v>
      </c>
      <c r="L10" s="115"/>
      <c r="M10" s="86"/>
      <c r="N10" s="114">
        <f t="shared" ref="N10:N39" si="3">K10-M10</f>
        <v>0</v>
      </c>
      <c r="O10" s="114">
        <f t="shared" ref="O10:O37" si="4">+O9+K10-M10</f>
        <v>0</v>
      </c>
      <c r="P10" s="386">
        <f>+P9-E10</f>
        <v>5000</v>
      </c>
    </row>
    <row r="11" spans="1:18" ht="16.5" x14ac:dyDescent="0.25">
      <c r="A11" s="110">
        <f t="shared" ref="A11:A39" si="5">+A10+1</f>
        <v>44107</v>
      </c>
      <c r="B11" s="111">
        <f t="shared" si="1"/>
        <v>0</v>
      </c>
      <c r="C11" s="113"/>
      <c r="D11" s="111">
        <f t="shared" si="2"/>
        <v>0</v>
      </c>
      <c r="E11" s="275"/>
      <c r="F11" s="111">
        <f t="shared" si="2"/>
        <v>0</v>
      </c>
      <c r="G11" s="114"/>
      <c r="H11" s="114"/>
      <c r="I11" s="114"/>
      <c r="J11" s="114"/>
      <c r="K11" s="115">
        <f t="shared" si="0"/>
        <v>0</v>
      </c>
      <c r="L11" s="115"/>
      <c r="M11" s="86"/>
      <c r="N11" s="114">
        <f t="shared" si="3"/>
        <v>0</v>
      </c>
      <c r="O11" s="114">
        <f t="shared" si="4"/>
        <v>0</v>
      </c>
      <c r="P11" s="386">
        <f t="shared" ref="P11:P38" si="6">+P10-E11</f>
        <v>5000</v>
      </c>
    </row>
    <row r="12" spans="1:18" ht="16.5" x14ac:dyDescent="0.25">
      <c r="A12" s="110">
        <f t="shared" si="5"/>
        <v>44108</v>
      </c>
      <c r="B12" s="111">
        <f t="shared" si="1"/>
        <v>0</v>
      </c>
      <c r="C12" s="113"/>
      <c r="D12" s="111">
        <f t="shared" si="2"/>
        <v>0</v>
      </c>
      <c r="E12" s="275"/>
      <c r="F12" s="111">
        <f t="shared" si="2"/>
        <v>0</v>
      </c>
      <c r="G12" s="114"/>
      <c r="H12" s="114"/>
      <c r="I12" s="114"/>
      <c r="J12" s="114"/>
      <c r="K12" s="115">
        <f t="shared" si="0"/>
        <v>0</v>
      </c>
      <c r="L12" s="115"/>
      <c r="M12" s="86"/>
      <c r="N12" s="114">
        <f t="shared" si="3"/>
        <v>0</v>
      </c>
      <c r="O12" s="114">
        <f t="shared" si="4"/>
        <v>0</v>
      </c>
      <c r="P12" s="386">
        <f t="shared" si="6"/>
        <v>5000</v>
      </c>
    </row>
    <row r="13" spans="1:18" ht="16.5" x14ac:dyDescent="0.3">
      <c r="A13" s="110">
        <f t="shared" si="5"/>
        <v>44109</v>
      </c>
      <c r="B13" s="111">
        <f t="shared" si="1"/>
        <v>0</v>
      </c>
      <c r="C13" s="112"/>
      <c r="D13" s="111">
        <f t="shared" si="2"/>
        <v>0</v>
      </c>
      <c r="E13" s="275"/>
      <c r="F13" s="111">
        <f t="shared" si="2"/>
        <v>0</v>
      </c>
      <c r="G13" s="114"/>
      <c r="H13" s="114"/>
      <c r="I13" s="114"/>
      <c r="J13" s="114"/>
      <c r="K13" s="115">
        <f t="shared" si="0"/>
        <v>0</v>
      </c>
      <c r="L13" s="115"/>
      <c r="M13" s="86"/>
      <c r="N13" s="114">
        <f t="shared" si="3"/>
        <v>0</v>
      </c>
      <c r="O13" s="114">
        <f t="shared" si="4"/>
        <v>0</v>
      </c>
      <c r="P13" s="386">
        <f t="shared" si="6"/>
        <v>5000</v>
      </c>
    </row>
    <row r="14" spans="1:18" ht="16.5" x14ac:dyDescent="0.3">
      <c r="A14" s="110">
        <f t="shared" si="5"/>
        <v>44110</v>
      </c>
      <c r="B14" s="111">
        <f t="shared" si="1"/>
        <v>0</v>
      </c>
      <c r="C14" s="112"/>
      <c r="D14" s="111">
        <f t="shared" si="2"/>
        <v>0</v>
      </c>
      <c r="E14" s="275"/>
      <c r="F14" s="111">
        <f t="shared" si="2"/>
        <v>0</v>
      </c>
      <c r="G14" s="114"/>
      <c r="H14" s="114"/>
      <c r="I14" s="114"/>
      <c r="J14" s="114"/>
      <c r="K14" s="115">
        <f t="shared" si="0"/>
        <v>0</v>
      </c>
      <c r="L14" s="115"/>
      <c r="M14" s="86"/>
      <c r="N14" s="114">
        <f t="shared" si="3"/>
        <v>0</v>
      </c>
      <c r="O14" s="114">
        <f t="shared" si="4"/>
        <v>0</v>
      </c>
      <c r="P14" s="386">
        <f t="shared" si="6"/>
        <v>5000</v>
      </c>
    </row>
    <row r="15" spans="1:18"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si="4"/>
        <v>0</v>
      </c>
      <c r="P15" s="386">
        <f t="shared" si="6"/>
        <v>5000</v>
      </c>
    </row>
    <row r="16" spans="1:18" ht="16.5" x14ac:dyDescent="0.25">
      <c r="A16" s="110">
        <f t="shared" si="5"/>
        <v>44112</v>
      </c>
      <c r="B16" s="111">
        <f t="shared" si="1"/>
        <v>0</v>
      </c>
      <c r="C16" s="113"/>
      <c r="D16" s="111">
        <f t="shared" si="2"/>
        <v>0</v>
      </c>
      <c r="E16" s="113"/>
      <c r="F16" s="111">
        <f t="shared" si="2"/>
        <v>0</v>
      </c>
      <c r="G16" s="114"/>
      <c r="H16" s="114"/>
      <c r="I16" s="114"/>
      <c r="J16" s="114"/>
      <c r="K16" s="115">
        <f t="shared" si="0"/>
        <v>0</v>
      </c>
      <c r="L16" s="115"/>
      <c r="M16" s="86"/>
      <c r="N16" s="114">
        <f t="shared" si="3"/>
        <v>0</v>
      </c>
      <c r="O16" s="114">
        <f t="shared" si="4"/>
        <v>0</v>
      </c>
      <c r="P16" s="386">
        <f t="shared" si="6"/>
        <v>5000</v>
      </c>
    </row>
    <row r="17" spans="1:17"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c r="O17" s="114"/>
      <c r="P17" s="386">
        <f>+P16-E17</f>
        <v>5000</v>
      </c>
    </row>
    <row r="18" spans="1:17" ht="16.5" x14ac:dyDescent="0.25">
      <c r="A18" s="110">
        <f t="shared" si="5"/>
        <v>44114</v>
      </c>
      <c r="B18" s="117">
        <f t="shared" si="1"/>
        <v>0</v>
      </c>
      <c r="C18" s="86"/>
      <c r="D18" s="117">
        <f t="shared" si="2"/>
        <v>0</v>
      </c>
      <c r="E18" s="275"/>
      <c r="F18" s="111">
        <f t="shared" si="2"/>
        <v>0</v>
      </c>
      <c r="G18" s="118"/>
      <c r="H18" s="118"/>
      <c r="I18" s="118"/>
      <c r="J18" s="118"/>
      <c r="K18" s="134">
        <f t="shared" si="0"/>
        <v>0</v>
      </c>
      <c r="L18" s="134"/>
      <c r="M18" s="86"/>
      <c r="N18" s="114">
        <f t="shared" si="3"/>
        <v>0</v>
      </c>
      <c r="O18" s="114">
        <f t="shared" si="4"/>
        <v>0</v>
      </c>
      <c r="P18" s="386">
        <f>+P17-E18</f>
        <v>5000</v>
      </c>
    </row>
    <row r="19" spans="1:17" ht="16.5" x14ac:dyDescent="0.25">
      <c r="A19" s="110">
        <f t="shared" si="5"/>
        <v>44115</v>
      </c>
      <c r="B19" s="117">
        <f t="shared" si="1"/>
        <v>0</v>
      </c>
      <c r="C19" s="86"/>
      <c r="D19" s="117">
        <f t="shared" si="2"/>
        <v>0</v>
      </c>
      <c r="E19" s="275"/>
      <c r="F19" s="111">
        <f t="shared" si="2"/>
        <v>0</v>
      </c>
      <c r="G19" s="118"/>
      <c r="H19" s="118"/>
      <c r="I19" s="118"/>
      <c r="J19" s="118"/>
      <c r="K19" s="134">
        <f>C19+E19+G19+H19+I19+J19</f>
        <v>0</v>
      </c>
      <c r="L19" s="134"/>
      <c r="M19" s="86"/>
      <c r="N19" s="114">
        <f t="shared" si="3"/>
        <v>0</v>
      </c>
      <c r="O19" s="114">
        <f>+O18+K19-M19</f>
        <v>0</v>
      </c>
      <c r="P19" s="386">
        <f>+P18-E19</f>
        <v>5000</v>
      </c>
      <c r="Q19" s="386">
        <f>+P19-200000</f>
        <v>-195000</v>
      </c>
    </row>
    <row r="20" spans="1:17" ht="16.5" x14ac:dyDescent="0.25">
      <c r="A20" s="110">
        <f t="shared" si="5"/>
        <v>44116</v>
      </c>
      <c r="B20" s="117">
        <f t="shared" si="1"/>
        <v>0</v>
      </c>
      <c r="C20" s="86"/>
      <c r="D20" s="117">
        <f t="shared" si="2"/>
        <v>0</v>
      </c>
      <c r="E20" s="275"/>
      <c r="F20" s="111">
        <f t="shared" si="2"/>
        <v>0</v>
      </c>
      <c r="G20" s="118"/>
      <c r="H20" s="118"/>
      <c r="I20" s="118"/>
      <c r="J20" s="118"/>
      <c r="K20" s="134">
        <f t="shared" si="0"/>
        <v>0</v>
      </c>
      <c r="L20" s="134"/>
      <c r="M20" s="86"/>
      <c r="N20" s="114">
        <f t="shared" si="3"/>
        <v>0</v>
      </c>
      <c r="O20" s="114">
        <f t="shared" si="4"/>
        <v>0</v>
      </c>
      <c r="P20" s="386">
        <f>+P19-E20</f>
        <v>5000</v>
      </c>
    </row>
    <row r="21" spans="1:17" ht="16.5" x14ac:dyDescent="0.25">
      <c r="A21" s="110">
        <f t="shared" si="5"/>
        <v>44117</v>
      </c>
      <c r="B21" s="117">
        <f t="shared" si="1"/>
        <v>0</v>
      </c>
      <c r="C21" s="86"/>
      <c r="D21" s="117">
        <f t="shared" si="2"/>
        <v>0</v>
      </c>
      <c r="E21" s="275"/>
      <c r="F21" s="111">
        <f t="shared" si="2"/>
        <v>0</v>
      </c>
      <c r="G21" s="118"/>
      <c r="H21" s="118"/>
      <c r="I21" s="118"/>
      <c r="J21" s="118"/>
      <c r="K21" s="134">
        <f t="shared" si="0"/>
        <v>0</v>
      </c>
      <c r="L21" s="134"/>
      <c r="M21" s="86"/>
      <c r="N21" s="114">
        <f t="shared" si="3"/>
        <v>0</v>
      </c>
      <c r="O21" s="114">
        <f t="shared" si="4"/>
        <v>0</v>
      </c>
      <c r="P21" s="386">
        <f t="shared" si="6"/>
        <v>5000</v>
      </c>
    </row>
    <row r="22" spans="1:17" ht="16.5" x14ac:dyDescent="0.25">
      <c r="A22" s="110">
        <f t="shared" si="5"/>
        <v>44118</v>
      </c>
      <c r="B22" s="117">
        <f t="shared" si="1"/>
        <v>0</v>
      </c>
      <c r="C22" s="86"/>
      <c r="D22" s="117">
        <f t="shared" si="2"/>
        <v>0</v>
      </c>
      <c r="E22" s="275"/>
      <c r="F22" s="111">
        <f t="shared" si="2"/>
        <v>0</v>
      </c>
      <c r="G22" s="118"/>
      <c r="H22" s="118"/>
      <c r="I22" s="118"/>
      <c r="J22" s="118"/>
      <c r="K22" s="134">
        <f t="shared" si="0"/>
        <v>0</v>
      </c>
      <c r="L22" s="134"/>
      <c r="M22" s="86"/>
      <c r="N22" s="114">
        <f t="shared" si="3"/>
        <v>0</v>
      </c>
      <c r="O22" s="114">
        <f t="shared" si="4"/>
        <v>0</v>
      </c>
      <c r="P22" s="386">
        <f t="shared" si="6"/>
        <v>5000</v>
      </c>
    </row>
    <row r="23" spans="1:17" ht="16.5" x14ac:dyDescent="0.25">
      <c r="A23" s="110">
        <f t="shared" si="5"/>
        <v>44119</v>
      </c>
      <c r="B23" s="117">
        <f t="shared" si="1"/>
        <v>0</v>
      </c>
      <c r="C23" s="86"/>
      <c r="D23" s="117">
        <f t="shared" si="2"/>
        <v>0</v>
      </c>
      <c r="E23" s="275"/>
      <c r="F23" s="117">
        <f t="shared" si="2"/>
        <v>0</v>
      </c>
      <c r="G23" s="118"/>
      <c r="H23" s="118"/>
      <c r="I23" s="118"/>
      <c r="J23" s="118"/>
      <c r="K23" s="134">
        <f t="shared" si="0"/>
        <v>0</v>
      </c>
      <c r="L23" s="134"/>
      <c r="M23" s="86"/>
      <c r="N23" s="114">
        <f t="shared" si="3"/>
        <v>0</v>
      </c>
      <c r="O23" s="114">
        <f t="shared" si="4"/>
        <v>0</v>
      </c>
      <c r="P23" s="386">
        <f t="shared" si="6"/>
        <v>5000</v>
      </c>
    </row>
    <row r="24" spans="1:17" ht="16.5" x14ac:dyDescent="0.25">
      <c r="A24" s="110">
        <f t="shared" si="5"/>
        <v>44120</v>
      </c>
      <c r="B24" s="117">
        <f t="shared" si="1"/>
        <v>0</v>
      </c>
      <c r="C24" s="86"/>
      <c r="D24" s="117">
        <f t="shared" si="2"/>
        <v>0</v>
      </c>
      <c r="E24" s="275"/>
      <c r="F24" s="117">
        <f t="shared" si="2"/>
        <v>0</v>
      </c>
      <c r="G24" s="118"/>
      <c r="H24" s="118"/>
      <c r="I24" s="118"/>
      <c r="J24" s="118"/>
      <c r="K24" s="134">
        <f t="shared" si="0"/>
        <v>0</v>
      </c>
      <c r="L24" s="134"/>
      <c r="M24" s="113"/>
      <c r="N24" s="114">
        <f t="shared" si="3"/>
        <v>0</v>
      </c>
      <c r="O24" s="114">
        <f t="shared" si="4"/>
        <v>0</v>
      </c>
      <c r="P24" s="386">
        <f t="shared" si="6"/>
        <v>5000</v>
      </c>
    </row>
    <row r="25" spans="1:17" ht="16.5" x14ac:dyDescent="0.25">
      <c r="A25" s="110">
        <f t="shared" si="5"/>
        <v>44121</v>
      </c>
      <c r="B25" s="117">
        <f t="shared" si="1"/>
        <v>0</v>
      </c>
      <c r="C25" s="86"/>
      <c r="D25" s="117">
        <f t="shared" si="2"/>
        <v>0</v>
      </c>
      <c r="E25" s="275"/>
      <c r="F25" s="117">
        <f t="shared" si="2"/>
        <v>0</v>
      </c>
      <c r="G25" s="118"/>
      <c r="H25" s="118"/>
      <c r="I25" s="118"/>
      <c r="J25" s="118"/>
      <c r="K25" s="134">
        <f t="shared" si="0"/>
        <v>0</v>
      </c>
      <c r="L25" s="134"/>
      <c r="M25" s="113"/>
      <c r="N25" s="114">
        <f t="shared" si="3"/>
        <v>0</v>
      </c>
      <c r="O25" s="114">
        <f t="shared" si="4"/>
        <v>0</v>
      </c>
      <c r="P25" s="386">
        <f t="shared" si="6"/>
        <v>5000</v>
      </c>
    </row>
    <row r="26" spans="1:17" ht="16.5" x14ac:dyDescent="0.25">
      <c r="A26" s="110">
        <f t="shared" si="5"/>
        <v>44122</v>
      </c>
      <c r="B26" s="117">
        <f t="shared" si="1"/>
        <v>0</v>
      </c>
      <c r="C26" s="86"/>
      <c r="D26" s="117">
        <f t="shared" ref="D26:F39" si="7">+E26/D$7</f>
        <v>0</v>
      </c>
      <c r="E26" s="113"/>
      <c r="F26" s="117">
        <f t="shared" si="7"/>
        <v>0</v>
      </c>
      <c r="G26" s="118"/>
      <c r="H26" s="118"/>
      <c r="I26" s="118"/>
      <c r="J26" s="118"/>
      <c r="K26" s="134">
        <f t="shared" si="0"/>
        <v>0</v>
      </c>
      <c r="L26" s="134"/>
      <c r="M26" s="113"/>
      <c r="N26" s="114">
        <f t="shared" si="3"/>
        <v>0</v>
      </c>
      <c r="O26" s="114">
        <f t="shared" si="4"/>
        <v>0</v>
      </c>
      <c r="P26" s="386">
        <f t="shared" si="6"/>
        <v>5000</v>
      </c>
    </row>
    <row r="27" spans="1:17" ht="16.5" x14ac:dyDescent="0.25">
      <c r="A27" s="110">
        <f t="shared" si="5"/>
        <v>44123</v>
      </c>
      <c r="B27" s="117">
        <f t="shared" si="1"/>
        <v>0</v>
      </c>
      <c r="C27" s="86"/>
      <c r="D27" s="117">
        <f t="shared" si="7"/>
        <v>0</v>
      </c>
      <c r="E27" s="113"/>
      <c r="F27" s="117">
        <f t="shared" si="7"/>
        <v>0</v>
      </c>
      <c r="G27" s="118"/>
      <c r="H27" s="118"/>
      <c r="I27" s="118"/>
      <c r="J27" s="118"/>
      <c r="K27" s="134">
        <f t="shared" si="0"/>
        <v>0</v>
      </c>
      <c r="L27" s="134"/>
      <c r="M27" s="113"/>
      <c r="N27" s="114">
        <f t="shared" si="3"/>
        <v>0</v>
      </c>
      <c r="O27" s="114">
        <f t="shared" si="4"/>
        <v>0</v>
      </c>
      <c r="P27" s="386">
        <f t="shared" si="6"/>
        <v>5000</v>
      </c>
    </row>
    <row r="28" spans="1:17" ht="16.5" x14ac:dyDescent="0.25">
      <c r="A28" s="110">
        <f t="shared" si="5"/>
        <v>44124</v>
      </c>
      <c r="B28" s="117">
        <f t="shared" si="1"/>
        <v>0</v>
      </c>
      <c r="C28" s="86"/>
      <c r="D28" s="117">
        <f t="shared" si="7"/>
        <v>0</v>
      </c>
      <c r="E28" s="113"/>
      <c r="F28" s="117">
        <f t="shared" si="7"/>
        <v>0</v>
      </c>
      <c r="G28" s="118"/>
      <c r="H28" s="118"/>
      <c r="I28" s="118"/>
      <c r="J28" s="118"/>
      <c r="K28" s="134">
        <f t="shared" si="0"/>
        <v>0</v>
      </c>
      <c r="L28" s="134"/>
      <c r="M28" s="113"/>
      <c r="N28" s="114">
        <f t="shared" si="3"/>
        <v>0</v>
      </c>
      <c r="O28" s="114">
        <f t="shared" si="4"/>
        <v>0</v>
      </c>
      <c r="P28" s="386">
        <f t="shared" si="6"/>
        <v>5000</v>
      </c>
    </row>
    <row r="29" spans="1:17" ht="16.5" x14ac:dyDescent="0.25">
      <c r="A29" s="110">
        <f t="shared" si="5"/>
        <v>44125</v>
      </c>
      <c r="B29" s="117">
        <f t="shared" si="1"/>
        <v>0</v>
      </c>
      <c r="C29" s="86"/>
      <c r="D29" s="117">
        <f t="shared" si="7"/>
        <v>0</v>
      </c>
      <c r="E29" s="113"/>
      <c r="F29" s="117">
        <f t="shared" si="7"/>
        <v>0</v>
      </c>
      <c r="G29" s="118"/>
      <c r="H29" s="118"/>
      <c r="I29" s="118"/>
      <c r="J29" s="118"/>
      <c r="K29" s="134">
        <f t="shared" si="0"/>
        <v>0</v>
      </c>
      <c r="L29" s="134"/>
      <c r="M29" s="113"/>
      <c r="N29" s="114">
        <f t="shared" si="3"/>
        <v>0</v>
      </c>
      <c r="O29" s="114">
        <f t="shared" si="4"/>
        <v>0</v>
      </c>
      <c r="P29" s="386">
        <f t="shared" si="6"/>
        <v>5000</v>
      </c>
    </row>
    <row r="30" spans="1:17" ht="16.5" x14ac:dyDescent="0.25">
      <c r="A30" s="110">
        <f t="shared" si="5"/>
        <v>44126</v>
      </c>
      <c r="B30" s="117">
        <f t="shared" si="1"/>
        <v>0</v>
      </c>
      <c r="C30" s="86"/>
      <c r="D30" s="117">
        <f t="shared" si="7"/>
        <v>0</v>
      </c>
      <c r="E30" s="113"/>
      <c r="F30" s="117">
        <f t="shared" si="7"/>
        <v>0</v>
      </c>
      <c r="G30" s="118"/>
      <c r="H30" s="118"/>
      <c r="I30" s="118"/>
      <c r="J30" s="118"/>
      <c r="K30" s="134">
        <f t="shared" si="0"/>
        <v>0</v>
      </c>
      <c r="L30" s="134"/>
      <c r="M30" s="113"/>
      <c r="N30" s="114">
        <f t="shared" si="3"/>
        <v>0</v>
      </c>
      <c r="O30" s="114">
        <f t="shared" si="4"/>
        <v>0</v>
      </c>
      <c r="P30" s="386">
        <f t="shared" si="6"/>
        <v>5000</v>
      </c>
    </row>
    <row r="31" spans="1:17" s="94" customFormat="1" ht="16.5" x14ac:dyDescent="0.25">
      <c r="A31" s="827">
        <f t="shared" si="5"/>
        <v>44127</v>
      </c>
      <c r="B31" s="117">
        <f t="shared" si="1"/>
        <v>0</v>
      </c>
      <c r="C31" s="86"/>
      <c r="D31" s="117">
        <f t="shared" si="7"/>
        <v>0</v>
      </c>
      <c r="E31" s="86"/>
      <c r="F31" s="117">
        <f t="shared" si="7"/>
        <v>0</v>
      </c>
      <c r="G31" s="118"/>
      <c r="H31" s="118"/>
      <c r="I31" s="118"/>
      <c r="J31" s="118"/>
      <c r="K31" s="134">
        <f t="shared" si="0"/>
        <v>0</v>
      </c>
      <c r="L31" s="134"/>
      <c r="M31" s="86"/>
      <c r="N31" s="118">
        <f t="shared" si="3"/>
        <v>0</v>
      </c>
      <c r="O31" s="118">
        <f t="shared" si="4"/>
        <v>0</v>
      </c>
      <c r="P31" s="386">
        <f t="shared" si="6"/>
        <v>5000</v>
      </c>
    </row>
    <row r="32" spans="1:17" ht="16.5" x14ac:dyDescent="0.25">
      <c r="A32" s="110">
        <f t="shared" si="5"/>
        <v>44128</v>
      </c>
      <c r="B32" s="111">
        <f t="shared" si="1"/>
        <v>0</v>
      </c>
      <c r="C32" s="113"/>
      <c r="D32" s="111">
        <f t="shared" si="7"/>
        <v>0</v>
      </c>
      <c r="E32" s="113"/>
      <c r="F32" s="111">
        <f t="shared" si="7"/>
        <v>0</v>
      </c>
      <c r="G32" s="114"/>
      <c r="H32" s="114"/>
      <c r="I32" s="114"/>
      <c r="J32" s="114"/>
      <c r="K32" s="115">
        <f t="shared" si="0"/>
        <v>0</v>
      </c>
      <c r="L32" s="115"/>
      <c r="M32" s="113"/>
      <c r="N32" s="114">
        <f t="shared" si="3"/>
        <v>0</v>
      </c>
      <c r="O32" s="114">
        <f t="shared" si="4"/>
        <v>0</v>
      </c>
      <c r="P32" s="386">
        <f t="shared" si="6"/>
        <v>5000</v>
      </c>
    </row>
    <row r="33" spans="1:16" ht="16.5" x14ac:dyDescent="0.25">
      <c r="A33" s="110">
        <f t="shared" si="5"/>
        <v>44129</v>
      </c>
      <c r="B33" s="111">
        <f t="shared" si="1"/>
        <v>0</v>
      </c>
      <c r="C33" s="113"/>
      <c r="D33" s="111">
        <f>+E33/D$7</f>
        <v>0</v>
      </c>
      <c r="E33" s="113"/>
      <c r="F33" s="111">
        <f t="shared" si="7"/>
        <v>0</v>
      </c>
      <c r="G33" s="114"/>
      <c r="H33" s="114"/>
      <c r="I33" s="114"/>
      <c r="J33" s="114"/>
      <c r="K33" s="115">
        <f t="shared" si="0"/>
        <v>0</v>
      </c>
      <c r="L33" s="115"/>
      <c r="M33" s="113"/>
      <c r="N33" s="114">
        <f t="shared" si="3"/>
        <v>0</v>
      </c>
      <c r="O33" s="114">
        <f t="shared" si="4"/>
        <v>0</v>
      </c>
      <c r="P33" s="386">
        <f t="shared" si="6"/>
        <v>5000</v>
      </c>
    </row>
    <row r="34" spans="1:16" ht="16.5" x14ac:dyDescent="0.25">
      <c r="A34" s="110">
        <f t="shared" si="5"/>
        <v>44130</v>
      </c>
      <c r="B34" s="111">
        <f t="shared" si="1"/>
        <v>0</v>
      </c>
      <c r="C34" s="113"/>
      <c r="D34" s="111">
        <f t="shared" si="7"/>
        <v>0</v>
      </c>
      <c r="E34" s="113"/>
      <c r="F34" s="111">
        <f t="shared" si="7"/>
        <v>0</v>
      </c>
      <c r="G34" s="114"/>
      <c r="H34" s="114"/>
      <c r="I34" s="114"/>
      <c r="J34" s="114"/>
      <c r="K34" s="115">
        <f t="shared" si="0"/>
        <v>0</v>
      </c>
      <c r="L34" s="115"/>
      <c r="M34" s="113"/>
      <c r="N34" s="114">
        <f t="shared" si="3"/>
        <v>0</v>
      </c>
      <c r="O34" s="114">
        <f t="shared" si="4"/>
        <v>0</v>
      </c>
      <c r="P34" s="386">
        <f t="shared" si="6"/>
        <v>5000</v>
      </c>
    </row>
    <row r="35" spans="1:16" ht="16.5" x14ac:dyDescent="0.25">
      <c r="A35" s="110">
        <f t="shared" si="5"/>
        <v>44131</v>
      </c>
      <c r="B35" s="111">
        <f t="shared" si="1"/>
        <v>0</v>
      </c>
      <c r="C35" s="113"/>
      <c r="D35" s="111">
        <f t="shared" si="7"/>
        <v>0</v>
      </c>
      <c r="E35" s="113"/>
      <c r="F35" s="111">
        <f t="shared" si="7"/>
        <v>0</v>
      </c>
      <c r="G35" s="114"/>
      <c r="H35" s="114"/>
      <c r="I35" s="114"/>
      <c r="J35" s="114"/>
      <c r="K35" s="115">
        <f t="shared" si="0"/>
        <v>0</v>
      </c>
      <c r="L35" s="115"/>
      <c r="M35" s="113"/>
      <c r="N35" s="114">
        <f t="shared" si="3"/>
        <v>0</v>
      </c>
      <c r="O35" s="114">
        <f t="shared" si="4"/>
        <v>0</v>
      </c>
      <c r="P35" s="386">
        <f t="shared" si="6"/>
        <v>5000</v>
      </c>
    </row>
    <row r="36" spans="1:16" ht="16.5" x14ac:dyDescent="0.25">
      <c r="A36" s="110">
        <f t="shared" si="5"/>
        <v>44132</v>
      </c>
      <c r="B36" s="111">
        <f t="shared" si="1"/>
        <v>0</v>
      </c>
      <c r="C36" s="113"/>
      <c r="D36" s="111">
        <f t="shared" si="7"/>
        <v>0</v>
      </c>
      <c r="E36" s="113"/>
      <c r="F36" s="111">
        <f t="shared" si="7"/>
        <v>0</v>
      </c>
      <c r="G36" s="114"/>
      <c r="H36" s="114"/>
      <c r="I36" s="114"/>
      <c r="J36" s="114"/>
      <c r="K36" s="115">
        <f t="shared" si="0"/>
        <v>0</v>
      </c>
      <c r="L36" s="115"/>
      <c r="M36" s="113"/>
      <c r="N36" s="114">
        <f t="shared" si="3"/>
        <v>0</v>
      </c>
      <c r="O36" s="114">
        <f t="shared" si="4"/>
        <v>0</v>
      </c>
      <c r="P36" s="386">
        <f t="shared" si="6"/>
        <v>5000</v>
      </c>
    </row>
    <row r="37" spans="1:16" ht="16.5" x14ac:dyDescent="0.25">
      <c r="A37" s="110">
        <f t="shared" si="5"/>
        <v>44133</v>
      </c>
      <c r="B37" s="111">
        <f t="shared" si="1"/>
        <v>0</v>
      </c>
      <c r="C37" s="113"/>
      <c r="D37" s="111">
        <f t="shared" si="7"/>
        <v>0</v>
      </c>
      <c r="E37" s="113"/>
      <c r="F37" s="111">
        <f t="shared" si="7"/>
        <v>0</v>
      </c>
      <c r="G37" s="114"/>
      <c r="H37" s="114"/>
      <c r="I37" s="114"/>
      <c r="J37" s="114"/>
      <c r="K37" s="115">
        <f t="shared" si="0"/>
        <v>0</v>
      </c>
      <c r="L37" s="115"/>
      <c r="M37" s="113"/>
      <c r="N37" s="114">
        <f t="shared" si="3"/>
        <v>0</v>
      </c>
      <c r="O37" s="114">
        <f t="shared" si="4"/>
        <v>0</v>
      </c>
      <c r="P37" s="386">
        <f t="shared" si="6"/>
        <v>5000</v>
      </c>
    </row>
    <row r="38" spans="1:16" ht="16.5" x14ac:dyDescent="0.25">
      <c r="A38" s="110">
        <f t="shared" si="5"/>
        <v>44134</v>
      </c>
      <c r="B38" s="111">
        <f t="shared" si="1"/>
        <v>0</v>
      </c>
      <c r="C38" s="113"/>
      <c r="D38" s="111">
        <f t="shared" si="7"/>
        <v>0</v>
      </c>
      <c r="E38" s="113"/>
      <c r="F38" s="111">
        <f t="shared" si="7"/>
        <v>0</v>
      </c>
      <c r="G38" s="114"/>
      <c r="H38" s="114"/>
      <c r="I38" s="114"/>
      <c r="J38" s="114"/>
      <c r="K38" s="115">
        <f t="shared" si="0"/>
        <v>0</v>
      </c>
      <c r="L38" s="115"/>
      <c r="M38" s="113"/>
      <c r="N38" s="114">
        <f t="shared" si="3"/>
        <v>0</v>
      </c>
      <c r="O38" s="114">
        <f>+O37+K38-M38</f>
        <v>0</v>
      </c>
      <c r="P38" s="386">
        <f t="shared" si="6"/>
        <v>5000</v>
      </c>
    </row>
    <row r="39" spans="1:16" ht="16.5" x14ac:dyDescent="0.25">
      <c r="A39" s="110">
        <f t="shared" si="5"/>
        <v>44135</v>
      </c>
      <c r="B39" s="111">
        <f t="shared" si="1"/>
        <v>0</v>
      </c>
      <c r="C39" s="113"/>
      <c r="D39" s="111">
        <f t="shared" si="7"/>
        <v>0</v>
      </c>
      <c r="E39" s="113"/>
      <c r="F39" s="111">
        <f t="shared" si="7"/>
        <v>0</v>
      </c>
      <c r="G39" s="114"/>
      <c r="H39" s="114"/>
      <c r="I39" s="114"/>
      <c r="J39" s="114"/>
      <c r="K39" s="115">
        <f t="shared" si="0"/>
        <v>0</v>
      </c>
      <c r="L39" s="115"/>
      <c r="M39" s="113"/>
      <c r="N39" s="114">
        <f t="shared" si="3"/>
        <v>0</v>
      </c>
      <c r="O39" s="120">
        <f>+O38+K39-M39</f>
        <v>0</v>
      </c>
      <c r="P39" s="386">
        <f>+P38-E39</f>
        <v>5000</v>
      </c>
    </row>
    <row r="40" spans="1:16" ht="16.5" x14ac:dyDescent="0.2">
      <c r="A40" s="121" t="s">
        <v>18</v>
      </c>
      <c r="B40" s="137">
        <f>SUM(B9:B39)</f>
        <v>0</v>
      </c>
      <c r="C40" s="115">
        <f>SUM(C9:C39)</f>
        <v>0</v>
      </c>
      <c r="D40" s="122">
        <f t="shared" ref="D40:M40" si="8">SUM(D9:D39)</f>
        <v>0</v>
      </c>
      <c r="E40" s="115">
        <f>SUM(E9:E39)</f>
        <v>0</v>
      </c>
      <c r="F40" s="115">
        <f t="shared" si="8"/>
        <v>0</v>
      </c>
      <c r="G40" s="115">
        <f t="shared" si="8"/>
        <v>0</v>
      </c>
      <c r="H40" s="115">
        <f t="shared" si="8"/>
        <v>0</v>
      </c>
      <c r="I40" s="115">
        <f t="shared" si="8"/>
        <v>0</v>
      </c>
      <c r="J40" s="115">
        <f t="shared" si="8"/>
        <v>0</v>
      </c>
      <c r="K40" s="115">
        <f t="shared" si="8"/>
        <v>0</v>
      </c>
      <c r="L40" s="115"/>
      <c r="M40" s="115">
        <f t="shared" si="8"/>
        <v>0</v>
      </c>
      <c r="N40" s="120">
        <f>SUM(N8:N39)</f>
        <v>0</v>
      </c>
      <c r="O40" s="123"/>
    </row>
    <row r="41" spans="1:16" x14ac:dyDescent="0.2">
      <c r="M41" s="667"/>
    </row>
    <row r="42" spans="1:16" x14ac:dyDescent="0.2">
      <c r="E42" s="386"/>
    </row>
  </sheetData>
  <mergeCells count="8">
    <mergeCell ref="N6:N7"/>
    <mergeCell ref="O6:O7"/>
    <mergeCell ref="H6:H7"/>
    <mergeCell ref="I6:I7"/>
    <mergeCell ref="J6:J7"/>
    <mergeCell ref="K6:K7"/>
    <mergeCell ref="L6:L7"/>
    <mergeCell ref="M6:M7"/>
  </mergeCells>
  <pageMargins left="0.39370078740157483" right="0.39370078740157483" top="0.74803149606299213" bottom="0.39370078740157483" header="0.31496062992125984" footer="0.31496062992125984"/>
  <pageSetup paperSize="9" scale="71"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5">
    <tabColor theme="4" tint="-0.249977111117893"/>
    <pageSetUpPr fitToPage="1"/>
  </sheetPr>
  <dimension ref="A2:Q48"/>
  <sheetViews>
    <sheetView zoomScaleNormal="100" workbookViewId="0">
      <selection activeCell="E26" sqref="E26"/>
    </sheetView>
  </sheetViews>
  <sheetFormatPr baseColWidth="10" defaultColWidth="14" defaultRowHeight="15" x14ac:dyDescent="0.2"/>
  <cols>
    <col min="1" max="11" width="14" style="37"/>
    <col min="12" max="12" width="18.28515625" style="37" customWidth="1"/>
    <col min="13" max="16" width="14" style="37"/>
    <col min="17" max="17" width="14.85546875" style="37" bestFit="1" customWidth="1"/>
    <col min="18" max="16384" width="14" style="37"/>
  </cols>
  <sheetData>
    <row r="2" spans="1:17" ht="16.5" x14ac:dyDescent="0.3">
      <c r="A2" s="1" t="s">
        <v>118</v>
      </c>
      <c r="B2" s="1" t="s">
        <v>1048</v>
      </c>
    </row>
    <row r="3" spans="1:17" ht="15.75" x14ac:dyDescent="0.25">
      <c r="C3" s="99"/>
    </row>
    <row r="4" spans="1:17" ht="16.5" x14ac:dyDescent="0.3">
      <c r="A4" s="1" t="s">
        <v>19</v>
      </c>
      <c r="B4" s="2">
        <f>+HERAKLESS!C3</f>
        <v>43160</v>
      </c>
      <c r="C4" s="1"/>
    </row>
    <row r="5" spans="1:17" ht="16.5" x14ac:dyDescent="0.3">
      <c r="A5" s="1"/>
      <c r="B5" s="1"/>
      <c r="C5" s="1"/>
    </row>
    <row r="6" spans="1:17" ht="16.5" x14ac:dyDescent="0.2">
      <c r="A6" s="100" t="s">
        <v>3</v>
      </c>
      <c r="B6" s="1687" t="s">
        <v>15</v>
      </c>
      <c r="C6" s="1688"/>
      <c r="D6" s="1687" t="s">
        <v>16</v>
      </c>
      <c r="E6" s="1688"/>
      <c r="F6" s="1687" t="s">
        <v>17</v>
      </c>
      <c r="G6" s="1688"/>
      <c r="H6" s="2910" t="s">
        <v>52</v>
      </c>
      <c r="I6" s="2910" t="s">
        <v>53</v>
      </c>
      <c r="J6" s="2910" t="s">
        <v>119</v>
      </c>
      <c r="K6" s="2910" t="s">
        <v>18</v>
      </c>
      <c r="L6" s="3062" t="s">
        <v>416</v>
      </c>
      <c r="M6" s="2910" t="s">
        <v>60</v>
      </c>
      <c r="N6" s="2910" t="s">
        <v>55</v>
      </c>
      <c r="O6" s="2910" t="s">
        <v>120</v>
      </c>
    </row>
    <row r="7" spans="1:17" ht="21" x14ac:dyDescent="0.2">
      <c r="A7" s="103"/>
      <c r="B7" s="915">
        <v>630</v>
      </c>
      <c r="C7" s="916"/>
      <c r="D7" s="915">
        <v>575</v>
      </c>
      <c r="E7" s="916"/>
      <c r="F7" s="915">
        <v>350</v>
      </c>
      <c r="G7" s="916"/>
      <c r="H7" s="3059"/>
      <c r="I7" s="3059"/>
      <c r="J7" s="3059"/>
      <c r="K7" s="3059"/>
      <c r="L7" s="3063"/>
      <c r="M7" s="2911"/>
      <c r="N7" s="2911"/>
      <c r="O7" s="2911"/>
    </row>
    <row r="8" spans="1:17" s="94" customFormat="1" ht="16.5" x14ac:dyDescent="0.2">
      <c r="A8" s="187"/>
      <c r="B8" s="106" t="s">
        <v>56</v>
      </c>
      <c r="C8" s="106" t="s">
        <v>37</v>
      </c>
      <c r="D8" s="107" t="s">
        <v>56</v>
      </c>
      <c r="E8" s="106" t="s">
        <v>37</v>
      </c>
      <c r="F8" s="106" t="s">
        <v>56</v>
      </c>
      <c r="G8" s="106" t="s">
        <v>37</v>
      </c>
      <c r="H8" s="2911"/>
      <c r="I8" s="2911"/>
      <c r="J8" s="2911"/>
      <c r="K8" s="2911"/>
      <c r="L8" s="3064"/>
      <c r="M8" s="134"/>
      <c r="N8" s="120"/>
      <c r="O8" s="118">
        <f>N8</f>
        <v>0</v>
      </c>
    </row>
    <row r="9" spans="1:17" s="94" customFormat="1" ht="16.5" x14ac:dyDescent="0.3">
      <c r="A9" s="110">
        <f>+HERAKLESS!A8</f>
        <v>44105</v>
      </c>
      <c r="B9" s="118">
        <f>C9/B$7</f>
        <v>0</v>
      </c>
      <c r="C9" s="189"/>
      <c r="D9" s="117">
        <f>+E9/D$7</f>
        <v>0</v>
      </c>
      <c r="E9" s="279"/>
      <c r="F9" s="117">
        <f>+G9/F$7</f>
        <v>0</v>
      </c>
      <c r="G9" s="118"/>
      <c r="H9" s="118"/>
      <c r="I9" s="118"/>
      <c r="J9" s="118"/>
      <c r="K9" s="134">
        <f>C9+E9+G9+H9+I9+J9</f>
        <v>0</v>
      </c>
      <c r="L9" s="134"/>
      <c r="M9" s="86"/>
      <c r="N9" s="118">
        <f>K9-M9</f>
        <v>0</v>
      </c>
      <c r="O9" s="118">
        <f>+O8+K9-M9</f>
        <v>0</v>
      </c>
    </row>
    <row r="10" spans="1:17" s="94" customFormat="1" ht="16.5" x14ac:dyDescent="0.3">
      <c r="A10" s="110">
        <f>+A9+1</f>
        <v>44106</v>
      </c>
      <c r="B10" s="118">
        <f t="shared" ref="B10:B39" si="0">C10/B$7</f>
        <v>0</v>
      </c>
      <c r="C10" s="189"/>
      <c r="D10" s="117">
        <f t="shared" ref="D10:D39" si="1">+E10/D$7</f>
        <v>0</v>
      </c>
      <c r="E10" s="275"/>
      <c r="F10" s="117">
        <f>+G10/F$7</f>
        <v>0</v>
      </c>
      <c r="G10" s="118"/>
      <c r="H10" s="118"/>
      <c r="I10" s="118"/>
      <c r="J10" s="118"/>
      <c r="K10" s="134">
        <f t="shared" ref="K10:K39" si="2">C10+E10+G10+H10+I10+J10</f>
        <v>0</v>
      </c>
      <c r="L10" s="134"/>
      <c r="M10" s="86"/>
      <c r="N10" s="118">
        <f t="shared" ref="N10:N38" si="3">K10-M10</f>
        <v>0</v>
      </c>
      <c r="O10" s="118">
        <f t="shared" ref="O10:O37" si="4">+O9+K10-M10</f>
        <v>0</v>
      </c>
    </row>
    <row r="11" spans="1:17" s="94" customFormat="1" ht="16.5" x14ac:dyDescent="0.25">
      <c r="A11" s="110">
        <f t="shared" ref="A11:A39" si="5">+A10+1</f>
        <v>44107</v>
      </c>
      <c r="B11" s="118">
        <f t="shared" si="0"/>
        <v>0</v>
      </c>
      <c r="C11" s="86"/>
      <c r="D11" s="117">
        <f t="shared" si="1"/>
        <v>0</v>
      </c>
      <c r="E11" s="275"/>
      <c r="F11" s="117">
        <f t="shared" ref="F11:F39" si="6">+G11/F$7</f>
        <v>0</v>
      </c>
      <c r="G11" s="118"/>
      <c r="H11" s="118"/>
      <c r="I11" s="118"/>
      <c r="J11" s="118"/>
      <c r="K11" s="134">
        <f t="shared" si="2"/>
        <v>0</v>
      </c>
      <c r="L11" s="831"/>
      <c r="M11" s="86"/>
      <c r="N11" s="118">
        <f t="shared" si="3"/>
        <v>0</v>
      </c>
      <c r="O11" s="118">
        <f t="shared" si="4"/>
        <v>0</v>
      </c>
    </row>
    <row r="12" spans="1:17" s="94" customFormat="1" ht="16.5" x14ac:dyDescent="0.25">
      <c r="A12" s="110">
        <f t="shared" si="5"/>
        <v>44108</v>
      </c>
      <c r="B12" s="118">
        <f t="shared" si="0"/>
        <v>0</v>
      </c>
      <c r="C12" s="86"/>
      <c r="D12" s="117">
        <f t="shared" si="1"/>
        <v>0</v>
      </c>
      <c r="E12" s="279"/>
      <c r="F12" s="117">
        <f t="shared" si="6"/>
        <v>0</v>
      </c>
      <c r="G12" s="118"/>
      <c r="H12" s="118"/>
      <c r="I12" s="118"/>
      <c r="J12" s="118"/>
      <c r="K12" s="134">
        <f t="shared" si="2"/>
        <v>0</v>
      </c>
      <c r="L12" s="134"/>
      <c r="M12" s="86"/>
      <c r="N12" s="118">
        <f t="shared" si="3"/>
        <v>0</v>
      </c>
      <c r="O12" s="118">
        <f t="shared" si="4"/>
        <v>0</v>
      </c>
      <c r="P12" s="190"/>
    </row>
    <row r="13" spans="1:17" s="94" customFormat="1" ht="16.5" x14ac:dyDescent="0.3">
      <c r="A13" s="110">
        <f t="shared" si="5"/>
        <v>44109</v>
      </c>
      <c r="B13" s="118">
        <f t="shared" si="0"/>
        <v>0</v>
      </c>
      <c r="C13" s="189"/>
      <c r="D13" s="117">
        <f t="shared" si="1"/>
        <v>0</v>
      </c>
      <c r="E13" s="279"/>
      <c r="F13" s="117">
        <f t="shared" si="6"/>
        <v>0</v>
      </c>
      <c r="G13" s="118"/>
      <c r="H13" s="118"/>
      <c r="I13" s="118"/>
      <c r="J13" s="118"/>
      <c r="K13" s="134">
        <f t="shared" si="2"/>
        <v>0</v>
      </c>
      <c r="L13" s="134"/>
      <c r="M13" s="86"/>
      <c r="N13" s="118">
        <f t="shared" si="3"/>
        <v>0</v>
      </c>
      <c r="O13" s="118">
        <f t="shared" si="4"/>
        <v>0</v>
      </c>
      <c r="Q13" s="1728">
        <f>370000+1200000</f>
        <v>1570000</v>
      </c>
    </row>
    <row r="14" spans="1:17" s="94" customFormat="1" ht="16.5" x14ac:dyDescent="0.25">
      <c r="A14" s="110">
        <f t="shared" si="5"/>
        <v>44110</v>
      </c>
      <c r="B14" s="118">
        <f t="shared" si="0"/>
        <v>0</v>
      </c>
      <c r="C14" s="86"/>
      <c r="D14" s="117">
        <f t="shared" si="1"/>
        <v>0</v>
      </c>
      <c r="E14" s="279"/>
      <c r="F14" s="117">
        <f t="shared" si="6"/>
        <v>0</v>
      </c>
      <c r="G14" s="118"/>
      <c r="H14" s="118"/>
      <c r="I14" s="118"/>
      <c r="J14" s="118"/>
      <c r="K14" s="134">
        <f t="shared" si="2"/>
        <v>0</v>
      </c>
      <c r="L14" s="134"/>
      <c r="M14" s="86"/>
      <c r="N14" s="118">
        <f t="shared" si="3"/>
        <v>0</v>
      </c>
      <c r="O14" s="118">
        <f t="shared" si="4"/>
        <v>0</v>
      </c>
      <c r="Q14" s="1729">
        <f>Q13-E14</f>
        <v>1570000</v>
      </c>
    </row>
    <row r="15" spans="1:17" s="94" customFormat="1" ht="16.5" x14ac:dyDescent="0.25">
      <c r="A15" s="110">
        <f t="shared" si="5"/>
        <v>44111</v>
      </c>
      <c r="B15" s="118">
        <f t="shared" si="0"/>
        <v>0</v>
      </c>
      <c r="C15" s="86"/>
      <c r="D15" s="117">
        <f t="shared" si="1"/>
        <v>0</v>
      </c>
      <c r="E15" s="279"/>
      <c r="F15" s="117">
        <f t="shared" si="6"/>
        <v>0</v>
      </c>
      <c r="G15" s="118"/>
      <c r="H15" s="118"/>
      <c r="I15" s="118"/>
      <c r="J15" s="118"/>
      <c r="K15" s="134">
        <f t="shared" si="2"/>
        <v>0</v>
      </c>
      <c r="L15" s="134"/>
      <c r="M15" s="86"/>
      <c r="N15" s="118">
        <f t="shared" si="3"/>
        <v>0</v>
      </c>
      <c r="O15" s="118">
        <f t="shared" si="4"/>
        <v>0</v>
      </c>
      <c r="Q15" s="1729">
        <f t="shared" ref="Q15:Q21" si="7">Q14-E15</f>
        <v>1570000</v>
      </c>
    </row>
    <row r="16" spans="1:17" s="94" customFormat="1" ht="16.5" x14ac:dyDescent="0.25">
      <c r="A16" s="110">
        <f t="shared" si="5"/>
        <v>44112</v>
      </c>
      <c r="B16" s="118">
        <f t="shared" si="0"/>
        <v>0</v>
      </c>
      <c r="C16" s="86"/>
      <c r="D16" s="118">
        <f t="shared" si="1"/>
        <v>0</v>
      </c>
      <c r="E16" s="279"/>
      <c r="F16" s="117">
        <f t="shared" si="6"/>
        <v>0</v>
      </c>
      <c r="G16" s="118"/>
      <c r="H16" s="118"/>
      <c r="I16" s="118"/>
      <c r="J16" s="118"/>
      <c r="K16" s="134">
        <f t="shared" si="2"/>
        <v>0</v>
      </c>
      <c r="L16" s="134"/>
      <c r="M16" s="86"/>
      <c r="N16" s="118">
        <f t="shared" si="3"/>
        <v>0</v>
      </c>
      <c r="O16" s="118">
        <f t="shared" si="4"/>
        <v>0</v>
      </c>
      <c r="Q16" s="1729">
        <f t="shared" si="7"/>
        <v>1570000</v>
      </c>
    </row>
    <row r="17" spans="1:17" s="94" customFormat="1" ht="16.5" x14ac:dyDescent="0.25">
      <c r="A17" s="110">
        <f t="shared" si="5"/>
        <v>44113</v>
      </c>
      <c r="B17" s="118">
        <f t="shared" si="0"/>
        <v>0</v>
      </c>
      <c r="C17" s="86"/>
      <c r="D17" s="118">
        <f t="shared" si="1"/>
        <v>0</v>
      </c>
      <c r="E17" s="279"/>
      <c r="F17" s="117">
        <f t="shared" si="6"/>
        <v>0</v>
      </c>
      <c r="G17" s="118"/>
      <c r="H17" s="118"/>
      <c r="I17" s="118"/>
      <c r="J17" s="118"/>
      <c r="K17" s="134">
        <f t="shared" si="2"/>
        <v>0</v>
      </c>
      <c r="L17" s="134"/>
      <c r="M17" s="86"/>
      <c r="N17" s="118">
        <f t="shared" si="3"/>
        <v>0</v>
      </c>
      <c r="O17" s="118">
        <f t="shared" si="4"/>
        <v>0</v>
      </c>
      <c r="Q17" s="1729">
        <f t="shared" si="7"/>
        <v>1570000</v>
      </c>
    </row>
    <row r="18" spans="1:17" s="94" customFormat="1" ht="16.5" x14ac:dyDescent="0.25">
      <c r="A18" s="110">
        <f t="shared" si="5"/>
        <v>44114</v>
      </c>
      <c r="B18" s="118">
        <f t="shared" si="0"/>
        <v>0</v>
      </c>
      <c r="C18" s="86"/>
      <c r="D18" s="118">
        <f t="shared" si="1"/>
        <v>0</v>
      </c>
      <c r="E18" s="279"/>
      <c r="F18" s="117">
        <f t="shared" si="6"/>
        <v>0</v>
      </c>
      <c r="G18" s="118"/>
      <c r="H18" s="118"/>
      <c r="I18" s="118"/>
      <c r="J18" s="118"/>
      <c r="K18" s="134">
        <f t="shared" si="2"/>
        <v>0</v>
      </c>
      <c r="L18" s="134"/>
      <c r="M18" s="86"/>
      <c r="N18" s="118">
        <f t="shared" si="3"/>
        <v>0</v>
      </c>
      <c r="O18" s="118">
        <f t="shared" si="4"/>
        <v>0</v>
      </c>
      <c r="Q18" s="1729">
        <f t="shared" si="7"/>
        <v>1570000</v>
      </c>
    </row>
    <row r="19" spans="1:17" s="94" customFormat="1" ht="16.5" x14ac:dyDescent="0.25">
      <c r="A19" s="110">
        <f t="shared" si="5"/>
        <v>44115</v>
      </c>
      <c r="B19" s="118">
        <f t="shared" si="0"/>
        <v>0</v>
      </c>
      <c r="C19" s="86"/>
      <c r="D19" s="118">
        <f t="shared" si="1"/>
        <v>0</v>
      </c>
      <c r="E19" s="279"/>
      <c r="F19" s="117">
        <f t="shared" si="6"/>
        <v>0</v>
      </c>
      <c r="G19" s="118"/>
      <c r="H19" s="118"/>
      <c r="I19" s="118"/>
      <c r="J19" s="118"/>
      <c r="K19" s="134">
        <f t="shared" si="2"/>
        <v>0</v>
      </c>
      <c r="L19" s="134"/>
      <c r="M19" s="86"/>
      <c r="N19" s="118">
        <f t="shared" si="3"/>
        <v>0</v>
      </c>
      <c r="O19" s="118">
        <f t="shared" si="4"/>
        <v>0</v>
      </c>
      <c r="Q19" s="1729">
        <f t="shared" si="7"/>
        <v>1570000</v>
      </c>
    </row>
    <row r="20" spans="1:17" s="94" customFormat="1" ht="16.5" x14ac:dyDescent="0.25">
      <c r="A20" s="110">
        <f t="shared" si="5"/>
        <v>44116</v>
      </c>
      <c r="B20" s="118">
        <f t="shared" si="0"/>
        <v>0</v>
      </c>
      <c r="C20" s="86"/>
      <c r="D20" s="118">
        <f t="shared" si="1"/>
        <v>0</v>
      </c>
      <c r="E20" s="279"/>
      <c r="F20" s="117">
        <f t="shared" si="6"/>
        <v>0</v>
      </c>
      <c r="G20" s="118"/>
      <c r="H20" s="118"/>
      <c r="I20" s="118"/>
      <c r="J20" s="118"/>
      <c r="K20" s="134">
        <f t="shared" si="2"/>
        <v>0</v>
      </c>
      <c r="L20" s="134"/>
      <c r="M20" s="86"/>
      <c r="N20" s="118">
        <f t="shared" si="3"/>
        <v>0</v>
      </c>
      <c r="O20" s="118">
        <f>+O19+K20-M20</f>
        <v>0</v>
      </c>
      <c r="Q20" s="1729">
        <f t="shared" si="7"/>
        <v>1570000</v>
      </c>
    </row>
    <row r="21" spans="1:17" s="94" customFormat="1" ht="16.5" x14ac:dyDescent="0.25">
      <c r="A21" s="110">
        <f t="shared" si="5"/>
        <v>44117</v>
      </c>
      <c r="B21" s="118">
        <f t="shared" si="0"/>
        <v>0</v>
      </c>
      <c r="C21" s="86"/>
      <c r="D21" s="118">
        <f t="shared" si="1"/>
        <v>0</v>
      </c>
      <c r="E21" s="279"/>
      <c r="F21" s="117">
        <f t="shared" si="6"/>
        <v>0</v>
      </c>
      <c r="G21" s="118"/>
      <c r="H21" s="118"/>
      <c r="I21" s="118"/>
      <c r="J21" s="118"/>
      <c r="K21" s="134">
        <f t="shared" si="2"/>
        <v>0</v>
      </c>
      <c r="L21" s="134"/>
      <c r="M21" s="86"/>
      <c r="N21" s="118">
        <f t="shared" si="3"/>
        <v>0</v>
      </c>
      <c r="O21" s="118">
        <f t="shared" si="4"/>
        <v>0</v>
      </c>
      <c r="Q21" s="1729">
        <f t="shared" si="7"/>
        <v>1570000</v>
      </c>
    </row>
    <row r="22" spans="1:17" s="94" customFormat="1" ht="16.5" x14ac:dyDescent="0.25">
      <c r="A22" s="110">
        <f t="shared" si="5"/>
        <v>44118</v>
      </c>
      <c r="B22" s="118">
        <f t="shared" si="0"/>
        <v>0</v>
      </c>
      <c r="C22" s="86"/>
      <c r="D22" s="118">
        <f t="shared" si="1"/>
        <v>0</v>
      </c>
      <c r="E22" s="279"/>
      <c r="F22" s="117">
        <f t="shared" si="6"/>
        <v>0</v>
      </c>
      <c r="G22" s="118"/>
      <c r="H22" s="118"/>
      <c r="I22" s="118"/>
      <c r="J22" s="118"/>
      <c r="K22" s="134">
        <f t="shared" si="2"/>
        <v>0</v>
      </c>
      <c r="L22" s="134"/>
      <c r="M22" s="86"/>
      <c r="N22" s="118">
        <f t="shared" si="3"/>
        <v>0</v>
      </c>
      <c r="O22" s="118">
        <f t="shared" si="4"/>
        <v>0</v>
      </c>
    </row>
    <row r="23" spans="1:17" s="94" customFormat="1" ht="16.5" x14ac:dyDescent="0.25">
      <c r="A23" s="110">
        <f t="shared" si="5"/>
        <v>44119</v>
      </c>
      <c r="B23" s="118">
        <f t="shared" si="0"/>
        <v>0</v>
      </c>
      <c r="C23" s="86"/>
      <c r="D23" s="118">
        <f t="shared" si="1"/>
        <v>0</v>
      </c>
      <c r="E23" s="279"/>
      <c r="F23" s="117">
        <f t="shared" si="6"/>
        <v>0</v>
      </c>
      <c r="G23" s="118"/>
      <c r="H23" s="118"/>
      <c r="I23" s="118"/>
      <c r="J23" s="118"/>
      <c r="K23" s="134">
        <f t="shared" si="2"/>
        <v>0</v>
      </c>
      <c r="L23" s="134"/>
      <c r="M23" s="86"/>
      <c r="N23" s="118">
        <f t="shared" si="3"/>
        <v>0</v>
      </c>
      <c r="O23" s="118">
        <f t="shared" si="4"/>
        <v>0</v>
      </c>
    </row>
    <row r="24" spans="1:17" s="94" customFormat="1" ht="16.5" x14ac:dyDescent="0.25">
      <c r="A24" s="110">
        <f t="shared" si="5"/>
        <v>44120</v>
      </c>
      <c r="B24" s="118">
        <f t="shared" si="0"/>
        <v>0</v>
      </c>
      <c r="C24" s="86"/>
      <c r="D24" s="118">
        <f t="shared" si="1"/>
        <v>0</v>
      </c>
      <c r="E24" s="279"/>
      <c r="F24" s="117">
        <f t="shared" si="6"/>
        <v>0</v>
      </c>
      <c r="G24" s="118"/>
      <c r="H24" s="118"/>
      <c r="I24" s="118"/>
      <c r="J24" s="118"/>
      <c r="K24" s="134">
        <f t="shared" si="2"/>
        <v>0</v>
      </c>
      <c r="L24" s="134"/>
      <c r="M24" s="86"/>
      <c r="N24" s="118">
        <f t="shared" si="3"/>
        <v>0</v>
      </c>
      <c r="O24" s="118">
        <f t="shared" si="4"/>
        <v>0</v>
      </c>
    </row>
    <row r="25" spans="1:17" s="94" customFormat="1" ht="16.5" x14ac:dyDescent="0.25">
      <c r="A25" s="110">
        <f t="shared" si="5"/>
        <v>44121</v>
      </c>
      <c r="B25" s="118">
        <f t="shared" si="0"/>
        <v>0</v>
      </c>
      <c r="C25" s="86"/>
      <c r="D25" s="118">
        <f t="shared" si="1"/>
        <v>0</v>
      </c>
      <c r="E25" s="279"/>
      <c r="F25" s="117">
        <f t="shared" si="6"/>
        <v>0</v>
      </c>
      <c r="G25" s="118"/>
      <c r="H25" s="118"/>
      <c r="I25" s="118"/>
      <c r="J25" s="118"/>
      <c r="K25" s="134">
        <f t="shared" si="2"/>
        <v>0</v>
      </c>
      <c r="L25" s="134"/>
      <c r="M25" s="86"/>
      <c r="N25" s="118">
        <f t="shared" si="3"/>
        <v>0</v>
      </c>
      <c r="O25" s="118">
        <f t="shared" si="4"/>
        <v>0</v>
      </c>
    </row>
    <row r="26" spans="1:17" s="94" customFormat="1" ht="16.5" x14ac:dyDescent="0.3">
      <c r="A26" s="110">
        <f t="shared" si="5"/>
        <v>44122</v>
      </c>
      <c r="B26" s="118">
        <f t="shared" si="0"/>
        <v>0</v>
      </c>
      <c r="C26" s="86"/>
      <c r="D26" s="118">
        <f t="shared" si="1"/>
        <v>0</v>
      </c>
      <c r="E26" s="279"/>
      <c r="F26" s="117">
        <f t="shared" si="6"/>
        <v>0</v>
      </c>
      <c r="G26" s="118"/>
      <c r="H26" s="118"/>
      <c r="I26" s="118"/>
      <c r="J26" s="118"/>
      <c r="K26" s="134">
        <f t="shared" si="2"/>
        <v>0</v>
      </c>
      <c r="L26" s="134"/>
      <c r="M26" s="86"/>
      <c r="N26" s="118">
        <f t="shared" si="3"/>
        <v>0</v>
      </c>
      <c r="O26" s="118">
        <f t="shared" si="4"/>
        <v>0</v>
      </c>
      <c r="P26" s="119"/>
    </row>
    <row r="27" spans="1:17" ht="16.5" x14ac:dyDescent="0.25">
      <c r="A27" s="110">
        <f t="shared" si="5"/>
        <v>44123</v>
      </c>
      <c r="B27" s="118">
        <f t="shared" si="0"/>
        <v>0</v>
      </c>
      <c r="C27" s="86"/>
      <c r="D27" s="114">
        <f t="shared" si="1"/>
        <v>0</v>
      </c>
      <c r="E27" s="279"/>
      <c r="F27" s="117">
        <f t="shared" si="6"/>
        <v>0</v>
      </c>
      <c r="G27" s="118"/>
      <c r="H27" s="118"/>
      <c r="I27" s="118"/>
      <c r="J27" s="118"/>
      <c r="K27" s="134">
        <f t="shared" si="2"/>
        <v>0</v>
      </c>
      <c r="L27" s="115"/>
      <c r="M27" s="86"/>
      <c r="N27" s="118">
        <f t="shared" si="3"/>
        <v>0</v>
      </c>
      <c r="O27" s="118">
        <f t="shared" si="4"/>
        <v>0</v>
      </c>
    </row>
    <row r="28" spans="1:17" ht="16.5" x14ac:dyDescent="0.25">
      <c r="A28" s="110">
        <f t="shared" si="5"/>
        <v>44124</v>
      </c>
      <c r="B28" s="118">
        <f t="shared" si="0"/>
        <v>0</v>
      </c>
      <c r="C28" s="86"/>
      <c r="D28" s="114">
        <f t="shared" si="1"/>
        <v>0</v>
      </c>
      <c r="E28" s="279"/>
      <c r="F28" s="117">
        <f t="shared" si="6"/>
        <v>0</v>
      </c>
      <c r="G28" s="118"/>
      <c r="H28" s="118"/>
      <c r="I28" s="118"/>
      <c r="J28" s="118"/>
      <c r="K28" s="134">
        <f t="shared" si="2"/>
        <v>0</v>
      </c>
      <c r="L28" s="115"/>
      <c r="M28" s="86"/>
      <c r="N28" s="118">
        <f t="shared" si="3"/>
        <v>0</v>
      </c>
      <c r="O28" s="118">
        <f t="shared" si="4"/>
        <v>0</v>
      </c>
    </row>
    <row r="29" spans="1:17" ht="16.5" x14ac:dyDescent="0.25">
      <c r="A29" s="110">
        <f t="shared" si="5"/>
        <v>44125</v>
      </c>
      <c r="B29" s="118">
        <f t="shared" si="0"/>
        <v>0</v>
      </c>
      <c r="C29" s="86"/>
      <c r="D29" s="111">
        <f t="shared" si="1"/>
        <v>0</v>
      </c>
      <c r="E29" s="279"/>
      <c r="F29" s="117">
        <f t="shared" si="6"/>
        <v>0</v>
      </c>
      <c r="G29" s="118"/>
      <c r="H29" s="118"/>
      <c r="I29" s="118"/>
      <c r="J29" s="118"/>
      <c r="K29" s="134">
        <f t="shared" si="2"/>
        <v>0</v>
      </c>
      <c r="L29" s="115" t="s">
        <v>419</v>
      </c>
      <c r="M29" s="86"/>
      <c r="N29" s="118">
        <f t="shared" si="3"/>
        <v>0</v>
      </c>
      <c r="O29" s="118">
        <f t="shared" si="4"/>
        <v>0</v>
      </c>
    </row>
    <row r="30" spans="1:17" ht="16.5" x14ac:dyDescent="0.25">
      <c r="A30" s="110">
        <f t="shared" si="5"/>
        <v>44126</v>
      </c>
      <c r="B30" s="118">
        <f t="shared" si="0"/>
        <v>0</v>
      </c>
      <c r="C30" s="86"/>
      <c r="D30" s="111">
        <f t="shared" si="1"/>
        <v>0</v>
      </c>
      <c r="E30" s="279"/>
      <c r="F30" s="117">
        <f t="shared" si="6"/>
        <v>0</v>
      </c>
      <c r="G30" s="118"/>
      <c r="H30" s="118"/>
      <c r="I30" s="118"/>
      <c r="J30" s="118"/>
      <c r="K30" s="134">
        <f t="shared" si="2"/>
        <v>0</v>
      </c>
      <c r="L30" s="115"/>
      <c r="M30" s="86"/>
      <c r="N30" s="118">
        <f t="shared" si="3"/>
        <v>0</v>
      </c>
      <c r="O30" s="118">
        <f>+O29+K30-M30</f>
        <v>0</v>
      </c>
    </row>
    <row r="31" spans="1:17" ht="16.5" x14ac:dyDescent="0.25">
      <c r="A31" s="110">
        <f t="shared" si="5"/>
        <v>44127</v>
      </c>
      <c r="B31" s="118">
        <f t="shared" si="0"/>
        <v>0</v>
      </c>
      <c r="C31" s="86"/>
      <c r="D31" s="111">
        <f t="shared" si="1"/>
        <v>0</v>
      </c>
      <c r="E31" s="279"/>
      <c r="F31" s="117">
        <f t="shared" si="6"/>
        <v>0</v>
      </c>
      <c r="G31" s="118"/>
      <c r="H31" s="118"/>
      <c r="I31" s="118"/>
      <c r="J31" s="118"/>
      <c r="K31" s="134">
        <f t="shared" si="2"/>
        <v>0</v>
      </c>
      <c r="L31" s="115"/>
      <c r="M31" s="86"/>
      <c r="N31" s="118">
        <f t="shared" si="3"/>
        <v>0</v>
      </c>
      <c r="O31" s="118">
        <f t="shared" si="4"/>
        <v>0</v>
      </c>
    </row>
    <row r="32" spans="1:17" ht="16.5" x14ac:dyDescent="0.25">
      <c r="A32" s="110">
        <f t="shared" si="5"/>
        <v>44128</v>
      </c>
      <c r="B32" s="114">
        <f t="shared" si="0"/>
        <v>0</v>
      </c>
      <c r="C32" s="113"/>
      <c r="D32" s="111">
        <f t="shared" si="1"/>
        <v>0</v>
      </c>
      <c r="E32" s="279"/>
      <c r="F32" s="111">
        <f t="shared" si="6"/>
        <v>0</v>
      </c>
      <c r="G32" s="114"/>
      <c r="H32" s="114"/>
      <c r="I32" s="114"/>
      <c r="J32" s="114"/>
      <c r="K32" s="134">
        <f t="shared" si="2"/>
        <v>0</v>
      </c>
      <c r="L32" s="115"/>
      <c r="M32" s="86"/>
      <c r="N32" s="118">
        <f t="shared" si="3"/>
        <v>0</v>
      </c>
      <c r="O32" s="114">
        <f t="shared" si="4"/>
        <v>0</v>
      </c>
      <c r="P32" s="3" t="s">
        <v>62</v>
      </c>
    </row>
    <row r="33" spans="1:15" ht="16.5" x14ac:dyDescent="0.25">
      <c r="A33" s="110">
        <f t="shared" si="5"/>
        <v>44129</v>
      </c>
      <c r="B33" s="114">
        <f t="shared" si="0"/>
        <v>0</v>
      </c>
      <c r="C33" s="113"/>
      <c r="D33" s="111">
        <f t="shared" si="1"/>
        <v>0</v>
      </c>
      <c r="E33" s="279"/>
      <c r="F33" s="111">
        <f t="shared" si="6"/>
        <v>0</v>
      </c>
      <c r="G33" s="114"/>
      <c r="H33" s="114"/>
      <c r="I33" s="114"/>
      <c r="J33" s="114"/>
      <c r="K33" s="134">
        <f t="shared" si="2"/>
        <v>0</v>
      </c>
      <c r="L33" s="115"/>
      <c r="M33" s="86"/>
      <c r="N33" s="118">
        <f t="shared" si="3"/>
        <v>0</v>
      </c>
      <c r="O33" s="114">
        <f t="shared" si="4"/>
        <v>0</v>
      </c>
    </row>
    <row r="34" spans="1:15" ht="16.5" x14ac:dyDescent="0.25">
      <c r="A34" s="110">
        <f t="shared" si="5"/>
        <v>44130</v>
      </c>
      <c r="B34" s="114">
        <f t="shared" si="0"/>
        <v>0</v>
      </c>
      <c r="C34" s="113"/>
      <c r="D34" s="111">
        <f t="shared" si="1"/>
        <v>0</v>
      </c>
      <c r="E34" s="113"/>
      <c r="F34" s="111">
        <f t="shared" si="6"/>
        <v>0</v>
      </c>
      <c r="G34" s="114"/>
      <c r="H34" s="114"/>
      <c r="I34" s="114"/>
      <c r="J34" s="114"/>
      <c r="K34" s="134">
        <f t="shared" si="2"/>
        <v>0</v>
      </c>
      <c r="L34" s="115"/>
      <c r="M34" s="86"/>
      <c r="N34" s="118">
        <f t="shared" si="3"/>
        <v>0</v>
      </c>
      <c r="O34" s="114">
        <f t="shared" si="4"/>
        <v>0</v>
      </c>
    </row>
    <row r="35" spans="1:15" ht="16.5" x14ac:dyDescent="0.25">
      <c r="A35" s="110">
        <f t="shared" si="5"/>
        <v>44131</v>
      </c>
      <c r="B35" s="114">
        <f t="shared" si="0"/>
        <v>0</v>
      </c>
      <c r="C35" s="113"/>
      <c r="D35" s="111">
        <f t="shared" si="1"/>
        <v>0</v>
      </c>
      <c r="E35" s="113"/>
      <c r="F35" s="111">
        <f t="shared" si="6"/>
        <v>0</v>
      </c>
      <c r="G35" s="114"/>
      <c r="H35" s="114"/>
      <c r="I35" s="114"/>
      <c r="J35" s="114"/>
      <c r="K35" s="134">
        <f t="shared" si="2"/>
        <v>0</v>
      </c>
      <c r="L35" s="115"/>
      <c r="M35" s="113"/>
      <c r="N35" s="118">
        <f t="shared" si="3"/>
        <v>0</v>
      </c>
      <c r="O35" s="114">
        <f t="shared" si="4"/>
        <v>0</v>
      </c>
    </row>
    <row r="36" spans="1:15" ht="16.5" x14ac:dyDescent="0.25">
      <c r="A36" s="110">
        <f t="shared" si="5"/>
        <v>44132</v>
      </c>
      <c r="B36" s="114">
        <f t="shared" si="0"/>
        <v>0</v>
      </c>
      <c r="C36" s="113"/>
      <c r="D36" s="111">
        <f t="shared" si="1"/>
        <v>0</v>
      </c>
      <c r="E36" s="113"/>
      <c r="F36" s="111">
        <f t="shared" si="6"/>
        <v>0</v>
      </c>
      <c r="G36" s="114"/>
      <c r="H36" s="114"/>
      <c r="I36" s="114"/>
      <c r="J36" s="114"/>
      <c r="K36" s="134">
        <f t="shared" si="2"/>
        <v>0</v>
      </c>
      <c r="L36" s="115"/>
      <c r="M36" s="113"/>
      <c r="N36" s="118">
        <f t="shared" si="3"/>
        <v>0</v>
      </c>
      <c r="O36" s="114">
        <f t="shared" si="4"/>
        <v>0</v>
      </c>
    </row>
    <row r="37" spans="1:15" ht="16.5" x14ac:dyDescent="0.25">
      <c r="A37" s="110">
        <f t="shared" si="5"/>
        <v>44133</v>
      </c>
      <c r="B37" s="114">
        <f t="shared" si="0"/>
        <v>0</v>
      </c>
      <c r="C37" s="113"/>
      <c r="D37" s="111">
        <f t="shared" si="1"/>
        <v>0</v>
      </c>
      <c r="E37" s="113"/>
      <c r="F37" s="111">
        <f t="shared" si="6"/>
        <v>0</v>
      </c>
      <c r="G37" s="114"/>
      <c r="H37" s="114"/>
      <c r="I37" s="114"/>
      <c r="J37" s="114"/>
      <c r="K37" s="134">
        <f t="shared" si="2"/>
        <v>0</v>
      </c>
      <c r="L37" s="115"/>
      <c r="M37" s="113"/>
      <c r="N37" s="118">
        <f t="shared" si="3"/>
        <v>0</v>
      </c>
      <c r="O37" s="114">
        <f t="shared" si="4"/>
        <v>0</v>
      </c>
    </row>
    <row r="38" spans="1:15" ht="16.5" x14ac:dyDescent="0.25">
      <c r="A38" s="110">
        <f t="shared" si="5"/>
        <v>44134</v>
      </c>
      <c r="B38" s="114">
        <f t="shared" si="0"/>
        <v>0</v>
      </c>
      <c r="C38" s="113"/>
      <c r="D38" s="111">
        <f t="shared" si="1"/>
        <v>0</v>
      </c>
      <c r="E38" s="113"/>
      <c r="F38" s="111">
        <f t="shared" si="6"/>
        <v>0</v>
      </c>
      <c r="G38" s="114"/>
      <c r="H38" s="114"/>
      <c r="I38" s="114"/>
      <c r="J38" s="114"/>
      <c r="K38" s="134">
        <f t="shared" si="2"/>
        <v>0</v>
      </c>
      <c r="L38" s="115"/>
      <c r="M38" s="1718"/>
      <c r="N38" s="118">
        <f t="shared" si="3"/>
        <v>0</v>
      </c>
      <c r="O38" s="114">
        <f>+O37+K38-M38</f>
        <v>0</v>
      </c>
    </row>
    <row r="39" spans="1:15" ht="16.5" x14ac:dyDescent="0.25">
      <c r="A39" s="110">
        <f t="shared" si="5"/>
        <v>44135</v>
      </c>
      <c r="B39" s="111">
        <f t="shared" si="0"/>
        <v>0</v>
      </c>
      <c r="C39" s="113"/>
      <c r="D39" s="111">
        <f t="shared" si="1"/>
        <v>0</v>
      </c>
      <c r="E39" s="113"/>
      <c r="F39" s="111">
        <f t="shared" si="6"/>
        <v>0</v>
      </c>
      <c r="G39" s="114"/>
      <c r="H39" s="114"/>
      <c r="I39" s="114"/>
      <c r="J39" s="114"/>
      <c r="K39" s="134">
        <f t="shared" si="2"/>
        <v>0</v>
      </c>
      <c r="L39" s="115"/>
      <c r="M39" s="113"/>
      <c r="N39" s="118">
        <f>K39-M39</f>
        <v>0</v>
      </c>
      <c r="O39" s="120">
        <f>+O38+K39-M39</f>
        <v>0</v>
      </c>
    </row>
    <row r="40" spans="1:15" ht="16.5" x14ac:dyDescent="0.2">
      <c r="A40" s="121" t="s">
        <v>18</v>
      </c>
      <c r="B40" s="115">
        <f t="shared" ref="B40:M40" si="8">SUM(B9:B39)</f>
        <v>0</v>
      </c>
      <c r="C40" s="115">
        <f>SUM(C9:C39)</f>
        <v>0</v>
      </c>
      <c r="D40" s="122">
        <f t="shared" si="8"/>
        <v>0</v>
      </c>
      <c r="E40" s="115">
        <f>SUM(E9:E39)</f>
        <v>0</v>
      </c>
      <c r="F40" s="115">
        <f t="shared" si="8"/>
        <v>0</v>
      </c>
      <c r="G40" s="115">
        <f t="shared" si="8"/>
        <v>0</v>
      </c>
      <c r="H40" s="115">
        <f t="shared" si="8"/>
        <v>0</v>
      </c>
      <c r="I40" s="115">
        <f t="shared" si="8"/>
        <v>0</v>
      </c>
      <c r="J40" s="115">
        <f t="shared" si="8"/>
        <v>0</v>
      </c>
      <c r="K40" s="115">
        <f>SUM(K9:K39)</f>
        <v>0</v>
      </c>
      <c r="L40" s="115"/>
      <c r="M40" s="115">
        <f t="shared" si="8"/>
        <v>0</v>
      </c>
      <c r="N40" s="120">
        <f>SUM(N8:N39)</f>
        <v>0</v>
      </c>
      <c r="O40" s="123"/>
    </row>
    <row r="41" spans="1:15" ht="15.75" x14ac:dyDescent="0.2">
      <c r="A41" s="124"/>
      <c r="B41" s="124"/>
      <c r="C41" s="124"/>
      <c r="D41" s="125"/>
      <c r="E41" s="124"/>
      <c r="F41" s="124"/>
      <c r="G41" s="124"/>
      <c r="H41" s="124"/>
      <c r="I41" s="124"/>
      <c r="J41" s="124"/>
      <c r="K41" s="124"/>
      <c r="L41" s="124"/>
      <c r="M41" s="124"/>
      <c r="N41" s="124"/>
      <c r="O41" s="124"/>
    </row>
    <row r="42" spans="1:15" ht="15.75" x14ac:dyDescent="0.25">
      <c r="A42" s="57" t="s">
        <v>121</v>
      </c>
      <c r="B42" s="57" t="s">
        <v>61</v>
      </c>
      <c r="C42" s="57" t="s">
        <v>122</v>
      </c>
      <c r="D42" s="126" t="s">
        <v>39</v>
      </c>
    </row>
    <row r="43" spans="1:15" ht="15.75" x14ac:dyDescent="0.25">
      <c r="A43" s="57" t="s">
        <v>15</v>
      </c>
      <c r="B43" s="127">
        <f>B40</f>
        <v>0</v>
      </c>
      <c r="C43" s="57"/>
      <c r="D43" s="126">
        <f>B43*C43</f>
        <v>0</v>
      </c>
    </row>
    <row r="44" spans="1:15" ht="15.75" x14ac:dyDescent="0.25">
      <c r="A44" s="57" t="s">
        <v>16</v>
      </c>
      <c r="B44" s="126">
        <f>D40</f>
        <v>0</v>
      </c>
      <c r="C44" s="57"/>
      <c r="D44" s="126">
        <f>B44*C44</f>
        <v>0</v>
      </c>
      <c r="H44" s="116"/>
      <c r="K44" s="116"/>
      <c r="L44" s="116"/>
      <c r="M44" s="116"/>
      <c r="N44" s="116"/>
    </row>
    <row r="45" spans="1:15" ht="15.75" x14ac:dyDescent="0.25">
      <c r="A45" s="57" t="s">
        <v>17</v>
      </c>
      <c r="B45" s="127">
        <f>F40</f>
        <v>0</v>
      </c>
      <c r="C45" s="57"/>
      <c r="D45" s="126">
        <f>B45*C45</f>
        <v>0</v>
      </c>
      <c r="E45" s="99"/>
      <c r="O45" s="116"/>
    </row>
    <row r="46" spans="1:15" ht="15.75" x14ac:dyDescent="0.25">
      <c r="A46" s="128" t="s">
        <v>18</v>
      </c>
      <c r="B46" s="129"/>
      <c r="C46" s="130"/>
      <c r="D46" s="126">
        <f>SUM(D43:D45)</f>
        <v>0</v>
      </c>
      <c r="O46" s="116"/>
    </row>
    <row r="48" spans="1:15" ht="16.5" x14ac:dyDescent="0.3">
      <c r="C48" s="1" t="s">
        <v>174</v>
      </c>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58" orientation="landscape" r:id="rId1"/>
  <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71">
    <tabColor theme="4" tint="-0.249977111117893"/>
    <pageSetUpPr fitToPage="1"/>
  </sheetPr>
  <dimension ref="A1:S61"/>
  <sheetViews>
    <sheetView zoomScaleNormal="100" workbookViewId="0">
      <selection activeCell="D4" sqref="D4"/>
    </sheetView>
  </sheetViews>
  <sheetFormatPr baseColWidth="10" defaultRowHeight="18" x14ac:dyDescent="0.25"/>
  <cols>
    <col min="1" max="1" width="12.5703125" style="51" customWidth="1"/>
    <col min="2" max="2" width="14.28515625" style="51" customWidth="1"/>
    <col min="3" max="3" width="11.140625" style="51" customWidth="1"/>
    <col min="4" max="4" width="16.42578125" style="51" bestFit="1" customWidth="1"/>
    <col min="5" max="5" width="17.7109375" style="51" customWidth="1"/>
    <col min="6" max="7" width="11.140625" style="51" customWidth="1"/>
    <col min="8" max="8" width="13.7109375" style="51" customWidth="1"/>
    <col min="9" max="9" width="10.28515625" style="51" customWidth="1"/>
    <col min="10" max="10" width="15.85546875" style="51" customWidth="1"/>
    <col min="11" max="11" width="19.42578125" style="51" customWidth="1"/>
    <col min="12" max="12" width="13.5703125" style="51" bestFit="1" customWidth="1"/>
    <col min="13" max="13" width="14.7109375" style="51" bestFit="1" customWidth="1"/>
    <col min="14" max="14" width="15.7109375" style="51" bestFit="1" customWidth="1"/>
    <col min="15" max="15" width="13.85546875" style="38" bestFit="1" customWidth="1"/>
    <col min="16" max="16" width="15.5703125" style="38" bestFit="1" customWidth="1"/>
    <col min="17" max="16384" width="11.42578125" style="38"/>
  </cols>
  <sheetData>
    <row r="1" spans="1:18" ht="20.25" x14ac:dyDescent="0.3">
      <c r="A1" s="51" t="s">
        <v>62</v>
      </c>
      <c r="D1" s="1180" t="s">
        <v>701</v>
      </c>
      <c r="J1" s="1508"/>
    </row>
    <row r="2" spans="1:18" ht="18.75" x14ac:dyDescent="0.3">
      <c r="A2" s="36" t="s">
        <v>118</v>
      </c>
      <c r="B2" s="38"/>
      <c r="C2" s="38"/>
      <c r="D2" s="36" t="s">
        <v>593</v>
      </c>
      <c r="E2" s="38"/>
      <c r="F2" s="38"/>
      <c r="G2" s="38"/>
      <c r="H2" s="38"/>
      <c r="I2" s="38"/>
      <c r="J2" s="38"/>
      <c r="K2" s="38">
        <f>800*2</f>
        <v>1600</v>
      </c>
      <c r="L2" s="38"/>
      <c r="M2" s="38"/>
      <c r="N2" s="38"/>
    </row>
    <row r="3" spans="1:18" x14ac:dyDescent="0.25">
      <c r="C3" s="239"/>
      <c r="K3" s="51">
        <f>1600*600</f>
        <v>960000</v>
      </c>
      <c r="L3" s="51">
        <f>800*600</f>
        <v>480000</v>
      </c>
      <c r="M3" s="51">
        <f>+L3*2</f>
        <v>960000</v>
      </c>
    </row>
    <row r="4" spans="1:18" ht="18.75" x14ac:dyDescent="0.3">
      <c r="A4" s="238" t="s">
        <v>19</v>
      </c>
      <c r="C4" s="238"/>
      <c r="D4" s="142">
        <f>'PROGRES AUTO'!B3</f>
        <v>44075</v>
      </c>
      <c r="H4" s="667"/>
      <c r="L4" s="37"/>
      <c r="M4" s="51">
        <f>+L3*2</f>
        <v>960000</v>
      </c>
    </row>
    <row r="5" spans="1:18" x14ac:dyDescent="0.25">
      <c r="A5" s="238"/>
      <c r="B5" s="238"/>
      <c r="C5" s="238"/>
    </row>
    <row r="6" spans="1:18" x14ac:dyDescent="0.25">
      <c r="A6" s="100" t="s">
        <v>3</v>
      </c>
      <c r="B6" s="1094" t="s">
        <v>15</v>
      </c>
      <c r="C6" s="1095"/>
      <c r="D6" s="1094" t="s">
        <v>16</v>
      </c>
      <c r="E6" s="1095"/>
      <c r="F6" s="1094" t="s">
        <v>17</v>
      </c>
      <c r="G6" s="1095"/>
      <c r="H6" s="2910" t="s">
        <v>52</v>
      </c>
      <c r="I6" s="2910" t="s">
        <v>53</v>
      </c>
      <c r="J6" s="2910" t="s">
        <v>119</v>
      </c>
      <c r="K6" s="2910" t="s">
        <v>18</v>
      </c>
      <c r="L6" s="3065" t="s">
        <v>60</v>
      </c>
      <c r="M6" s="2910" t="s">
        <v>55</v>
      </c>
      <c r="N6" s="2910" t="s">
        <v>120</v>
      </c>
    </row>
    <row r="7" spans="1:18" ht="21" x14ac:dyDescent="0.25">
      <c r="A7" s="103"/>
      <c r="B7" s="915">
        <v>630</v>
      </c>
      <c r="C7" s="916"/>
      <c r="D7" s="915">
        <v>575</v>
      </c>
      <c r="E7" s="916"/>
      <c r="F7" s="915">
        <v>350</v>
      </c>
      <c r="G7" s="916"/>
      <c r="H7" s="3059"/>
      <c r="I7" s="3059"/>
      <c r="J7" s="3059"/>
      <c r="K7" s="3059"/>
      <c r="L7" s="3090"/>
      <c r="M7" s="2911"/>
      <c r="N7" s="2911"/>
      <c r="P7" s="218"/>
    </row>
    <row r="8" spans="1:18" x14ac:dyDescent="0.25">
      <c r="A8" s="105"/>
      <c r="B8" s="106" t="s">
        <v>56</v>
      </c>
      <c r="C8" s="106" t="s">
        <v>37</v>
      </c>
      <c r="D8" s="107" t="s">
        <v>56</v>
      </c>
      <c r="E8" s="106" t="s">
        <v>37</v>
      </c>
      <c r="F8" s="106" t="s">
        <v>56</v>
      </c>
      <c r="G8" s="106" t="s">
        <v>37</v>
      </c>
      <c r="H8" s="2911"/>
      <c r="I8" s="2911"/>
      <c r="J8" s="2911"/>
      <c r="K8" s="2911"/>
      <c r="L8" s="133"/>
      <c r="M8" s="259">
        <v>1843887</v>
      </c>
      <c r="N8" s="259">
        <f>M8</f>
        <v>1843887</v>
      </c>
    </row>
    <row r="9" spans="1:18" s="237" customFormat="1" ht="18.75" x14ac:dyDescent="0.3">
      <c r="A9" s="110">
        <f>+JEAB!A10</f>
        <v>44105</v>
      </c>
      <c r="B9" s="277">
        <f t="shared" ref="B9:B39" si="0">C9/B$7</f>
        <v>0</v>
      </c>
      <c r="C9" s="278"/>
      <c r="D9" s="277">
        <f>+E9/D$7</f>
        <v>0</v>
      </c>
      <c r="E9" s="86"/>
      <c r="F9" s="277">
        <f>+G9/F$7</f>
        <v>0</v>
      </c>
      <c r="G9" s="259"/>
      <c r="H9" s="259"/>
      <c r="I9" s="259"/>
      <c r="J9" s="259"/>
      <c r="K9" s="133">
        <f t="shared" ref="K9:K39" si="1">C9+E9+G9+H9+I9+J9</f>
        <v>0</v>
      </c>
      <c r="L9" s="279"/>
      <c r="M9" s="259">
        <f t="shared" ref="M9:M39" si="2">K9-L9</f>
        <v>0</v>
      </c>
      <c r="N9" s="259">
        <f>+N8+K9-L9</f>
        <v>1843887</v>
      </c>
      <c r="O9" s="149"/>
      <c r="P9" s="149"/>
      <c r="Q9" s="149"/>
      <c r="R9" s="149"/>
    </row>
    <row r="10" spans="1:18" s="237" customFormat="1" ht="18.75" x14ac:dyDescent="0.3">
      <c r="A10" s="110">
        <f>+A9+1</f>
        <v>44106</v>
      </c>
      <c r="B10" s="277">
        <f t="shared" si="0"/>
        <v>0</v>
      </c>
      <c r="C10" s="278"/>
      <c r="D10" s="277">
        <f t="shared" ref="D10:D39" si="3">+E10/D$7</f>
        <v>0</v>
      </c>
      <c r="E10" s="86"/>
      <c r="F10" s="277">
        <f>+G10/F$7</f>
        <v>0</v>
      </c>
      <c r="G10" s="259"/>
      <c r="H10" s="259"/>
      <c r="I10" s="259"/>
      <c r="J10" s="259"/>
      <c r="K10" s="133">
        <f t="shared" si="1"/>
        <v>0</v>
      </c>
      <c r="L10" s="279"/>
      <c r="M10" s="259">
        <f t="shared" si="2"/>
        <v>0</v>
      </c>
      <c r="N10" s="259">
        <f t="shared" ref="N10:N34" si="4">+N9+K10-L10</f>
        <v>1843887</v>
      </c>
      <c r="O10" s="149"/>
      <c r="P10" s="149"/>
      <c r="Q10" s="149"/>
      <c r="R10" s="149"/>
    </row>
    <row r="11" spans="1:18" s="237" customFormat="1" ht="18.75" x14ac:dyDescent="0.3">
      <c r="A11" s="110">
        <f t="shared" ref="A11:A39" si="5">+A10+1</f>
        <v>44107</v>
      </c>
      <c r="B11" s="277">
        <f t="shared" si="0"/>
        <v>0</v>
      </c>
      <c r="C11" s="279"/>
      <c r="D11" s="277">
        <f t="shared" si="3"/>
        <v>0</v>
      </c>
      <c r="E11" s="86"/>
      <c r="F11" s="277">
        <f t="shared" ref="F11:F39" si="6">+G11/F$7</f>
        <v>0</v>
      </c>
      <c r="G11" s="259"/>
      <c r="H11" s="259"/>
      <c r="I11" s="259"/>
      <c r="J11" s="259"/>
      <c r="K11" s="133">
        <f t="shared" si="1"/>
        <v>0</v>
      </c>
      <c r="L11" s="278"/>
      <c r="M11" s="259">
        <f t="shared" si="2"/>
        <v>0</v>
      </c>
      <c r="N11" s="259">
        <f t="shared" si="4"/>
        <v>1843887</v>
      </c>
      <c r="O11" s="149"/>
      <c r="P11" s="149"/>
      <c r="Q11" s="149"/>
      <c r="R11" s="149"/>
    </row>
    <row r="12" spans="1:18" s="237" customFormat="1" ht="19.5" x14ac:dyDescent="0.35">
      <c r="A12" s="110">
        <f t="shared" si="5"/>
        <v>44108</v>
      </c>
      <c r="B12" s="277">
        <f t="shared" si="0"/>
        <v>0</v>
      </c>
      <c r="C12" s="279"/>
      <c r="D12" s="277">
        <f t="shared" si="3"/>
        <v>0</v>
      </c>
      <c r="E12" s="86"/>
      <c r="F12" s="277">
        <f t="shared" si="6"/>
        <v>0</v>
      </c>
      <c r="G12" s="259"/>
      <c r="H12" s="259"/>
      <c r="I12" s="259"/>
      <c r="J12" s="259"/>
      <c r="K12" s="133">
        <f t="shared" si="1"/>
        <v>0</v>
      </c>
      <c r="L12" s="279"/>
      <c r="M12" s="259">
        <f t="shared" si="2"/>
        <v>0</v>
      </c>
      <c r="N12" s="259">
        <f t="shared" si="4"/>
        <v>1843887</v>
      </c>
      <c r="O12" s="150"/>
      <c r="P12" s="149"/>
      <c r="Q12" s="149" t="s">
        <v>702</v>
      </c>
      <c r="R12" s="149"/>
    </row>
    <row r="13" spans="1:18" s="237" customFormat="1" ht="18.75" x14ac:dyDescent="0.3">
      <c r="A13" s="110">
        <f t="shared" si="5"/>
        <v>44109</v>
      </c>
      <c r="B13" s="277">
        <f t="shared" si="0"/>
        <v>0</v>
      </c>
      <c r="C13" s="278"/>
      <c r="D13" s="277">
        <f t="shared" si="3"/>
        <v>0</v>
      </c>
      <c r="E13" s="1508"/>
      <c r="F13" s="277">
        <f t="shared" si="6"/>
        <v>0</v>
      </c>
      <c r="G13" s="259"/>
      <c r="H13" s="259"/>
      <c r="I13" s="259"/>
      <c r="J13" s="259"/>
      <c r="K13" s="133">
        <f t="shared" si="1"/>
        <v>0</v>
      </c>
      <c r="L13" s="279"/>
      <c r="M13" s="259">
        <f t="shared" si="2"/>
        <v>0</v>
      </c>
      <c r="N13" s="259">
        <f t="shared" si="4"/>
        <v>1843887</v>
      </c>
      <c r="O13" s="149"/>
      <c r="P13" s="149"/>
      <c r="Q13" s="149"/>
      <c r="R13" s="149"/>
    </row>
    <row r="14" spans="1:18" s="237" customFormat="1" ht="18.75" x14ac:dyDescent="0.3">
      <c r="A14" s="110">
        <f t="shared" si="5"/>
        <v>44110</v>
      </c>
      <c r="B14" s="277">
        <f t="shared" si="0"/>
        <v>0</v>
      </c>
      <c r="C14" s="278"/>
      <c r="D14" s="277">
        <f t="shared" si="3"/>
        <v>0</v>
      </c>
      <c r="E14" s="86"/>
      <c r="F14" s="277">
        <f t="shared" si="6"/>
        <v>0</v>
      </c>
      <c r="G14" s="259"/>
      <c r="H14" s="259"/>
      <c r="I14" s="259"/>
      <c r="J14" s="259"/>
      <c r="K14" s="133">
        <f t="shared" si="1"/>
        <v>0</v>
      </c>
      <c r="L14" s="279"/>
      <c r="M14" s="259">
        <f t="shared" si="2"/>
        <v>0</v>
      </c>
      <c r="N14" s="259">
        <f t="shared" si="4"/>
        <v>1843887</v>
      </c>
      <c r="O14" s="149"/>
      <c r="P14" s="149"/>
      <c r="Q14" s="149"/>
      <c r="R14" s="149"/>
    </row>
    <row r="15" spans="1:18" s="237" customFormat="1" ht="18.75" x14ac:dyDescent="0.3">
      <c r="A15" s="110">
        <f t="shared" si="5"/>
        <v>44111</v>
      </c>
      <c r="B15" s="277">
        <f t="shared" si="0"/>
        <v>0</v>
      </c>
      <c r="C15" s="279"/>
      <c r="D15" s="277">
        <f t="shared" si="3"/>
        <v>0</v>
      </c>
      <c r="E15" s="86"/>
      <c r="F15" s="277">
        <f t="shared" si="6"/>
        <v>0</v>
      </c>
      <c r="G15" s="259"/>
      <c r="H15" s="118"/>
      <c r="I15" s="259"/>
      <c r="J15" s="259"/>
      <c r="K15" s="133">
        <f t="shared" si="1"/>
        <v>0</v>
      </c>
      <c r="L15" s="278"/>
      <c r="M15" s="259">
        <f t="shared" si="2"/>
        <v>0</v>
      </c>
      <c r="N15" s="259">
        <f t="shared" si="4"/>
        <v>1843887</v>
      </c>
      <c r="O15" s="149"/>
      <c r="P15" s="149"/>
      <c r="Q15" s="149"/>
      <c r="R15" s="149"/>
    </row>
    <row r="16" spans="1:18" s="237" customFormat="1" x14ac:dyDescent="0.25">
      <c r="A16" s="110">
        <f t="shared" si="5"/>
        <v>44112</v>
      </c>
      <c r="B16" s="277">
        <f t="shared" si="0"/>
        <v>0</v>
      </c>
      <c r="C16" s="279"/>
      <c r="D16" s="277">
        <f t="shared" si="3"/>
        <v>0</v>
      </c>
      <c r="E16" s="1788"/>
      <c r="F16" s="277">
        <f t="shared" si="6"/>
        <v>0</v>
      </c>
      <c r="G16" s="259"/>
      <c r="H16" s="118"/>
      <c r="I16" s="259"/>
      <c r="J16" s="259"/>
      <c r="K16" s="133">
        <f t="shared" si="1"/>
        <v>0</v>
      </c>
      <c r="L16" s="279"/>
      <c r="M16" s="259">
        <f t="shared" si="2"/>
        <v>0</v>
      </c>
      <c r="N16" s="259">
        <f t="shared" si="4"/>
        <v>1843887</v>
      </c>
      <c r="O16" s="149"/>
      <c r="P16" s="149"/>
      <c r="Q16" s="149"/>
      <c r="R16" s="149"/>
    </row>
    <row r="17" spans="1:19" s="237" customFormat="1" x14ac:dyDescent="0.25">
      <c r="A17" s="110">
        <f t="shared" si="5"/>
        <v>44113</v>
      </c>
      <c r="B17" s="277">
        <f t="shared" si="0"/>
        <v>0</v>
      </c>
      <c r="C17" s="279"/>
      <c r="D17" s="277">
        <f t="shared" si="3"/>
        <v>0</v>
      </c>
      <c r="E17" s="86"/>
      <c r="F17" s="277">
        <f t="shared" si="6"/>
        <v>0</v>
      </c>
      <c r="G17" s="259"/>
      <c r="H17" s="118"/>
      <c r="I17" s="259"/>
      <c r="J17" s="259"/>
      <c r="K17" s="133">
        <f t="shared" si="1"/>
        <v>0</v>
      </c>
      <c r="L17" s="279"/>
      <c r="M17" s="259">
        <f t="shared" si="2"/>
        <v>0</v>
      </c>
      <c r="N17" s="259">
        <f t="shared" si="4"/>
        <v>1843887</v>
      </c>
      <c r="O17" s="1806"/>
      <c r="P17" s="149"/>
      <c r="Q17" s="149"/>
      <c r="R17" s="149"/>
    </row>
    <row r="18" spans="1:19" s="237" customFormat="1" x14ac:dyDescent="0.25">
      <c r="A18" s="110">
        <f t="shared" si="5"/>
        <v>44114</v>
      </c>
      <c r="B18" s="277">
        <f t="shared" si="0"/>
        <v>0</v>
      </c>
      <c r="C18" s="279"/>
      <c r="D18" s="277">
        <f t="shared" si="3"/>
        <v>0</v>
      </c>
      <c r="E18" s="86"/>
      <c r="F18" s="277">
        <f t="shared" si="6"/>
        <v>0</v>
      </c>
      <c r="G18" s="259"/>
      <c r="H18" s="118"/>
      <c r="I18" s="259"/>
      <c r="J18" s="259"/>
      <c r="K18" s="133">
        <f t="shared" si="1"/>
        <v>0</v>
      </c>
      <c r="L18" s="279"/>
      <c r="M18" s="259">
        <f t="shared" si="2"/>
        <v>0</v>
      </c>
      <c r="N18" s="259">
        <f t="shared" si="4"/>
        <v>1843887</v>
      </c>
      <c r="O18" s="149"/>
      <c r="P18" s="1275"/>
      <c r="Q18" s="1807"/>
      <c r="R18" s="149"/>
    </row>
    <row r="19" spans="1:19" x14ac:dyDescent="0.25">
      <c r="A19" s="110">
        <f t="shared" si="5"/>
        <v>44115</v>
      </c>
      <c r="B19" s="117">
        <f t="shared" si="0"/>
        <v>0</v>
      </c>
      <c r="C19" s="86"/>
      <c r="D19" s="111">
        <f>+E19/D$7</f>
        <v>0</v>
      </c>
      <c r="E19" s="86"/>
      <c r="F19" s="111">
        <f t="shared" si="6"/>
        <v>0</v>
      </c>
      <c r="G19" s="118"/>
      <c r="H19" s="118"/>
      <c r="I19" s="259"/>
      <c r="J19" s="118"/>
      <c r="K19" s="133">
        <f t="shared" si="1"/>
        <v>0</v>
      </c>
      <c r="L19" s="86"/>
      <c r="M19" s="259">
        <f t="shared" si="2"/>
        <v>0</v>
      </c>
      <c r="N19" s="259">
        <f t="shared" si="4"/>
        <v>1843887</v>
      </c>
      <c r="O19" s="38">
        <v>180.09</v>
      </c>
      <c r="P19" s="1275"/>
      <c r="Q19" s="1808"/>
    </row>
    <row r="20" spans="1:19" x14ac:dyDescent="0.25">
      <c r="A20" s="110">
        <f t="shared" si="5"/>
        <v>44116</v>
      </c>
      <c r="B20" s="117">
        <f t="shared" si="0"/>
        <v>0</v>
      </c>
      <c r="C20" s="86"/>
      <c r="D20" s="111">
        <f t="shared" si="3"/>
        <v>0</v>
      </c>
      <c r="E20" s="86"/>
      <c r="F20" s="111">
        <f t="shared" si="6"/>
        <v>0</v>
      </c>
      <c r="G20" s="118"/>
      <c r="H20" s="118"/>
      <c r="I20" s="259"/>
      <c r="J20" s="118"/>
      <c r="K20" s="133">
        <f t="shared" si="1"/>
        <v>0</v>
      </c>
      <c r="L20" s="86"/>
      <c r="M20" s="259">
        <f t="shared" si="2"/>
        <v>0</v>
      </c>
      <c r="N20" s="259">
        <f t="shared" si="4"/>
        <v>1843887</v>
      </c>
      <c r="P20" s="1275"/>
      <c r="S20" s="38">
        <f>611189/575</f>
        <v>1062.9373913043478</v>
      </c>
    </row>
    <row r="21" spans="1:19" x14ac:dyDescent="0.25">
      <c r="A21" s="110">
        <f t="shared" si="5"/>
        <v>44117</v>
      </c>
      <c r="B21" s="117">
        <f t="shared" si="0"/>
        <v>0</v>
      </c>
      <c r="C21" s="86"/>
      <c r="D21" s="111">
        <f t="shared" si="3"/>
        <v>0</v>
      </c>
      <c r="E21" s="86"/>
      <c r="F21" s="111">
        <f t="shared" si="6"/>
        <v>0</v>
      </c>
      <c r="G21" s="118"/>
      <c r="H21" s="118"/>
      <c r="I21" s="259"/>
      <c r="J21" s="118"/>
      <c r="K21" s="133">
        <f t="shared" si="1"/>
        <v>0</v>
      </c>
      <c r="L21" s="86"/>
      <c r="M21" s="259">
        <f t="shared" si="2"/>
        <v>0</v>
      </c>
      <c r="N21" s="259">
        <f t="shared" si="4"/>
        <v>1843887</v>
      </c>
      <c r="P21" s="1275"/>
    </row>
    <row r="22" spans="1:19" x14ac:dyDescent="0.25">
      <c r="A22" s="110">
        <f t="shared" si="5"/>
        <v>44118</v>
      </c>
      <c r="B22" s="117">
        <f t="shared" si="0"/>
        <v>0</v>
      </c>
      <c r="C22" s="86"/>
      <c r="D22" s="111">
        <f>+E22/D$7</f>
        <v>0</v>
      </c>
      <c r="E22" s="86"/>
      <c r="F22" s="111">
        <f t="shared" si="6"/>
        <v>0</v>
      </c>
      <c r="G22" s="118"/>
      <c r="H22" s="118"/>
      <c r="I22" s="259"/>
      <c r="J22" s="118"/>
      <c r="K22" s="133">
        <f t="shared" si="1"/>
        <v>0</v>
      </c>
      <c r="L22" s="86"/>
      <c r="M22" s="259">
        <f t="shared" si="2"/>
        <v>0</v>
      </c>
      <c r="N22" s="259">
        <f t="shared" si="4"/>
        <v>1843887</v>
      </c>
      <c r="P22" s="1275"/>
    </row>
    <row r="23" spans="1:19" x14ac:dyDescent="0.25">
      <c r="A23" s="110">
        <f t="shared" si="5"/>
        <v>44119</v>
      </c>
      <c r="B23" s="117"/>
      <c r="C23" s="86"/>
      <c r="D23" s="111">
        <f t="shared" si="3"/>
        <v>0</v>
      </c>
      <c r="E23" s="86"/>
      <c r="F23" s="117">
        <f t="shared" si="6"/>
        <v>0</v>
      </c>
      <c r="G23" s="118"/>
      <c r="H23" s="118"/>
      <c r="I23" s="259"/>
      <c r="J23" s="118"/>
      <c r="K23" s="133">
        <f t="shared" si="1"/>
        <v>0</v>
      </c>
      <c r="L23" s="86"/>
      <c r="M23" s="259">
        <f t="shared" si="2"/>
        <v>0</v>
      </c>
      <c r="N23" s="259">
        <f t="shared" si="4"/>
        <v>1843887</v>
      </c>
      <c r="P23" s="1275"/>
    </row>
    <row r="24" spans="1:19" x14ac:dyDescent="0.25">
      <c r="A24" s="110">
        <f t="shared" si="5"/>
        <v>44120</v>
      </c>
      <c r="B24" s="117">
        <f t="shared" si="0"/>
        <v>0</v>
      </c>
      <c r="C24" s="86"/>
      <c r="D24" s="111">
        <f t="shared" si="3"/>
        <v>0</v>
      </c>
      <c r="E24" s="86"/>
      <c r="F24" s="117">
        <f t="shared" si="6"/>
        <v>0</v>
      </c>
      <c r="G24" s="118"/>
      <c r="H24" s="118"/>
      <c r="I24" s="118"/>
      <c r="J24" s="118"/>
      <c r="K24" s="133">
        <f t="shared" si="1"/>
        <v>0</v>
      </c>
      <c r="L24" s="86"/>
      <c r="M24" s="259">
        <f t="shared" si="2"/>
        <v>0</v>
      </c>
      <c r="N24" s="259">
        <f t="shared" si="4"/>
        <v>1843887</v>
      </c>
      <c r="P24" s="1275"/>
    </row>
    <row r="25" spans="1:19" x14ac:dyDescent="0.25">
      <c r="A25" s="110">
        <f t="shared" si="5"/>
        <v>44121</v>
      </c>
      <c r="B25" s="117">
        <f t="shared" si="0"/>
        <v>0</v>
      </c>
      <c r="C25" s="86"/>
      <c r="D25" s="111">
        <f t="shared" si="3"/>
        <v>0</v>
      </c>
      <c r="E25" s="86"/>
      <c r="F25" s="117">
        <f t="shared" si="6"/>
        <v>0</v>
      </c>
      <c r="G25" s="118"/>
      <c r="H25" s="118"/>
      <c r="I25" s="118"/>
      <c r="J25" s="118"/>
      <c r="K25" s="133">
        <f t="shared" si="1"/>
        <v>0</v>
      </c>
      <c r="L25" s="86"/>
      <c r="M25" s="259">
        <f t="shared" si="2"/>
        <v>0</v>
      </c>
      <c r="N25" s="259">
        <f t="shared" si="4"/>
        <v>1843887</v>
      </c>
      <c r="P25" s="1275"/>
    </row>
    <row r="26" spans="1:19" ht="18.75" x14ac:dyDescent="0.3">
      <c r="A26" s="110">
        <f t="shared" si="5"/>
        <v>44122</v>
      </c>
      <c r="B26" s="117">
        <f t="shared" si="0"/>
        <v>0</v>
      </c>
      <c r="C26" s="86"/>
      <c r="D26" s="111">
        <f t="shared" si="3"/>
        <v>0</v>
      </c>
      <c r="E26" s="86"/>
      <c r="F26" s="117">
        <f t="shared" si="6"/>
        <v>0</v>
      </c>
      <c r="G26" s="118"/>
      <c r="H26" s="118"/>
      <c r="I26" s="118"/>
      <c r="J26" s="118"/>
      <c r="K26" s="133">
        <f t="shared" si="1"/>
        <v>0</v>
      </c>
      <c r="L26" s="86"/>
      <c r="M26" s="259">
        <f t="shared" si="2"/>
        <v>0</v>
      </c>
      <c r="N26" s="259">
        <f t="shared" si="4"/>
        <v>1843887</v>
      </c>
      <c r="O26" s="176"/>
      <c r="P26" s="1275"/>
    </row>
    <row r="27" spans="1:19" x14ac:dyDescent="0.25">
      <c r="A27" s="110">
        <f t="shared" si="5"/>
        <v>44123</v>
      </c>
      <c r="B27" s="117">
        <f t="shared" si="0"/>
        <v>0</v>
      </c>
      <c r="C27" s="86"/>
      <c r="D27" s="111">
        <f t="shared" si="3"/>
        <v>0</v>
      </c>
      <c r="E27" s="86"/>
      <c r="F27" s="117">
        <f t="shared" si="6"/>
        <v>0</v>
      </c>
      <c r="G27" s="118"/>
      <c r="H27" s="118"/>
      <c r="I27" s="118"/>
      <c r="J27" s="118"/>
      <c r="K27" s="133">
        <f t="shared" si="1"/>
        <v>0</v>
      </c>
      <c r="L27" s="86"/>
      <c r="M27" s="259">
        <f t="shared" si="2"/>
        <v>0</v>
      </c>
      <c r="N27" s="259">
        <f t="shared" si="4"/>
        <v>1843887</v>
      </c>
      <c r="P27" s="1275"/>
    </row>
    <row r="28" spans="1:19" x14ac:dyDescent="0.25">
      <c r="A28" s="110">
        <f t="shared" si="5"/>
        <v>44124</v>
      </c>
      <c r="B28" s="117">
        <f t="shared" si="0"/>
        <v>0</v>
      </c>
      <c r="C28" s="86"/>
      <c r="D28" s="111">
        <f t="shared" si="3"/>
        <v>0</v>
      </c>
      <c r="E28" s="86"/>
      <c r="F28" s="117">
        <f t="shared" si="6"/>
        <v>0</v>
      </c>
      <c r="G28" s="118"/>
      <c r="H28" s="118"/>
      <c r="I28" s="118"/>
      <c r="J28" s="118"/>
      <c r="K28" s="133">
        <f t="shared" si="1"/>
        <v>0</v>
      </c>
      <c r="L28" s="86"/>
      <c r="M28" s="259">
        <f t="shared" si="2"/>
        <v>0</v>
      </c>
      <c r="N28" s="259">
        <f t="shared" si="4"/>
        <v>1843887</v>
      </c>
      <c r="P28" s="1275"/>
    </row>
    <row r="29" spans="1:19" x14ac:dyDescent="0.25">
      <c r="A29" s="110">
        <f t="shared" si="5"/>
        <v>44125</v>
      </c>
      <c r="B29" s="117">
        <f t="shared" si="0"/>
        <v>0</v>
      </c>
      <c r="C29" s="86"/>
      <c r="D29" s="111">
        <f t="shared" si="3"/>
        <v>0</v>
      </c>
      <c r="E29" s="86"/>
      <c r="F29" s="117">
        <f t="shared" si="6"/>
        <v>0</v>
      </c>
      <c r="G29" s="118"/>
      <c r="H29" s="118"/>
      <c r="I29" s="118"/>
      <c r="J29" s="118"/>
      <c r="K29" s="133">
        <f t="shared" si="1"/>
        <v>0</v>
      </c>
      <c r="L29" s="86"/>
      <c r="M29" s="259">
        <f t="shared" si="2"/>
        <v>0</v>
      </c>
      <c r="N29" s="259">
        <f t="shared" si="4"/>
        <v>1843887</v>
      </c>
      <c r="P29" s="1275"/>
    </row>
    <row r="30" spans="1:19" x14ac:dyDescent="0.25">
      <c r="A30" s="110">
        <f t="shared" si="5"/>
        <v>44126</v>
      </c>
      <c r="B30" s="117">
        <f t="shared" si="0"/>
        <v>0</v>
      </c>
      <c r="C30" s="86"/>
      <c r="D30" s="111">
        <f t="shared" si="3"/>
        <v>0</v>
      </c>
      <c r="E30" s="86"/>
      <c r="F30" s="117">
        <f t="shared" si="6"/>
        <v>0</v>
      </c>
      <c r="G30" s="118"/>
      <c r="H30" s="118"/>
      <c r="I30" s="118"/>
      <c r="J30" s="118"/>
      <c r="K30" s="133">
        <f t="shared" si="1"/>
        <v>0</v>
      </c>
      <c r="L30" s="86"/>
      <c r="M30" s="259">
        <f t="shared" si="2"/>
        <v>0</v>
      </c>
      <c r="N30" s="259">
        <f t="shared" si="4"/>
        <v>1843887</v>
      </c>
      <c r="P30" s="1275"/>
    </row>
    <row r="31" spans="1:19" x14ac:dyDescent="0.25">
      <c r="A31" s="110">
        <f t="shared" si="5"/>
        <v>44127</v>
      </c>
      <c r="B31" s="117">
        <f t="shared" si="0"/>
        <v>0</v>
      </c>
      <c r="C31" s="86"/>
      <c r="D31" s="111">
        <f t="shared" si="3"/>
        <v>0</v>
      </c>
      <c r="E31" s="86"/>
      <c r="F31" s="117">
        <f t="shared" si="6"/>
        <v>0</v>
      </c>
      <c r="G31" s="118"/>
      <c r="H31" s="118"/>
      <c r="I31" s="118"/>
      <c r="J31" s="118"/>
      <c r="K31" s="133">
        <f t="shared" si="1"/>
        <v>0</v>
      </c>
      <c r="L31" s="86"/>
      <c r="M31" s="259">
        <f t="shared" si="2"/>
        <v>0</v>
      </c>
      <c r="N31" s="259">
        <f t="shared" si="4"/>
        <v>1843887</v>
      </c>
      <c r="P31" s="1275"/>
    </row>
    <row r="32" spans="1:19" ht="19.5" x14ac:dyDescent="0.35">
      <c r="A32" s="110">
        <f t="shared" si="5"/>
        <v>44128</v>
      </c>
      <c r="B32" s="111">
        <f t="shared" si="0"/>
        <v>0</v>
      </c>
      <c r="C32" s="113"/>
      <c r="D32" s="111">
        <f t="shared" si="3"/>
        <v>0</v>
      </c>
      <c r="E32" s="86"/>
      <c r="F32" s="111">
        <f t="shared" si="6"/>
        <v>0</v>
      </c>
      <c r="G32" s="114"/>
      <c r="H32" s="114"/>
      <c r="I32" s="114"/>
      <c r="J32" s="114"/>
      <c r="K32" s="133">
        <f t="shared" si="1"/>
        <v>0</v>
      </c>
      <c r="L32" s="86"/>
      <c r="M32" s="259">
        <f t="shared" si="2"/>
        <v>0</v>
      </c>
      <c r="N32" s="259">
        <f t="shared" si="4"/>
        <v>1843887</v>
      </c>
      <c r="O32" s="18"/>
      <c r="P32" s="1275"/>
    </row>
    <row r="33" spans="1:16" x14ac:dyDescent="0.25">
      <c r="A33" s="110">
        <f t="shared" si="5"/>
        <v>44129</v>
      </c>
      <c r="B33" s="111">
        <f t="shared" si="0"/>
        <v>0</v>
      </c>
      <c r="C33" s="113"/>
      <c r="D33" s="111">
        <f t="shared" si="3"/>
        <v>0</v>
      </c>
      <c r="E33" s="86"/>
      <c r="F33" s="111">
        <f t="shared" si="6"/>
        <v>0</v>
      </c>
      <c r="G33" s="114"/>
      <c r="H33" s="114"/>
      <c r="I33" s="114"/>
      <c r="J33" s="114"/>
      <c r="K33" s="133">
        <f t="shared" si="1"/>
        <v>0</v>
      </c>
      <c r="L33" s="86"/>
      <c r="M33" s="259">
        <f t="shared" si="2"/>
        <v>0</v>
      </c>
      <c r="N33" s="259">
        <f t="shared" si="4"/>
        <v>1843887</v>
      </c>
      <c r="P33" s="1275"/>
    </row>
    <row r="34" spans="1:16" x14ac:dyDescent="0.25">
      <c r="A34" s="110">
        <f t="shared" si="5"/>
        <v>44130</v>
      </c>
      <c r="B34" s="111">
        <f t="shared" si="0"/>
        <v>0</v>
      </c>
      <c r="C34" s="113"/>
      <c r="D34" s="111">
        <f t="shared" si="3"/>
        <v>0</v>
      </c>
      <c r="E34" s="86"/>
      <c r="F34" s="111">
        <f t="shared" si="6"/>
        <v>0</v>
      </c>
      <c r="G34" s="114"/>
      <c r="H34" s="114"/>
      <c r="I34" s="114"/>
      <c r="J34" s="114"/>
      <c r="K34" s="133">
        <f t="shared" si="1"/>
        <v>0</v>
      </c>
      <c r="L34" s="86"/>
      <c r="M34" s="259">
        <f t="shared" si="2"/>
        <v>0</v>
      </c>
      <c r="N34" s="259">
        <f t="shared" si="4"/>
        <v>1843887</v>
      </c>
      <c r="P34" s="1275"/>
    </row>
    <row r="35" spans="1:16" ht="18.75" x14ac:dyDescent="0.3">
      <c r="A35" s="110">
        <f t="shared" si="5"/>
        <v>44131</v>
      </c>
      <c r="B35" s="111">
        <f t="shared" si="0"/>
        <v>0</v>
      </c>
      <c r="C35" s="113"/>
      <c r="D35" s="111">
        <f t="shared" si="3"/>
        <v>0</v>
      </c>
      <c r="E35" s="86"/>
      <c r="F35" s="111">
        <f t="shared" si="6"/>
        <v>0</v>
      </c>
      <c r="G35" s="114"/>
      <c r="H35" s="114"/>
      <c r="I35" s="114"/>
      <c r="J35" s="114"/>
      <c r="K35" s="133">
        <f t="shared" si="1"/>
        <v>0</v>
      </c>
      <c r="L35" s="112"/>
      <c r="M35" s="259">
        <f t="shared" si="2"/>
        <v>0</v>
      </c>
      <c r="N35" s="114">
        <f>+N34+K35-L35</f>
        <v>1843887</v>
      </c>
      <c r="P35" s="1275"/>
    </row>
    <row r="36" spans="1:16" x14ac:dyDescent="0.25">
      <c r="A36" s="110">
        <f t="shared" si="5"/>
        <v>44132</v>
      </c>
      <c r="B36" s="111">
        <f t="shared" si="0"/>
        <v>0</v>
      </c>
      <c r="C36" s="113"/>
      <c r="D36" s="111">
        <f t="shared" si="3"/>
        <v>0</v>
      </c>
      <c r="E36" s="86"/>
      <c r="F36" s="111">
        <f t="shared" si="6"/>
        <v>0</v>
      </c>
      <c r="G36" s="114"/>
      <c r="H36" s="114"/>
      <c r="I36" s="114"/>
      <c r="J36" s="114"/>
      <c r="K36" s="133">
        <f t="shared" si="1"/>
        <v>0</v>
      </c>
      <c r="L36" s="113"/>
      <c r="M36" s="259">
        <f t="shared" si="2"/>
        <v>0</v>
      </c>
      <c r="N36" s="114">
        <f>+N35+K36-L36</f>
        <v>1843887</v>
      </c>
      <c r="P36" s="1275"/>
    </row>
    <row r="37" spans="1:16" x14ac:dyDescent="0.25">
      <c r="A37" s="110">
        <f t="shared" si="5"/>
        <v>44133</v>
      </c>
      <c r="B37" s="111">
        <f t="shared" si="0"/>
        <v>0</v>
      </c>
      <c r="C37" s="113"/>
      <c r="D37" s="111">
        <f t="shared" si="3"/>
        <v>0</v>
      </c>
      <c r="E37" s="86"/>
      <c r="F37" s="111">
        <f t="shared" si="6"/>
        <v>0</v>
      </c>
      <c r="G37" s="114"/>
      <c r="H37" s="114"/>
      <c r="I37" s="114"/>
      <c r="J37" s="114"/>
      <c r="K37" s="133">
        <f t="shared" si="1"/>
        <v>0</v>
      </c>
      <c r="L37" s="113"/>
      <c r="M37" s="259">
        <f t="shared" si="2"/>
        <v>0</v>
      </c>
      <c r="N37" s="114">
        <f>+N36+K37-L37</f>
        <v>1843887</v>
      </c>
      <c r="P37" s="1275"/>
    </row>
    <row r="38" spans="1:16" x14ac:dyDescent="0.25">
      <c r="A38" s="110">
        <f t="shared" si="5"/>
        <v>44134</v>
      </c>
      <c r="B38" s="111">
        <f t="shared" si="0"/>
        <v>0</v>
      </c>
      <c r="C38" s="113"/>
      <c r="D38" s="111">
        <f t="shared" si="3"/>
        <v>0</v>
      </c>
      <c r="E38" s="86"/>
      <c r="F38" s="111">
        <f t="shared" si="6"/>
        <v>0</v>
      </c>
      <c r="G38" s="114"/>
      <c r="H38" s="114"/>
      <c r="I38" s="114"/>
      <c r="J38" s="114"/>
      <c r="K38" s="133">
        <f t="shared" si="1"/>
        <v>0</v>
      </c>
      <c r="L38" s="113"/>
      <c r="M38" s="259">
        <f t="shared" si="2"/>
        <v>0</v>
      </c>
      <c r="N38" s="114">
        <f>+N37+K38-L38</f>
        <v>1843887</v>
      </c>
      <c r="P38" s="1275"/>
    </row>
    <row r="39" spans="1:16" x14ac:dyDescent="0.25">
      <c r="A39" s="110">
        <f t="shared" si="5"/>
        <v>44135</v>
      </c>
      <c r="B39" s="111">
        <f t="shared" si="0"/>
        <v>0</v>
      </c>
      <c r="C39" s="113"/>
      <c r="D39" s="111">
        <f t="shared" si="3"/>
        <v>0</v>
      </c>
      <c r="E39" s="113"/>
      <c r="F39" s="111">
        <f t="shared" si="6"/>
        <v>0</v>
      </c>
      <c r="G39" s="114"/>
      <c r="H39" s="114"/>
      <c r="I39" s="114"/>
      <c r="J39" s="114"/>
      <c r="K39" s="133">
        <f t="shared" si="1"/>
        <v>0</v>
      </c>
      <c r="L39" s="113"/>
      <c r="M39" s="259">
        <f t="shared" si="2"/>
        <v>0</v>
      </c>
      <c r="N39" s="120">
        <f>+N38+K39-L39</f>
        <v>1843887</v>
      </c>
      <c r="P39" s="218"/>
    </row>
    <row r="40" spans="1:16" x14ac:dyDescent="0.25">
      <c r="A40" s="121" t="s">
        <v>18</v>
      </c>
      <c r="B40" s="115">
        <f t="shared" ref="B40:L40" si="7">SUM(B9:B39)</f>
        <v>0</v>
      </c>
      <c r="C40" s="115">
        <f t="shared" si="7"/>
        <v>0</v>
      </c>
      <c r="D40" s="122">
        <f t="shared" si="7"/>
        <v>0</v>
      </c>
      <c r="E40" s="122">
        <f>SUM(E9:E39)</f>
        <v>0</v>
      </c>
      <c r="F40" s="115">
        <f t="shared" si="7"/>
        <v>0</v>
      </c>
      <c r="G40" s="115">
        <f t="shared" si="7"/>
        <v>0</v>
      </c>
      <c r="H40" s="115">
        <f t="shared" si="7"/>
        <v>0</v>
      </c>
      <c r="I40" s="115">
        <f t="shared" si="7"/>
        <v>0</v>
      </c>
      <c r="J40" s="115">
        <f t="shared" si="7"/>
        <v>0</v>
      </c>
      <c r="K40" s="115">
        <f t="shared" si="7"/>
        <v>0</v>
      </c>
      <c r="L40" s="115">
        <f t="shared" si="7"/>
        <v>0</v>
      </c>
      <c r="M40" s="120">
        <f>SUM(M8:M39)</f>
        <v>1843887</v>
      </c>
      <c r="N40" s="123"/>
    </row>
    <row r="41" spans="1:16" x14ac:dyDescent="0.25">
      <c r="A41" s="241"/>
      <c r="B41" s="241"/>
      <c r="C41" s="241"/>
      <c r="D41" s="242"/>
      <c r="E41" s="241"/>
      <c r="F41" s="241"/>
      <c r="G41" s="241"/>
      <c r="H41" s="241"/>
      <c r="I41" s="241"/>
      <c r="J41" s="241"/>
      <c r="K41" s="241"/>
      <c r="L41" s="241"/>
      <c r="M41" s="241"/>
      <c r="N41" s="241"/>
    </row>
    <row r="42" spans="1:16" x14ac:dyDescent="0.25">
      <c r="A42" s="243" t="s">
        <v>121</v>
      </c>
      <c r="B42" s="243" t="s">
        <v>61</v>
      </c>
      <c r="C42" s="243" t="s">
        <v>122</v>
      </c>
      <c r="D42" s="244" t="s">
        <v>39</v>
      </c>
    </row>
    <row r="43" spans="1:16" x14ac:dyDescent="0.25">
      <c r="A43" s="243" t="s">
        <v>15</v>
      </c>
      <c r="B43" s="245">
        <f>B40</f>
        <v>0</v>
      </c>
      <c r="C43" s="243"/>
      <c r="D43" s="244">
        <f>B43*C43</f>
        <v>0</v>
      </c>
    </row>
    <row r="44" spans="1:16" x14ac:dyDescent="0.25">
      <c r="A44" s="243" t="s">
        <v>16</v>
      </c>
      <c r="B44" s="244">
        <f>D40</f>
        <v>0</v>
      </c>
      <c r="C44" s="243">
        <v>5</v>
      </c>
      <c r="D44" s="244">
        <f>B44*C44</f>
        <v>0</v>
      </c>
      <c r="H44" s="246"/>
      <c r="K44" s="246"/>
      <c r="L44" s="246"/>
      <c r="M44" s="246"/>
    </row>
    <row r="45" spans="1:16" x14ac:dyDescent="0.25">
      <c r="A45" s="243" t="s">
        <v>17</v>
      </c>
      <c r="B45" s="245">
        <f>F40</f>
        <v>0</v>
      </c>
      <c r="C45" s="243"/>
      <c r="D45" s="244">
        <f>B45*C45</f>
        <v>0</v>
      </c>
      <c r="E45" s="239"/>
      <c r="N45" s="246"/>
    </row>
    <row r="46" spans="1:16" x14ac:dyDescent="0.25">
      <c r="A46" s="247" t="s">
        <v>18</v>
      </c>
      <c r="B46" s="248"/>
      <c r="C46" s="249"/>
      <c r="D46" s="244">
        <f>SUM(D43:D45)</f>
        <v>0</v>
      </c>
      <c r="N46" s="246"/>
    </row>
    <row r="48" spans="1:16" x14ac:dyDescent="0.25">
      <c r="C48" s="238" t="s">
        <v>174</v>
      </c>
    </row>
    <row r="56" spans="4:9" x14ac:dyDescent="0.25">
      <c r="D56" s="1508">
        <v>3000000</v>
      </c>
      <c r="E56" s="1508">
        <v>100</v>
      </c>
    </row>
    <row r="57" spans="4:9" x14ac:dyDescent="0.25">
      <c r="D57" s="1508">
        <v>230000</v>
      </c>
      <c r="E57" s="1686">
        <f>+D57*E56/D56</f>
        <v>7.666666666666667</v>
      </c>
    </row>
    <row r="58" spans="4:9" x14ac:dyDescent="0.25">
      <c r="D58" s="1508"/>
      <c r="E58" s="1508"/>
    </row>
    <row r="59" spans="4:9" x14ac:dyDescent="0.25">
      <c r="D59" s="1508">
        <v>350000</v>
      </c>
      <c r="E59" s="1508"/>
    </row>
    <row r="60" spans="4:9" x14ac:dyDescent="0.25">
      <c r="D60" s="1508">
        <v>4000000</v>
      </c>
      <c r="E60" s="1508">
        <v>100</v>
      </c>
    </row>
    <row r="61" spans="4:9" x14ac:dyDescent="0.25">
      <c r="D61" s="1508">
        <f>+E61*D60/E60</f>
        <v>306666.66666666669</v>
      </c>
      <c r="E61" s="1508">
        <v>7.666666666666667</v>
      </c>
      <c r="I61" s="51">
        <f>6734925+288000</f>
        <v>7022925</v>
      </c>
    </row>
  </sheetData>
  <mergeCells count="7">
    <mergeCell ref="N6:N7"/>
    <mergeCell ref="H6:H8"/>
    <mergeCell ref="I6:I8"/>
    <mergeCell ref="J6:J8"/>
    <mergeCell ref="K6:K8"/>
    <mergeCell ref="L6:L7"/>
    <mergeCell ref="M6:M7"/>
  </mergeCells>
  <pageMargins left="0.55118110236220474" right="0.27559055118110237" top="0.47244094488188981" bottom="0.47244094488188981" header="0.31496062992125984" footer="0.31496062992125984"/>
  <pageSetup paperSize="9" scale="10" orientation="portrait" r:id="rId1"/>
  <drawing r:id="rId2"/>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6">
    <tabColor theme="6" tint="-0.249977111117893"/>
    <pageSetUpPr fitToPage="1"/>
  </sheetPr>
  <dimension ref="A1:R51"/>
  <sheetViews>
    <sheetView zoomScaleNormal="100" workbookViewId="0">
      <selection activeCell="J18" sqref="J18"/>
    </sheetView>
  </sheetViews>
  <sheetFormatPr baseColWidth="10" defaultRowHeight="12.75" x14ac:dyDescent="0.2"/>
  <cols>
    <col min="1" max="1" width="13.140625" style="39" customWidth="1"/>
    <col min="2" max="2" width="11.42578125" style="39"/>
    <col min="3" max="3" width="13.42578125" style="39" customWidth="1"/>
    <col min="4" max="4" width="13.7109375" style="39" customWidth="1"/>
    <col min="5" max="5" width="15.28515625" style="39" customWidth="1"/>
    <col min="6" max="6" width="14.7109375" style="39" customWidth="1"/>
    <col min="7" max="7" width="12" style="39" bestFit="1" customWidth="1"/>
    <col min="8" max="8" width="11.42578125" style="39" customWidth="1"/>
    <col min="9" max="9" width="13.5703125" style="39" customWidth="1"/>
    <col min="10" max="10" width="11.42578125" style="39" customWidth="1"/>
    <col min="11" max="12" width="15.140625" style="39" customWidth="1"/>
    <col min="13" max="13" width="15.42578125" style="39" customWidth="1"/>
    <col min="14" max="14" width="14.42578125" style="39" customWidth="1"/>
    <col min="15" max="15" width="15.7109375" style="39" bestFit="1" customWidth="1"/>
    <col min="16" max="18" width="12" style="39" bestFit="1" customWidth="1"/>
    <col min="19" max="16384" width="11.42578125" style="39"/>
  </cols>
  <sheetData>
    <row r="1" spans="1:15" ht="16.5" x14ac:dyDescent="0.3">
      <c r="A1" s="8" t="s">
        <v>118</v>
      </c>
      <c r="B1" s="1" t="s">
        <v>1333</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O5" s="388" t="s">
        <v>190</v>
      </c>
    </row>
    <row r="6" spans="1:15" ht="13.5" x14ac:dyDescent="0.25">
      <c r="A6" s="8"/>
      <c r="B6" s="8"/>
      <c r="C6" s="8"/>
    </row>
    <row r="7" spans="1:15" ht="16.5" x14ac:dyDescent="0.2">
      <c r="A7" s="100" t="s">
        <v>3</v>
      </c>
      <c r="B7" s="1846" t="s">
        <v>15</v>
      </c>
      <c r="C7" s="1847"/>
      <c r="D7" s="1846" t="s">
        <v>16</v>
      </c>
      <c r="E7" s="1847"/>
      <c r="F7" s="1846" t="s">
        <v>17</v>
      </c>
      <c r="G7" s="1847"/>
      <c r="H7" s="2910" t="s">
        <v>52</v>
      </c>
      <c r="I7" s="2910" t="s">
        <v>53</v>
      </c>
      <c r="J7" s="2910" t="s">
        <v>119</v>
      </c>
      <c r="K7" s="2910" t="s">
        <v>18</v>
      </c>
      <c r="L7" s="3067" t="s">
        <v>704</v>
      </c>
      <c r="M7" s="3065" t="s">
        <v>223</v>
      </c>
      <c r="N7" s="2910" t="s">
        <v>55</v>
      </c>
      <c r="O7" s="2910" t="s">
        <v>120</v>
      </c>
    </row>
    <row r="8" spans="1:15" ht="21" x14ac:dyDescent="0.2">
      <c r="A8" s="103"/>
      <c r="B8" s="915">
        <v>630</v>
      </c>
      <c r="C8" s="916"/>
      <c r="D8" s="915">
        <v>575</v>
      </c>
      <c r="E8" s="916"/>
      <c r="F8" s="915">
        <v>350</v>
      </c>
      <c r="G8" s="916"/>
      <c r="H8" s="3059"/>
      <c r="I8" s="3059"/>
      <c r="J8" s="3059"/>
      <c r="K8" s="3059"/>
      <c r="L8" s="3068"/>
      <c r="M8" s="3066"/>
      <c r="N8" s="2911"/>
      <c r="O8" s="2911"/>
    </row>
    <row r="9" spans="1:15" ht="16.5" x14ac:dyDescent="0.2">
      <c r="A9" s="105"/>
      <c r="B9" s="106" t="s">
        <v>56</v>
      </c>
      <c r="C9" s="106"/>
      <c r="D9" s="107" t="s">
        <v>56</v>
      </c>
      <c r="E9" s="106"/>
      <c r="F9" s="106" t="s">
        <v>56</v>
      </c>
      <c r="G9" s="106" t="s">
        <v>37</v>
      </c>
      <c r="H9" s="2911"/>
      <c r="I9" s="2911"/>
      <c r="J9" s="2911"/>
      <c r="K9" s="2911"/>
      <c r="L9" s="3069"/>
      <c r="M9" s="134"/>
      <c r="N9" s="276">
        <v>0</v>
      </c>
      <c r="O9" s="109">
        <f>+N9-M9</f>
        <v>0</v>
      </c>
    </row>
    <row r="10" spans="1:15" ht="16.5" x14ac:dyDescent="0.25">
      <c r="A10" s="110">
        <f>+KONGFU!A9</f>
        <v>44105</v>
      </c>
      <c r="B10" s="114">
        <f>+C10/B$8</f>
        <v>0</v>
      </c>
      <c r="C10" s="86"/>
      <c r="D10" s="114">
        <f t="shared" ref="D10:D41" si="0">+E10/520</f>
        <v>0</v>
      </c>
      <c r="E10" s="86"/>
      <c r="F10" s="111">
        <f>+G10/F$8</f>
        <v>0</v>
      </c>
      <c r="G10" s="114"/>
      <c r="H10" s="114"/>
      <c r="I10" s="114"/>
      <c r="J10" s="114"/>
      <c r="K10" s="115">
        <f>C10+E10+G10+H10+I10+J10</f>
        <v>0</v>
      </c>
      <c r="L10" s="115"/>
      <c r="M10" s="113"/>
      <c r="N10" s="114">
        <f>K10-M10</f>
        <v>0</v>
      </c>
      <c r="O10" s="114">
        <f>+O9+K10-M10</f>
        <v>0</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115"/>
      <c r="M11" s="86"/>
      <c r="N11" s="114">
        <f t="shared" ref="N11:N38" si="4">K11-M11</f>
        <v>0</v>
      </c>
      <c r="O11" s="114">
        <f t="shared" ref="O11:O38" si="5">+O10+K11-M11</f>
        <v>0</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115"/>
      <c r="M12" s="86"/>
      <c r="N12" s="114">
        <f t="shared" si="4"/>
        <v>0</v>
      </c>
      <c r="O12" s="114">
        <f t="shared" si="5"/>
        <v>0</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115"/>
      <c r="M13" s="86"/>
      <c r="N13" s="114">
        <f t="shared" si="4"/>
        <v>0</v>
      </c>
      <c r="O13" s="114">
        <f t="shared" si="5"/>
        <v>0</v>
      </c>
    </row>
    <row r="14" spans="1:15" ht="16.5" x14ac:dyDescent="0.25">
      <c r="A14" s="110">
        <f>+A13+1</f>
        <v>44109</v>
      </c>
      <c r="B14" s="114">
        <f t="shared" si="1"/>
        <v>0</v>
      </c>
      <c r="C14" s="86"/>
      <c r="D14" s="114">
        <f t="shared" si="0"/>
        <v>0</v>
      </c>
      <c r="E14" s="86"/>
      <c r="F14" s="111">
        <f t="shared" si="2"/>
        <v>0</v>
      </c>
      <c r="G14" s="114"/>
      <c r="H14" s="114"/>
      <c r="I14" s="114"/>
      <c r="J14" s="114"/>
      <c r="K14" s="115">
        <f t="shared" si="3"/>
        <v>0</v>
      </c>
      <c r="L14" s="115"/>
      <c r="M14" s="86"/>
      <c r="N14" s="114">
        <f t="shared" si="4"/>
        <v>0</v>
      </c>
      <c r="O14" s="114">
        <f t="shared" si="5"/>
        <v>0</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115"/>
      <c r="M15" s="86"/>
      <c r="N15" s="114">
        <f t="shared" si="4"/>
        <v>0</v>
      </c>
      <c r="O15" s="114">
        <f t="shared" si="5"/>
        <v>0</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115"/>
      <c r="M16" s="86"/>
      <c r="N16" s="114">
        <f t="shared" si="4"/>
        <v>0</v>
      </c>
      <c r="O16" s="114">
        <f t="shared" si="5"/>
        <v>0</v>
      </c>
    </row>
    <row r="17" spans="1:17" ht="14.25" customHeight="1" x14ac:dyDescent="0.25">
      <c r="A17" s="110">
        <f t="shared" si="6"/>
        <v>44112</v>
      </c>
      <c r="B17" s="114">
        <f t="shared" si="1"/>
        <v>0</v>
      </c>
      <c r="C17" s="86"/>
      <c r="D17" s="114">
        <f t="shared" si="0"/>
        <v>0</v>
      </c>
      <c r="E17" s="86"/>
      <c r="F17" s="111">
        <f t="shared" si="2"/>
        <v>0</v>
      </c>
      <c r="G17" s="114"/>
      <c r="H17" s="114"/>
      <c r="I17" s="114"/>
      <c r="J17" s="114"/>
      <c r="K17" s="115">
        <f t="shared" si="3"/>
        <v>0</v>
      </c>
      <c r="L17" s="115"/>
      <c r="M17" s="86"/>
      <c r="N17" s="114">
        <f t="shared" si="4"/>
        <v>0</v>
      </c>
      <c r="O17" s="114">
        <f t="shared" si="5"/>
        <v>0</v>
      </c>
    </row>
    <row r="18" spans="1:17" ht="16.5" x14ac:dyDescent="0.25">
      <c r="A18" s="110">
        <f t="shared" si="6"/>
        <v>44113</v>
      </c>
      <c r="B18" s="114">
        <f t="shared" si="1"/>
        <v>0</v>
      </c>
      <c r="C18" s="86"/>
      <c r="D18" s="114">
        <f>+E18/520</f>
        <v>0</v>
      </c>
      <c r="E18" s="86"/>
      <c r="F18" s="111">
        <f t="shared" si="2"/>
        <v>0</v>
      </c>
      <c r="G18" s="118"/>
      <c r="H18" s="118"/>
      <c r="I18" s="118"/>
      <c r="J18" s="118"/>
      <c r="K18" s="115">
        <f t="shared" si="3"/>
        <v>0</v>
      </c>
      <c r="L18" s="115"/>
      <c r="M18" s="86"/>
      <c r="N18" s="114">
        <f t="shared" si="4"/>
        <v>0</v>
      </c>
      <c r="O18" s="118">
        <f t="shared" si="5"/>
        <v>0</v>
      </c>
    </row>
    <row r="19" spans="1:17" ht="16.5" x14ac:dyDescent="0.25">
      <c r="A19" s="110">
        <f t="shared" si="6"/>
        <v>44114</v>
      </c>
      <c r="B19" s="114">
        <f t="shared" si="1"/>
        <v>0</v>
      </c>
      <c r="C19" s="86"/>
      <c r="D19" s="114">
        <f t="shared" si="0"/>
        <v>0</v>
      </c>
      <c r="E19" s="86"/>
      <c r="F19" s="111">
        <f t="shared" si="2"/>
        <v>0</v>
      </c>
      <c r="G19" s="118"/>
      <c r="H19" s="118"/>
      <c r="I19" s="118"/>
      <c r="J19" s="118"/>
      <c r="K19" s="115">
        <f>C19+E19+G19+H19+I19+J19</f>
        <v>0</v>
      </c>
      <c r="L19" s="115"/>
      <c r="M19" s="86"/>
      <c r="N19" s="114">
        <f t="shared" si="4"/>
        <v>0</v>
      </c>
      <c r="O19" s="118">
        <f t="shared" si="5"/>
        <v>0</v>
      </c>
    </row>
    <row r="20" spans="1:17" ht="16.5" x14ac:dyDescent="0.25">
      <c r="A20" s="110">
        <f t="shared" si="6"/>
        <v>44115</v>
      </c>
      <c r="B20" s="114">
        <f t="shared" si="1"/>
        <v>0</v>
      </c>
      <c r="C20" s="86"/>
      <c r="D20" s="114">
        <f>+E20/520</f>
        <v>0</v>
      </c>
      <c r="E20" s="86"/>
      <c r="F20" s="111">
        <f t="shared" si="2"/>
        <v>0</v>
      </c>
      <c r="G20" s="118"/>
      <c r="H20" s="118"/>
      <c r="I20" s="118"/>
      <c r="J20" s="118"/>
      <c r="K20" s="115">
        <f t="shared" si="3"/>
        <v>0</v>
      </c>
      <c r="L20" s="115"/>
      <c r="M20" s="86"/>
      <c r="N20" s="114">
        <f t="shared" si="4"/>
        <v>0</v>
      </c>
      <c r="O20" s="118">
        <f t="shared" si="5"/>
        <v>0</v>
      </c>
    </row>
    <row r="21" spans="1:17" ht="16.5" x14ac:dyDescent="0.25">
      <c r="A21" s="110">
        <f t="shared" si="6"/>
        <v>44116</v>
      </c>
      <c r="B21" s="114">
        <f t="shared" si="1"/>
        <v>0</v>
      </c>
      <c r="C21" s="86"/>
      <c r="D21" s="114">
        <f t="shared" si="0"/>
        <v>0</v>
      </c>
      <c r="E21" s="86"/>
      <c r="F21" s="111">
        <f t="shared" si="2"/>
        <v>0</v>
      </c>
      <c r="G21" s="118"/>
      <c r="H21" s="118"/>
      <c r="I21" s="118"/>
      <c r="J21" s="118"/>
      <c r="K21" s="115">
        <f t="shared" si="3"/>
        <v>0</v>
      </c>
      <c r="L21" s="115"/>
      <c r="M21" s="86"/>
      <c r="N21" s="114">
        <f t="shared" si="4"/>
        <v>0</v>
      </c>
      <c r="O21" s="118">
        <f>+O20+K21-M21</f>
        <v>0</v>
      </c>
    </row>
    <row r="22" spans="1:17" ht="16.5" x14ac:dyDescent="0.25">
      <c r="A22" s="110">
        <f t="shared" si="6"/>
        <v>44117</v>
      </c>
      <c r="B22" s="114">
        <f t="shared" si="1"/>
        <v>0</v>
      </c>
      <c r="C22" s="86"/>
      <c r="D22" s="114">
        <f t="shared" si="0"/>
        <v>0</v>
      </c>
      <c r="E22" s="86"/>
      <c r="F22" s="111">
        <f t="shared" si="2"/>
        <v>0</v>
      </c>
      <c r="G22" s="118"/>
      <c r="H22" s="118"/>
      <c r="I22" s="118"/>
      <c r="J22" s="118"/>
      <c r="K22" s="115">
        <f t="shared" si="3"/>
        <v>0</v>
      </c>
      <c r="L22" s="115"/>
      <c r="M22" s="86"/>
      <c r="N22" s="114">
        <f t="shared" si="4"/>
        <v>0</v>
      </c>
      <c r="O22" s="118">
        <f t="shared" si="5"/>
        <v>0</v>
      </c>
    </row>
    <row r="23" spans="1:17" ht="16.5" x14ac:dyDescent="0.25">
      <c r="A23" s="110">
        <f t="shared" si="6"/>
        <v>44118</v>
      </c>
      <c r="B23" s="114">
        <f t="shared" si="1"/>
        <v>0</v>
      </c>
      <c r="C23" s="86"/>
      <c r="D23" s="114">
        <f t="shared" si="0"/>
        <v>0</v>
      </c>
      <c r="E23" s="86"/>
      <c r="F23" s="111">
        <f t="shared" si="2"/>
        <v>0</v>
      </c>
      <c r="G23" s="118"/>
      <c r="H23" s="118"/>
      <c r="I23" s="118"/>
      <c r="J23" s="118"/>
      <c r="K23" s="115">
        <f t="shared" si="3"/>
        <v>0</v>
      </c>
      <c r="L23" s="115"/>
      <c r="M23" s="86"/>
      <c r="N23" s="114">
        <f t="shared" si="4"/>
        <v>0</v>
      </c>
      <c r="O23" s="118">
        <f t="shared" si="5"/>
        <v>0</v>
      </c>
      <c r="Q23" s="281"/>
    </row>
    <row r="24" spans="1:17" ht="16.5" x14ac:dyDescent="0.25">
      <c r="A24" s="110">
        <f t="shared" si="6"/>
        <v>44119</v>
      </c>
      <c r="B24" s="114">
        <f t="shared" si="1"/>
        <v>0</v>
      </c>
      <c r="C24" s="86"/>
      <c r="D24" s="114">
        <f t="shared" si="0"/>
        <v>0</v>
      </c>
      <c r="E24" s="86"/>
      <c r="F24" s="111">
        <f t="shared" si="2"/>
        <v>0</v>
      </c>
      <c r="G24" s="118"/>
      <c r="H24" s="118"/>
      <c r="I24" s="118"/>
      <c r="J24" s="118"/>
      <c r="K24" s="115">
        <f t="shared" si="3"/>
        <v>0</v>
      </c>
      <c r="L24" s="115"/>
      <c r="M24" s="86"/>
      <c r="N24" s="114">
        <f t="shared" si="4"/>
        <v>0</v>
      </c>
      <c r="O24" s="118">
        <f t="shared" si="5"/>
        <v>0</v>
      </c>
      <c r="Q24" s="281"/>
    </row>
    <row r="25" spans="1:17" ht="16.5" x14ac:dyDescent="0.25">
      <c r="A25" s="110">
        <f t="shared" si="6"/>
        <v>44120</v>
      </c>
      <c r="B25" s="114">
        <f t="shared" si="1"/>
        <v>0</v>
      </c>
      <c r="C25" s="86"/>
      <c r="D25" s="114">
        <f t="shared" si="0"/>
        <v>0</v>
      </c>
      <c r="E25" s="86"/>
      <c r="F25" s="111">
        <f t="shared" si="2"/>
        <v>0</v>
      </c>
      <c r="G25" s="118"/>
      <c r="H25" s="118"/>
      <c r="I25" s="118"/>
      <c r="J25" s="118"/>
      <c r="K25" s="115">
        <f t="shared" si="3"/>
        <v>0</v>
      </c>
      <c r="L25" s="115"/>
      <c r="M25" s="86"/>
      <c r="N25" s="118">
        <f t="shared" si="4"/>
        <v>0</v>
      </c>
      <c r="O25" s="118">
        <f t="shared" si="5"/>
        <v>0</v>
      </c>
    </row>
    <row r="26" spans="1:17" ht="16.5" x14ac:dyDescent="0.25">
      <c r="A26" s="110">
        <f t="shared" si="6"/>
        <v>44121</v>
      </c>
      <c r="B26" s="114">
        <f t="shared" si="1"/>
        <v>0</v>
      </c>
      <c r="C26" s="86"/>
      <c r="D26" s="114">
        <f t="shared" si="0"/>
        <v>0</v>
      </c>
      <c r="E26" s="86"/>
      <c r="F26" s="111">
        <f t="shared" si="2"/>
        <v>0</v>
      </c>
      <c r="G26" s="118"/>
      <c r="H26" s="118"/>
      <c r="I26" s="118"/>
      <c r="J26" s="118"/>
      <c r="K26" s="115">
        <f t="shared" si="3"/>
        <v>0</v>
      </c>
      <c r="L26" s="115"/>
      <c r="M26" s="86"/>
      <c r="N26" s="118">
        <f t="shared" si="4"/>
        <v>0</v>
      </c>
      <c r="O26" s="118">
        <f t="shared" si="5"/>
        <v>0</v>
      </c>
    </row>
    <row r="27" spans="1:17" ht="16.5" x14ac:dyDescent="0.25">
      <c r="A27" s="110">
        <f t="shared" si="6"/>
        <v>44122</v>
      </c>
      <c r="B27" s="114">
        <f t="shared" si="1"/>
        <v>0</v>
      </c>
      <c r="C27" s="86"/>
      <c r="D27" s="114">
        <f t="shared" si="0"/>
        <v>0</v>
      </c>
      <c r="E27" s="86"/>
      <c r="F27" s="111">
        <f t="shared" si="2"/>
        <v>0</v>
      </c>
      <c r="G27" s="118"/>
      <c r="H27" s="118"/>
      <c r="I27" s="118"/>
      <c r="J27" s="118"/>
      <c r="K27" s="115">
        <f t="shared" si="3"/>
        <v>0</v>
      </c>
      <c r="L27" s="115"/>
      <c r="M27" s="86"/>
      <c r="N27" s="118">
        <f t="shared" si="4"/>
        <v>0</v>
      </c>
      <c r="O27" s="118">
        <f t="shared" si="5"/>
        <v>0</v>
      </c>
      <c r="P27" s="281">
        <f>255644+E42</f>
        <v>255644</v>
      </c>
    </row>
    <row r="28" spans="1:17" ht="16.5" x14ac:dyDescent="0.25">
      <c r="A28" s="110">
        <f t="shared" si="6"/>
        <v>44123</v>
      </c>
      <c r="B28" s="114">
        <f t="shared" si="1"/>
        <v>0</v>
      </c>
      <c r="C28" s="86"/>
      <c r="D28" s="114">
        <f t="shared" si="0"/>
        <v>0</v>
      </c>
      <c r="E28" s="86"/>
      <c r="F28" s="111">
        <f t="shared" si="2"/>
        <v>0</v>
      </c>
      <c r="G28" s="118"/>
      <c r="H28" s="118"/>
      <c r="I28" s="118"/>
      <c r="J28" s="118"/>
      <c r="K28" s="115">
        <f t="shared" si="3"/>
        <v>0</v>
      </c>
      <c r="L28" s="115"/>
      <c r="M28" s="86"/>
      <c r="N28" s="118">
        <f t="shared" si="4"/>
        <v>0</v>
      </c>
      <c r="O28" s="118">
        <f t="shared" si="5"/>
        <v>0</v>
      </c>
    </row>
    <row r="29" spans="1:17" ht="16.5" x14ac:dyDescent="0.25">
      <c r="A29" s="110">
        <f t="shared" si="6"/>
        <v>44124</v>
      </c>
      <c r="B29" s="114">
        <f t="shared" si="1"/>
        <v>0</v>
      </c>
      <c r="C29" s="86"/>
      <c r="D29" s="114">
        <f t="shared" si="0"/>
        <v>0</v>
      </c>
      <c r="E29" s="86"/>
      <c r="F29" s="111">
        <f t="shared" si="2"/>
        <v>0</v>
      </c>
      <c r="G29" s="118"/>
      <c r="H29" s="118"/>
      <c r="I29" s="118"/>
      <c r="J29" s="118"/>
      <c r="K29" s="115">
        <f t="shared" si="3"/>
        <v>0</v>
      </c>
      <c r="L29" s="115"/>
      <c r="M29" s="86"/>
      <c r="N29" s="118">
        <f t="shared" si="4"/>
        <v>0</v>
      </c>
      <c r="O29" s="118">
        <f t="shared" si="5"/>
        <v>0</v>
      </c>
      <c r="Q29" s="281"/>
    </row>
    <row r="30" spans="1:17" ht="16.5" x14ac:dyDescent="0.25">
      <c r="A30" s="110">
        <f t="shared" si="6"/>
        <v>44125</v>
      </c>
      <c r="B30" s="114">
        <f t="shared" si="1"/>
        <v>0</v>
      </c>
      <c r="C30" s="86"/>
      <c r="D30" s="114">
        <f t="shared" si="0"/>
        <v>0</v>
      </c>
      <c r="E30" s="86"/>
      <c r="F30" s="111">
        <f t="shared" si="2"/>
        <v>0</v>
      </c>
      <c r="G30" s="118"/>
      <c r="H30" s="118"/>
      <c r="I30" s="118"/>
      <c r="J30" s="118"/>
      <c r="K30" s="115">
        <f t="shared" si="3"/>
        <v>0</v>
      </c>
      <c r="L30" s="115"/>
      <c r="M30" s="86"/>
      <c r="N30" s="118">
        <f t="shared" si="4"/>
        <v>0</v>
      </c>
      <c r="O30" s="118">
        <f t="shared" si="5"/>
        <v>0</v>
      </c>
    </row>
    <row r="31" spans="1:17" s="762" customFormat="1" ht="16.5" x14ac:dyDescent="0.25">
      <c r="A31" s="1547">
        <f t="shared" si="6"/>
        <v>44126</v>
      </c>
      <c r="B31" s="1548">
        <f t="shared" si="1"/>
        <v>0</v>
      </c>
      <c r="C31" s="1532"/>
      <c r="D31" s="1548">
        <f t="shared" si="0"/>
        <v>0</v>
      </c>
      <c r="E31" s="1532"/>
      <c r="F31" s="1549">
        <f t="shared" si="2"/>
        <v>0</v>
      </c>
      <c r="G31" s="1548"/>
      <c r="H31" s="1548"/>
      <c r="I31" s="1548"/>
      <c r="J31" s="1548"/>
      <c r="K31" s="1550">
        <f t="shared" si="3"/>
        <v>0</v>
      </c>
      <c r="L31" s="1550"/>
      <c r="M31" s="1532"/>
      <c r="N31" s="1548">
        <f t="shared" si="4"/>
        <v>0</v>
      </c>
      <c r="O31" s="1548">
        <f>+O30+K31-M31</f>
        <v>0</v>
      </c>
    </row>
    <row r="32" spans="1:17" ht="16.5" x14ac:dyDescent="0.25">
      <c r="A32" s="110">
        <f t="shared" si="6"/>
        <v>44127</v>
      </c>
      <c r="B32" s="114">
        <f t="shared" si="1"/>
        <v>0</v>
      </c>
      <c r="C32" s="86"/>
      <c r="D32" s="114">
        <f t="shared" si="0"/>
        <v>0</v>
      </c>
      <c r="E32" s="86"/>
      <c r="F32" s="111">
        <f t="shared" si="2"/>
        <v>0</v>
      </c>
      <c r="G32" s="118"/>
      <c r="H32" s="118"/>
      <c r="I32" s="118"/>
      <c r="J32" s="118"/>
      <c r="K32" s="115">
        <f t="shared" si="3"/>
        <v>0</v>
      </c>
      <c r="L32" s="115"/>
      <c r="M32" s="86"/>
      <c r="N32" s="118">
        <f t="shared" si="4"/>
        <v>0</v>
      </c>
      <c r="O32" s="118">
        <f t="shared" si="5"/>
        <v>0</v>
      </c>
    </row>
    <row r="33" spans="1:18" ht="16.5" x14ac:dyDescent="0.25">
      <c r="A33" s="110">
        <f t="shared" si="6"/>
        <v>44128</v>
      </c>
      <c r="B33" s="114">
        <f t="shared" si="1"/>
        <v>0</v>
      </c>
      <c r="C33" s="86"/>
      <c r="D33" s="114">
        <f t="shared" si="0"/>
        <v>0</v>
      </c>
      <c r="E33" s="86"/>
      <c r="F33" s="111">
        <f t="shared" si="2"/>
        <v>0</v>
      </c>
      <c r="G33" s="114"/>
      <c r="H33" s="114"/>
      <c r="I33" s="114"/>
      <c r="J33" s="114"/>
      <c r="K33" s="115">
        <f t="shared" si="3"/>
        <v>0</v>
      </c>
      <c r="L33" s="115"/>
      <c r="M33" s="86"/>
      <c r="N33" s="114">
        <f t="shared" si="4"/>
        <v>0</v>
      </c>
      <c r="O33" s="114">
        <f t="shared" si="5"/>
        <v>0</v>
      </c>
      <c r="Q33" s="39" t="s">
        <v>62</v>
      </c>
    </row>
    <row r="34" spans="1:18" ht="16.5" x14ac:dyDescent="0.25">
      <c r="A34" s="110">
        <f t="shared" si="6"/>
        <v>44129</v>
      </c>
      <c r="B34" s="114">
        <f t="shared" si="1"/>
        <v>0</v>
      </c>
      <c r="C34" s="86"/>
      <c r="D34" s="114">
        <f t="shared" si="0"/>
        <v>0</v>
      </c>
      <c r="E34" s="86"/>
      <c r="F34" s="111">
        <f t="shared" si="2"/>
        <v>0</v>
      </c>
      <c r="G34" s="114"/>
      <c r="H34" s="114"/>
      <c r="I34" s="114"/>
      <c r="J34" s="114"/>
      <c r="K34" s="115">
        <f t="shared" si="3"/>
        <v>0</v>
      </c>
      <c r="L34" s="115"/>
      <c r="M34" s="86"/>
      <c r="N34" s="114">
        <f t="shared" si="4"/>
        <v>0</v>
      </c>
      <c r="O34" s="114">
        <f t="shared" si="5"/>
        <v>0</v>
      </c>
    </row>
    <row r="35" spans="1:18" ht="16.5" x14ac:dyDescent="0.25">
      <c r="A35" s="110">
        <f t="shared" si="6"/>
        <v>44130</v>
      </c>
      <c r="B35" s="114">
        <f t="shared" si="1"/>
        <v>0</v>
      </c>
      <c r="C35" s="86"/>
      <c r="D35" s="114">
        <f t="shared" si="0"/>
        <v>0</v>
      </c>
      <c r="E35" s="86"/>
      <c r="F35" s="111">
        <f t="shared" si="2"/>
        <v>0</v>
      </c>
      <c r="G35" s="114"/>
      <c r="H35" s="114"/>
      <c r="I35" s="114"/>
      <c r="J35" s="114"/>
      <c r="K35" s="115">
        <f t="shared" si="3"/>
        <v>0</v>
      </c>
      <c r="L35" s="115"/>
      <c r="M35" s="86"/>
      <c r="N35" s="114">
        <f t="shared" si="4"/>
        <v>0</v>
      </c>
      <c r="O35" s="114">
        <f t="shared" si="5"/>
        <v>0</v>
      </c>
    </row>
    <row r="36" spans="1:18" ht="16.5" x14ac:dyDescent="0.25">
      <c r="A36" s="110">
        <f t="shared" si="6"/>
        <v>44131</v>
      </c>
      <c r="B36" s="114">
        <f t="shared" si="1"/>
        <v>0</v>
      </c>
      <c r="C36" s="86"/>
      <c r="D36" s="114">
        <f t="shared" si="0"/>
        <v>0</v>
      </c>
      <c r="E36" s="86"/>
      <c r="F36" s="111">
        <f t="shared" si="2"/>
        <v>0</v>
      </c>
      <c r="G36" s="114"/>
      <c r="H36" s="114"/>
      <c r="I36" s="114"/>
      <c r="J36" s="114"/>
      <c r="K36" s="115">
        <f t="shared" si="3"/>
        <v>0</v>
      </c>
      <c r="L36" s="115"/>
      <c r="M36" s="113"/>
      <c r="N36" s="114">
        <f t="shared" si="4"/>
        <v>0</v>
      </c>
      <c r="O36" s="114">
        <f t="shared" si="5"/>
        <v>0</v>
      </c>
    </row>
    <row r="37" spans="1:18" ht="16.5" x14ac:dyDescent="0.25">
      <c r="A37" s="110">
        <f t="shared" si="6"/>
        <v>44132</v>
      </c>
      <c r="B37" s="114">
        <f t="shared" si="1"/>
        <v>0</v>
      </c>
      <c r="C37" s="86"/>
      <c r="D37" s="114">
        <f t="shared" si="0"/>
        <v>0</v>
      </c>
      <c r="E37" s="86"/>
      <c r="F37" s="111">
        <f t="shared" si="2"/>
        <v>0</v>
      </c>
      <c r="G37" s="114"/>
      <c r="H37" s="114"/>
      <c r="I37" s="114"/>
      <c r="J37" s="114"/>
      <c r="K37" s="115">
        <f t="shared" si="3"/>
        <v>0</v>
      </c>
      <c r="L37" s="115"/>
      <c r="M37" s="113"/>
      <c r="N37" s="114">
        <f t="shared" si="4"/>
        <v>0</v>
      </c>
      <c r="O37" s="114">
        <f t="shared" si="5"/>
        <v>0</v>
      </c>
      <c r="Q37" s="281"/>
    </row>
    <row r="38" spans="1:18" ht="16.5" x14ac:dyDescent="0.25">
      <c r="A38" s="110">
        <f t="shared" si="6"/>
        <v>44133</v>
      </c>
      <c r="B38" s="114">
        <f t="shared" si="1"/>
        <v>0</v>
      </c>
      <c r="C38" s="113"/>
      <c r="D38" s="114">
        <f t="shared" si="0"/>
        <v>0</v>
      </c>
      <c r="E38" s="113"/>
      <c r="F38" s="111">
        <f t="shared" si="2"/>
        <v>0</v>
      </c>
      <c r="G38" s="114"/>
      <c r="H38" s="114"/>
      <c r="I38" s="114"/>
      <c r="J38" s="114"/>
      <c r="K38" s="115">
        <f t="shared" si="3"/>
        <v>0</v>
      </c>
      <c r="L38" s="115"/>
      <c r="M38" s="113"/>
      <c r="N38" s="114">
        <f t="shared" si="4"/>
        <v>0</v>
      </c>
      <c r="O38" s="114">
        <f t="shared" si="5"/>
        <v>0</v>
      </c>
    </row>
    <row r="39" spans="1:18" ht="16.5" x14ac:dyDescent="0.25">
      <c r="A39" s="110">
        <f t="shared" si="6"/>
        <v>44134</v>
      </c>
      <c r="B39" s="114">
        <f t="shared" si="1"/>
        <v>0</v>
      </c>
      <c r="C39" s="113"/>
      <c r="D39" s="114">
        <f t="shared" si="0"/>
        <v>0</v>
      </c>
      <c r="E39" s="113"/>
      <c r="F39" s="111">
        <f t="shared" si="2"/>
        <v>0</v>
      </c>
      <c r="G39" s="114"/>
      <c r="H39" s="114"/>
      <c r="I39" s="114"/>
      <c r="J39" s="114"/>
      <c r="K39" s="115">
        <f t="shared" si="3"/>
        <v>0</v>
      </c>
      <c r="L39" s="115"/>
      <c r="M39" s="113"/>
      <c r="N39" s="114">
        <f>K39-M39</f>
        <v>0</v>
      </c>
      <c r="O39" s="114">
        <f>+O38+K39-M39</f>
        <v>0</v>
      </c>
    </row>
    <row r="40" spans="1:18" ht="16.5" x14ac:dyDescent="0.25">
      <c r="A40" s="110">
        <f t="shared" si="6"/>
        <v>44135</v>
      </c>
      <c r="B40" s="114">
        <f t="shared" si="1"/>
        <v>0</v>
      </c>
      <c r="C40" s="113"/>
      <c r="D40" s="114">
        <f t="shared" si="0"/>
        <v>0</v>
      </c>
      <c r="E40" s="113"/>
      <c r="F40" s="111">
        <f t="shared" si="2"/>
        <v>0</v>
      </c>
      <c r="G40" s="114"/>
      <c r="H40" s="114"/>
      <c r="I40" s="114"/>
      <c r="J40" s="114"/>
      <c r="K40" s="115">
        <f t="shared" si="3"/>
        <v>0</v>
      </c>
      <c r="L40" s="115"/>
      <c r="M40" s="113"/>
      <c r="N40" s="114">
        <f>K40-M40</f>
        <v>0</v>
      </c>
      <c r="O40" s="120">
        <f>+N42</f>
        <v>0</v>
      </c>
      <c r="Q40" s="281"/>
    </row>
    <row r="41" spans="1:18" ht="16.5" x14ac:dyDescent="0.25">
      <c r="A41" s="110"/>
      <c r="B41" s="114"/>
      <c r="C41" s="113"/>
      <c r="D41" s="114">
        <f t="shared" si="0"/>
        <v>0</v>
      </c>
      <c r="E41" s="113"/>
      <c r="F41" s="111"/>
      <c r="G41" s="114"/>
      <c r="H41" s="114"/>
      <c r="I41" s="114"/>
      <c r="J41" s="114"/>
      <c r="K41" s="115">
        <f>C41+E41+G41+H41+I41+J41</f>
        <v>0</v>
      </c>
      <c r="L41" s="115"/>
      <c r="M41" s="113"/>
      <c r="N41" s="114">
        <f>K41-M41</f>
        <v>0</v>
      </c>
      <c r="O41" s="990"/>
      <c r="Q41" s="281"/>
    </row>
    <row r="42" spans="1:18" ht="16.5" x14ac:dyDescent="0.2">
      <c r="A42" s="121" t="s">
        <v>18</v>
      </c>
      <c r="B42" s="115">
        <f t="shared" ref="B42:J42" si="7">SUM(B10:B40)</f>
        <v>0</v>
      </c>
      <c r="C42" s="115">
        <f>SUM(C10:C40)</f>
        <v>0</v>
      </c>
      <c r="D42" s="122">
        <f>SUM(D10:D41)</f>
        <v>0</v>
      </c>
      <c r="E42" s="115">
        <f>SUM(E10:E41)</f>
        <v>0</v>
      </c>
      <c r="F42" s="115">
        <f>SUM(F10:F40)</f>
        <v>0</v>
      </c>
      <c r="G42" s="115">
        <f t="shared" si="7"/>
        <v>0</v>
      </c>
      <c r="H42" s="115">
        <f t="shared" si="7"/>
        <v>0</v>
      </c>
      <c r="I42" s="115">
        <f t="shared" si="7"/>
        <v>0</v>
      </c>
      <c r="J42" s="115">
        <f t="shared" si="7"/>
        <v>0</v>
      </c>
      <c r="K42" s="115">
        <f>SUM(K10:K41)</f>
        <v>0</v>
      </c>
      <c r="L42" s="115"/>
      <c r="M42" s="115">
        <f>SUM(M9:M41)</f>
        <v>0</v>
      </c>
      <c r="N42" s="120">
        <f>SUM(N9:N41)</f>
        <v>0</v>
      </c>
      <c r="O42" s="123"/>
    </row>
    <row r="43" spans="1:18" ht="13.5" x14ac:dyDescent="0.2">
      <c r="A43" s="26"/>
      <c r="B43" s="26"/>
      <c r="C43" s="26"/>
      <c r="D43" s="26"/>
      <c r="F43" s="26"/>
      <c r="G43" s="26"/>
      <c r="H43" s="1159"/>
      <c r="I43" s="26"/>
      <c r="J43" s="26"/>
      <c r="K43" s="26"/>
      <c r="L43" s="26"/>
      <c r="M43" s="26"/>
      <c r="N43" s="26"/>
      <c r="O43" s="1223"/>
      <c r="Q43" s="281"/>
    </row>
    <row r="44" spans="1:18" ht="13.5" x14ac:dyDescent="0.25">
      <c r="A44" s="10" t="s">
        <v>121</v>
      </c>
      <c r="B44" s="10" t="s">
        <v>61</v>
      </c>
      <c r="C44" s="10" t="s">
        <v>122</v>
      </c>
      <c r="D44" s="28" t="s">
        <v>39</v>
      </c>
      <c r="O44" s="281"/>
      <c r="P44" s="281"/>
      <c r="R44" s="281"/>
    </row>
    <row r="45" spans="1:18" ht="13.5" x14ac:dyDescent="0.25">
      <c r="A45" s="10" t="s">
        <v>15</v>
      </c>
      <c r="B45" s="24">
        <f>B42</f>
        <v>0</v>
      </c>
      <c r="C45" s="10"/>
      <c r="D45" s="28">
        <f>B45*C45</f>
        <v>0</v>
      </c>
    </row>
    <row r="46" spans="1:18" ht="13.5" x14ac:dyDescent="0.25">
      <c r="A46" s="10" t="s">
        <v>16</v>
      </c>
      <c r="B46" s="28">
        <f>D42</f>
        <v>0</v>
      </c>
      <c r="C46" s="10"/>
      <c r="D46" s="28">
        <f>B46*C46</f>
        <v>0</v>
      </c>
      <c r="E46" s="281"/>
      <c r="H46" s="21"/>
      <c r="K46" s="21"/>
      <c r="L46" s="21"/>
      <c r="M46" s="21"/>
      <c r="N46" s="21"/>
    </row>
    <row r="47" spans="1:18" ht="13.5" x14ac:dyDescent="0.25">
      <c r="A47" s="10" t="s">
        <v>17</v>
      </c>
      <c r="B47" s="24">
        <f>F42</f>
        <v>0</v>
      </c>
      <c r="C47" s="10"/>
      <c r="D47" s="28">
        <f>B47*C47</f>
        <v>0</v>
      </c>
      <c r="E47" s="14"/>
      <c r="F47" s="281"/>
      <c r="H47" s="39">
        <f>436380-28700</f>
        <v>407680</v>
      </c>
      <c r="O47" s="21"/>
    </row>
    <row r="48" spans="1:18" ht="13.5" x14ac:dyDescent="0.25">
      <c r="A48" s="33" t="s">
        <v>18</v>
      </c>
      <c r="B48" s="34"/>
      <c r="C48" s="35"/>
      <c r="D48" s="28">
        <f>SUM(D45:D47)</f>
        <v>0</v>
      </c>
      <c r="F48" s="281">
        <f>7000000-E42</f>
        <v>7000000</v>
      </c>
      <c r="O48" s="21"/>
    </row>
    <row r="49" spans="6:9" x14ac:dyDescent="0.2">
      <c r="G49" s="281"/>
    </row>
    <row r="50" spans="6:9" x14ac:dyDescent="0.2">
      <c r="I50" s="281"/>
    </row>
    <row r="51" spans="6:9" x14ac:dyDescent="0.2">
      <c r="F51" s="906"/>
      <c r="G51" s="39">
        <f>+F48/600</f>
        <v>11666.666666666666</v>
      </c>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64"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7">
    <tabColor rgb="FFFF0000"/>
    <pageSetUpPr fitToPage="1"/>
  </sheetPr>
  <dimension ref="A1:P39"/>
  <sheetViews>
    <sheetView topLeftCell="A6" zoomScaleNormal="100" workbookViewId="0">
      <selection activeCell="H31" sqref="H31"/>
    </sheetView>
  </sheetViews>
  <sheetFormatPr baseColWidth="10" defaultRowHeight="18" x14ac:dyDescent="0.25"/>
  <cols>
    <col min="1" max="1" width="11.42578125" style="38"/>
    <col min="2" max="2" width="17.140625" style="38" customWidth="1"/>
    <col min="3" max="3" width="16" style="38" bestFit="1" customWidth="1"/>
    <col min="4" max="4" width="19.140625" style="38" customWidth="1"/>
    <col min="5" max="5" width="16.28515625" style="38" bestFit="1" customWidth="1"/>
    <col min="6" max="6" width="13.28515625" style="38" customWidth="1"/>
    <col min="7" max="10" width="11.5703125" style="38" bestFit="1" customWidth="1"/>
    <col min="11" max="12" width="15.42578125" style="38" customWidth="1"/>
    <col min="13" max="13" width="17.140625" style="38" customWidth="1"/>
    <col min="14" max="14" width="23.140625" style="38" customWidth="1"/>
    <col min="15" max="15" width="18.42578125" style="38" bestFit="1" customWidth="1"/>
    <col min="16" max="16" width="19.5703125" style="38" bestFit="1" customWidth="1"/>
    <col min="17" max="17" width="13.85546875" style="38" bestFit="1" customWidth="1"/>
    <col min="18" max="16384" width="11.42578125" style="38"/>
  </cols>
  <sheetData>
    <row r="1" spans="1:16" ht="18.75" x14ac:dyDescent="0.3">
      <c r="A1" s="36" t="s">
        <v>118</v>
      </c>
      <c r="B1" s="36"/>
      <c r="C1" s="38" t="s">
        <v>456</v>
      </c>
    </row>
    <row r="2" spans="1:16" ht="13.5" customHeight="1" x14ac:dyDescent="0.35">
      <c r="C2" s="159"/>
      <c r="K2" s="148"/>
      <c r="L2" s="148"/>
    </row>
    <row r="3" spans="1:16" ht="16.5" customHeight="1" x14ac:dyDescent="0.3">
      <c r="A3" s="36" t="s">
        <v>19</v>
      </c>
      <c r="B3" s="142">
        <f>+KONGFU!D4</f>
        <v>43221</v>
      </c>
      <c r="C3" s="36"/>
      <c r="N3" s="37">
        <v>37305205</v>
      </c>
    </row>
    <row r="4" spans="1:16" ht="20.25" customHeight="1" x14ac:dyDescent="0.3">
      <c r="A4" s="36"/>
      <c r="B4" s="36"/>
      <c r="C4" s="36"/>
      <c r="N4" s="218">
        <f>+N3-N7</f>
        <v>-104413327</v>
      </c>
    </row>
    <row r="5" spans="1:16" ht="13.5" customHeight="1" x14ac:dyDescent="0.25">
      <c r="A5" s="908" t="s">
        <v>3</v>
      </c>
      <c r="B5" s="161" t="s">
        <v>15</v>
      </c>
      <c r="C5" s="162"/>
      <c r="D5" s="161" t="s">
        <v>16</v>
      </c>
      <c r="E5" s="162"/>
      <c r="F5" s="161" t="s">
        <v>17</v>
      </c>
      <c r="G5" s="162"/>
      <c r="H5" s="2901" t="s">
        <v>52</v>
      </c>
      <c r="I5" s="2901" t="s">
        <v>53</v>
      </c>
      <c r="J5" s="2901" t="s">
        <v>119</v>
      </c>
      <c r="K5" s="2901" t="s">
        <v>18</v>
      </c>
      <c r="L5" s="3088" t="s">
        <v>490</v>
      </c>
      <c r="M5" s="2901" t="s">
        <v>60</v>
      </c>
      <c r="N5" s="2901" t="s">
        <v>55</v>
      </c>
      <c r="O5" s="2901" t="s">
        <v>120</v>
      </c>
    </row>
    <row r="6" spans="1:16" ht="21" x14ac:dyDescent="0.25">
      <c r="A6" s="163"/>
      <c r="B6" s="915">
        <v>630</v>
      </c>
      <c r="C6" s="916"/>
      <c r="D6" s="915">
        <v>575</v>
      </c>
      <c r="E6" s="916"/>
      <c r="F6" s="915">
        <v>350</v>
      </c>
      <c r="G6" s="916"/>
      <c r="H6" s="3070"/>
      <c r="I6" s="3070"/>
      <c r="J6" s="2902"/>
      <c r="K6" s="2902"/>
      <c r="L6" s="3089"/>
      <c r="M6" s="2902"/>
      <c r="N6" s="2902"/>
      <c r="O6" s="2902"/>
    </row>
    <row r="7" spans="1:16" ht="19.5" x14ac:dyDescent="0.35">
      <c r="A7" s="909"/>
      <c r="B7" s="166" t="s">
        <v>56</v>
      </c>
      <c r="C7" s="166" t="s">
        <v>37</v>
      </c>
      <c r="D7" s="167" t="s">
        <v>56</v>
      </c>
      <c r="E7" s="166" t="s">
        <v>37</v>
      </c>
      <c r="F7" s="166" t="s">
        <v>56</v>
      </c>
      <c r="G7" s="166" t="s">
        <v>37</v>
      </c>
      <c r="H7" s="907"/>
      <c r="I7" s="907"/>
      <c r="J7" s="181"/>
      <c r="K7" s="181"/>
      <c r="L7" s="181"/>
      <c r="M7" s="182"/>
      <c r="N7" s="183">
        <v>141718532</v>
      </c>
      <c r="O7" s="168">
        <f>N7</f>
        <v>141718532</v>
      </c>
    </row>
    <row r="8" spans="1:16" ht="21" customHeight="1" x14ac:dyDescent="0.35">
      <c r="A8" s="110">
        <f>+SOFOCAM!A9</f>
        <v>44105</v>
      </c>
      <c r="B8" s="174">
        <f>+C8/B$6</f>
        <v>0</v>
      </c>
      <c r="C8" s="170"/>
      <c r="D8" s="174">
        <f>+E8/D$6</f>
        <v>0</v>
      </c>
      <c r="E8" s="171"/>
      <c r="F8" s="174">
        <f t="shared" ref="F8:F38" si="0">+G8/F$6</f>
        <v>0</v>
      </c>
      <c r="G8" s="172"/>
      <c r="H8" s="172"/>
      <c r="I8" s="172"/>
      <c r="J8" s="172"/>
      <c r="K8" s="115">
        <f t="shared" ref="K8:K38" si="1">C8+E8+G8+H8+I8+J8</f>
        <v>0</v>
      </c>
      <c r="L8" s="115"/>
      <c r="M8" s="171"/>
      <c r="N8" s="172">
        <f>K8-M8</f>
        <v>0</v>
      </c>
      <c r="O8" s="172">
        <f>+O7+K8-M8</f>
        <v>141718532</v>
      </c>
    </row>
    <row r="9" spans="1:16" ht="18" customHeight="1" x14ac:dyDescent="0.35">
      <c r="A9" s="110">
        <f>+A8+1</f>
        <v>44106</v>
      </c>
      <c r="B9" s="174">
        <f t="shared" ref="B9:D38" si="2">+C9/B$6</f>
        <v>0</v>
      </c>
      <c r="C9" s="170"/>
      <c r="D9" s="174">
        <f t="shared" si="2"/>
        <v>0</v>
      </c>
      <c r="E9" s="171"/>
      <c r="F9" s="174">
        <f t="shared" si="0"/>
        <v>0</v>
      </c>
      <c r="G9" s="172"/>
      <c r="H9" s="172"/>
      <c r="I9" s="172"/>
      <c r="J9" s="172"/>
      <c r="K9" s="115">
        <f t="shared" si="1"/>
        <v>0</v>
      </c>
      <c r="L9" s="115"/>
      <c r="M9" s="147"/>
      <c r="N9" s="172">
        <f t="shared" ref="N9:N37" si="3">K9-M9</f>
        <v>0</v>
      </c>
      <c r="O9" s="172">
        <f t="shared" ref="O9:O37" si="4">+O8+K9-M9</f>
        <v>141718532</v>
      </c>
    </row>
    <row r="10" spans="1:16" ht="18" customHeight="1" x14ac:dyDescent="0.35">
      <c r="A10" s="110">
        <f t="shared" ref="A10:A38" si="5">+A9+1</f>
        <v>44107</v>
      </c>
      <c r="B10" s="174">
        <f t="shared" si="2"/>
        <v>0</v>
      </c>
      <c r="C10" s="171"/>
      <c r="D10" s="174">
        <f t="shared" si="2"/>
        <v>0</v>
      </c>
      <c r="E10" s="171"/>
      <c r="F10" s="174">
        <f t="shared" si="0"/>
        <v>0</v>
      </c>
      <c r="G10" s="172"/>
      <c r="H10" s="172"/>
      <c r="I10" s="172"/>
      <c r="J10" s="172"/>
      <c r="K10" s="115">
        <f t="shared" si="1"/>
        <v>0</v>
      </c>
      <c r="L10" s="115"/>
      <c r="M10" s="1559"/>
      <c r="N10" s="172">
        <f t="shared" si="3"/>
        <v>0</v>
      </c>
      <c r="O10" s="172">
        <f t="shared" si="4"/>
        <v>141718532</v>
      </c>
    </row>
    <row r="11" spans="1:16" ht="16.5" customHeight="1" x14ac:dyDescent="0.35">
      <c r="A11" s="110">
        <f t="shared" si="5"/>
        <v>44108</v>
      </c>
      <c r="B11" s="174">
        <f t="shared" si="2"/>
        <v>0</v>
      </c>
      <c r="C11" s="171"/>
      <c r="D11" s="174">
        <f t="shared" si="2"/>
        <v>0</v>
      </c>
      <c r="E11" s="172"/>
      <c r="F11" s="174">
        <f t="shared" si="0"/>
        <v>0</v>
      </c>
      <c r="G11" s="172"/>
      <c r="H11" s="172"/>
      <c r="I11" s="172"/>
      <c r="J11" s="172"/>
      <c r="K11" s="115">
        <f t="shared" si="1"/>
        <v>0</v>
      </c>
      <c r="L11" s="115"/>
      <c r="M11" s="1090"/>
      <c r="N11" s="172">
        <f t="shared" si="3"/>
        <v>0</v>
      </c>
      <c r="O11" s="172">
        <f t="shared" si="4"/>
        <v>141718532</v>
      </c>
    </row>
    <row r="12" spans="1:16" ht="18" customHeight="1" x14ac:dyDescent="0.35">
      <c r="A12" s="110">
        <f t="shared" si="5"/>
        <v>44109</v>
      </c>
      <c r="B12" s="174">
        <f t="shared" si="2"/>
        <v>0</v>
      </c>
      <c r="C12" s="219"/>
      <c r="D12" s="174">
        <f t="shared" si="2"/>
        <v>0</v>
      </c>
      <c r="E12" s="171"/>
      <c r="F12" s="174">
        <f t="shared" si="0"/>
        <v>0</v>
      </c>
      <c r="G12" s="172"/>
      <c r="H12" s="172"/>
      <c r="I12" s="172"/>
      <c r="J12" s="172"/>
      <c r="K12" s="115">
        <f t="shared" si="1"/>
        <v>0</v>
      </c>
      <c r="L12" s="115"/>
      <c r="M12" s="1090"/>
      <c r="N12" s="172">
        <f t="shared" si="3"/>
        <v>0</v>
      </c>
      <c r="O12" s="172">
        <f t="shared" si="4"/>
        <v>141718532</v>
      </c>
    </row>
    <row r="13" spans="1:16" ht="17.25" customHeight="1" x14ac:dyDescent="0.35">
      <c r="A13" s="110">
        <f t="shared" si="5"/>
        <v>44110</v>
      </c>
      <c r="B13" s="174">
        <f t="shared" si="2"/>
        <v>0</v>
      </c>
      <c r="C13" s="170"/>
      <c r="D13" s="174">
        <f t="shared" si="2"/>
        <v>0</v>
      </c>
      <c r="E13" s="171"/>
      <c r="F13" s="174">
        <f t="shared" si="0"/>
        <v>0</v>
      </c>
      <c r="G13" s="172"/>
      <c r="H13" s="172"/>
      <c r="I13" s="172"/>
      <c r="J13" s="172"/>
      <c r="K13" s="115">
        <f t="shared" si="1"/>
        <v>0</v>
      </c>
      <c r="L13" s="115"/>
      <c r="M13" s="1090"/>
      <c r="N13" s="172">
        <f t="shared" si="3"/>
        <v>0</v>
      </c>
      <c r="O13" s="172">
        <f t="shared" si="4"/>
        <v>141718532</v>
      </c>
    </row>
    <row r="14" spans="1:16" ht="18.75" customHeight="1" x14ac:dyDescent="0.35">
      <c r="A14" s="110">
        <f t="shared" si="5"/>
        <v>44111</v>
      </c>
      <c r="B14" s="174">
        <f t="shared" si="2"/>
        <v>0</v>
      </c>
      <c r="C14" s="171"/>
      <c r="D14" s="174">
        <f t="shared" si="2"/>
        <v>0</v>
      </c>
      <c r="E14" s="171"/>
      <c r="F14" s="174">
        <f t="shared" si="0"/>
        <v>0</v>
      </c>
      <c r="G14" s="172"/>
      <c r="H14" s="172"/>
      <c r="I14" s="172"/>
      <c r="J14" s="172"/>
      <c r="K14" s="115">
        <f t="shared" si="1"/>
        <v>0</v>
      </c>
      <c r="L14" s="115"/>
      <c r="M14" s="147"/>
      <c r="N14" s="172">
        <f t="shared" si="3"/>
        <v>0</v>
      </c>
      <c r="O14" s="172">
        <f t="shared" si="4"/>
        <v>141718532</v>
      </c>
    </row>
    <row r="15" spans="1:16" ht="18.75" customHeight="1" x14ac:dyDescent="0.35">
      <c r="A15" s="110">
        <f t="shared" si="5"/>
        <v>44112</v>
      </c>
      <c r="B15" s="174">
        <f t="shared" si="2"/>
        <v>0</v>
      </c>
      <c r="C15" s="171"/>
      <c r="D15" s="174">
        <f t="shared" si="2"/>
        <v>0</v>
      </c>
      <c r="E15" s="171"/>
      <c r="F15" s="174">
        <f t="shared" si="0"/>
        <v>0</v>
      </c>
      <c r="G15" s="172"/>
      <c r="H15" s="172"/>
      <c r="I15" s="172"/>
      <c r="J15" s="172"/>
      <c r="K15" s="115">
        <f t="shared" si="1"/>
        <v>0</v>
      </c>
      <c r="L15" s="115"/>
      <c r="M15" s="147"/>
      <c r="N15" s="172">
        <f t="shared" si="3"/>
        <v>0</v>
      </c>
      <c r="O15" s="172">
        <f t="shared" si="4"/>
        <v>141718532</v>
      </c>
      <c r="P15" s="38">
        <v>781400</v>
      </c>
    </row>
    <row r="16" spans="1:16" ht="18" customHeight="1" x14ac:dyDescent="0.35">
      <c r="A16" s="110">
        <f t="shared" si="5"/>
        <v>44113</v>
      </c>
      <c r="B16" s="174">
        <f t="shared" si="2"/>
        <v>0</v>
      </c>
      <c r="C16" s="147"/>
      <c r="D16" s="174">
        <f t="shared" si="2"/>
        <v>0</v>
      </c>
      <c r="E16" s="171"/>
      <c r="F16" s="174">
        <f t="shared" si="0"/>
        <v>0</v>
      </c>
      <c r="G16" s="175"/>
      <c r="H16" s="175"/>
      <c r="I16" s="175"/>
      <c r="J16" s="175"/>
      <c r="K16" s="115">
        <f t="shared" si="1"/>
        <v>0</v>
      </c>
      <c r="L16" s="134"/>
      <c r="M16" s="147"/>
      <c r="N16" s="172">
        <f t="shared" si="3"/>
        <v>0</v>
      </c>
      <c r="O16" s="172">
        <f t="shared" si="4"/>
        <v>141718532</v>
      </c>
    </row>
    <row r="17" spans="1:16" ht="18" customHeight="1" x14ac:dyDescent="0.35">
      <c r="A17" s="110">
        <f t="shared" si="5"/>
        <v>44114</v>
      </c>
      <c r="B17" s="174">
        <f t="shared" si="2"/>
        <v>0</v>
      </c>
      <c r="C17" s="147"/>
      <c r="D17" s="174">
        <f t="shared" si="2"/>
        <v>0</v>
      </c>
      <c r="E17" s="171"/>
      <c r="F17" s="174">
        <f t="shared" si="0"/>
        <v>0</v>
      </c>
      <c r="G17" s="175"/>
      <c r="H17" s="175"/>
      <c r="I17" s="175"/>
      <c r="J17" s="175"/>
      <c r="K17" s="115">
        <f t="shared" si="1"/>
        <v>0</v>
      </c>
      <c r="L17" s="115"/>
      <c r="M17" s="147"/>
      <c r="N17" s="172">
        <f t="shared" si="3"/>
        <v>0</v>
      </c>
      <c r="O17" s="172">
        <f t="shared" si="4"/>
        <v>141718532</v>
      </c>
    </row>
    <row r="18" spans="1:16" ht="17.25" customHeight="1" x14ac:dyDescent="0.35">
      <c r="A18" s="110">
        <f t="shared" si="5"/>
        <v>44115</v>
      </c>
      <c r="B18" s="174">
        <f t="shared" si="2"/>
        <v>0</v>
      </c>
      <c r="C18" s="147"/>
      <c r="D18" s="174">
        <f t="shared" si="2"/>
        <v>0</v>
      </c>
      <c r="E18" s="171"/>
      <c r="F18" s="174">
        <f t="shared" si="0"/>
        <v>0</v>
      </c>
      <c r="G18" s="175"/>
      <c r="H18" s="175"/>
      <c r="I18" s="175"/>
      <c r="J18" s="175"/>
      <c r="K18" s="115">
        <f t="shared" si="1"/>
        <v>0</v>
      </c>
      <c r="L18" s="115"/>
      <c r="M18" s="147"/>
      <c r="N18" s="172">
        <f t="shared" si="3"/>
        <v>0</v>
      </c>
      <c r="O18" s="172">
        <f t="shared" si="4"/>
        <v>141718532</v>
      </c>
    </row>
    <row r="19" spans="1:16" ht="15.75" customHeight="1" x14ac:dyDescent="0.35">
      <c r="A19" s="110">
        <f t="shared" si="5"/>
        <v>44116</v>
      </c>
      <c r="B19" s="174">
        <f t="shared" si="2"/>
        <v>0</v>
      </c>
      <c r="C19" s="175"/>
      <c r="D19" s="174">
        <f t="shared" si="2"/>
        <v>0</v>
      </c>
      <c r="E19" s="172"/>
      <c r="F19" s="174">
        <f t="shared" si="0"/>
        <v>0</v>
      </c>
      <c r="G19" s="175"/>
      <c r="H19" s="175"/>
      <c r="I19" s="175"/>
      <c r="J19" s="175"/>
      <c r="K19" s="115">
        <f t="shared" si="1"/>
        <v>0</v>
      </c>
      <c r="L19" s="134"/>
      <c r="M19" s="147"/>
      <c r="N19" s="172">
        <f t="shared" si="3"/>
        <v>0</v>
      </c>
      <c r="O19" s="172">
        <f t="shared" si="4"/>
        <v>141718532</v>
      </c>
    </row>
    <row r="20" spans="1:16" ht="15.75" customHeight="1" x14ac:dyDescent="0.35">
      <c r="A20" s="110">
        <f t="shared" si="5"/>
        <v>44117</v>
      </c>
      <c r="B20" s="174">
        <f t="shared" si="2"/>
        <v>0</v>
      </c>
      <c r="C20" s="147"/>
      <c r="D20" s="174">
        <f t="shared" si="2"/>
        <v>0</v>
      </c>
      <c r="E20" s="172"/>
      <c r="F20" s="174">
        <f t="shared" si="0"/>
        <v>0</v>
      </c>
      <c r="G20" s="175"/>
      <c r="H20" s="175"/>
      <c r="I20" s="175"/>
      <c r="J20" s="175"/>
      <c r="K20" s="115">
        <f t="shared" si="1"/>
        <v>0</v>
      </c>
      <c r="L20" s="134"/>
      <c r="M20" s="147"/>
      <c r="N20" s="172">
        <f t="shared" si="3"/>
        <v>0</v>
      </c>
      <c r="O20" s="172">
        <f t="shared" si="4"/>
        <v>141718532</v>
      </c>
    </row>
    <row r="21" spans="1:16" ht="17.25" customHeight="1" x14ac:dyDescent="0.35">
      <c r="A21" s="110">
        <f t="shared" si="5"/>
        <v>44118</v>
      </c>
      <c r="B21" s="174">
        <f t="shared" si="2"/>
        <v>0</v>
      </c>
      <c r="C21" s="147"/>
      <c r="D21" s="174">
        <f t="shared" si="2"/>
        <v>0</v>
      </c>
      <c r="E21" s="172"/>
      <c r="F21" s="174">
        <f t="shared" si="0"/>
        <v>0</v>
      </c>
      <c r="G21" s="175"/>
      <c r="H21" s="175"/>
      <c r="I21" s="175"/>
      <c r="J21" s="175"/>
      <c r="K21" s="115">
        <f t="shared" si="1"/>
        <v>0</v>
      </c>
      <c r="L21" s="134"/>
      <c r="M21" s="147"/>
      <c r="N21" s="172">
        <f t="shared" si="3"/>
        <v>0</v>
      </c>
      <c r="O21" s="172">
        <f t="shared" si="4"/>
        <v>141718532</v>
      </c>
    </row>
    <row r="22" spans="1:16" ht="18" customHeight="1" x14ac:dyDescent="0.35">
      <c r="A22" s="110">
        <f t="shared" si="5"/>
        <v>44119</v>
      </c>
      <c r="B22" s="174">
        <f t="shared" si="2"/>
        <v>0</v>
      </c>
      <c r="C22" s="147"/>
      <c r="D22" s="174">
        <f t="shared" si="2"/>
        <v>0</v>
      </c>
      <c r="E22" s="171"/>
      <c r="F22" s="174">
        <f t="shared" si="0"/>
        <v>0</v>
      </c>
      <c r="G22" s="175"/>
      <c r="H22" s="175"/>
      <c r="I22" s="175"/>
      <c r="J22" s="175"/>
      <c r="K22" s="115">
        <f t="shared" si="1"/>
        <v>0</v>
      </c>
      <c r="L22" s="134"/>
      <c r="M22" s="147"/>
      <c r="N22" s="172">
        <f t="shared" si="3"/>
        <v>0</v>
      </c>
      <c r="O22" s="172">
        <f t="shared" si="4"/>
        <v>141718532</v>
      </c>
      <c r="P22" s="218"/>
    </row>
    <row r="23" spans="1:16" ht="20.25" customHeight="1" x14ac:dyDescent="0.35">
      <c r="A23" s="110">
        <f t="shared" si="5"/>
        <v>44120</v>
      </c>
      <c r="B23" s="174">
        <f t="shared" si="2"/>
        <v>0</v>
      </c>
      <c r="C23" s="147"/>
      <c r="D23" s="174">
        <f t="shared" si="2"/>
        <v>0</v>
      </c>
      <c r="E23" s="171"/>
      <c r="F23" s="174">
        <f t="shared" si="0"/>
        <v>0</v>
      </c>
      <c r="G23" s="175"/>
      <c r="H23" s="175"/>
      <c r="I23" s="175"/>
      <c r="J23" s="175"/>
      <c r="K23" s="115">
        <f t="shared" si="1"/>
        <v>0</v>
      </c>
      <c r="L23" s="134"/>
      <c r="M23" s="171"/>
      <c r="N23" s="172">
        <f t="shared" si="3"/>
        <v>0</v>
      </c>
      <c r="O23" s="172">
        <f t="shared" si="4"/>
        <v>141718532</v>
      </c>
    </row>
    <row r="24" spans="1:16" ht="18.75" customHeight="1" x14ac:dyDescent="0.35">
      <c r="A24" s="110">
        <f t="shared" si="5"/>
        <v>44121</v>
      </c>
      <c r="B24" s="174">
        <f t="shared" si="2"/>
        <v>0</v>
      </c>
      <c r="C24" s="147"/>
      <c r="D24" s="174">
        <f t="shared" si="2"/>
        <v>0</v>
      </c>
      <c r="E24" s="171"/>
      <c r="F24" s="174">
        <f t="shared" si="0"/>
        <v>0</v>
      </c>
      <c r="G24" s="175"/>
      <c r="H24" s="175"/>
      <c r="I24" s="175"/>
      <c r="J24" s="175"/>
      <c r="K24" s="115">
        <f t="shared" si="1"/>
        <v>0</v>
      </c>
      <c r="L24" s="134"/>
      <c r="M24" s="1697"/>
      <c r="N24" s="172">
        <f t="shared" si="3"/>
        <v>0</v>
      </c>
      <c r="O24" s="172">
        <f t="shared" si="4"/>
        <v>141718532</v>
      </c>
    </row>
    <row r="25" spans="1:16" ht="18.75" customHeight="1" x14ac:dyDescent="0.35">
      <c r="A25" s="110">
        <f t="shared" si="5"/>
        <v>44122</v>
      </c>
      <c r="B25" s="174">
        <f t="shared" si="2"/>
        <v>0</v>
      </c>
      <c r="C25" s="147"/>
      <c r="D25" s="174">
        <f t="shared" si="2"/>
        <v>0</v>
      </c>
      <c r="E25" s="171"/>
      <c r="F25" s="174">
        <f t="shared" si="0"/>
        <v>0</v>
      </c>
      <c r="G25" s="175"/>
      <c r="H25" s="175"/>
      <c r="I25" s="175"/>
      <c r="J25" s="175"/>
      <c r="K25" s="115">
        <f t="shared" si="1"/>
        <v>0</v>
      </c>
      <c r="L25" s="134"/>
      <c r="M25" s="1697"/>
      <c r="N25" s="172">
        <f t="shared" si="3"/>
        <v>0</v>
      </c>
      <c r="O25" s="172">
        <f t="shared" si="4"/>
        <v>141718532</v>
      </c>
    </row>
    <row r="26" spans="1:16" ht="16.5" customHeight="1" x14ac:dyDescent="0.35">
      <c r="A26" s="110">
        <f t="shared" si="5"/>
        <v>44123</v>
      </c>
      <c r="B26" s="174">
        <f t="shared" si="2"/>
        <v>0</v>
      </c>
      <c r="C26" s="147"/>
      <c r="D26" s="174">
        <f t="shared" si="2"/>
        <v>0</v>
      </c>
      <c r="E26" s="171"/>
      <c r="F26" s="174">
        <f t="shared" si="0"/>
        <v>0</v>
      </c>
      <c r="G26" s="175"/>
      <c r="H26" s="175"/>
      <c r="I26" s="175"/>
      <c r="J26" s="175"/>
      <c r="K26" s="115">
        <f t="shared" si="1"/>
        <v>0</v>
      </c>
      <c r="L26" s="134"/>
      <c r="M26" s="1697"/>
      <c r="N26" s="172">
        <f t="shared" si="3"/>
        <v>0</v>
      </c>
      <c r="O26" s="172">
        <f t="shared" si="4"/>
        <v>141718532</v>
      </c>
    </row>
    <row r="27" spans="1:16" ht="17.25" customHeight="1" x14ac:dyDescent="0.35">
      <c r="A27" s="110">
        <f t="shared" si="5"/>
        <v>44124</v>
      </c>
      <c r="B27" s="174">
        <f t="shared" si="2"/>
        <v>0</v>
      </c>
      <c r="C27" s="147"/>
      <c r="D27" s="174">
        <f t="shared" si="2"/>
        <v>0</v>
      </c>
      <c r="E27" s="171"/>
      <c r="F27" s="174">
        <f t="shared" si="0"/>
        <v>0</v>
      </c>
      <c r="G27" s="175"/>
      <c r="H27" s="175"/>
      <c r="I27" s="175"/>
      <c r="J27" s="175"/>
      <c r="K27" s="115">
        <f t="shared" si="1"/>
        <v>0</v>
      </c>
      <c r="L27" s="134"/>
      <c r="M27" s="1697"/>
      <c r="N27" s="172">
        <f t="shared" si="3"/>
        <v>0</v>
      </c>
      <c r="O27" s="172">
        <f t="shared" si="4"/>
        <v>141718532</v>
      </c>
    </row>
    <row r="28" spans="1:16" ht="21.75" customHeight="1" x14ac:dyDescent="0.35">
      <c r="A28" s="110">
        <f t="shared" si="5"/>
        <v>44125</v>
      </c>
      <c r="B28" s="174">
        <f t="shared" si="2"/>
        <v>0</v>
      </c>
      <c r="C28" s="147"/>
      <c r="D28" s="174">
        <f t="shared" si="2"/>
        <v>0</v>
      </c>
      <c r="E28" s="171"/>
      <c r="F28" s="174">
        <f t="shared" si="0"/>
        <v>0</v>
      </c>
      <c r="G28" s="175"/>
      <c r="H28" s="175"/>
      <c r="I28" s="175"/>
      <c r="J28" s="175"/>
      <c r="K28" s="115">
        <f t="shared" si="1"/>
        <v>0</v>
      </c>
      <c r="L28" s="134"/>
      <c r="M28" s="1697"/>
      <c r="N28" s="172">
        <f t="shared" si="3"/>
        <v>0</v>
      </c>
      <c r="O28" s="172">
        <f t="shared" si="4"/>
        <v>141718532</v>
      </c>
    </row>
    <row r="29" spans="1:16" ht="21" customHeight="1" x14ac:dyDescent="0.35">
      <c r="A29" s="110">
        <f t="shared" si="5"/>
        <v>44126</v>
      </c>
      <c r="B29" s="174">
        <f t="shared" si="2"/>
        <v>0</v>
      </c>
      <c r="C29" s="147"/>
      <c r="D29" s="174">
        <f t="shared" si="2"/>
        <v>0</v>
      </c>
      <c r="E29" s="171"/>
      <c r="F29" s="174">
        <f t="shared" si="0"/>
        <v>0</v>
      </c>
      <c r="G29" s="175"/>
      <c r="H29" s="175"/>
      <c r="I29" s="175"/>
      <c r="J29" s="175"/>
      <c r="K29" s="115">
        <f t="shared" si="1"/>
        <v>0</v>
      </c>
      <c r="L29" s="134"/>
      <c r="M29" s="1697"/>
      <c r="N29" s="172">
        <f t="shared" si="3"/>
        <v>0</v>
      </c>
      <c r="O29" s="172">
        <f t="shared" si="4"/>
        <v>141718532</v>
      </c>
    </row>
    <row r="30" spans="1:16" ht="18.75" customHeight="1" x14ac:dyDescent="0.35">
      <c r="A30" s="110">
        <f t="shared" si="5"/>
        <v>44127</v>
      </c>
      <c r="B30" s="174">
        <f t="shared" si="2"/>
        <v>0</v>
      </c>
      <c r="C30" s="147"/>
      <c r="D30" s="174">
        <f t="shared" si="2"/>
        <v>0</v>
      </c>
      <c r="E30" s="171"/>
      <c r="F30" s="174">
        <f t="shared" si="0"/>
        <v>0</v>
      </c>
      <c r="G30" s="175"/>
      <c r="H30" s="175"/>
      <c r="I30" s="175"/>
      <c r="J30" s="175"/>
      <c r="K30" s="115">
        <f t="shared" si="1"/>
        <v>0</v>
      </c>
      <c r="L30" s="134"/>
      <c r="M30" s="1697"/>
      <c r="N30" s="172">
        <f t="shared" si="3"/>
        <v>0</v>
      </c>
      <c r="O30" s="172">
        <f t="shared" si="4"/>
        <v>141718532</v>
      </c>
    </row>
    <row r="31" spans="1:16" s="1554" customFormat="1" ht="19.5" customHeight="1" x14ac:dyDescent="0.35">
      <c r="A31" s="1547">
        <f t="shared" si="5"/>
        <v>44128</v>
      </c>
      <c r="B31" s="174">
        <f t="shared" si="2"/>
        <v>0</v>
      </c>
      <c r="C31" s="1556"/>
      <c r="D31" s="174">
        <f t="shared" si="2"/>
        <v>0</v>
      </c>
      <c r="E31" s="1556"/>
      <c r="F31" s="174">
        <f t="shared" si="0"/>
        <v>0</v>
      </c>
      <c r="G31" s="1552"/>
      <c r="H31" s="1552"/>
      <c r="I31" s="1552"/>
      <c r="J31" s="1552"/>
      <c r="K31" s="115">
        <f t="shared" si="1"/>
        <v>0</v>
      </c>
      <c r="L31" s="1550"/>
      <c r="M31" s="1697"/>
      <c r="N31" s="1552">
        <f t="shared" si="3"/>
        <v>0</v>
      </c>
      <c r="O31" s="1552">
        <f t="shared" si="4"/>
        <v>141718532</v>
      </c>
    </row>
    <row r="32" spans="1:16" ht="19.5" customHeight="1" x14ac:dyDescent="0.35">
      <c r="A32" s="110">
        <f t="shared" si="5"/>
        <v>44129</v>
      </c>
      <c r="B32" s="174">
        <f t="shared" si="2"/>
        <v>0</v>
      </c>
      <c r="C32" s="171"/>
      <c r="D32" s="174">
        <f t="shared" si="2"/>
        <v>0</v>
      </c>
      <c r="E32" s="171"/>
      <c r="F32" s="174">
        <f t="shared" si="0"/>
        <v>0</v>
      </c>
      <c r="G32" s="172"/>
      <c r="H32" s="172"/>
      <c r="I32" s="172"/>
      <c r="J32" s="172"/>
      <c r="K32" s="115">
        <f t="shared" si="1"/>
        <v>0</v>
      </c>
      <c r="L32" s="115"/>
      <c r="M32" s="1697"/>
      <c r="N32" s="172">
        <f t="shared" si="3"/>
        <v>0</v>
      </c>
      <c r="O32" s="172">
        <f t="shared" si="4"/>
        <v>141718532</v>
      </c>
    </row>
    <row r="33" spans="1:15" ht="19.5" x14ac:dyDescent="0.35">
      <c r="A33" s="110">
        <f t="shared" si="5"/>
        <v>44130</v>
      </c>
      <c r="B33" s="174">
        <f t="shared" si="2"/>
        <v>0</v>
      </c>
      <c r="C33" s="171"/>
      <c r="D33" s="174">
        <f t="shared" si="2"/>
        <v>0</v>
      </c>
      <c r="E33" s="171"/>
      <c r="F33" s="174">
        <f t="shared" si="0"/>
        <v>0</v>
      </c>
      <c r="G33" s="172"/>
      <c r="H33" s="172"/>
      <c r="I33" s="172"/>
      <c r="J33" s="172"/>
      <c r="K33" s="115">
        <f t="shared" si="1"/>
        <v>0</v>
      </c>
      <c r="L33" s="115"/>
      <c r="M33" s="1697"/>
      <c r="N33" s="172">
        <f t="shared" si="3"/>
        <v>0</v>
      </c>
      <c r="O33" s="172">
        <f t="shared" si="4"/>
        <v>141718532</v>
      </c>
    </row>
    <row r="34" spans="1:15" ht="19.5" x14ac:dyDescent="0.35">
      <c r="A34" s="110">
        <f t="shared" si="5"/>
        <v>44131</v>
      </c>
      <c r="B34" s="174">
        <f t="shared" si="2"/>
        <v>0</v>
      </c>
      <c r="C34" s="171"/>
      <c r="D34" s="174">
        <f t="shared" si="2"/>
        <v>0</v>
      </c>
      <c r="E34" s="171"/>
      <c r="F34" s="174">
        <f t="shared" si="0"/>
        <v>0</v>
      </c>
      <c r="G34" s="172"/>
      <c r="H34" s="172"/>
      <c r="I34" s="172"/>
      <c r="J34" s="172"/>
      <c r="K34" s="115">
        <f t="shared" si="1"/>
        <v>0</v>
      </c>
      <c r="L34" s="115"/>
      <c r="M34" s="1697"/>
      <c r="N34" s="172">
        <f t="shared" si="3"/>
        <v>0</v>
      </c>
      <c r="O34" s="172">
        <f t="shared" si="4"/>
        <v>141718532</v>
      </c>
    </row>
    <row r="35" spans="1:15" ht="19.5" x14ac:dyDescent="0.35">
      <c r="A35" s="110">
        <f t="shared" si="5"/>
        <v>44132</v>
      </c>
      <c r="B35" s="174">
        <f t="shared" si="2"/>
        <v>0</v>
      </c>
      <c r="C35" s="171"/>
      <c r="D35" s="174">
        <f t="shared" si="2"/>
        <v>0</v>
      </c>
      <c r="E35" s="171"/>
      <c r="F35" s="174">
        <f t="shared" si="0"/>
        <v>0</v>
      </c>
      <c r="G35" s="172"/>
      <c r="H35" s="172"/>
      <c r="I35" s="172"/>
      <c r="J35" s="172"/>
      <c r="K35" s="115">
        <f t="shared" si="1"/>
        <v>0</v>
      </c>
      <c r="L35" s="115"/>
      <c r="M35" s="171"/>
      <c r="N35" s="172">
        <f t="shared" si="3"/>
        <v>0</v>
      </c>
      <c r="O35" s="172">
        <f t="shared" si="4"/>
        <v>141718532</v>
      </c>
    </row>
    <row r="36" spans="1:15" ht="19.5" x14ac:dyDescent="0.35">
      <c r="A36" s="110">
        <f t="shared" si="5"/>
        <v>44133</v>
      </c>
      <c r="B36" s="174">
        <f t="shared" si="2"/>
        <v>0</v>
      </c>
      <c r="C36" s="171"/>
      <c r="D36" s="174">
        <f t="shared" si="2"/>
        <v>0</v>
      </c>
      <c r="E36" s="171"/>
      <c r="F36" s="174">
        <f t="shared" si="0"/>
        <v>0</v>
      </c>
      <c r="G36" s="172"/>
      <c r="H36" s="172"/>
      <c r="I36" s="172"/>
      <c r="J36" s="172"/>
      <c r="K36" s="115">
        <f t="shared" si="1"/>
        <v>0</v>
      </c>
      <c r="L36" s="115"/>
      <c r="M36" s="171"/>
      <c r="N36" s="172">
        <f t="shared" si="3"/>
        <v>0</v>
      </c>
      <c r="O36" s="172">
        <f t="shared" si="4"/>
        <v>141718532</v>
      </c>
    </row>
    <row r="37" spans="1:15" ht="19.5" x14ac:dyDescent="0.35">
      <c r="A37" s="110">
        <f t="shared" si="5"/>
        <v>44134</v>
      </c>
      <c r="B37" s="174">
        <f t="shared" si="2"/>
        <v>0</v>
      </c>
      <c r="C37" s="171"/>
      <c r="D37" s="174">
        <f t="shared" si="2"/>
        <v>0</v>
      </c>
      <c r="E37" s="171"/>
      <c r="F37" s="174">
        <f t="shared" si="0"/>
        <v>0</v>
      </c>
      <c r="G37" s="172"/>
      <c r="H37" s="172"/>
      <c r="I37" s="172"/>
      <c r="J37" s="172"/>
      <c r="K37" s="115">
        <f t="shared" si="1"/>
        <v>0</v>
      </c>
      <c r="L37" s="115"/>
      <c r="M37" s="171"/>
      <c r="N37" s="172">
        <f t="shared" si="3"/>
        <v>0</v>
      </c>
      <c r="O37" s="172">
        <f t="shared" si="4"/>
        <v>141718532</v>
      </c>
    </row>
    <row r="38" spans="1:15" ht="19.5" x14ac:dyDescent="0.35">
      <c r="A38" s="110">
        <f t="shared" si="5"/>
        <v>44135</v>
      </c>
      <c r="B38" s="174">
        <f t="shared" si="2"/>
        <v>0</v>
      </c>
      <c r="C38" s="171"/>
      <c r="D38" s="174">
        <f t="shared" si="2"/>
        <v>0</v>
      </c>
      <c r="E38" s="171"/>
      <c r="F38" s="174">
        <f t="shared" si="0"/>
        <v>0</v>
      </c>
      <c r="G38" s="172"/>
      <c r="H38" s="172"/>
      <c r="I38" s="172"/>
      <c r="J38" s="172"/>
      <c r="K38" s="115">
        <f t="shared" si="1"/>
        <v>0</v>
      </c>
      <c r="L38" s="115"/>
      <c r="M38" s="171"/>
      <c r="N38" s="172">
        <f>K38-M38</f>
        <v>0</v>
      </c>
      <c r="O38" s="177">
        <f>+O37+K38-M38</f>
        <v>141718532</v>
      </c>
    </row>
    <row r="39" spans="1:15" ht="19.5" x14ac:dyDescent="0.25">
      <c r="A39" s="178" t="s">
        <v>18</v>
      </c>
      <c r="B39" s="137">
        <f t="shared" ref="B39:M39" si="6">SUM(B8:B38)</f>
        <v>0</v>
      </c>
      <c r="C39" s="115">
        <f t="shared" si="6"/>
        <v>0</v>
      </c>
      <c r="D39" s="122">
        <f t="shared" si="6"/>
        <v>0</v>
      </c>
      <c r="E39" s="115">
        <f t="shared" si="6"/>
        <v>0</v>
      </c>
      <c r="F39" s="115">
        <f t="shared" si="6"/>
        <v>0</v>
      </c>
      <c r="G39" s="115">
        <f t="shared" si="6"/>
        <v>0</v>
      </c>
      <c r="H39" s="115">
        <f t="shared" si="6"/>
        <v>0</v>
      </c>
      <c r="I39" s="115">
        <f t="shared" si="6"/>
        <v>0</v>
      </c>
      <c r="J39" s="115">
        <f t="shared" si="6"/>
        <v>0</v>
      </c>
      <c r="K39" s="115">
        <f t="shared" si="6"/>
        <v>0</v>
      </c>
      <c r="L39" s="115"/>
      <c r="M39" s="115">
        <f t="shared" si="6"/>
        <v>0</v>
      </c>
      <c r="N39" s="177">
        <f>SUM(N7:N38)</f>
        <v>141718532</v>
      </c>
      <c r="O39" s="180"/>
    </row>
  </sheetData>
  <mergeCells count="8">
    <mergeCell ref="O5:O6"/>
    <mergeCell ref="H5:H6"/>
    <mergeCell ref="I5:I6"/>
    <mergeCell ref="J5:J6"/>
    <mergeCell ref="K5:K6"/>
    <mergeCell ref="M5:M6"/>
    <mergeCell ref="N5:N6"/>
    <mergeCell ref="L5:L6"/>
  </mergeCells>
  <pageMargins left="0.39370078740157483" right="0.39370078740157483" top="0.74803149606299213" bottom="0.74803149606299213" header="0.31496062992125984" footer="0.31496062992125984"/>
  <pageSetup paperSize="9" scale="39" orientation="portrait" r:id="rId1"/>
  <ignoredErrors>
    <ignoredError sqref="O15" evalError="1"/>
  </ignoredErrors>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3">
    <tabColor theme="4" tint="-0.249977111117893"/>
    <pageSetUpPr fitToPage="1"/>
  </sheetPr>
  <dimension ref="A1:Q48"/>
  <sheetViews>
    <sheetView topLeftCell="A20" zoomScaleNormal="100" workbookViewId="0">
      <selection activeCell="J18" sqref="J18"/>
    </sheetView>
  </sheetViews>
  <sheetFormatPr baseColWidth="10" defaultRowHeight="12.75" x14ac:dyDescent="0.2"/>
  <cols>
    <col min="1" max="1" width="11.42578125" style="39"/>
    <col min="2" max="2" width="11.42578125" style="39" customWidth="1"/>
    <col min="3" max="3" width="13.42578125" style="39" customWidth="1"/>
    <col min="4" max="4" width="12.7109375" style="39" bestFit="1" customWidth="1"/>
    <col min="5" max="5" width="13.85546875" style="39" bestFit="1" customWidth="1"/>
    <col min="6" max="10" width="11.42578125" style="39" customWidth="1"/>
    <col min="11" max="11" width="15.140625" style="39" customWidth="1"/>
    <col min="12" max="12" width="19" style="39" customWidth="1"/>
    <col min="13" max="13" width="14.5703125" style="39" customWidth="1"/>
    <col min="14" max="14" width="17" style="39" customWidth="1"/>
    <col min="15" max="15" width="15.7109375" style="39" bestFit="1" customWidth="1"/>
    <col min="16" max="16" width="11.42578125" style="39"/>
    <col min="17" max="17" width="12" style="39" bestFit="1" customWidth="1"/>
    <col min="18" max="16384" width="11.42578125" style="39"/>
  </cols>
  <sheetData>
    <row r="1" spans="1:17" ht="15" x14ac:dyDescent="0.25">
      <c r="A1" s="238" t="s">
        <v>118</v>
      </c>
      <c r="D1" s="238" t="s">
        <v>863</v>
      </c>
      <c r="M1" s="238"/>
    </row>
    <row r="2" spans="1:17" ht="13.5" x14ac:dyDescent="0.25">
      <c r="C2" s="14"/>
    </row>
    <row r="3" spans="1:17" ht="18.75" x14ac:dyDescent="0.3">
      <c r="A3" s="1" t="s">
        <v>19</v>
      </c>
      <c r="D3" s="142">
        <v>43160</v>
      </c>
      <c r="M3" s="1"/>
    </row>
    <row r="4" spans="1:17" ht="15" x14ac:dyDescent="0.25">
      <c r="A4" s="8"/>
      <c r="B4" s="8"/>
      <c r="C4" s="8"/>
      <c r="K4" s="1586"/>
      <c r="L4" s="1587"/>
    </row>
    <row r="5" spans="1:17" ht="19.5" customHeight="1" x14ac:dyDescent="0.25">
      <c r="A5" s="8"/>
      <c r="B5" s="8"/>
      <c r="C5" s="8"/>
      <c r="O5" s="388" t="s">
        <v>190</v>
      </c>
    </row>
    <row r="6" spans="1:17" ht="13.5" hidden="1" x14ac:dyDescent="0.25">
      <c r="A6" s="8"/>
      <c r="B6" s="8"/>
      <c r="C6" s="8"/>
    </row>
    <row r="7" spans="1:17" ht="16.5" customHeight="1" x14ac:dyDescent="0.2">
      <c r="A7" s="100" t="s">
        <v>3</v>
      </c>
      <c r="B7" s="101" t="s">
        <v>15</v>
      </c>
      <c r="C7" s="102"/>
      <c r="D7" s="101" t="s">
        <v>16</v>
      </c>
      <c r="E7" s="102"/>
      <c r="F7" s="101" t="s">
        <v>17</v>
      </c>
      <c r="G7" s="102"/>
      <c r="H7" s="2910" t="s">
        <v>52</v>
      </c>
      <c r="I7" s="2910" t="s">
        <v>53</v>
      </c>
      <c r="J7" s="2910" t="s">
        <v>119</v>
      </c>
      <c r="K7" s="2910" t="s">
        <v>18</v>
      </c>
      <c r="L7" s="3062" t="s">
        <v>416</v>
      </c>
      <c r="M7" s="3065" t="s">
        <v>223</v>
      </c>
      <c r="N7" s="2910" t="s">
        <v>55</v>
      </c>
      <c r="O7" s="2910" t="s">
        <v>120</v>
      </c>
    </row>
    <row r="8" spans="1:17" ht="25.5" customHeight="1" x14ac:dyDescent="0.2">
      <c r="A8" s="103"/>
      <c r="B8" s="915">
        <v>630</v>
      </c>
      <c r="C8" s="916"/>
      <c r="D8" s="915">
        <v>575</v>
      </c>
      <c r="E8" s="916"/>
      <c r="F8" s="915">
        <v>350</v>
      </c>
      <c r="G8" s="916"/>
      <c r="H8" s="3059"/>
      <c r="I8" s="3059"/>
      <c r="J8" s="3059"/>
      <c r="K8" s="3059"/>
      <c r="L8" s="3063"/>
      <c r="M8" s="3066"/>
      <c r="N8" s="2911"/>
      <c r="O8" s="2911"/>
    </row>
    <row r="9" spans="1:17" ht="16.5" x14ac:dyDescent="0.2">
      <c r="A9" s="105"/>
      <c r="B9" s="106" t="s">
        <v>56</v>
      </c>
      <c r="C9" s="106"/>
      <c r="D9" s="107" t="s">
        <v>56</v>
      </c>
      <c r="E9" s="106"/>
      <c r="F9" s="106" t="s">
        <v>56</v>
      </c>
      <c r="G9" s="106" t="s">
        <v>37</v>
      </c>
      <c r="H9" s="2911"/>
      <c r="I9" s="2911"/>
      <c r="J9" s="2911"/>
      <c r="K9" s="2911"/>
      <c r="L9" s="3064"/>
      <c r="M9" s="108"/>
      <c r="N9" s="276">
        <v>7973631</v>
      </c>
      <c r="O9" s="109">
        <f>N9</f>
        <v>7973631</v>
      </c>
    </row>
    <row r="10" spans="1:17" ht="16.5" x14ac:dyDescent="0.25">
      <c r="A10" s="110">
        <f>+KONGFU!A9</f>
        <v>44105</v>
      </c>
      <c r="B10" s="114">
        <f>+C10/B$8</f>
        <v>0</v>
      </c>
      <c r="C10" s="86"/>
      <c r="D10" s="114">
        <f>+E10/575</f>
        <v>0</v>
      </c>
      <c r="E10" s="86"/>
      <c r="F10" s="111">
        <f>+G10/F$8</f>
        <v>0</v>
      </c>
      <c r="G10" s="114"/>
      <c r="H10" s="114"/>
      <c r="I10" s="114"/>
      <c r="J10" s="114"/>
      <c r="K10" s="115">
        <f>C10+E10+G10+H10+I10+J10</f>
        <v>0</v>
      </c>
      <c r="L10" s="115"/>
      <c r="M10" s="86"/>
      <c r="N10" s="114">
        <f>K10-M10</f>
        <v>0</v>
      </c>
      <c r="O10" s="114">
        <f>+O9+K10-M10</f>
        <v>7973631</v>
      </c>
    </row>
    <row r="11" spans="1:17" ht="16.5" x14ac:dyDescent="0.25">
      <c r="A11" s="110">
        <f>+A10+1</f>
        <v>44106</v>
      </c>
      <c r="B11" s="114">
        <f t="shared" ref="B11:B41" si="0">+C11/B$8</f>
        <v>0</v>
      </c>
      <c r="C11" s="86"/>
      <c r="D11" s="114">
        <f>+E11/575</f>
        <v>0</v>
      </c>
      <c r="E11" s="86"/>
      <c r="F11" s="111">
        <f t="shared" ref="F11:F41" si="1">+G11/F$8</f>
        <v>0</v>
      </c>
      <c r="G11" s="114"/>
      <c r="H11" s="114"/>
      <c r="I11" s="114"/>
      <c r="J11" s="114"/>
      <c r="K11" s="115">
        <f t="shared" ref="K11:K41" si="2">C11+E11+G11+H11+I11+J11</f>
        <v>0</v>
      </c>
      <c r="L11" s="115"/>
      <c r="M11" s="86"/>
      <c r="N11" s="114">
        <f t="shared" ref="N11:N38" si="3">K11-M11</f>
        <v>0</v>
      </c>
      <c r="O11" s="114">
        <f t="shared" ref="O11:O38" si="4">+O10+K11-M11</f>
        <v>7973631</v>
      </c>
    </row>
    <row r="12" spans="1:17" ht="16.5" x14ac:dyDescent="0.25">
      <c r="A12" s="110">
        <f t="shared" ref="A12:A41" si="5">+A11+1</f>
        <v>44107</v>
      </c>
      <c r="B12" s="114">
        <f t="shared" si="0"/>
        <v>0</v>
      </c>
      <c r="C12" s="86"/>
      <c r="D12" s="114">
        <f>+E12/575</f>
        <v>0</v>
      </c>
      <c r="E12" s="86"/>
      <c r="F12" s="111">
        <f t="shared" si="1"/>
        <v>0</v>
      </c>
      <c r="G12" s="114"/>
      <c r="H12" s="114"/>
      <c r="I12" s="114"/>
      <c r="J12" s="114"/>
      <c r="K12" s="115">
        <f t="shared" si="2"/>
        <v>0</v>
      </c>
      <c r="L12" s="191"/>
      <c r="M12" s="86"/>
      <c r="N12" s="114">
        <f t="shared" si="3"/>
        <v>0</v>
      </c>
      <c r="O12" s="114">
        <f t="shared" si="4"/>
        <v>7973631</v>
      </c>
    </row>
    <row r="13" spans="1:17" ht="16.5" x14ac:dyDescent="0.25">
      <c r="A13" s="110">
        <f t="shared" si="5"/>
        <v>44108</v>
      </c>
      <c r="B13" s="114">
        <f t="shared" si="0"/>
        <v>0</v>
      </c>
      <c r="C13" s="86"/>
      <c r="D13" s="114">
        <f>+E13/575</f>
        <v>0</v>
      </c>
      <c r="E13" s="86"/>
      <c r="F13" s="111">
        <f t="shared" si="1"/>
        <v>0</v>
      </c>
      <c r="G13" s="114"/>
      <c r="H13" s="114"/>
      <c r="I13" s="114"/>
      <c r="J13" s="114"/>
      <c r="K13" s="115">
        <f t="shared" si="2"/>
        <v>0</v>
      </c>
      <c r="L13" s="115"/>
      <c r="M13" s="86"/>
      <c r="N13" s="114">
        <f t="shared" si="3"/>
        <v>0</v>
      </c>
      <c r="O13" s="114">
        <f t="shared" si="4"/>
        <v>7973631</v>
      </c>
    </row>
    <row r="14" spans="1:17" ht="16.5" x14ac:dyDescent="0.25">
      <c r="A14" s="110">
        <f t="shared" si="5"/>
        <v>44109</v>
      </c>
      <c r="B14" s="114">
        <f t="shared" si="0"/>
        <v>0</v>
      </c>
      <c r="C14" s="86"/>
      <c r="D14" s="114">
        <f t="shared" ref="D14:D41" si="6">+E14/575</f>
        <v>0</v>
      </c>
      <c r="E14" s="86"/>
      <c r="F14" s="111">
        <f t="shared" si="1"/>
        <v>0</v>
      </c>
      <c r="G14" s="114"/>
      <c r="H14" s="114"/>
      <c r="I14" s="114"/>
      <c r="J14" s="114"/>
      <c r="K14" s="115">
        <f t="shared" si="2"/>
        <v>0</v>
      </c>
      <c r="L14" s="115"/>
      <c r="M14" s="86"/>
      <c r="N14" s="114">
        <f t="shared" si="3"/>
        <v>0</v>
      </c>
      <c r="O14" s="114">
        <f>+O13+K14-M14</f>
        <v>7973631</v>
      </c>
    </row>
    <row r="15" spans="1:17" ht="16.5" x14ac:dyDescent="0.25">
      <c r="A15" s="110">
        <f t="shared" si="5"/>
        <v>44110</v>
      </c>
      <c r="B15" s="114">
        <f t="shared" si="0"/>
        <v>0</v>
      </c>
      <c r="C15" s="86"/>
      <c r="D15" s="114">
        <f t="shared" si="6"/>
        <v>0</v>
      </c>
      <c r="E15" s="86"/>
      <c r="F15" s="111">
        <f t="shared" si="1"/>
        <v>0</v>
      </c>
      <c r="G15" s="114"/>
      <c r="H15" s="114"/>
      <c r="I15" s="114"/>
      <c r="J15" s="114"/>
      <c r="K15" s="115">
        <f t="shared" si="2"/>
        <v>0</v>
      </c>
      <c r="L15" s="115"/>
      <c r="M15" s="86"/>
      <c r="N15" s="114">
        <f t="shared" si="3"/>
        <v>0</v>
      </c>
      <c r="O15" s="114">
        <f t="shared" si="4"/>
        <v>7973631</v>
      </c>
      <c r="Q15" s="281"/>
    </row>
    <row r="16" spans="1:17" ht="16.5" x14ac:dyDescent="0.25">
      <c r="A16" s="110">
        <f t="shared" si="5"/>
        <v>44111</v>
      </c>
      <c r="B16" s="114">
        <f t="shared" si="0"/>
        <v>0</v>
      </c>
      <c r="C16" s="86"/>
      <c r="D16" s="114">
        <f t="shared" si="6"/>
        <v>0</v>
      </c>
      <c r="E16" s="86"/>
      <c r="F16" s="111">
        <f t="shared" si="1"/>
        <v>0</v>
      </c>
      <c r="G16" s="114"/>
      <c r="H16" s="114"/>
      <c r="I16" s="114"/>
      <c r="J16" s="114"/>
      <c r="K16" s="115">
        <f t="shared" si="2"/>
        <v>0</v>
      </c>
      <c r="L16" s="115"/>
      <c r="M16" s="86"/>
      <c r="N16" s="114">
        <f t="shared" si="3"/>
        <v>0</v>
      </c>
      <c r="O16" s="114">
        <f>+O15+K16-M16</f>
        <v>7973631</v>
      </c>
      <c r="Q16" s="281"/>
    </row>
    <row r="17" spans="1:17" ht="16.5" x14ac:dyDescent="0.25">
      <c r="A17" s="110">
        <f t="shared" si="5"/>
        <v>44112</v>
      </c>
      <c r="B17" s="114">
        <f t="shared" si="0"/>
        <v>0</v>
      </c>
      <c r="C17" s="86"/>
      <c r="D17" s="114">
        <f t="shared" si="6"/>
        <v>0</v>
      </c>
      <c r="E17" s="86"/>
      <c r="F17" s="111">
        <f t="shared" si="1"/>
        <v>0</v>
      </c>
      <c r="G17" s="114"/>
      <c r="H17" s="114"/>
      <c r="I17" s="114"/>
      <c r="J17" s="114"/>
      <c r="K17" s="115">
        <f t="shared" si="2"/>
        <v>0</v>
      </c>
      <c r="L17" s="115"/>
      <c r="M17" s="86"/>
      <c r="N17" s="114">
        <f t="shared" si="3"/>
        <v>0</v>
      </c>
      <c r="O17" s="114">
        <f t="shared" si="4"/>
        <v>7973631</v>
      </c>
      <c r="Q17" s="281"/>
    </row>
    <row r="18" spans="1:17" ht="16.5" x14ac:dyDescent="0.25">
      <c r="A18" s="110">
        <f t="shared" si="5"/>
        <v>44113</v>
      </c>
      <c r="B18" s="114">
        <f t="shared" si="0"/>
        <v>0</v>
      </c>
      <c r="C18" s="86"/>
      <c r="D18" s="114">
        <f t="shared" si="6"/>
        <v>0</v>
      </c>
      <c r="E18" s="86"/>
      <c r="F18" s="111">
        <f t="shared" si="1"/>
        <v>0</v>
      </c>
      <c r="G18" s="118"/>
      <c r="H18" s="118"/>
      <c r="I18" s="118"/>
      <c r="J18" s="118"/>
      <c r="K18" s="115">
        <f t="shared" si="2"/>
        <v>0</v>
      </c>
      <c r="L18" s="115"/>
      <c r="M18" s="86"/>
      <c r="N18" s="114">
        <f t="shared" si="3"/>
        <v>0</v>
      </c>
      <c r="O18" s="118">
        <f t="shared" si="4"/>
        <v>7973631</v>
      </c>
      <c r="Q18" s="281"/>
    </row>
    <row r="19" spans="1:17" ht="16.5" x14ac:dyDescent="0.25">
      <c r="A19" s="110">
        <f t="shared" si="5"/>
        <v>44114</v>
      </c>
      <c r="B19" s="114">
        <f t="shared" si="0"/>
        <v>0</v>
      </c>
      <c r="C19" s="86"/>
      <c r="D19" s="114">
        <f t="shared" si="6"/>
        <v>0</v>
      </c>
      <c r="E19" s="86"/>
      <c r="F19" s="111">
        <f t="shared" si="1"/>
        <v>0</v>
      </c>
      <c r="G19" s="118"/>
      <c r="H19" s="118"/>
      <c r="I19" s="118"/>
      <c r="J19" s="118"/>
      <c r="K19" s="115">
        <f t="shared" si="2"/>
        <v>0</v>
      </c>
      <c r="L19" s="115"/>
      <c r="M19" s="86"/>
      <c r="N19" s="114">
        <f t="shared" si="3"/>
        <v>0</v>
      </c>
      <c r="O19" s="118">
        <f t="shared" si="4"/>
        <v>7973631</v>
      </c>
      <c r="Q19" s="281"/>
    </row>
    <row r="20" spans="1:17" ht="16.5" x14ac:dyDescent="0.25">
      <c r="A20" s="110">
        <f t="shared" si="5"/>
        <v>44115</v>
      </c>
      <c r="B20" s="114">
        <f t="shared" si="0"/>
        <v>0</v>
      </c>
      <c r="C20" s="86"/>
      <c r="D20" s="114">
        <f t="shared" si="6"/>
        <v>0</v>
      </c>
      <c r="E20" s="86"/>
      <c r="F20" s="111">
        <f t="shared" si="1"/>
        <v>0</v>
      </c>
      <c r="G20" s="118"/>
      <c r="H20" s="118"/>
      <c r="I20" s="118"/>
      <c r="J20" s="118"/>
      <c r="K20" s="115">
        <f t="shared" si="2"/>
        <v>0</v>
      </c>
      <c r="L20" s="115"/>
      <c r="M20" s="86"/>
      <c r="N20" s="114">
        <f t="shared" si="3"/>
        <v>0</v>
      </c>
      <c r="O20" s="118">
        <f t="shared" si="4"/>
        <v>7973631</v>
      </c>
      <c r="Q20" s="281"/>
    </row>
    <row r="21" spans="1:17" ht="16.5" x14ac:dyDescent="0.25">
      <c r="A21" s="110">
        <f t="shared" si="5"/>
        <v>44116</v>
      </c>
      <c r="B21" s="114">
        <f t="shared" si="0"/>
        <v>0</v>
      </c>
      <c r="C21" s="86"/>
      <c r="D21" s="114">
        <f t="shared" si="6"/>
        <v>0</v>
      </c>
      <c r="E21" s="86"/>
      <c r="F21" s="111">
        <f t="shared" si="1"/>
        <v>0</v>
      </c>
      <c r="G21" s="118"/>
      <c r="H21" s="118"/>
      <c r="I21" s="118"/>
      <c r="J21" s="118"/>
      <c r="K21" s="115">
        <f t="shared" si="2"/>
        <v>0</v>
      </c>
      <c r="L21" s="115"/>
      <c r="M21" s="86"/>
      <c r="N21" s="114">
        <f t="shared" si="3"/>
        <v>0</v>
      </c>
      <c r="O21" s="118">
        <f>+O20+K21-M21</f>
        <v>7973631</v>
      </c>
      <c r="Q21" s="281"/>
    </row>
    <row r="22" spans="1:17" ht="16.5" x14ac:dyDescent="0.25">
      <c r="A22" s="110">
        <f t="shared" si="5"/>
        <v>44117</v>
      </c>
      <c r="B22" s="114">
        <f t="shared" si="0"/>
        <v>0</v>
      </c>
      <c r="C22" s="86"/>
      <c r="D22" s="114">
        <f t="shared" si="6"/>
        <v>0</v>
      </c>
      <c r="E22" s="86"/>
      <c r="F22" s="111">
        <f t="shared" si="1"/>
        <v>0</v>
      </c>
      <c r="G22" s="118"/>
      <c r="H22" s="118"/>
      <c r="I22" s="118"/>
      <c r="J22" s="118"/>
      <c r="K22" s="115">
        <f t="shared" si="2"/>
        <v>0</v>
      </c>
      <c r="L22" s="115"/>
      <c r="M22" s="86"/>
      <c r="N22" s="114">
        <f t="shared" si="3"/>
        <v>0</v>
      </c>
      <c r="O22" s="118">
        <f t="shared" si="4"/>
        <v>7973631</v>
      </c>
      <c r="Q22" s="281"/>
    </row>
    <row r="23" spans="1:17" ht="16.5" x14ac:dyDescent="0.25">
      <c r="A23" s="110">
        <f t="shared" si="5"/>
        <v>44118</v>
      </c>
      <c r="B23" s="114">
        <f t="shared" si="0"/>
        <v>0</v>
      </c>
      <c r="C23" s="86"/>
      <c r="D23" s="114">
        <f t="shared" si="6"/>
        <v>0</v>
      </c>
      <c r="E23" s="86"/>
      <c r="F23" s="111">
        <f t="shared" si="1"/>
        <v>0</v>
      </c>
      <c r="G23" s="118"/>
      <c r="H23" s="118"/>
      <c r="I23" s="118"/>
      <c r="J23" s="118"/>
      <c r="K23" s="115">
        <f t="shared" si="2"/>
        <v>0</v>
      </c>
      <c r="L23" s="115"/>
      <c r="M23" s="86"/>
      <c r="N23" s="114">
        <f t="shared" si="3"/>
        <v>0</v>
      </c>
      <c r="O23" s="118">
        <f t="shared" si="4"/>
        <v>7973631</v>
      </c>
      <c r="Q23" s="281"/>
    </row>
    <row r="24" spans="1:17" ht="16.5" x14ac:dyDescent="0.25">
      <c r="A24" s="110">
        <f t="shared" si="5"/>
        <v>44119</v>
      </c>
      <c r="B24" s="114">
        <f t="shared" si="0"/>
        <v>0</v>
      </c>
      <c r="C24" s="86"/>
      <c r="D24" s="114">
        <f t="shared" si="6"/>
        <v>0</v>
      </c>
      <c r="E24" s="86"/>
      <c r="F24" s="111">
        <f t="shared" si="1"/>
        <v>0</v>
      </c>
      <c r="G24" s="118"/>
      <c r="H24" s="118"/>
      <c r="I24" s="118"/>
      <c r="J24" s="118"/>
      <c r="K24" s="115">
        <f t="shared" si="2"/>
        <v>0</v>
      </c>
      <c r="L24" s="115"/>
      <c r="M24" s="86"/>
      <c r="N24" s="114">
        <f t="shared" si="3"/>
        <v>0</v>
      </c>
      <c r="O24" s="118">
        <f t="shared" si="4"/>
        <v>7973631</v>
      </c>
      <c r="Q24" s="281"/>
    </row>
    <row r="25" spans="1:17" ht="16.5" x14ac:dyDescent="0.25">
      <c r="A25" s="110">
        <f t="shared" si="5"/>
        <v>44120</v>
      </c>
      <c r="B25" s="114">
        <f t="shared" si="0"/>
        <v>0</v>
      </c>
      <c r="C25" s="86"/>
      <c r="D25" s="114">
        <f t="shared" si="6"/>
        <v>0</v>
      </c>
      <c r="E25" s="86"/>
      <c r="F25" s="111">
        <f t="shared" si="1"/>
        <v>0</v>
      </c>
      <c r="G25" s="118"/>
      <c r="H25" s="118"/>
      <c r="I25" s="118"/>
      <c r="J25" s="118"/>
      <c r="K25" s="115">
        <f t="shared" si="2"/>
        <v>0</v>
      </c>
      <c r="L25" s="115"/>
      <c r="M25" s="86"/>
      <c r="N25" s="118">
        <f t="shared" si="3"/>
        <v>0</v>
      </c>
      <c r="O25" s="118">
        <f t="shared" si="4"/>
        <v>7973631</v>
      </c>
      <c r="Q25" s="281"/>
    </row>
    <row r="26" spans="1:17" ht="16.5" x14ac:dyDescent="0.25">
      <c r="A26" s="110">
        <f t="shared" si="5"/>
        <v>44121</v>
      </c>
      <c r="B26" s="114">
        <f t="shared" si="0"/>
        <v>0</v>
      </c>
      <c r="C26" s="86"/>
      <c r="D26" s="114">
        <f t="shared" si="6"/>
        <v>0</v>
      </c>
      <c r="E26" s="86"/>
      <c r="F26" s="111">
        <f t="shared" si="1"/>
        <v>0</v>
      </c>
      <c r="G26" s="118"/>
      <c r="H26" s="118"/>
      <c r="I26" s="118"/>
      <c r="J26" s="118"/>
      <c r="K26" s="115">
        <f t="shared" si="2"/>
        <v>0</v>
      </c>
      <c r="L26" s="115"/>
      <c r="M26" s="86"/>
      <c r="N26" s="118">
        <f t="shared" si="3"/>
        <v>0</v>
      </c>
      <c r="O26" s="118">
        <f t="shared" si="4"/>
        <v>7973631</v>
      </c>
      <c r="Q26" s="281"/>
    </row>
    <row r="27" spans="1:17" ht="16.5" x14ac:dyDescent="0.25">
      <c r="A27" s="110">
        <f t="shared" si="5"/>
        <v>44122</v>
      </c>
      <c r="B27" s="114">
        <f t="shared" si="0"/>
        <v>0</v>
      </c>
      <c r="C27" s="86"/>
      <c r="D27" s="114">
        <f t="shared" si="6"/>
        <v>0</v>
      </c>
      <c r="E27" s="86"/>
      <c r="F27" s="111">
        <f t="shared" si="1"/>
        <v>0</v>
      </c>
      <c r="G27" s="118"/>
      <c r="H27" s="118"/>
      <c r="I27" s="118"/>
      <c r="J27" s="118"/>
      <c r="K27" s="115">
        <f t="shared" si="2"/>
        <v>0</v>
      </c>
      <c r="L27" s="115"/>
      <c r="M27" s="86"/>
      <c r="N27" s="118">
        <f t="shared" si="3"/>
        <v>0</v>
      </c>
      <c r="O27" s="118">
        <f t="shared" si="4"/>
        <v>7973631</v>
      </c>
      <c r="Q27" s="281"/>
    </row>
    <row r="28" spans="1:17" ht="16.5" x14ac:dyDescent="0.25">
      <c r="A28" s="110">
        <f t="shared" si="5"/>
        <v>44123</v>
      </c>
      <c r="B28" s="114">
        <f t="shared" si="0"/>
        <v>0</v>
      </c>
      <c r="C28" s="86"/>
      <c r="D28" s="114">
        <f t="shared" si="6"/>
        <v>0</v>
      </c>
      <c r="E28" s="86"/>
      <c r="F28" s="111">
        <f t="shared" si="1"/>
        <v>0</v>
      </c>
      <c r="G28" s="118"/>
      <c r="H28" s="118"/>
      <c r="I28" s="118"/>
      <c r="J28" s="118"/>
      <c r="K28" s="115">
        <f t="shared" si="2"/>
        <v>0</v>
      </c>
      <c r="L28" s="115"/>
      <c r="M28" s="1925"/>
      <c r="N28" s="118">
        <f t="shared" si="3"/>
        <v>0</v>
      </c>
      <c r="O28" s="118">
        <f t="shared" si="4"/>
        <v>7973631</v>
      </c>
      <c r="Q28" s="281"/>
    </row>
    <row r="29" spans="1:17" ht="16.5" x14ac:dyDescent="0.25">
      <c r="A29" s="110">
        <f t="shared" si="5"/>
        <v>44124</v>
      </c>
      <c r="B29" s="114">
        <f t="shared" si="0"/>
        <v>0</v>
      </c>
      <c r="C29" s="86"/>
      <c r="D29" s="114">
        <f t="shared" si="6"/>
        <v>0</v>
      </c>
      <c r="E29" s="86"/>
      <c r="F29" s="111">
        <f t="shared" si="1"/>
        <v>0</v>
      </c>
      <c r="G29" s="118"/>
      <c r="H29" s="118"/>
      <c r="I29" s="118"/>
      <c r="J29" s="118"/>
      <c r="K29" s="115">
        <f t="shared" si="2"/>
        <v>0</v>
      </c>
      <c r="L29" s="115"/>
      <c r="M29" s="86"/>
      <c r="N29" s="118">
        <f t="shared" si="3"/>
        <v>0</v>
      </c>
      <c r="O29" s="118">
        <f t="shared" si="4"/>
        <v>7973631</v>
      </c>
      <c r="Q29" s="281"/>
    </row>
    <row r="30" spans="1:17" ht="16.5" x14ac:dyDescent="0.25">
      <c r="A30" s="110">
        <f t="shared" si="5"/>
        <v>44125</v>
      </c>
      <c r="B30" s="114">
        <f t="shared" si="0"/>
        <v>0</v>
      </c>
      <c r="C30" s="86"/>
      <c r="D30" s="114">
        <f t="shared" si="6"/>
        <v>0</v>
      </c>
      <c r="E30" s="86"/>
      <c r="F30" s="111">
        <f t="shared" si="1"/>
        <v>0</v>
      </c>
      <c r="G30" s="118"/>
      <c r="H30" s="118"/>
      <c r="I30" s="118"/>
      <c r="J30" s="118"/>
      <c r="K30" s="115">
        <f t="shared" si="2"/>
        <v>0</v>
      </c>
      <c r="L30" s="115"/>
      <c r="M30" s="86"/>
      <c r="N30" s="118">
        <f t="shared" si="3"/>
        <v>0</v>
      </c>
      <c r="O30" s="118">
        <f t="shared" si="4"/>
        <v>7973631</v>
      </c>
      <c r="Q30" s="281"/>
    </row>
    <row r="31" spans="1:17" s="250" customFormat="1" ht="16.5" x14ac:dyDescent="0.25">
      <c r="A31" s="827">
        <f t="shared" si="5"/>
        <v>44126</v>
      </c>
      <c r="B31" s="118">
        <f t="shared" si="0"/>
        <v>0</v>
      </c>
      <c r="C31" s="86"/>
      <c r="D31" s="114">
        <f t="shared" si="6"/>
        <v>0</v>
      </c>
      <c r="E31" s="86"/>
      <c r="F31" s="117">
        <f t="shared" si="1"/>
        <v>0</v>
      </c>
      <c r="G31" s="118"/>
      <c r="H31" s="118"/>
      <c r="I31" s="118"/>
      <c r="J31" s="118"/>
      <c r="K31" s="115">
        <f t="shared" si="2"/>
        <v>0</v>
      </c>
      <c r="L31" s="134"/>
      <c r="M31" s="86"/>
      <c r="N31" s="118">
        <f t="shared" si="3"/>
        <v>0</v>
      </c>
      <c r="O31" s="118">
        <f>+O30+K31-M31</f>
        <v>7973631</v>
      </c>
      <c r="Q31" s="281"/>
    </row>
    <row r="32" spans="1:17" ht="16.5" x14ac:dyDescent="0.25">
      <c r="A32" s="110">
        <f t="shared" si="5"/>
        <v>44127</v>
      </c>
      <c r="B32" s="114">
        <f t="shared" si="0"/>
        <v>0</v>
      </c>
      <c r="C32" s="86"/>
      <c r="D32" s="114">
        <f t="shared" si="6"/>
        <v>0</v>
      </c>
      <c r="E32" s="86"/>
      <c r="F32" s="111">
        <f t="shared" si="1"/>
        <v>0</v>
      </c>
      <c r="G32" s="118"/>
      <c r="H32" s="118"/>
      <c r="I32" s="118"/>
      <c r="J32" s="118"/>
      <c r="K32" s="115">
        <f t="shared" si="2"/>
        <v>0</v>
      </c>
      <c r="L32" s="115"/>
      <c r="M32" s="86"/>
      <c r="N32" s="118">
        <f t="shared" si="3"/>
        <v>0</v>
      </c>
      <c r="O32" s="118">
        <f t="shared" si="4"/>
        <v>7973631</v>
      </c>
      <c r="Q32" s="281"/>
    </row>
    <row r="33" spans="1:17" ht="16.5" x14ac:dyDescent="0.25">
      <c r="A33" s="110">
        <f t="shared" si="5"/>
        <v>44128</v>
      </c>
      <c r="B33" s="114">
        <f t="shared" si="0"/>
        <v>0</v>
      </c>
      <c r="C33" s="86"/>
      <c r="D33" s="114">
        <f t="shared" si="6"/>
        <v>0</v>
      </c>
      <c r="E33" s="86"/>
      <c r="F33" s="111">
        <f t="shared" si="1"/>
        <v>0</v>
      </c>
      <c r="G33" s="114"/>
      <c r="H33" s="114"/>
      <c r="I33" s="114"/>
      <c r="J33" s="114"/>
      <c r="K33" s="115">
        <f t="shared" si="2"/>
        <v>0</v>
      </c>
      <c r="L33" s="115"/>
      <c r="M33" s="86"/>
      <c r="N33" s="114">
        <f t="shared" si="3"/>
        <v>0</v>
      </c>
      <c r="O33" s="114">
        <f t="shared" si="4"/>
        <v>7973631</v>
      </c>
      <c r="Q33" s="281"/>
    </row>
    <row r="34" spans="1:17" ht="16.5" x14ac:dyDescent="0.25">
      <c r="A34" s="110">
        <f t="shared" si="5"/>
        <v>44129</v>
      </c>
      <c r="B34" s="114">
        <f t="shared" si="0"/>
        <v>0</v>
      </c>
      <c r="C34" s="86"/>
      <c r="D34" s="114">
        <f t="shared" si="6"/>
        <v>0</v>
      </c>
      <c r="E34" s="86"/>
      <c r="F34" s="111">
        <f t="shared" si="1"/>
        <v>0</v>
      </c>
      <c r="G34" s="114"/>
      <c r="H34" s="114"/>
      <c r="I34" s="114"/>
      <c r="J34" s="114"/>
      <c r="K34" s="115">
        <f t="shared" si="2"/>
        <v>0</v>
      </c>
      <c r="L34" s="115"/>
      <c r="M34" s="86"/>
      <c r="N34" s="114">
        <f t="shared" si="3"/>
        <v>0</v>
      </c>
      <c r="O34" s="114">
        <f t="shared" si="4"/>
        <v>7973631</v>
      </c>
      <c r="Q34" s="281"/>
    </row>
    <row r="35" spans="1:17" ht="16.5" x14ac:dyDescent="0.25">
      <c r="A35" s="110">
        <f t="shared" si="5"/>
        <v>44130</v>
      </c>
      <c r="B35" s="114">
        <f t="shared" si="0"/>
        <v>0</v>
      </c>
      <c r="C35" s="86"/>
      <c r="D35" s="114">
        <f t="shared" si="6"/>
        <v>0</v>
      </c>
      <c r="E35" s="86"/>
      <c r="F35" s="111">
        <f t="shared" si="1"/>
        <v>0</v>
      </c>
      <c r="G35" s="114"/>
      <c r="H35" s="114"/>
      <c r="I35" s="114"/>
      <c r="J35" s="114"/>
      <c r="K35" s="115">
        <f t="shared" si="2"/>
        <v>0</v>
      </c>
      <c r="L35" s="115"/>
      <c r="M35" s="86"/>
      <c r="N35" s="114">
        <f t="shared" si="3"/>
        <v>0</v>
      </c>
      <c r="O35" s="114">
        <f t="shared" si="4"/>
        <v>7973631</v>
      </c>
      <c r="Q35" s="281"/>
    </row>
    <row r="36" spans="1:17" ht="16.5" x14ac:dyDescent="0.25">
      <c r="A36" s="110">
        <f t="shared" si="5"/>
        <v>44131</v>
      </c>
      <c r="B36" s="114">
        <f t="shared" si="0"/>
        <v>0</v>
      </c>
      <c r="C36" s="86"/>
      <c r="D36" s="114">
        <f t="shared" si="6"/>
        <v>0</v>
      </c>
      <c r="E36" s="86"/>
      <c r="F36" s="111">
        <f t="shared" si="1"/>
        <v>0</v>
      </c>
      <c r="G36" s="114"/>
      <c r="H36" s="114"/>
      <c r="I36" s="114"/>
      <c r="J36" s="114"/>
      <c r="K36" s="115">
        <f t="shared" si="2"/>
        <v>0</v>
      </c>
      <c r="L36" s="115"/>
      <c r="M36" s="113"/>
      <c r="N36" s="114">
        <f t="shared" si="3"/>
        <v>0</v>
      </c>
      <c r="O36" s="114">
        <f t="shared" si="4"/>
        <v>7973631</v>
      </c>
      <c r="Q36" s="281"/>
    </row>
    <row r="37" spans="1:17" ht="16.5" x14ac:dyDescent="0.25">
      <c r="A37" s="110">
        <f t="shared" si="5"/>
        <v>44132</v>
      </c>
      <c r="B37" s="114">
        <f t="shared" si="0"/>
        <v>0</v>
      </c>
      <c r="C37" s="86"/>
      <c r="D37" s="114">
        <f t="shared" si="6"/>
        <v>0</v>
      </c>
      <c r="E37" s="86"/>
      <c r="F37" s="111">
        <f t="shared" si="1"/>
        <v>0</v>
      </c>
      <c r="G37" s="114"/>
      <c r="H37" s="114"/>
      <c r="I37" s="114"/>
      <c r="J37" s="114"/>
      <c r="K37" s="115">
        <f t="shared" si="2"/>
        <v>0</v>
      </c>
      <c r="L37" s="115"/>
      <c r="M37" s="113"/>
      <c r="N37" s="114">
        <f t="shared" si="3"/>
        <v>0</v>
      </c>
      <c r="O37" s="114">
        <f t="shared" si="4"/>
        <v>7973631</v>
      </c>
      <c r="Q37" s="281"/>
    </row>
    <row r="38" spans="1:17" ht="16.5" x14ac:dyDescent="0.25">
      <c r="A38" s="110">
        <f t="shared" si="5"/>
        <v>44133</v>
      </c>
      <c r="B38" s="114">
        <f t="shared" si="0"/>
        <v>0</v>
      </c>
      <c r="C38" s="113"/>
      <c r="D38" s="114">
        <f t="shared" si="6"/>
        <v>0</v>
      </c>
      <c r="E38" s="113"/>
      <c r="F38" s="111">
        <f t="shared" si="1"/>
        <v>0</v>
      </c>
      <c r="G38" s="114"/>
      <c r="H38" s="114"/>
      <c r="I38" s="114"/>
      <c r="J38" s="114"/>
      <c r="K38" s="115">
        <f t="shared" si="2"/>
        <v>0</v>
      </c>
      <c r="L38" s="115"/>
      <c r="M38" s="113"/>
      <c r="N38" s="114">
        <f t="shared" si="3"/>
        <v>0</v>
      </c>
      <c r="O38" s="114">
        <f t="shared" si="4"/>
        <v>7973631</v>
      </c>
      <c r="Q38" s="281"/>
    </row>
    <row r="39" spans="1:17" ht="16.5" x14ac:dyDescent="0.25">
      <c r="A39" s="110">
        <f t="shared" si="5"/>
        <v>44134</v>
      </c>
      <c r="B39" s="114">
        <f t="shared" si="0"/>
        <v>0</v>
      </c>
      <c r="C39" s="113"/>
      <c r="D39" s="114">
        <f t="shared" si="6"/>
        <v>0</v>
      </c>
      <c r="E39" s="113"/>
      <c r="F39" s="111">
        <f t="shared" si="1"/>
        <v>0</v>
      </c>
      <c r="G39" s="114"/>
      <c r="H39" s="114"/>
      <c r="I39" s="114"/>
      <c r="J39" s="114"/>
      <c r="K39" s="115">
        <f t="shared" si="2"/>
        <v>0</v>
      </c>
      <c r="L39" s="115"/>
      <c r="M39" s="113"/>
      <c r="N39" s="114">
        <f>K39-M39</f>
        <v>0</v>
      </c>
      <c r="O39" s="114">
        <f>+O38+K39-M39</f>
        <v>7973631</v>
      </c>
      <c r="Q39" s="281"/>
    </row>
    <row r="40" spans="1:17" ht="16.5" x14ac:dyDescent="0.25">
      <c r="A40" s="110">
        <f t="shared" si="5"/>
        <v>44135</v>
      </c>
      <c r="B40" s="114"/>
      <c r="C40" s="113"/>
      <c r="D40" s="114">
        <f t="shared" si="6"/>
        <v>0</v>
      </c>
      <c r="E40" s="113"/>
      <c r="F40" s="111"/>
      <c r="G40" s="114"/>
      <c r="H40" s="114"/>
      <c r="I40" s="114"/>
      <c r="J40" s="114"/>
      <c r="K40" s="115">
        <f t="shared" si="2"/>
        <v>0</v>
      </c>
      <c r="L40" s="115"/>
      <c r="M40" s="113"/>
      <c r="N40" s="114"/>
      <c r="O40" s="114"/>
      <c r="Q40" s="281"/>
    </row>
    <row r="41" spans="1:17" ht="16.5" x14ac:dyDescent="0.25">
      <c r="A41" s="110">
        <f t="shared" si="5"/>
        <v>44136</v>
      </c>
      <c r="B41" s="114">
        <f t="shared" si="0"/>
        <v>0</v>
      </c>
      <c r="C41" s="113"/>
      <c r="D41" s="114">
        <f t="shared" si="6"/>
        <v>0</v>
      </c>
      <c r="E41" s="113"/>
      <c r="F41" s="111">
        <f t="shared" si="1"/>
        <v>0</v>
      </c>
      <c r="G41" s="114"/>
      <c r="H41" s="114"/>
      <c r="I41" s="114"/>
      <c r="J41" s="114"/>
      <c r="K41" s="115">
        <f t="shared" si="2"/>
        <v>0</v>
      </c>
      <c r="L41" s="115"/>
      <c r="M41" s="113"/>
      <c r="N41" s="114">
        <f>K41-M41</f>
        <v>0</v>
      </c>
      <c r="O41" s="120">
        <f>+O39+K41-M41</f>
        <v>7973631</v>
      </c>
      <c r="Q41" s="281"/>
    </row>
    <row r="42" spans="1:17" ht="16.5" x14ac:dyDescent="0.2">
      <c r="A42" s="121" t="s">
        <v>18</v>
      </c>
      <c r="B42" s="115">
        <f t="shared" ref="B42:M42" si="7">SUM(B10:B41)</f>
        <v>0</v>
      </c>
      <c r="C42" s="115">
        <f>SUM(C10:C41)</f>
        <v>0</v>
      </c>
      <c r="D42" s="122">
        <f t="shared" si="7"/>
        <v>0</v>
      </c>
      <c r="E42" s="115">
        <f>SUM(E10:E41)</f>
        <v>0</v>
      </c>
      <c r="F42" s="115">
        <f>SUM(F10:F41)</f>
        <v>0</v>
      </c>
      <c r="G42" s="115">
        <f t="shared" si="7"/>
        <v>0</v>
      </c>
      <c r="H42" s="115">
        <f t="shared" si="7"/>
        <v>0</v>
      </c>
      <c r="I42" s="115">
        <f t="shared" si="7"/>
        <v>0</v>
      </c>
      <c r="J42" s="115">
        <f t="shared" si="7"/>
        <v>0</v>
      </c>
      <c r="K42" s="115">
        <f>SUM(K10:K41)</f>
        <v>0</v>
      </c>
      <c r="L42" s="115"/>
      <c r="M42" s="115">
        <f t="shared" si="7"/>
        <v>0</v>
      </c>
      <c r="N42" s="120">
        <f>SUM(N9:N41)</f>
        <v>7973631</v>
      </c>
      <c r="O42" s="123"/>
    </row>
    <row r="43" spans="1:17" ht="13.5" x14ac:dyDescent="0.2">
      <c r="A43" s="26"/>
      <c r="B43" s="26"/>
      <c r="C43" s="26"/>
      <c r="D43" s="27"/>
      <c r="E43" s="26"/>
      <c r="F43" s="26"/>
      <c r="G43" s="26"/>
      <c r="H43" s="26"/>
      <c r="I43" s="26"/>
      <c r="J43" s="26"/>
      <c r="K43" s="26"/>
      <c r="L43" s="26"/>
      <c r="M43" s="26"/>
      <c r="N43" s="26"/>
      <c r="O43" s="26"/>
    </row>
    <row r="44" spans="1:17" ht="13.5" x14ac:dyDescent="0.25">
      <c r="A44" s="10" t="s">
        <v>121</v>
      </c>
      <c r="B44" s="10" t="s">
        <v>61</v>
      </c>
      <c r="C44" s="10" t="s">
        <v>122</v>
      </c>
      <c r="D44" s="28" t="s">
        <v>39</v>
      </c>
    </row>
    <row r="45" spans="1:17" ht="13.5" x14ac:dyDescent="0.25">
      <c r="A45" s="10" t="s">
        <v>15</v>
      </c>
      <c r="B45" s="24">
        <f>B42</f>
        <v>0</v>
      </c>
      <c r="C45" s="10"/>
      <c r="D45" s="28">
        <f>B45*C45</f>
        <v>0</v>
      </c>
    </row>
    <row r="46" spans="1:17" ht="13.5" x14ac:dyDescent="0.25">
      <c r="A46" s="10" t="s">
        <v>16</v>
      </c>
      <c r="B46" s="28">
        <f>D42</f>
        <v>0</v>
      </c>
      <c r="C46" s="10"/>
      <c r="D46" s="28">
        <f>B46*C46</f>
        <v>0</v>
      </c>
      <c r="H46" s="21"/>
      <c r="K46" s="21"/>
      <c r="L46" s="21"/>
      <c r="M46" s="21"/>
      <c r="N46" s="21"/>
    </row>
    <row r="47" spans="1:17" ht="13.5" x14ac:dyDescent="0.25">
      <c r="A47" s="10" t="s">
        <v>17</v>
      </c>
      <c r="B47" s="24">
        <f>F42</f>
        <v>0</v>
      </c>
      <c r="C47" s="10"/>
      <c r="D47" s="28">
        <f>B47*C47</f>
        <v>0</v>
      </c>
      <c r="E47" s="14"/>
      <c r="O47" s="21"/>
    </row>
    <row r="48" spans="1:17" ht="13.5" x14ac:dyDescent="0.25">
      <c r="A48" s="33" t="s">
        <v>18</v>
      </c>
      <c r="B48" s="34"/>
      <c r="C48" s="35"/>
      <c r="D48" s="28">
        <f>SUM(D45:D47)</f>
        <v>0</v>
      </c>
      <c r="O48" s="21"/>
    </row>
  </sheetData>
  <mergeCells count="8">
    <mergeCell ref="N7:N8"/>
    <mergeCell ref="O7:O8"/>
    <mergeCell ref="H7:H9"/>
    <mergeCell ref="I7:I9"/>
    <mergeCell ref="J7:J9"/>
    <mergeCell ref="K7:K9"/>
    <mergeCell ref="M7:M8"/>
    <mergeCell ref="L7:L9"/>
  </mergeCells>
  <pageMargins left="0.70866141732283472" right="0.70866141732283472" top="0.74803149606299213" bottom="0.74803149606299213" header="0.31496062992125984" footer="0.31496062992125984"/>
  <pageSetup paperSize="9" scale="10" orientation="portrait" r:id="rId1"/>
  <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10">
    <tabColor theme="4" tint="-0.249977111117893"/>
    <pageSetUpPr fitToPage="1"/>
  </sheetPr>
  <dimension ref="A1:R47"/>
  <sheetViews>
    <sheetView topLeftCell="A7" zoomScaleNormal="100" workbookViewId="0">
      <selection activeCell="E10" sqref="E10:E18"/>
    </sheetView>
  </sheetViews>
  <sheetFormatPr baseColWidth="10" defaultRowHeight="12.75" x14ac:dyDescent="0.2"/>
  <cols>
    <col min="1" max="1" width="11.42578125" style="39"/>
    <col min="2" max="2" width="11.42578125" style="39" customWidth="1"/>
    <col min="3" max="3" width="13.42578125" style="39" customWidth="1"/>
    <col min="4" max="4" width="14.5703125" style="39" customWidth="1"/>
    <col min="5" max="5" width="13.85546875" style="39" bestFit="1" customWidth="1"/>
    <col min="6" max="10" width="11.42578125" style="39"/>
    <col min="11" max="11" width="15.140625" style="39" customWidth="1"/>
    <col min="12" max="12" width="13.85546875" style="39" customWidth="1"/>
    <col min="13" max="14" width="13.7109375" style="39" bestFit="1" customWidth="1"/>
    <col min="15" max="15" width="15.7109375" style="39" bestFit="1" customWidth="1"/>
    <col min="16" max="17" width="12" style="39" bestFit="1" customWidth="1"/>
    <col min="18" max="16384" width="11.42578125" style="39"/>
  </cols>
  <sheetData>
    <row r="1" spans="1:18" ht="18.75" x14ac:dyDescent="0.3">
      <c r="A1" s="238" t="s">
        <v>118</v>
      </c>
      <c r="B1" s="36" t="s">
        <v>1829</v>
      </c>
    </row>
    <row r="2" spans="1:18" ht="13.5" x14ac:dyDescent="0.25">
      <c r="C2" s="14"/>
    </row>
    <row r="3" spans="1:18" ht="18.75" x14ac:dyDescent="0.3">
      <c r="A3" s="1" t="s">
        <v>19</v>
      </c>
      <c r="B3" s="142">
        <f>+SOCOPAT!B4</f>
        <v>44075</v>
      </c>
      <c r="C3" s="8"/>
      <c r="M3" s="37"/>
    </row>
    <row r="4" spans="1:18" ht="15" x14ac:dyDescent="0.25">
      <c r="A4" s="8"/>
      <c r="B4" s="8"/>
      <c r="C4" s="8"/>
      <c r="K4" s="1586"/>
      <c r="L4" s="1587"/>
    </row>
    <row r="5" spans="1:18" ht="19.5" customHeight="1" x14ac:dyDescent="0.25">
      <c r="A5" s="8"/>
      <c r="B5" s="8"/>
      <c r="C5" s="8"/>
      <c r="O5" s="388" t="s">
        <v>190</v>
      </c>
    </row>
    <row r="6" spans="1:18" ht="13.5" x14ac:dyDescent="0.25">
      <c r="A6" s="8"/>
      <c r="B6" s="8"/>
      <c r="C6" s="8"/>
    </row>
    <row r="7" spans="1:18" ht="16.5" customHeight="1" x14ac:dyDescent="0.2">
      <c r="A7" s="100" t="s">
        <v>3</v>
      </c>
      <c r="B7" s="1753" t="s">
        <v>15</v>
      </c>
      <c r="C7" s="1754"/>
      <c r="D7" s="1753" t="s">
        <v>16</v>
      </c>
      <c r="E7" s="1754"/>
      <c r="F7" s="1753" t="s">
        <v>17</v>
      </c>
      <c r="G7" s="1754"/>
      <c r="H7" s="2910" t="s">
        <v>52</v>
      </c>
      <c r="I7" s="2910" t="s">
        <v>53</v>
      </c>
      <c r="J7" s="2910" t="s">
        <v>119</v>
      </c>
      <c r="K7" s="2910" t="s">
        <v>18</v>
      </c>
      <c r="L7" s="3062" t="s">
        <v>416</v>
      </c>
      <c r="M7" s="3065" t="s">
        <v>223</v>
      </c>
      <c r="N7" s="2910" t="s">
        <v>55</v>
      </c>
      <c r="O7" s="2910" t="s">
        <v>120</v>
      </c>
    </row>
    <row r="8" spans="1:18" ht="25.5" customHeight="1" x14ac:dyDescent="0.2">
      <c r="A8" s="103"/>
      <c r="B8" s="915">
        <v>630</v>
      </c>
      <c r="C8" s="916"/>
      <c r="D8" s="915">
        <v>575</v>
      </c>
      <c r="E8" s="916"/>
      <c r="F8" s="915">
        <v>350</v>
      </c>
      <c r="G8" s="916"/>
      <c r="H8" s="3059"/>
      <c r="I8" s="3059"/>
      <c r="J8" s="3059"/>
      <c r="K8" s="3059"/>
      <c r="L8" s="3063"/>
      <c r="M8" s="3066"/>
      <c r="N8" s="2911"/>
      <c r="O8" s="2911"/>
    </row>
    <row r="9" spans="1:18" ht="16.5" x14ac:dyDescent="0.2">
      <c r="A9" s="105"/>
      <c r="B9" s="106" t="s">
        <v>56</v>
      </c>
      <c r="C9" s="106"/>
      <c r="D9" s="107" t="s">
        <v>56</v>
      </c>
      <c r="E9" s="106"/>
      <c r="F9" s="106" t="s">
        <v>56</v>
      </c>
      <c r="G9" s="106" t="s">
        <v>37</v>
      </c>
      <c r="H9" s="2911"/>
      <c r="I9" s="2911"/>
      <c r="J9" s="2911"/>
      <c r="K9" s="2911"/>
      <c r="L9" s="3064"/>
      <c r="M9" s="108"/>
      <c r="N9" s="276">
        <v>0</v>
      </c>
      <c r="O9" s="109">
        <f>N9</f>
        <v>0</v>
      </c>
    </row>
    <row r="10" spans="1:18" ht="16.5" x14ac:dyDescent="0.25">
      <c r="A10" s="110">
        <f>+KONGFU!A9</f>
        <v>44105</v>
      </c>
      <c r="B10" s="114">
        <f>+C10/B$8</f>
        <v>0</v>
      </c>
      <c r="C10" s="86"/>
      <c r="D10" s="114">
        <f>+E10/575</f>
        <v>0</v>
      </c>
      <c r="E10" s="86"/>
      <c r="F10" s="111">
        <f>+G10/F$8</f>
        <v>0</v>
      </c>
      <c r="G10" s="114"/>
      <c r="H10" s="114"/>
      <c r="I10" s="114"/>
      <c r="J10" s="114"/>
      <c r="K10" s="115">
        <f>C10+E10+G10+H10+I10+J10</f>
        <v>0</v>
      </c>
      <c r="L10" s="115"/>
      <c r="M10" s="113"/>
      <c r="N10" s="114">
        <f>K10-M10</f>
        <v>0</v>
      </c>
      <c r="O10" s="114">
        <f>+O9+K10-M10</f>
        <v>0</v>
      </c>
    </row>
    <row r="11" spans="1:18" ht="16.5" x14ac:dyDescent="0.25">
      <c r="A11" s="110">
        <f>+A10+1</f>
        <v>44106</v>
      </c>
      <c r="B11" s="114">
        <f t="shared" ref="B11:B40" si="0">+C11/B$8</f>
        <v>0</v>
      </c>
      <c r="C11" s="86"/>
      <c r="D11" s="114">
        <f>+E11/575</f>
        <v>0</v>
      </c>
      <c r="E11" s="86"/>
      <c r="F11" s="111">
        <f t="shared" ref="F11:F40" si="1">+G11/F$8</f>
        <v>0</v>
      </c>
      <c r="G11" s="114"/>
      <c r="H11" s="114"/>
      <c r="I11" s="114"/>
      <c r="J11" s="114"/>
      <c r="K11" s="115">
        <f t="shared" ref="K11:K40" si="2">C11+E11+G11+H11+I11+J11</f>
        <v>0</v>
      </c>
      <c r="L11" s="115"/>
      <c r="M11" s="86"/>
      <c r="N11" s="114">
        <f t="shared" ref="N11:N38" si="3">K11-M11</f>
        <v>0</v>
      </c>
      <c r="O11" s="114">
        <f t="shared" ref="O11:O38" si="4">+O10+K11-M11</f>
        <v>0</v>
      </c>
    </row>
    <row r="12" spans="1:18" ht="16.5" x14ac:dyDescent="0.25">
      <c r="A12" s="110">
        <f t="shared" ref="A12:A40" si="5">+A11+1</f>
        <v>44107</v>
      </c>
      <c r="B12" s="114">
        <f t="shared" si="0"/>
        <v>0</v>
      </c>
      <c r="C12" s="86"/>
      <c r="D12" s="114">
        <f>+E12/575</f>
        <v>0</v>
      </c>
      <c r="E12" s="86"/>
      <c r="F12" s="111">
        <f t="shared" si="1"/>
        <v>0</v>
      </c>
      <c r="G12" s="114"/>
      <c r="H12" s="114"/>
      <c r="I12" s="114"/>
      <c r="J12" s="114"/>
      <c r="K12" s="115">
        <f t="shared" si="2"/>
        <v>0</v>
      </c>
      <c r="L12" s="804"/>
      <c r="M12" s="86"/>
      <c r="N12" s="114">
        <f t="shared" si="3"/>
        <v>0</v>
      </c>
      <c r="O12" s="114">
        <f t="shared" si="4"/>
        <v>0</v>
      </c>
    </row>
    <row r="13" spans="1:18" ht="16.5" x14ac:dyDescent="0.25">
      <c r="A13" s="110">
        <f t="shared" si="5"/>
        <v>44108</v>
      </c>
      <c r="B13" s="114">
        <f t="shared" si="0"/>
        <v>0</v>
      </c>
      <c r="C13" s="86"/>
      <c r="D13" s="114">
        <f>+E13/575</f>
        <v>3000</v>
      </c>
      <c r="E13" s="86">
        <v>1725000</v>
      </c>
      <c r="F13" s="111">
        <f t="shared" si="1"/>
        <v>0</v>
      </c>
      <c r="G13" s="114"/>
      <c r="H13" s="114"/>
      <c r="I13" s="114"/>
      <c r="J13" s="114"/>
      <c r="K13" s="115">
        <f t="shared" si="2"/>
        <v>1725000</v>
      </c>
      <c r="L13" s="115"/>
      <c r="M13" s="86"/>
      <c r="N13" s="114">
        <f t="shared" si="3"/>
        <v>1725000</v>
      </c>
      <c r="O13" s="114">
        <f t="shared" si="4"/>
        <v>1725000</v>
      </c>
    </row>
    <row r="14" spans="1:18" ht="16.5" x14ac:dyDescent="0.25">
      <c r="A14" s="110">
        <f t="shared" si="5"/>
        <v>44109</v>
      </c>
      <c r="B14" s="114">
        <f t="shared" si="0"/>
        <v>0</v>
      </c>
      <c r="C14" s="86"/>
      <c r="D14" s="114">
        <f t="shared" ref="D14:D39" si="6">+E14/575</f>
        <v>0</v>
      </c>
      <c r="E14" s="86"/>
      <c r="F14" s="111">
        <f t="shared" si="1"/>
        <v>0</v>
      </c>
      <c r="G14" s="114"/>
      <c r="H14" s="114"/>
      <c r="I14" s="114"/>
      <c r="J14" s="114"/>
      <c r="K14" s="115">
        <f t="shared" si="2"/>
        <v>0</v>
      </c>
      <c r="L14" s="115"/>
      <c r="M14" s="86"/>
      <c r="N14" s="114">
        <f t="shared" si="3"/>
        <v>0</v>
      </c>
      <c r="O14" s="114">
        <f t="shared" si="4"/>
        <v>1725000</v>
      </c>
    </row>
    <row r="15" spans="1:18" ht="16.5" x14ac:dyDescent="0.25">
      <c r="A15" s="110">
        <f t="shared" si="5"/>
        <v>44110</v>
      </c>
      <c r="B15" s="114">
        <f t="shared" si="0"/>
        <v>0</v>
      </c>
      <c r="C15" s="86"/>
      <c r="D15" s="114">
        <f t="shared" si="6"/>
        <v>2000</v>
      </c>
      <c r="E15" s="86">
        <v>1150000</v>
      </c>
      <c r="F15" s="111">
        <f t="shared" si="1"/>
        <v>0</v>
      </c>
      <c r="G15" s="114"/>
      <c r="H15" s="114"/>
      <c r="I15" s="114"/>
      <c r="J15" s="114"/>
      <c r="K15" s="115">
        <f t="shared" si="2"/>
        <v>1150000</v>
      </c>
      <c r="L15" s="115"/>
      <c r="M15" s="86"/>
      <c r="N15" s="114">
        <f t="shared" si="3"/>
        <v>1150000</v>
      </c>
      <c r="O15" s="114">
        <f t="shared" si="4"/>
        <v>2875000</v>
      </c>
      <c r="Q15" s="281"/>
      <c r="R15" s="39">
        <f>2000000-24009</f>
        <v>1975991</v>
      </c>
    </row>
    <row r="16" spans="1:18" ht="16.5" x14ac:dyDescent="0.25">
      <c r="A16" s="110">
        <f t="shared" si="5"/>
        <v>44111</v>
      </c>
      <c r="B16" s="114">
        <f t="shared" si="0"/>
        <v>0</v>
      </c>
      <c r="C16" s="86"/>
      <c r="D16" s="114">
        <f t="shared" si="6"/>
        <v>3000</v>
      </c>
      <c r="E16" s="86">
        <v>1725000</v>
      </c>
      <c r="F16" s="111">
        <f t="shared" si="1"/>
        <v>0</v>
      </c>
      <c r="G16" s="114"/>
      <c r="H16" s="114"/>
      <c r="I16" s="114"/>
      <c r="J16" s="114"/>
      <c r="K16" s="115">
        <f t="shared" si="2"/>
        <v>1725000</v>
      </c>
      <c r="L16" s="115"/>
      <c r="M16" s="86"/>
      <c r="N16" s="114">
        <f t="shared" si="3"/>
        <v>1725000</v>
      </c>
      <c r="O16" s="114">
        <f t="shared" si="4"/>
        <v>4600000</v>
      </c>
      <c r="Q16" s="281"/>
    </row>
    <row r="17" spans="1:17" ht="16.5" x14ac:dyDescent="0.25">
      <c r="A17" s="110">
        <f t="shared" si="5"/>
        <v>44112</v>
      </c>
      <c r="B17" s="114">
        <f t="shared" si="0"/>
        <v>0</v>
      </c>
      <c r="C17" s="86"/>
      <c r="D17" s="114">
        <f t="shared" si="6"/>
        <v>0</v>
      </c>
      <c r="E17" s="86"/>
      <c r="F17" s="111">
        <f t="shared" si="1"/>
        <v>0</v>
      </c>
      <c r="G17" s="114"/>
      <c r="H17" s="114"/>
      <c r="I17" s="114"/>
      <c r="J17" s="114"/>
      <c r="K17" s="115">
        <f t="shared" si="2"/>
        <v>0</v>
      </c>
      <c r="L17" s="115"/>
      <c r="M17" s="86"/>
      <c r="N17" s="114">
        <f t="shared" si="3"/>
        <v>0</v>
      </c>
      <c r="O17" s="114">
        <f t="shared" si="4"/>
        <v>4600000</v>
      </c>
      <c r="Q17" s="281"/>
    </row>
    <row r="18" spans="1:17" ht="16.5" x14ac:dyDescent="0.25">
      <c r="A18" s="110">
        <f t="shared" si="5"/>
        <v>44113</v>
      </c>
      <c r="B18" s="114">
        <f t="shared" si="0"/>
        <v>0</v>
      </c>
      <c r="C18" s="86"/>
      <c r="D18" s="114">
        <f t="shared" si="6"/>
        <v>0</v>
      </c>
      <c r="E18" s="86"/>
      <c r="F18" s="111">
        <f t="shared" si="1"/>
        <v>0</v>
      </c>
      <c r="G18" s="118"/>
      <c r="H18" s="118"/>
      <c r="I18" s="118"/>
      <c r="J18" s="118"/>
      <c r="K18" s="115">
        <f t="shared" si="2"/>
        <v>0</v>
      </c>
      <c r="L18" s="115"/>
      <c r="M18" s="86"/>
      <c r="N18" s="114">
        <f t="shared" si="3"/>
        <v>0</v>
      </c>
      <c r="O18" s="118">
        <f t="shared" si="4"/>
        <v>4600000</v>
      </c>
      <c r="Q18" s="281"/>
    </row>
    <row r="19" spans="1:17" ht="16.5" x14ac:dyDescent="0.25">
      <c r="A19" s="110">
        <f t="shared" si="5"/>
        <v>44114</v>
      </c>
      <c r="B19" s="114">
        <f t="shared" si="0"/>
        <v>0</v>
      </c>
      <c r="C19" s="86"/>
      <c r="D19" s="114">
        <f t="shared" si="6"/>
        <v>0</v>
      </c>
      <c r="E19" s="86"/>
      <c r="F19" s="111">
        <f t="shared" si="1"/>
        <v>0</v>
      </c>
      <c r="G19" s="118"/>
      <c r="H19" s="118"/>
      <c r="I19" s="118"/>
      <c r="J19" s="118"/>
      <c r="K19" s="115">
        <f>C19+E19+G19+H19+I19+J19</f>
        <v>0</v>
      </c>
      <c r="L19" s="115"/>
      <c r="M19" s="86"/>
      <c r="N19" s="114">
        <f t="shared" si="3"/>
        <v>0</v>
      </c>
      <c r="O19" s="118">
        <f t="shared" si="4"/>
        <v>4600000</v>
      </c>
      <c r="Q19" s="281"/>
    </row>
    <row r="20" spans="1:17" ht="16.5" x14ac:dyDescent="0.25">
      <c r="A20" s="110">
        <f t="shared" si="5"/>
        <v>44115</v>
      </c>
      <c r="B20" s="114">
        <f t="shared" si="0"/>
        <v>0</v>
      </c>
      <c r="C20" s="86"/>
      <c r="D20" s="114">
        <f t="shared" si="6"/>
        <v>0</v>
      </c>
      <c r="E20" s="86"/>
      <c r="F20" s="111">
        <f t="shared" si="1"/>
        <v>0</v>
      </c>
      <c r="G20" s="118"/>
      <c r="H20" s="118"/>
      <c r="I20" s="118"/>
      <c r="J20" s="118"/>
      <c r="K20" s="115">
        <f t="shared" si="2"/>
        <v>0</v>
      </c>
      <c r="L20" s="115"/>
      <c r="M20" s="86"/>
      <c r="N20" s="114">
        <f t="shared" si="3"/>
        <v>0</v>
      </c>
      <c r="O20" s="118">
        <f t="shared" si="4"/>
        <v>4600000</v>
      </c>
      <c r="Q20" s="281"/>
    </row>
    <row r="21" spans="1:17" ht="16.5" x14ac:dyDescent="0.25">
      <c r="A21" s="110">
        <f t="shared" si="5"/>
        <v>44116</v>
      </c>
      <c r="B21" s="114">
        <f t="shared" si="0"/>
        <v>0</v>
      </c>
      <c r="C21" s="86"/>
      <c r="D21" s="114">
        <f t="shared" si="6"/>
        <v>0</v>
      </c>
      <c r="E21" s="86"/>
      <c r="F21" s="111">
        <f t="shared" si="1"/>
        <v>0</v>
      </c>
      <c r="G21" s="118"/>
      <c r="H21" s="118"/>
      <c r="I21" s="118"/>
      <c r="J21" s="118"/>
      <c r="K21" s="115">
        <f t="shared" si="2"/>
        <v>0</v>
      </c>
      <c r="L21" s="115"/>
      <c r="M21" s="86"/>
      <c r="N21" s="114">
        <f t="shared" si="3"/>
        <v>0</v>
      </c>
      <c r="O21" s="118">
        <f>+O20+K21-M21</f>
        <v>4600000</v>
      </c>
      <c r="Q21" s="281"/>
    </row>
    <row r="22" spans="1:17" ht="16.5" x14ac:dyDescent="0.25">
      <c r="A22" s="110">
        <f t="shared" si="5"/>
        <v>44117</v>
      </c>
      <c r="B22" s="114">
        <f t="shared" si="0"/>
        <v>0</v>
      </c>
      <c r="C22" s="86"/>
      <c r="D22" s="114">
        <f t="shared" si="6"/>
        <v>0</v>
      </c>
      <c r="E22" s="86"/>
      <c r="F22" s="111">
        <f t="shared" si="1"/>
        <v>0</v>
      </c>
      <c r="G22" s="118"/>
      <c r="H22" s="118"/>
      <c r="I22" s="118"/>
      <c r="J22" s="118"/>
      <c r="K22" s="115">
        <f t="shared" si="2"/>
        <v>0</v>
      </c>
      <c r="L22" s="115"/>
      <c r="M22" s="86"/>
      <c r="N22" s="114">
        <f t="shared" si="3"/>
        <v>0</v>
      </c>
      <c r="O22" s="118">
        <f t="shared" si="4"/>
        <v>4600000</v>
      </c>
      <c r="Q22" s="281"/>
    </row>
    <row r="23" spans="1:17" ht="16.5" x14ac:dyDescent="0.25">
      <c r="A23" s="110">
        <f t="shared" si="5"/>
        <v>44118</v>
      </c>
      <c r="B23" s="114">
        <f t="shared" si="0"/>
        <v>0</v>
      </c>
      <c r="C23" s="86"/>
      <c r="D23" s="114">
        <f t="shared" si="6"/>
        <v>0</v>
      </c>
      <c r="E23" s="86"/>
      <c r="F23" s="111">
        <f t="shared" si="1"/>
        <v>0</v>
      </c>
      <c r="G23" s="118"/>
      <c r="H23" s="118"/>
      <c r="I23" s="118"/>
      <c r="J23" s="118"/>
      <c r="K23" s="115">
        <f t="shared" si="2"/>
        <v>0</v>
      </c>
      <c r="L23" s="115"/>
      <c r="M23" s="86"/>
      <c r="N23" s="114">
        <f t="shared" si="3"/>
        <v>0</v>
      </c>
      <c r="O23" s="118">
        <f t="shared" si="4"/>
        <v>4600000</v>
      </c>
      <c r="Q23" s="281"/>
    </row>
    <row r="24" spans="1:17" ht="16.5" x14ac:dyDescent="0.25">
      <c r="A24" s="110">
        <f t="shared" si="5"/>
        <v>44119</v>
      </c>
      <c r="B24" s="114">
        <f t="shared" si="0"/>
        <v>0</v>
      </c>
      <c r="C24" s="86"/>
      <c r="D24" s="114">
        <f t="shared" si="6"/>
        <v>0</v>
      </c>
      <c r="E24" s="86"/>
      <c r="F24" s="111">
        <f t="shared" si="1"/>
        <v>0</v>
      </c>
      <c r="G24" s="118"/>
      <c r="H24" s="118"/>
      <c r="I24" s="118"/>
      <c r="J24" s="118"/>
      <c r="K24" s="115">
        <f t="shared" si="2"/>
        <v>0</v>
      </c>
      <c r="L24" s="115"/>
      <c r="M24" s="86"/>
      <c r="N24" s="114">
        <f t="shared" si="3"/>
        <v>0</v>
      </c>
      <c r="O24" s="118">
        <f t="shared" si="4"/>
        <v>4600000</v>
      </c>
      <c r="Q24" s="281"/>
    </row>
    <row r="25" spans="1:17" ht="16.5" x14ac:dyDescent="0.25">
      <c r="A25" s="110">
        <f t="shared" si="5"/>
        <v>44120</v>
      </c>
      <c r="B25" s="114">
        <f t="shared" si="0"/>
        <v>0</v>
      </c>
      <c r="C25" s="86"/>
      <c r="D25" s="114">
        <f t="shared" si="6"/>
        <v>0</v>
      </c>
      <c r="E25" s="86"/>
      <c r="F25" s="111">
        <f t="shared" si="1"/>
        <v>0</v>
      </c>
      <c r="G25" s="118"/>
      <c r="H25" s="118"/>
      <c r="I25" s="118"/>
      <c r="J25" s="118"/>
      <c r="K25" s="115">
        <f t="shared" si="2"/>
        <v>0</v>
      </c>
      <c r="L25" s="115"/>
      <c r="M25" s="86"/>
      <c r="N25" s="118">
        <f t="shared" si="3"/>
        <v>0</v>
      </c>
      <c r="O25" s="118">
        <f t="shared" si="4"/>
        <v>4600000</v>
      </c>
      <c r="Q25" s="281"/>
    </row>
    <row r="26" spans="1:17" ht="16.5" x14ac:dyDescent="0.25">
      <c r="A26" s="110">
        <f t="shared" si="5"/>
        <v>44121</v>
      </c>
      <c r="B26" s="114">
        <f t="shared" si="0"/>
        <v>0</v>
      </c>
      <c r="C26" s="86"/>
      <c r="D26" s="114">
        <f t="shared" si="6"/>
        <v>0</v>
      </c>
      <c r="E26" s="86"/>
      <c r="F26" s="111">
        <f t="shared" si="1"/>
        <v>0</v>
      </c>
      <c r="G26" s="118"/>
      <c r="H26" s="118"/>
      <c r="I26" s="118"/>
      <c r="J26" s="118"/>
      <c r="K26" s="115">
        <f t="shared" si="2"/>
        <v>0</v>
      </c>
      <c r="L26" s="115"/>
      <c r="M26" s="86"/>
      <c r="N26" s="118">
        <f t="shared" si="3"/>
        <v>0</v>
      </c>
      <c r="O26" s="118">
        <f t="shared" si="4"/>
        <v>4600000</v>
      </c>
      <c r="Q26" s="281"/>
    </row>
    <row r="27" spans="1:17" ht="16.5" x14ac:dyDescent="0.25">
      <c r="A27" s="110">
        <f t="shared" si="5"/>
        <v>44122</v>
      </c>
      <c r="B27" s="114">
        <f t="shared" si="0"/>
        <v>0</v>
      </c>
      <c r="C27" s="86"/>
      <c r="D27" s="114">
        <f t="shared" si="6"/>
        <v>0</v>
      </c>
      <c r="E27" s="86"/>
      <c r="F27" s="111">
        <f t="shared" si="1"/>
        <v>0</v>
      </c>
      <c r="G27" s="118"/>
      <c r="H27" s="118"/>
      <c r="I27" s="118"/>
      <c r="J27" s="118"/>
      <c r="K27" s="115">
        <f t="shared" si="2"/>
        <v>0</v>
      </c>
      <c r="L27" s="115"/>
      <c r="M27" s="86"/>
      <c r="N27" s="118">
        <f t="shared" si="3"/>
        <v>0</v>
      </c>
      <c r="O27" s="118">
        <f t="shared" si="4"/>
        <v>4600000</v>
      </c>
      <c r="Q27" s="281"/>
    </row>
    <row r="28" spans="1:17" ht="16.5" x14ac:dyDescent="0.25">
      <c r="A28" s="110">
        <f t="shared" si="5"/>
        <v>44123</v>
      </c>
      <c r="B28" s="114">
        <f t="shared" si="0"/>
        <v>0</v>
      </c>
      <c r="C28" s="86"/>
      <c r="D28" s="114">
        <f t="shared" si="6"/>
        <v>0</v>
      </c>
      <c r="E28" s="86"/>
      <c r="F28" s="111">
        <f t="shared" si="1"/>
        <v>0</v>
      </c>
      <c r="G28" s="118"/>
      <c r="H28" s="118"/>
      <c r="I28" s="118"/>
      <c r="J28" s="118"/>
      <c r="K28" s="115">
        <f t="shared" si="2"/>
        <v>0</v>
      </c>
      <c r="L28" s="115"/>
      <c r="M28" s="1755"/>
      <c r="N28" s="118">
        <f t="shared" si="3"/>
        <v>0</v>
      </c>
      <c r="O28" s="118">
        <f t="shared" si="4"/>
        <v>4600000</v>
      </c>
      <c r="P28" s="281"/>
      <c r="Q28" s="281"/>
    </row>
    <row r="29" spans="1:17" ht="16.5" x14ac:dyDescent="0.25">
      <c r="A29" s="110">
        <f t="shared" si="5"/>
        <v>44124</v>
      </c>
      <c r="B29" s="114">
        <f t="shared" si="0"/>
        <v>0</v>
      </c>
      <c r="C29" s="86"/>
      <c r="D29" s="114">
        <f t="shared" si="6"/>
        <v>0</v>
      </c>
      <c r="E29" s="86"/>
      <c r="F29" s="111">
        <f t="shared" si="1"/>
        <v>0</v>
      </c>
      <c r="G29" s="118"/>
      <c r="H29" s="118"/>
      <c r="I29" s="118"/>
      <c r="J29" s="118"/>
      <c r="K29" s="115">
        <f t="shared" si="2"/>
        <v>0</v>
      </c>
      <c r="L29" s="115"/>
      <c r="M29" s="86"/>
      <c r="N29" s="118">
        <f t="shared" si="3"/>
        <v>0</v>
      </c>
      <c r="O29" s="118">
        <f t="shared" si="4"/>
        <v>4600000</v>
      </c>
      <c r="Q29" s="281"/>
    </row>
    <row r="30" spans="1:17" ht="16.5" x14ac:dyDescent="0.25">
      <c r="A30" s="110">
        <f t="shared" si="5"/>
        <v>44125</v>
      </c>
      <c r="B30" s="114">
        <f t="shared" si="0"/>
        <v>0</v>
      </c>
      <c r="C30" s="86"/>
      <c r="D30" s="114">
        <f t="shared" si="6"/>
        <v>0</v>
      </c>
      <c r="E30" s="86"/>
      <c r="F30" s="111">
        <f t="shared" si="1"/>
        <v>0</v>
      </c>
      <c r="G30" s="118"/>
      <c r="H30" s="118"/>
      <c r="I30" s="118"/>
      <c r="J30" s="118"/>
      <c r="K30" s="115">
        <f t="shared" si="2"/>
        <v>0</v>
      </c>
      <c r="L30" s="115"/>
      <c r="M30" s="86"/>
      <c r="N30" s="118">
        <f t="shared" si="3"/>
        <v>0</v>
      </c>
      <c r="O30" s="118">
        <f t="shared" si="4"/>
        <v>4600000</v>
      </c>
      <c r="Q30" s="281"/>
    </row>
    <row r="31" spans="1:17" s="250" customFormat="1" ht="16.5" x14ac:dyDescent="0.25">
      <c r="A31" s="827">
        <f t="shared" si="5"/>
        <v>44126</v>
      </c>
      <c r="B31" s="118">
        <f t="shared" si="0"/>
        <v>0</v>
      </c>
      <c r="C31" s="86"/>
      <c r="D31" s="114">
        <f t="shared" si="6"/>
        <v>0</v>
      </c>
      <c r="E31" s="86"/>
      <c r="F31" s="117">
        <f t="shared" si="1"/>
        <v>0</v>
      </c>
      <c r="G31" s="118"/>
      <c r="H31" s="118"/>
      <c r="I31" s="118"/>
      <c r="J31" s="118"/>
      <c r="K31" s="134">
        <f t="shared" si="2"/>
        <v>0</v>
      </c>
      <c r="L31" s="134"/>
      <c r="M31" s="86"/>
      <c r="N31" s="118">
        <f t="shared" si="3"/>
        <v>0</v>
      </c>
      <c r="O31" s="118">
        <f>+O30+K31-M31</f>
        <v>4600000</v>
      </c>
      <c r="Q31" s="281"/>
    </row>
    <row r="32" spans="1:17" ht="16.5" x14ac:dyDescent="0.25">
      <c r="A32" s="110">
        <f t="shared" si="5"/>
        <v>44127</v>
      </c>
      <c r="B32" s="114">
        <f t="shared" si="0"/>
        <v>0</v>
      </c>
      <c r="C32" s="86"/>
      <c r="D32" s="114">
        <f t="shared" si="6"/>
        <v>0</v>
      </c>
      <c r="E32" s="86"/>
      <c r="F32" s="111">
        <f t="shared" si="1"/>
        <v>0</v>
      </c>
      <c r="G32" s="118"/>
      <c r="H32" s="118"/>
      <c r="I32" s="118"/>
      <c r="J32" s="118"/>
      <c r="K32" s="115">
        <f t="shared" si="2"/>
        <v>0</v>
      </c>
      <c r="L32" s="115"/>
      <c r="M32" s="86"/>
      <c r="N32" s="118">
        <f t="shared" si="3"/>
        <v>0</v>
      </c>
      <c r="O32" s="118">
        <f t="shared" si="4"/>
        <v>4600000</v>
      </c>
      <c r="Q32" s="281"/>
    </row>
    <row r="33" spans="1:17" ht="16.5" x14ac:dyDescent="0.25">
      <c r="A33" s="110">
        <f t="shared" si="5"/>
        <v>44128</v>
      </c>
      <c r="B33" s="114">
        <f t="shared" si="0"/>
        <v>0</v>
      </c>
      <c r="C33" s="86"/>
      <c r="D33" s="114">
        <f t="shared" si="6"/>
        <v>0</v>
      </c>
      <c r="E33" s="86"/>
      <c r="F33" s="111">
        <f t="shared" si="1"/>
        <v>0</v>
      </c>
      <c r="G33" s="114"/>
      <c r="H33" s="114"/>
      <c r="I33" s="114"/>
      <c r="J33" s="114"/>
      <c r="K33" s="115">
        <f t="shared" si="2"/>
        <v>0</v>
      </c>
      <c r="L33" s="115"/>
      <c r="M33" s="86"/>
      <c r="N33" s="114">
        <f t="shared" si="3"/>
        <v>0</v>
      </c>
      <c r="O33" s="114">
        <f t="shared" si="4"/>
        <v>4600000</v>
      </c>
      <c r="Q33" s="281"/>
    </row>
    <row r="34" spans="1:17" ht="16.5" x14ac:dyDescent="0.25">
      <c r="A34" s="110">
        <f t="shared" si="5"/>
        <v>44129</v>
      </c>
      <c r="B34" s="114">
        <f t="shared" si="0"/>
        <v>0</v>
      </c>
      <c r="C34" s="86"/>
      <c r="D34" s="114">
        <f t="shared" si="6"/>
        <v>0</v>
      </c>
      <c r="E34" s="86"/>
      <c r="F34" s="111">
        <f t="shared" si="1"/>
        <v>0</v>
      </c>
      <c r="G34" s="114"/>
      <c r="H34" s="114"/>
      <c r="I34" s="114"/>
      <c r="J34" s="114"/>
      <c r="K34" s="115">
        <f t="shared" si="2"/>
        <v>0</v>
      </c>
      <c r="L34" s="115"/>
      <c r="M34" s="86"/>
      <c r="N34" s="114">
        <f t="shared" si="3"/>
        <v>0</v>
      </c>
      <c r="O34" s="114">
        <f t="shared" si="4"/>
        <v>4600000</v>
      </c>
      <c r="Q34" s="281"/>
    </row>
    <row r="35" spans="1:17" ht="16.5" x14ac:dyDescent="0.25">
      <c r="A35" s="110">
        <f t="shared" si="5"/>
        <v>44130</v>
      </c>
      <c r="B35" s="114">
        <f t="shared" si="0"/>
        <v>0</v>
      </c>
      <c r="C35" s="86"/>
      <c r="D35" s="114">
        <f t="shared" si="6"/>
        <v>0</v>
      </c>
      <c r="E35" s="86"/>
      <c r="F35" s="111">
        <f t="shared" si="1"/>
        <v>0</v>
      </c>
      <c r="G35" s="114"/>
      <c r="H35" s="114"/>
      <c r="I35" s="114"/>
      <c r="J35" s="114"/>
      <c r="K35" s="115">
        <f t="shared" si="2"/>
        <v>0</v>
      </c>
      <c r="L35" s="115"/>
      <c r="M35" s="86"/>
      <c r="N35" s="114">
        <f t="shared" si="3"/>
        <v>0</v>
      </c>
      <c r="O35" s="114">
        <f t="shared" si="4"/>
        <v>4600000</v>
      </c>
      <c r="Q35" s="281"/>
    </row>
    <row r="36" spans="1:17" ht="16.5" x14ac:dyDescent="0.25">
      <c r="A36" s="110">
        <f t="shared" si="5"/>
        <v>44131</v>
      </c>
      <c r="B36" s="114">
        <f t="shared" si="0"/>
        <v>0</v>
      </c>
      <c r="C36" s="86"/>
      <c r="D36" s="114">
        <f t="shared" si="6"/>
        <v>0</v>
      </c>
      <c r="E36" s="86"/>
      <c r="F36" s="111">
        <f t="shared" si="1"/>
        <v>0</v>
      </c>
      <c r="G36" s="114"/>
      <c r="H36" s="114"/>
      <c r="I36" s="114"/>
      <c r="J36" s="114"/>
      <c r="K36" s="115">
        <f t="shared" si="2"/>
        <v>0</v>
      </c>
      <c r="L36" s="115"/>
      <c r="M36" s="113"/>
      <c r="N36" s="114">
        <f t="shared" si="3"/>
        <v>0</v>
      </c>
      <c r="O36" s="114">
        <f t="shared" si="4"/>
        <v>4600000</v>
      </c>
      <c r="Q36" s="281"/>
    </row>
    <row r="37" spans="1:17" ht="16.5" x14ac:dyDescent="0.25">
      <c r="A37" s="110">
        <f t="shared" si="5"/>
        <v>44132</v>
      </c>
      <c r="B37" s="114">
        <f t="shared" si="0"/>
        <v>0</v>
      </c>
      <c r="C37" s="86"/>
      <c r="D37" s="114">
        <f t="shared" si="6"/>
        <v>0</v>
      </c>
      <c r="E37" s="86"/>
      <c r="F37" s="111">
        <f t="shared" si="1"/>
        <v>0</v>
      </c>
      <c r="G37" s="114"/>
      <c r="H37" s="114"/>
      <c r="I37" s="114"/>
      <c r="J37" s="114"/>
      <c r="K37" s="115">
        <f t="shared" si="2"/>
        <v>0</v>
      </c>
      <c r="L37" s="115"/>
      <c r="M37" s="113"/>
      <c r="N37" s="114">
        <f t="shared" si="3"/>
        <v>0</v>
      </c>
      <c r="O37" s="114">
        <f t="shared" si="4"/>
        <v>4600000</v>
      </c>
      <c r="Q37" s="281"/>
    </row>
    <row r="38" spans="1:17" ht="16.5" x14ac:dyDescent="0.25">
      <c r="A38" s="110">
        <f t="shared" si="5"/>
        <v>44133</v>
      </c>
      <c r="B38" s="114">
        <f t="shared" si="0"/>
        <v>0</v>
      </c>
      <c r="C38" s="113"/>
      <c r="D38" s="114">
        <f t="shared" si="6"/>
        <v>0</v>
      </c>
      <c r="E38" s="113"/>
      <c r="F38" s="111">
        <f t="shared" si="1"/>
        <v>0</v>
      </c>
      <c r="G38" s="114"/>
      <c r="H38" s="114"/>
      <c r="I38" s="114"/>
      <c r="J38" s="114"/>
      <c r="K38" s="115">
        <f t="shared" si="2"/>
        <v>0</v>
      </c>
      <c r="L38" s="115"/>
      <c r="M38" s="113"/>
      <c r="N38" s="114">
        <f t="shared" si="3"/>
        <v>0</v>
      </c>
      <c r="O38" s="114">
        <f t="shared" si="4"/>
        <v>4600000</v>
      </c>
      <c r="Q38" s="281"/>
    </row>
    <row r="39" spans="1:17" ht="16.5" x14ac:dyDescent="0.25">
      <c r="A39" s="110">
        <f t="shared" si="5"/>
        <v>44134</v>
      </c>
      <c r="B39" s="114">
        <f t="shared" si="0"/>
        <v>0</v>
      </c>
      <c r="C39" s="113"/>
      <c r="D39" s="114">
        <f t="shared" si="6"/>
        <v>0</v>
      </c>
      <c r="E39" s="113"/>
      <c r="F39" s="111">
        <f t="shared" si="1"/>
        <v>0</v>
      </c>
      <c r="G39" s="114"/>
      <c r="H39" s="114"/>
      <c r="I39" s="114"/>
      <c r="J39" s="114"/>
      <c r="K39" s="115">
        <f t="shared" si="2"/>
        <v>0</v>
      </c>
      <c r="L39" s="115"/>
      <c r="M39" s="113"/>
      <c r="N39" s="114">
        <f>K39-M39</f>
        <v>0</v>
      </c>
      <c r="O39" s="114">
        <f>+O38+K39-M39</f>
        <v>4600000</v>
      </c>
      <c r="Q39" s="281"/>
    </row>
    <row r="40" spans="1:17" ht="16.5" x14ac:dyDescent="0.25">
      <c r="A40" s="110">
        <f t="shared" si="5"/>
        <v>44135</v>
      </c>
      <c r="B40" s="114">
        <f t="shared" si="0"/>
        <v>0</v>
      </c>
      <c r="C40" s="113"/>
      <c r="D40" s="114">
        <f>+E40/520</f>
        <v>0</v>
      </c>
      <c r="E40" s="113"/>
      <c r="F40" s="111">
        <f t="shared" si="1"/>
        <v>0</v>
      </c>
      <c r="G40" s="114"/>
      <c r="H40" s="114"/>
      <c r="I40" s="114"/>
      <c r="J40" s="114"/>
      <c r="K40" s="115">
        <f t="shared" si="2"/>
        <v>0</v>
      </c>
      <c r="L40" s="115"/>
      <c r="M40" s="113"/>
      <c r="N40" s="114">
        <f>K40-M40</f>
        <v>0</v>
      </c>
      <c r="O40" s="120">
        <f>+O39+K40-M40</f>
        <v>4600000</v>
      </c>
      <c r="Q40" s="281"/>
    </row>
    <row r="41" spans="1:17" ht="16.5" x14ac:dyDescent="0.2">
      <c r="A41" s="121" t="s">
        <v>18</v>
      </c>
      <c r="B41" s="115">
        <f t="shared" ref="B41:M41" si="7">SUM(B10:B40)</f>
        <v>0</v>
      </c>
      <c r="C41" s="115">
        <f>SUM(C10:C40)</f>
        <v>0</v>
      </c>
      <c r="D41" s="122">
        <f t="shared" si="7"/>
        <v>8000</v>
      </c>
      <c r="E41" s="115">
        <f>SUM(E10:E40)</f>
        <v>4600000</v>
      </c>
      <c r="F41" s="115">
        <f>SUM(F10:F40)</f>
        <v>0</v>
      </c>
      <c r="G41" s="115">
        <f t="shared" si="7"/>
        <v>0</v>
      </c>
      <c r="H41" s="115">
        <f t="shared" si="7"/>
        <v>0</v>
      </c>
      <c r="I41" s="115">
        <f t="shared" si="7"/>
        <v>0</v>
      </c>
      <c r="J41" s="115">
        <f t="shared" si="7"/>
        <v>0</v>
      </c>
      <c r="K41" s="115">
        <f>SUM(K10:K40)</f>
        <v>4600000</v>
      </c>
      <c r="L41" s="115"/>
      <c r="M41" s="115">
        <f t="shared" si="7"/>
        <v>0</v>
      </c>
      <c r="N41" s="120">
        <f>SUM(N9:N40)</f>
        <v>4600000</v>
      </c>
      <c r="O41" s="123"/>
    </row>
    <row r="42" spans="1:17" ht="13.5" x14ac:dyDescent="0.2">
      <c r="A42" s="26"/>
      <c r="B42" s="26"/>
      <c r="C42" s="26"/>
      <c r="D42" s="27"/>
      <c r="E42" s="26"/>
      <c r="F42" s="26"/>
      <c r="G42" s="26"/>
      <c r="H42" s="26"/>
      <c r="I42" s="26"/>
      <c r="J42" s="26"/>
      <c r="K42" s="26"/>
      <c r="L42" s="26"/>
      <c r="M42" s="26"/>
      <c r="N42" s="26"/>
      <c r="O42" s="26"/>
      <c r="P42" s="39">
        <f>1524913-801000</f>
        <v>723913</v>
      </c>
    </row>
    <row r="43" spans="1:17" ht="13.5" x14ac:dyDescent="0.25">
      <c r="A43" s="10" t="s">
        <v>121</v>
      </c>
      <c r="B43" s="10" t="s">
        <v>61</v>
      </c>
      <c r="C43" s="10" t="s">
        <v>122</v>
      </c>
      <c r="D43" s="28" t="s">
        <v>39</v>
      </c>
    </row>
    <row r="44" spans="1:17" ht="13.5" x14ac:dyDescent="0.25">
      <c r="A44" s="10" t="s">
        <v>15</v>
      </c>
      <c r="B44" s="24">
        <f>B41</f>
        <v>0</v>
      </c>
      <c r="C44" s="10"/>
      <c r="D44" s="28">
        <f>B44*C44</f>
        <v>0</v>
      </c>
    </row>
    <row r="45" spans="1:17" ht="13.5" x14ac:dyDescent="0.25">
      <c r="A45" s="10" t="s">
        <v>16</v>
      </c>
      <c r="B45" s="28">
        <f>D41</f>
        <v>8000</v>
      </c>
      <c r="C45" s="10">
        <v>2</v>
      </c>
      <c r="D45" s="28">
        <f>B45*C45</f>
        <v>16000</v>
      </c>
      <c r="H45" s="21"/>
      <c r="K45" s="21"/>
      <c r="L45" s="21"/>
      <c r="M45" s="21"/>
      <c r="N45" s="21"/>
    </row>
    <row r="46" spans="1:17" ht="13.5" x14ac:dyDescent="0.25">
      <c r="A46" s="10" t="s">
        <v>17</v>
      </c>
      <c r="B46" s="24">
        <f>F41</f>
        <v>0</v>
      </c>
      <c r="C46" s="10"/>
      <c r="D46" s="28">
        <f>B46*C46</f>
        <v>0</v>
      </c>
      <c r="E46" s="14"/>
      <c r="O46" s="21"/>
    </row>
    <row r="47" spans="1:17" ht="13.5" x14ac:dyDescent="0.25">
      <c r="A47" s="33" t="s">
        <v>18</v>
      </c>
      <c r="B47" s="34"/>
      <c r="C47" s="35"/>
      <c r="D47" s="28">
        <f>SUM(D44:D46)</f>
        <v>16000</v>
      </c>
      <c r="O47" s="21"/>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10" orientation="portrait" r:id="rId1"/>
  <drawing r:id="rId2"/>
  <legacy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2">
    <tabColor theme="4" tint="-0.249977111117893"/>
    <pageSetUpPr fitToPage="1"/>
  </sheetPr>
  <dimension ref="A2:P48"/>
  <sheetViews>
    <sheetView topLeftCell="A19" zoomScaleNormal="100" workbookViewId="0">
      <selection activeCell="J18" sqref="J18"/>
    </sheetView>
  </sheetViews>
  <sheetFormatPr baseColWidth="10" defaultColWidth="14" defaultRowHeight="15" x14ac:dyDescent="0.2"/>
  <cols>
    <col min="1" max="4" width="14" style="37"/>
    <col min="5" max="5" width="15.7109375" style="37" customWidth="1"/>
    <col min="6" max="10" width="14" style="37"/>
    <col min="11" max="11" width="18.7109375" style="37" customWidth="1"/>
    <col min="12" max="12" width="18.28515625" style="37" customWidth="1"/>
    <col min="13" max="13" width="16.7109375" style="37" customWidth="1"/>
    <col min="14" max="14" width="15.5703125" style="37" customWidth="1"/>
    <col min="15" max="15" width="15.28515625" style="37" customWidth="1"/>
    <col min="16" max="16384" width="14" style="37"/>
  </cols>
  <sheetData>
    <row r="2" spans="1:16" ht="16.5" x14ac:dyDescent="0.3">
      <c r="A2" s="1" t="s">
        <v>118</v>
      </c>
      <c r="B2" s="1" t="s">
        <v>1693</v>
      </c>
    </row>
    <row r="3" spans="1:16" ht="15.75" x14ac:dyDescent="0.25">
      <c r="C3" s="99"/>
    </row>
    <row r="4" spans="1:16" ht="16.5" x14ac:dyDescent="0.3">
      <c r="A4" s="1" t="s">
        <v>19</v>
      </c>
      <c r="B4" s="2">
        <f>+HERAKLESS!C3</f>
        <v>43160</v>
      </c>
      <c r="C4" s="1"/>
    </row>
    <row r="5" spans="1:16" ht="16.5" x14ac:dyDescent="0.3">
      <c r="A5" s="1"/>
      <c r="B5" s="1"/>
      <c r="C5" s="1"/>
    </row>
    <row r="6" spans="1:16" ht="16.5" x14ac:dyDescent="0.2">
      <c r="A6" s="100" t="s">
        <v>3</v>
      </c>
      <c r="B6" s="1745" t="s">
        <v>15</v>
      </c>
      <c r="C6" s="1746"/>
      <c r="D6" s="1745" t="s">
        <v>16</v>
      </c>
      <c r="E6" s="1746"/>
      <c r="F6" s="1745" t="s">
        <v>17</v>
      </c>
      <c r="G6" s="1746"/>
      <c r="H6" s="2910" t="s">
        <v>52</v>
      </c>
      <c r="I6" s="2910" t="s">
        <v>53</v>
      </c>
      <c r="J6" s="2910" t="s">
        <v>119</v>
      </c>
      <c r="K6" s="2910" t="s">
        <v>18</v>
      </c>
      <c r="L6" s="3062" t="s">
        <v>416</v>
      </c>
      <c r="M6" s="2910" t="s">
        <v>60</v>
      </c>
      <c r="N6" s="2910" t="s">
        <v>55</v>
      </c>
      <c r="O6" s="2910" t="s">
        <v>120</v>
      </c>
    </row>
    <row r="7" spans="1:16" ht="21" x14ac:dyDescent="0.2">
      <c r="A7" s="103"/>
      <c r="B7" s="915">
        <v>630</v>
      </c>
      <c r="C7" s="916"/>
      <c r="D7" s="915">
        <v>575</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v>38926175</v>
      </c>
      <c r="O8" s="118">
        <f>N8</f>
        <v>38926175</v>
      </c>
    </row>
    <row r="9" spans="1:16" s="94" customFormat="1" ht="16.5" x14ac:dyDescent="0.3">
      <c r="A9" s="110">
        <f>+HERAKLESS!A8</f>
        <v>44105</v>
      </c>
      <c r="B9" s="118">
        <f>C9/B$7</f>
        <v>0</v>
      </c>
      <c r="C9" s="189"/>
      <c r="D9" s="117">
        <f>+E9/D$7</f>
        <v>0</v>
      </c>
      <c r="E9" s="279"/>
      <c r="F9" s="117">
        <f>+G9/F$7</f>
        <v>0</v>
      </c>
      <c r="G9" s="118"/>
      <c r="H9" s="118"/>
      <c r="I9" s="118"/>
      <c r="J9" s="118"/>
      <c r="K9" s="134">
        <f>C9+E9+G9+H9+I9+J9</f>
        <v>0</v>
      </c>
      <c r="L9" s="134"/>
      <c r="M9" s="86"/>
      <c r="N9" s="118">
        <f>K9-M9</f>
        <v>0</v>
      </c>
      <c r="O9" s="118">
        <f>+O8+K9-M9</f>
        <v>38926175</v>
      </c>
    </row>
    <row r="10" spans="1:16" s="94" customFormat="1" ht="16.5" x14ac:dyDescent="0.3">
      <c r="A10" s="110">
        <f>+A9+1</f>
        <v>44106</v>
      </c>
      <c r="B10" s="118">
        <f t="shared" ref="B10:B39" si="0">C10/B$7</f>
        <v>0</v>
      </c>
      <c r="C10" s="189"/>
      <c r="D10" s="117">
        <f t="shared" ref="D10:D39" si="1">+E10/D$7</f>
        <v>0</v>
      </c>
      <c r="E10" s="275"/>
      <c r="F10" s="117">
        <f>+G10/F$7</f>
        <v>0</v>
      </c>
      <c r="G10" s="118"/>
      <c r="H10" s="118"/>
      <c r="I10" s="118"/>
      <c r="J10" s="118"/>
      <c r="K10" s="134">
        <f t="shared" ref="K10:K39" si="2">C10+E10+G10+H10+I10+J10</f>
        <v>0</v>
      </c>
      <c r="L10" s="134"/>
      <c r="M10" s="86"/>
      <c r="N10" s="118">
        <f t="shared" ref="N10:N37" si="3">K10-M10</f>
        <v>0</v>
      </c>
      <c r="O10" s="118">
        <f t="shared" ref="O10:O37" si="4">+O9+K10-M10</f>
        <v>38926175</v>
      </c>
    </row>
    <row r="11" spans="1:16" s="94" customFormat="1" ht="16.5" x14ac:dyDescent="0.25">
      <c r="A11" s="110">
        <f t="shared" ref="A11:A39" si="5">+A10+1</f>
        <v>44107</v>
      </c>
      <c r="B11" s="118">
        <f t="shared" si="0"/>
        <v>0</v>
      </c>
      <c r="C11" s="86"/>
      <c r="D11" s="117">
        <f t="shared" si="1"/>
        <v>0</v>
      </c>
      <c r="E11" s="275"/>
      <c r="F11" s="117">
        <f t="shared" ref="F11:F39" si="6">+G11/F$7</f>
        <v>0</v>
      </c>
      <c r="G11" s="118"/>
      <c r="H11" s="118"/>
      <c r="I11" s="118"/>
      <c r="J11" s="118"/>
      <c r="K11" s="134">
        <f t="shared" si="2"/>
        <v>0</v>
      </c>
      <c r="L11" s="831"/>
      <c r="M11" s="86"/>
      <c r="N11" s="118"/>
      <c r="O11" s="118">
        <f t="shared" si="4"/>
        <v>38926175</v>
      </c>
    </row>
    <row r="12" spans="1:16" s="94" customFormat="1" ht="16.5" x14ac:dyDescent="0.25">
      <c r="A12" s="110">
        <f t="shared" si="5"/>
        <v>44108</v>
      </c>
      <c r="B12" s="118">
        <f t="shared" si="0"/>
        <v>0</v>
      </c>
      <c r="C12" s="86"/>
      <c r="D12" s="117">
        <f t="shared" si="1"/>
        <v>0</v>
      </c>
      <c r="E12" s="279"/>
      <c r="F12" s="117">
        <f t="shared" si="6"/>
        <v>0</v>
      </c>
      <c r="G12" s="118"/>
      <c r="H12" s="118"/>
      <c r="I12" s="118"/>
      <c r="J12" s="118"/>
      <c r="K12" s="134">
        <f t="shared" si="2"/>
        <v>0</v>
      </c>
      <c r="L12" s="134"/>
      <c r="M12" s="86"/>
      <c r="N12" s="118">
        <f t="shared" si="3"/>
        <v>0</v>
      </c>
      <c r="O12" s="118">
        <f t="shared" si="4"/>
        <v>38926175</v>
      </c>
      <c r="P12" s="190"/>
    </row>
    <row r="13" spans="1:16" s="94" customFormat="1" ht="16.5" x14ac:dyDescent="0.3">
      <c r="A13" s="110">
        <f t="shared" si="5"/>
        <v>44109</v>
      </c>
      <c r="B13" s="118">
        <f t="shared" si="0"/>
        <v>0</v>
      </c>
      <c r="C13" s="189"/>
      <c r="D13" s="117">
        <f t="shared" si="1"/>
        <v>0</v>
      </c>
      <c r="E13" s="279"/>
      <c r="F13" s="117">
        <f t="shared" si="6"/>
        <v>0</v>
      </c>
      <c r="G13" s="118"/>
      <c r="H13" s="118"/>
      <c r="I13" s="118"/>
      <c r="J13" s="118"/>
      <c r="K13" s="134">
        <f t="shared" si="2"/>
        <v>0</v>
      </c>
      <c r="L13" s="134"/>
      <c r="M13" s="86"/>
      <c r="N13" s="118">
        <f t="shared" si="3"/>
        <v>0</v>
      </c>
      <c r="O13" s="118">
        <f t="shared" si="4"/>
        <v>38926175</v>
      </c>
    </row>
    <row r="14" spans="1:16" s="94" customFormat="1" ht="16.5" x14ac:dyDescent="0.25">
      <c r="A14" s="110">
        <f t="shared" si="5"/>
        <v>44110</v>
      </c>
      <c r="B14" s="118">
        <f t="shared" si="0"/>
        <v>0</v>
      </c>
      <c r="C14" s="86"/>
      <c r="D14" s="117">
        <f t="shared" si="1"/>
        <v>0</v>
      </c>
      <c r="E14" s="279"/>
      <c r="F14" s="117">
        <f t="shared" si="6"/>
        <v>0</v>
      </c>
      <c r="G14" s="118"/>
      <c r="H14" s="118"/>
      <c r="I14" s="118"/>
      <c r="J14" s="118"/>
      <c r="K14" s="134">
        <f t="shared" si="2"/>
        <v>0</v>
      </c>
      <c r="L14" s="134"/>
      <c r="M14" s="86"/>
      <c r="N14" s="118">
        <f t="shared" si="3"/>
        <v>0</v>
      </c>
      <c r="O14" s="118">
        <f t="shared" si="4"/>
        <v>38926175</v>
      </c>
    </row>
    <row r="15" spans="1:16" s="94" customFormat="1" ht="16.5" x14ac:dyDescent="0.25">
      <c r="A15" s="110">
        <f t="shared" si="5"/>
        <v>44111</v>
      </c>
      <c r="B15" s="118">
        <f t="shared" si="0"/>
        <v>0</v>
      </c>
      <c r="C15" s="86"/>
      <c r="D15" s="117">
        <f t="shared" si="1"/>
        <v>0</v>
      </c>
      <c r="E15" s="279"/>
      <c r="F15" s="117">
        <f t="shared" si="6"/>
        <v>0</v>
      </c>
      <c r="G15" s="118"/>
      <c r="H15" s="118"/>
      <c r="I15" s="118"/>
      <c r="J15" s="118"/>
      <c r="K15" s="134">
        <f t="shared" si="2"/>
        <v>0</v>
      </c>
      <c r="L15" s="134"/>
      <c r="M15" s="86"/>
      <c r="N15" s="118">
        <f t="shared" si="3"/>
        <v>0</v>
      </c>
      <c r="O15" s="118">
        <f t="shared" si="4"/>
        <v>38926175</v>
      </c>
    </row>
    <row r="16" spans="1:16" s="94" customFormat="1" ht="16.5" x14ac:dyDescent="0.25">
      <c r="A16" s="110">
        <f t="shared" si="5"/>
        <v>44112</v>
      </c>
      <c r="B16" s="118">
        <f t="shared" si="0"/>
        <v>0</v>
      </c>
      <c r="C16" s="86"/>
      <c r="D16" s="118">
        <f t="shared" si="1"/>
        <v>0</v>
      </c>
      <c r="E16" s="279"/>
      <c r="F16" s="117">
        <f t="shared" si="6"/>
        <v>0</v>
      </c>
      <c r="G16" s="118"/>
      <c r="H16" s="118"/>
      <c r="I16" s="118"/>
      <c r="J16" s="118"/>
      <c r="K16" s="134">
        <f t="shared" si="2"/>
        <v>0</v>
      </c>
      <c r="L16" s="134"/>
      <c r="M16" s="86"/>
      <c r="N16" s="118">
        <f t="shared" si="3"/>
        <v>0</v>
      </c>
      <c r="O16" s="118">
        <f t="shared" si="4"/>
        <v>38926175</v>
      </c>
    </row>
    <row r="17" spans="1:16" s="94" customFormat="1" ht="16.5" x14ac:dyDescent="0.25">
      <c r="A17" s="110">
        <f t="shared" si="5"/>
        <v>44113</v>
      </c>
      <c r="B17" s="118">
        <f t="shared" si="0"/>
        <v>0</v>
      </c>
      <c r="C17" s="86"/>
      <c r="D17" s="118">
        <f t="shared" si="1"/>
        <v>0</v>
      </c>
      <c r="E17" s="279"/>
      <c r="F17" s="117">
        <f t="shared" si="6"/>
        <v>0</v>
      </c>
      <c r="G17" s="118"/>
      <c r="H17" s="118"/>
      <c r="I17" s="118"/>
      <c r="J17" s="118"/>
      <c r="K17" s="134">
        <f t="shared" si="2"/>
        <v>0</v>
      </c>
      <c r="L17" s="134"/>
      <c r="M17" s="86"/>
      <c r="N17" s="118">
        <f t="shared" si="3"/>
        <v>0</v>
      </c>
      <c r="O17" s="118">
        <f t="shared" si="4"/>
        <v>38926175</v>
      </c>
    </row>
    <row r="18" spans="1:16" s="94" customFormat="1" ht="16.5" x14ac:dyDescent="0.25">
      <c r="A18" s="110">
        <f t="shared" si="5"/>
        <v>44114</v>
      </c>
      <c r="B18" s="118">
        <f t="shared" si="0"/>
        <v>0</v>
      </c>
      <c r="C18" s="86"/>
      <c r="D18" s="118">
        <f t="shared" si="1"/>
        <v>0</v>
      </c>
      <c r="E18" s="279"/>
      <c r="F18" s="117">
        <f t="shared" si="6"/>
        <v>0</v>
      </c>
      <c r="G18" s="118"/>
      <c r="H18" s="118"/>
      <c r="I18" s="118"/>
      <c r="J18" s="118"/>
      <c r="K18" s="134">
        <f>C18+E18+G18+H18+I18+J18</f>
        <v>0</v>
      </c>
      <c r="L18" s="134"/>
      <c r="M18" s="86"/>
      <c r="N18" s="118">
        <f t="shared" si="3"/>
        <v>0</v>
      </c>
      <c r="O18" s="118">
        <f t="shared" si="4"/>
        <v>38926175</v>
      </c>
    </row>
    <row r="19" spans="1:16" s="94" customFormat="1" ht="16.5" x14ac:dyDescent="0.25">
      <c r="A19" s="110">
        <f t="shared" si="5"/>
        <v>44115</v>
      </c>
      <c r="B19" s="118">
        <f t="shared" si="0"/>
        <v>0</v>
      </c>
      <c r="C19" s="86"/>
      <c r="D19" s="118">
        <f t="shared" si="1"/>
        <v>0</v>
      </c>
      <c r="E19" s="279"/>
      <c r="F19" s="117">
        <f t="shared" si="6"/>
        <v>0</v>
      </c>
      <c r="G19" s="118"/>
      <c r="H19" s="118"/>
      <c r="I19" s="118"/>
      <c r="J19" s="118"/>
      <c r="K19" s="134">
        <f t="shared" si="2"/>
        <v>0</v>
      </c>
      <c r="L19" s="134"/>
      <c r="M19" s="86"/>
      <c r="N19" s="118">
        <f t="shared" si="3"/>
        <v>0</v>
      </c>
      <c r="O19" s="118">
        <f t="shared" si="4"/>
        <v>38926175</v>
      </c>
    </row>
    <row r="20" spans="1:16" s="94" customFormat="1" ht="16.5" x14ac:dyDescent="0.25">
      <c r="A20" s="110">
        <f t="shared" si="5"/>
        <v>44116</v>
      </c>
      <c r="B20" s="118">
        <f t="shared" si="0"/>
        <v>0</v>
      </c>
      <c r="C20" s="86"/>
      <c r="D20" s="118">
        <f t="shared" si="1"/>
        <v>0</v>
      </c>
      <c r="E20" s="279"/>
      <c r="F20" s="117">
        <f t="shared" si="6"/>
        <v>0</v>
      </c>
      <c r="G20" s="118"/>
      <c r="H20" s="118"/>
      <c r="I20" s="118"/>
      <c r="J20" s="118"/>
      <c r="K20" s="134">
        <f t="shared" si="2"/>
        <v>0</v>
      </c>
      <c r="L20" s="134"/>
      <c r="M20" s="86"/>
      <c r="N20" s="118">
        <f t="shared" si="3"/>
        <v>0</v>
      </c>
      <c r="O20" s="118">
        <f>+O19+K20-M20</f>
        <v>38926175</v>
      </c>
    </row>
    <row r="21" spans="1:16" s="94" customFormat="1" ht="16.5" x14ac:dyDescent="0.25">
      <c r="A21" s="110">
        <f t="shared" si="5"/>
        <v>44117</v>
      </c>
      <c r="B21" s="118">
        <f t="shared" si="0"/>
        <v>0</v>
      </c>
      <c r="C21" s="86"/>
      <c r="D21" s="118">
        <f t="shared" si="1"/>
        <v>0</v>
      </c>
      <c r="E21" s="279"/>
      <c r="F21" s="117">
        <f t="shared" si="6"/>
        <v>0</v>
      </c>
      <c r="G21" s="118"/>
      <c r="H21" s="118"/>
      <c r="I21" s="118"/>
      <c r="J21" s="118"/>
      <c r="K21" s="134">
        <f t="shared" si="2"/>
        <v>0</v>
      </c>
      <c r="L21" s="134"/>
      <c r="M21" s="86"/>
      <c r="N21" s="118">
        <f t="shared" si="3"/>
        <v>0</v>
      </c>
      <c r="O21" s="118">
        <f t="shared" si="4"/>
        <v>38926175</v>
      </c>
    </row>
    <row r="22" spans="1:16" s="94" customFormat="1" ht="16.5" x14ac:dyDescent="0.25">
      <c r="A22" s="110">
        <f t="shared" si="5"/>
        <v>44118</v>
      </c>
      <c r="B22" s="118">
        <f t="shared" si="0"/>
        <v>0</v>
      </c>
      <c r="C22" s="86"/>
      <c r="D22" s="118">
        <f t="shared" si="1"/>
        <v>0</v>
      </c>
      <c r="E22" s="279"/>
      <c r="F22" s="117">
        <f t="shared" si="6"/>
        <v>0</v>
      </c>
      <c r="G22" s="118"/>
      <c r="H22" s="118"/>
      <c r="I22" s="118"/>
      <c r="J22" s="118"/>
      <c r="K22" s="134">
        <f t="shared" si="2"/>
        <v>0</v>
      </c>
      <c r="L22" s="134"/>
      <c r="M22" s="86"/>
      <c r="N22" s="118">
        <f t="shared" si="3"/>
        <v>0</v>
      </c>
      <c r="O22" s="118">
        <f t="shared" si="4"/>
        <v>38926175</v>
      </c>
    </row>
    <row r="23" spans="1:16" s="94" customFormat="1" ht="16.5" x14ac:dyDescent="0.25">
      <c r="A23" s="110">
        <f t="shared" si="5"/>
        <v>44119</v>
      </c>
      <c r="B23" s="118">
        <f t="shared" si="0"/>
        <v>0</v>
      </c>
      <c r="C23" s="86"/>
      <c r="D23" s="118">
        <f t="shared" si="1"/>
        <v>0</v>
      </c>
      <c r="E23" s="279"/>
      <c r="F23" s="117">
        <f t="shared" si="6"/>
        <v>0</v>
      </c>
      <c r="G23" s="118"/>
      <c r="H23" s="118"/>
      <c r="I23" s="118"/>
      <c r="J23" s="118"/>
      <c r="K23" s="134">
        <f t="shared" si="2"/>
        <v>0</v>
      </c>
      <c r="L23" s="134"/>
      <c r="M23" s="86"/>
      <c r="N23" s="118">
        <f t="shared" si="3"/>
        <v>0</v>
      </c>
      <c r="O23" s="118">
        <f t="shared" si="4"/>
        <v>38926175</v>
      </c>
    </row>
    <row r="24" spans="1:16" s="94" customFormat="1" ht="16.5" x14ac:dyDescent="0.25">
      <c r="A24" s="110">
        <f t="shared" si="5"/>
        <v>44120</v>
      </c>
      <c r="B24" s="118">
        <f t="shared" si="0"/>
        <v>0</v>
      </c>
      <c r="C24" s="86"/>
      <c r="D24" s="118">
        <f t="shared" si="1"/>
        <v>0</v>
      </c>
      <c r="E24" s="279"/>
      <c r="F24" s="117">
        <f t="shared" si="6"/>
        <v>0</v>
      </c>
      <c r="G24" s="118"/>
      <c r="H24" s="118"/>
      <c r="I24" s="118"/>
      <c r="J24" s="118"/>
      <c r="K24" s="134">
        <f t="shared" si="2"/>
        <v>0</v>
      </c>
      <c r="L24" s="134"/>
      <c r="M24" s="86"/>
      <c r="N24" s="118">
        <f t="shared" si="3"/>
        <v>0</v>
      </c>
      <c r="O24" s="118">
        <f t="shared" si="4"/>
        <v>38926175</v>
      </c>
    </row>
    <row r="25" spans="1:16" s="94" customFormat="1" ht="16.5" x14ac:dyDescent="0.25">
      <c r="A25" s="110">
        <f t="shared" si="5"/>
        <v>44121</v>
      </c>
      <c r="B25" s="118">
        <f t="shared" si="0"/>
        <v>0</v>
      </c>
      <c r="C25" s="86"/>
      <c r="D25" s="118">
        <f t="shared" si="1"/>
        <v>0</v>
      </c>
      <c r="E25" s="279"/>
      <c r="F25" s="117">
        <f t="shared" si="6"/>
        <v>0</v>
      </c>
      <c r="G25" s="118"/>
      <c r="H25" s="118"/>
      <c r="I25" s="118"/>
      <c r="J25" s="118"/>
      <c r="K25" s="134">
        <f t="shared" si="2"/>
        <v>0</v>
      </c>
      <c r="L25" s="134"/>
      <c r="M25" s="86"/>
      <c r="N25" s="118">
        <f t="shared" si="3"/>
        <v>0</v>
      </c>
      <c r="O25" s="118">
        <f t="shared" si="4"/>
        <v>38926175</v>
      </c>
    </row>
    <row r="26" spans="1:16" s="94" customFormat="1" ht="16.5" x14ac:dyDescent="0.3">
      <c r="A26" s="110">
        <f t="shared" si="5"/>
        <v>44122</v>
      </c>
      <c r="B26" s="118">
        <f t="shared" si="0"/>
        <v>0</v>
      </c>
      <c r="C26" s="86"/>
      <c r="D26" s="118">
        <f t="shared" si="1"/>
        <v>0</v>
      </c>
      <c r="E26" s="279"/>
      <c r="F26" s="117">
        <f t="shared" si="6"/>
        <v>0</v>
      </c>
      <c r="G26" s="118"/>
      <c r="H26" s="118"/>
      <c r="I26" s="118"/>
      <c r="J26" s="118"/>
      <c r="K26" s="134">
        <f t="shared" si="2"/>
        <v>0</v>
      </c>
      <c r="L26" s="86"/>
      <c r="M26" s="86"/>
      <c r="N26" s="118">
        <f t="shared" si="3"/>
        <v>0</v>
      </c>
      <c r="O26" s="118">
        <f t="shared" si="4"/>
        <v>38926175</v>
      </c>
      <c r="P26" s="119"/>
    </row>
    <row r="27" spans="1:16" ht="16.5" x14ac:dyDescent="0.25">
      <c r="A27" s="110">
        <f t="shared" si="5"/>
        <v>44123</v>
      </c>
      <c r="B27" s="118">
        <f t="shared" si="0"/>
        <v>0</v>
      </c>
      <c r="C27" s="86"/>
      <c r="D27" s="114">
        <f t="shared" si="1"/>
        <v>0</v>
      </c>
      <c r="E27" s="279"/>
      <c r="F27" s="117">
        <f t="shared" si="6"/>
        <v>0</v>
      </c>
      <c r="G27" s="118"/>
      <c r="H27" s="118"/>
      <c r="I27" s="118"/>
      <c r="J27" s="118"/>
      <c r="K27" s="115">
        <f t="shared" si="2"/>
        <v>0</v>
      </c>
      <c r="L27" s="115"/>
      <c r="M27" s="86"/>
      <c r="N27" s="118">
        <f t="shared" si="3"/>
        <v>0</v>
      </c>
      <c r="O27" s="118">
        <f t="shared" si="4"/>
        <v>38926175</v>
      </c>
    </row>
    <row r="28" spans="1:16" ht="16.5" x14ac:dyDescent="0.25">
      <c r="A28" s="110">
        <f t="shared" si="5"/>
        <v>44124</v>
      </c>
      <c r="B28" s="118">
        <f t="shared" si="0"/>
        <v>0</v>
      </c>
      <c r="C28" s="86"/>
      <c r="D28" s="114">
        <f t="shared" si="1"/>
        <v>0</v>
      </c>
      <c r="E28" s="279"/>
      <c r="F28" s="117">
        <f t="shared" si="6"/>
        <v>0</v>
      </c>
      <c r="G28" s="118"/>
      <c r="H28" s="118"/>
      <c r="I28" s="118"/>
      <c r="J28" s="118"/>
      <c r="K28" s="115">
        <f t="shared" si="2"/>
        <v>0</v>
      </c>
      <c r="L28" s="115"/>
      <c r="M28" s="86"/>
      <c r="N28" s="118">
        <f t="shared" si="3"/>
        <v>0</v>
      </c>
      <c r="O28" s="118">
        <f t="shared" si="4"/>
        <v>38926175</v>
      </c>
    </row>
    <row r="29" spans="1:16" ht="16.5" x14ac:dyDescent="0.25">
      <c r="A29" s="110">
        <f t="shared" si="5"/>
        <v>44125</v>
      </c>
      <c r="B29" s="118">
        <f t="shared" si="0"/>
        <v>0</v>
      </c>
      <c r="C29" s="86"/>
      <c r="D29" s="111">
        <f t="shared" si="1"/>
        <v>0</v>
      </c>
      <c r="E29" s="279"/>
      <c r="F29" s="117">
        <f t="shared" si="6"/>
        <v>0</v>
      </c>
      <c r="G29" s="118"/>
      <c r="H29" s="118"/>
      <c r="I29" s="118"/>
      <c r="J29" s="118"/>
      <c r="K29" s="115">
        <f t="shared" si="2"/>
        <v>0</v>
      </c>
      <c r="L29" s="115"/>
      <c r="M29" s="86"/>
      <c r="N29" s="118">
        <f t="shared" si="3"/>
        <v>0</v>
      </c>
      <c r="O29" s="118">
        <f t="shared" si="4"/>
        <v>38926175</v>
      </c>
    </row>
    <row r="30" spans="1:16" ht="16.5" x14ac:dyDescent="0.25">
      <c r="A30" s="110">
        <f t="shared" si="5"/>
        <v>44126</v>
      </c>
      <c r="B30" s="118">
        <f t="shared" si="0"/>
        <v>0</v>
      </c>
      <c r="C30" s="86"/>
      <c r="D30" s="111">
        <f t="shared" si="1"/>
        <v>0</v>
      </c>
      <c r="E30" s="279"/>
      <c r="F30" s="117">
        <f t="shared" si="6"/>
        <v>0</v>
      </c>
      <c r="G30" s="118"/>
      <c r="H30" s="118"/>
      <c r="I30" s="118"/>
      <c r="J30" s="118"/>
      <c r="K30" s="115">
        <f t="shared" si="2"/>
        <v>0</v>
      </c>
      <c r="L30" s="115"/>
      <c r="M30" s="86"/>
      <c r="N30" s="118">
        <f t="shared" si="3"/>
        <v>0</v>
      </c>
      <c r="O30" s="118">
        <f>+O29+K30-M30</f>
        <v>38926175</v>
      </c>
    </row>
    <row r="31" spans="1:16" s="1555" customFormat="1" ht="16.5" x14ac:dyDescent="0.25">
      <c r="A31" s="1547">
        <f t="shared" si="5"/>
        <v>44127</v>
      </c>
      <c r="B31" s="1548">
        <f t="shared" si="0"/>
        <v>0</v>
      </c>
      <c r="C31" s="1532"/>
      <c r="D31" s="1549">
        <f t="shared" si="1"/>
        <v>0</v>
      </c>
      <c r="E31" s="1532"/>
      <c r="F31" s="1549">
        <f t="shared" si="6"/>
        <v>0</v>
      </c>
      <c r="G31" s="1548"/>
      <c r="H31" s="1548"/>
      <c r="I31" s="1548"/>
      <c r="J31" s="1548"/>
      <c r="K31" s="1550">
        <f t="shared" si="2"/>
        <v>0</v>
      </c>
      <c r="L31" s="1550"/>
      <c r="M31" s="1532"/>
      <c r="N31" s="1548">
        <f t="shared" si="3"/>
        <v>0</v>
      </c>
      <c r="O31" s="1548">
        <f t="shared" si="4"/>
        <v>38926175</v>
      </c>
    </row>
    <row r="32" spans="1:16" ht="16.5" x14ac:dyDescent="0.25">
      <c r="A32" s="110">
        <f t="shared" si="5"/>
        <v>44128</v>
      </c>
      <c r="B32" s="114">
        <f t="shared" si="0"/>
        <v>0</v>
      </c>
      <c r="C32" s="113"/>
      <c r="D32" s="111">
        <f t="shared" si="1"/>
        <v>0</v>
      </c>
      <c r="E32" s="279"/>
      <c r="F32" s="111">
        <f t="shared" si="6"/>
        <v>0</v>
      </c>
      <c r="G32" s="114"/>
      <c r="H32" s="114"/>
      <c r="I32" s="114"/>
      <c r="J32" s="114"/>
      <c r="K32" s="115">
        <f t="shared" si="2"/>
        <v>0</v>
      </c>
      <c r="L32" s="115"/>
      <c r="M32" s="86"/>
      <c r="N32" s="114">
        <f t="shared" si="3"/>
        <v>0</v>
      </c>
      <c r="O32" s="114">
        <f t="shared" si="4"/>
        <v>38926175</v>
      </c>
      <c r="P32" s="3" t="s">
        <v>62</v>
      </c>
    </row>
    <row r="33" spans="1:15" ht="16.5" x14ac:dyDescent="0.25">
      <c r="A33" s="110">
        <f t="shared" si="5"/>
        <v>44129</v>
      </c>
      <c r="B33" s="114">
        <f t="shared" si="0"/>
        <v>0</v>
      </c>
      <c r="C33" s="113"/>
      <c r="D33" s="111">
        <f t="shared" si="1"/>
        <v>0</v>
      </c>
      <c r="E33" s="279"/>
      <c r="F33" s="111">
        <f t="shared" si="6"/>
        <v>0</v>
      </c>
      <c r="G33" s="114"/>
      <c r="H33" s="114"/>
      <c r="I33" s="114"/>
      <c r="J33" s="114"/>
      <c r="K33" s="115">
        <f t="shared" si="2"/>
        <v>0</v>
      </c>
      <c r="L33" s="115"/>
      <c r="M33" s="1696"/>
      <c r="N33" s="114">
        <f t="shared" si="3"/>
        <v>0</v>
      </c>
      <c r="O33" s="114">
        <f t="shared" si="4"/>
        <v>38926175</v>
      </c>
    </row>
    <row r="34" spans="1:15" ht="16.5" x14ac:dyDescent="0.25">
      <c r="A34" s="110">
        <f t="shared" si="5"/>
        <v>44130</v>
      </c>
      <c r="B34" s="114">
        <f t="shared" si="0"/>
        <v>0</v>
      </c>
      <c r="C34" s="113"/>
      <c r="D34" s="111">
        <f t="shared" si="1"/>
        <v>0</v>
      </c>
      <c r="E34" s="113"/>
      <c r="F34" s="111">
        <f t="shared" si="6"/>
        <v>0</v>
      </c>
      <c r="G34" s="114"/>
      <c r="H34" s="114"/>
      <c r="I34" s="114"/>
      <c r="J34" s="114"/>
      <c r="K34" s="115">
        <f t="shared" si="2"/>
        <v>0</v>
      </c>
      <c r="L34" s="115"/>
      <c r="M34" s="1696"/>
      <c r="N34" s="114">
        <f t="shared" si="3"/>
        <v>0</v>
      </c>
      <c r="O34" s="114">
        <f t="shared" si="4"/>
        <v>38926175</v>
      </c>
    </row>
    <row r="35" spans="1:15" ht="16.5" x14ac:dyDescent="0.25">
      <c r="A35" s="110">
        <f t="shared" si="5"/>
        <v>44131</v>
      </c>
      <c r="B35" s="114">
        <f t="shared" si="0"/>
        <v>0</v>
      </c>
      <c r="C35" s="113"/>
      <c r="D35" s="111">
        <f t="shared" si="1"/>
        <v>0</v>
      </c>
      <c r="E35" s="113"/>
      <c r="F35" s="111">
        <f t="shared" si="6"/>
        <v>0</v>
      </c>
      <c r="G35" s="114"/>
      <c r="H35" s="114"/>
      <c r="I35" s="114"/>
      <c r="J35" s="114"/>
      <c r="K35" s="115">
        <f t="shared" si="2"/>
        <v>0</v>
      </c>
      <c r="L35" s="115"/>
      <c r="M35" s="1696"/>
      <c r="N35" s="114">
        <f t="shared" si="3"/>
        <v>0</v>
      </c>
      <c r="O35" s="114">
        <f t="shared" si="4"/>
        <v>38926175</v>
      </c>
    </row>
    <row r="36" spans="1:15" ht="16.5" x14ac:dyDescent="0.25">
      <c r="A36" s="110">
        <f t="shared" si="5"/>
        <v>44132</v>
      </c>
      <c r="B36" s="114">
        <f t="shared" si="0"/>
        <v>0</v>
      </c>
      <c r="C36" s="113"/>
      <c r="D36" s="111">
        <f t="shared" si="1"/>
        <v>0</v>
      </c>
      <c r="E36" s="113"/>
      <c r="F36" s="111">
        <f t="shared" si="6"/>
        <v>0</v>
      </c>
      <c r="G36" s="114"/>
      <c r="H36" s="114"/>
      <c r="I36" s="114"/>
      <c r="J36" s="114"/>
      <c r="K36" s="115">
        <f t="shared" si="2"/>
        <v>0</v>
      </c>
      <c r="L36" s="115"/>
      <c r="M36" s="1696"/>
      <c r="N36" s="114">
        <f t="shared" si="3"/>
        <v>0</v>
      </c>
      <c r="O36" s="114">
        <f t="shared" si="4"/>
        <v>38926175</v>
      </c>
    </row>
    <row r="37" spans="1:15" ht="16.5" x14ac:dyDescent="0.25">
      <c r="A37" s="110">
        <f t="shared" si="5"/>
        <v>44133</v>
      </c>
      <c r="B37" s="114">
        <f t="shared" si="0"/>
        <v>0</v>
      </c>
      <c r="C37" s="113"/>
      <c r="D37" s="111">
        <f t="shared" si="1"/>
        <v>0</v>
      </c>
      <c r="E37" s="113"/>
      <c r="F37" s="111">
        <f t="shared" si="6"/>
        <v>0</v>
      </c>
      <c r="G37" s="114"/>
      <c r="H37" s="114"/>
      <c r="I37" s="114"/>
      <c r="J37" s="114"/>
      <c r="K37" s="115">
        <f t="shared" si="2"/>
        <v>0</v>
      </c>
      <c r="L37" s="115"/>
      <c r="M37" s="1696"/>
      <c r="N37" s="114">
        <f t="shared" si="3"/>
        <v>0</v>
      </c>
      <c r="O37" s="114">
        <f t="shared" si="4"/>
        <v>38926175</v>
      </c>
    </row>
    <row r="38" spans="1:15" ht="16.5" x14ac:dyDescent="0.25">
      <c r="A38" s="110">
        <f t="shared" si="5"/>
        <v>44134</v>
      </c>
      <c r="B38" s="114">
        <f t="shared" si="0"/>
        <v>0</v>
      </c>
      <c r="C38" s="113"/>
      <c r="D38" s="111">
        <f t="shared" si="1"/>
        <v>0</v>
      </c>
      <c r="E38" s="113"/>
      <c r="F38" s="111">
        <f t="shared" si="6"/>
        <v>0</v>
      </c>
      <c r="G38" s="114"/>
      <c r="H38" s="114"/>
      <c r="I38" s="114"/>
      <c r="J38" s="114"/>
      <c r="K38" s="115">
        <f t="shared" si="2"/>
        <v>0</v>
      </c>
      <c r="L38" s="115"/>
      <c r="M38" s="113"/>
      <c r="N38" s="114">
        <f>K38-M38</f>
        <v>0</v>
      </c>
      <c r="O38" s="114">
        <f>+O37+K38-M38</f>
        <v>38926175</v>
      </c>
    </row>
    <row r="39" spans="1:15" ht="16.5" x14ac:dyDescent="0.25">
      <c r="A39" s="110">
        <f t="shared" si="5"/>
        <v>44135</v>
      </c>
      <c r="B39" s="111">
        <f t="shared" si="0"/>
        <v>0</v>
      </c>
      <c r="C39" s="113"/>
      <c r="D39" s="111">
        <f t="shared" si="1"/>
        <v>0</v>
      </c>
      <c r="E39" s="113"/>
      <c r="F39" s="111">
        <f t="shared" si="6"/>
        <v>0</v>
      </c>
      <c r="G39" s="114"/>
      <c r="H39" s="114"/>
      <c r="I39" s="114"/>
      <c r="J39" s="114"/>
      <c r="K39" s="115">
        <f t="shared" si="2"/>
        <v>0</v>
      </c>
      <c r="L39" s="115"/>
      <c r="M39" s="113"/>
      <c r="N39" s="114">
        <f>K39-M39</f>
        <v>0</v>
      </c>
      <c r="O39" s="120">
        <f>+O38+K39-M39</f>
        <v>38926175</v>
      </c>
    </row>
    <row r="40" spans="1:15" ht="16.5" x14ac:dyDescent="0.2">
      <c r="A40" s="121" t="s">
        <v>18</v>
      </c>
      <c r="B40" s="115">
        <f t="shared" ref="B40:J40" si="7">SUM(B9:B39)</f>
        <v>0</v>
      </c>
      <c r="C40" s="115">
        <f>SUM(C9:C39)</f>
        <v>0</v>
      </c>
      <c r="D40" s="122">
        <f t="shared" si="7"/>
        <v>0</v>
      </c>
      <c r="E40" s="115">
        <f>SUM(E9:E39)</f>
        <v>0</v>
      </c>
      <c r="F40" s="115">
        <f t="shared" si="7"/>
        <v>0</v>
      </c>
      <c r="G40" s="115">
        <f t="shared" si="7"/>
        <v>0</v>
      </c>
      <c r="H40" s="115">
        <f t="shared" si="7"/>
        <v>0</v>
      </c>
      <c r="I40" s="115">
        <f t="shared" si="7"/>
        <v>0</v>
      </c>
      <c r="J40" s="115">
        <f t="shared" si="7"/>
        <v>0</v>
      </c>
      <c r="K40" s="115">
        <f>SUM(K9:K39)</f>
        <v>0</v>
      </c>
      <c r="L40" s="115"/>
      <c r="M40" s="115">
        <f>SUM(M9:M39)</f>
        <v>0</v>
      </c>
      <c r="N40" s="120">
        <f>SUM(N8:N39)</f>
        <v>38926175</v>
      </c>
      <c r="O40" s="123"/>
    </row>
    <row r="41" spans="1:15" ht="15.75" x14ac:dyDescent="0.2">
      <c r="A41" s="124"/>
      <c r="B41" s="124"/>
      <c r="C41" s="124"/>
      <c r="D41" s="125"/>
      <c r="E41" s="124"/>
      <c r="F41" s="124"/>
      <c r="G41" s="124"/>
      <c r="H41" s="124"/>
      <c r="I41" s="124"/>
      <c r="J41" s="124"/>
      <c r="K41" s="124"/>
      <c r="L41" s="124"/>
      <c r="M41" s="124"/>
      <c r="N41" s="124"/>
      <c r="O41" s="124"/>
    </row>
    <row r="42" spans="1:15" ht="15.75" x14ac:dyDescent="0.25">
      <c r="A42" s="57" t="s">
        <v>121</v>
      </c>
      <c r="B42" s="57" t="s">
        <v>61</v>
      </c>
      <c r="C42" s="57" t="s">
        <v>122</v>
      </c>
      <c r="D42" s="126" t="s">
        <v>39</v>
      </c>
    </row>
    <row r="43" spans="1:15" ht="15.75" x14ac:dyDescent="0.25">
      <c r="A43" s="57" t="s">
        <v>15</v>
      </c>
      <c r="B43" s="127">
        <f>B40</f>
        <v>0</v>
      </c>
      <c r="C43" s="57"/>
      <c r="D43" s="126">
        <f>B43*C43</f>
        <v>0</v>
      </c>
    </row>
    <row r="44" spans="1:15" ht="15.75" x14ac:dyDescent="0.25">
      <c r="A44" s="57" t="s">
        <v>16</v>
      </c>
      <c r="B44" s="126">
        <f>D40</f>
        <v>0</v>
      </c>
      <c r="C44" s="57"/>
      <c r="D44" s="126">
        <f>B44*C44</f>
        <v>0</v>
      </c>
      <c r="H44" s="116"/>
      <c r="K44" s="116"/>
      <c r="L44" s="116"/>
      <c r="M44" s="116"/>
      <c r="N44" s="116"/>
    </row>
    <row r="45" spans="1:15" ht="15.75" x14ac:dyDescent="0.25">
      <c r="A45" s="57" t="s">
        <v>17</v>
      </c>
      <c r="B45" s="127">
        <f>F40</f>
        <v>0</v>
      </c>
      <c r="C45" s="57"/>
      <c r="D45" s="126">
        <f>B45*C45</f>
        <v>0</v>
      </c>
      <c r="E45" s="99"/>
      <c r="O45" s="116"/>
    </row>
    <row r="46" spans="1:15" ht="15.75" x14ac:dyDescent="0.25">
      <c r="A46" s="128" t="s">
        <v>18</v>
      </c>
      <c r="B46" s="129"/>
      <c r="C46" s="130"/>
      <c r="D46" s="126">
        <f>SUM(D43:D45)</f>
        <v>0</v>
      </c>
      <c r="O46" s="116"/>
    </row>
    <row r="48" spans="1:15" ht="16.5" x14ac:dyDescent="0.3">
      <c r="C48" s="1" t="s">
        <v>174</v>
      </c>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5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4">
    <tabColor theme="4" tint="-0.249977111117893"/>
    <pageSetUpPr fitToPage="1"/>
  </sheetPr>
  <dimension ref="A1:S48"/>
  <sheetViews>
    <sheetView topLeftCell="A4" zoomScaleNormal="100" workbookViewId="0">
      <selection activeCell="J18" sqref="J18"/>
    </sheetView>
  </sheetViews>
  <sheetFormatPr baseColWidth="10" defaultRowHeight="12.75" x14ac:dyDescent="0.2"/>
  <cols>
    <col min="1" max="2" width="11.42578125" style="39"/>
    <col min="3" max="3" width="13.42578125" style="39" customWidth="1"/>
    <col min="4" max="4" width="14" style="39" customWidth="1"/>
    <col min="5" max="5" width="17" style="39" customWidth="1"/>
    <col min="6" max="6" width="14" style="39" customWidth="1"/>
    <col min="7" max="7" width="13.5703125" style="39" bestFit="1" customWidth="1"/>
    <col min="8" max="10" width="11.42578125" style="39"/>
    <col min="11" max="11" width="15.85546875" style="39" customWidth="1"/>
    <col min="12" max="12" width="13.85546875" style="39" customWidth="1"/>
    <col min="13" max="13" width="15" style="39" customWidth="1"/>
    <col min="14" max="14" width="15.7109375" style="39" customWidth="1"/>
    <col min="15" max="15" width="16.28515625" style="39" customWidth="1"/>
    <col min="16" max="16" width="0" style="39" hidden="1" customWidth="1"/>
    <col min="17" max="16384" width="11.42578125" style="39"/>
  </cols>
  <sheetData>
    <row r="1" spans="1:19" ht="13.5" x14ac:dyDescent="0.25">
      <c r="A1" s="8" t="s">
        <v>118</v>
      </c>
      <c r="B1" s="8" t="s">
        <v>446</v>
      </c>
    </row>
    <row r="2" spans="1:19" ht="13.5" x14ac:dyDescent="0.25">
      <c r="C2" s="14"/>
    </row>
    <row r="3" spans="1:19" ht="18.75" x14ac:dyDescent="0.3">
      <c r="A3" s="1" t="s">
        <v>19</v>
      </c>
      <c r="B3" s="142">
        <f>+SOCOPAT!B4</f>
        <v>44075</v>
      </c>
      <c r="C3" s="8"/>
      <c r="M3" s="37"/>
    </row>
    <row r="4" spans="1:19" ht="13.5" x14ac:dyDescent="0.25">
      <c r="A4" s="8"/>
      <c r="B4" s="8"/>
      <c r="C4" s="8"/>
    </row>
    <row r="5" spans="1:19" ht="19.5" customHeight="1" x14ac:dyDescent="0.25">
      <c r="A5" s="8"/>
      <c r="B5" s="8"/>
      <c r="C5" s="8"/>
      <c r="O5" s="388" t="s">
        <v>190</v>
      </c>
    </row>
    <row r="6" spans="1:19" ht="13.5" x14ac:dyDescent="0.25">
      <c r="A6" s="8"/>
      <c r="B6" s="8"/>
      <c r="C6" s="8"/>
    </row>
    <row r="7" spans="1:19" ht="16.5" x14ac:dyDescent="0.2">
      <c r="A7" s="100" t="s">
        <v>3</v>
      </c>
      <c r="B7" s="101" t="s">
        <v>15</v>
      </c>
      <c r="C7" s="102"/>
      <c r="D7" s="101" t="s">
        <v>16</v>
      </c>
      <c r="E7" s="102"/>
      <c r="F7" s="101" t="s">
        <v>17</v>
      </c>
      <c r="G7" s="102"/>
      <c r="H7" s="2910" t="s">
        <v>52</v>
      </c>
      <c r="I7" s="2910" t="s">
        <v>53</v>
      </c>
      <c r="J7" s="2910" t="s">
        <v>119</v>
      </c>
      <c r="K7" s="2910" t="s">
        <v>18</v>
      </c>
      <c r="L7" s="3062" t="s">
        <v>454</v>
      </c>
      <c r="M7" s="3065" t="s">
        <v>223</v>
      </c>
      <c r="N7" s="2910" t="s">
        <v>55</v>
      </c>
      <c r="O7" s="2910" t="s">
        <v>120</v>
      </c>
    </row>
    <row r="8" spans="1:19" ht="16.5" x14ac:dyDescent="0.2">
      <c r="A8" s="103"/>
      <c r="B8" s="913">
        <v>630</v>
      </c>
      <c r="C8" s="914"/>
      <c r="D8" s="913">
        <v>575</v>
      </c>
      <c r="E8" s="914"/>
      <c r="F8" s="913">
        <v>350</v>
      </c>
      <c r="G8" s="914"/>
      <c r="H8" s="3059"/>
      <c r="I8" s="3059"/>
      <c r="J8" s="3059"/>
      <c r="K8" s="3059"/>
      <c r="L8" s="3063"/>
      <c r="M8" s="3066"/>
      <c r="N8" s="2911"/>
      <c r="O8" s="2911"/>
    </row>
    <row r="9" spans="1:19" ht="16.5" x14ac:dyDescent="0.2">
      <c r="A9" s="105"/>
      <c r="B9" s="106" t="s">
        <v>56</v>
      </c>
      <c r="C9" s="106"/>
      <c r="D9" s="107" t="s">
        <v>56</v>
      </c>
      <c r="E9" s="106"/>
      <c r="F9" s="106" t="s">
        <v>56</v>
      </c>
      <c r="G9" s="106" t="s">
        <v>37</v>
      </c>
      <c r="H9" s="2911"/>
      <c r="I9" s="2911"/>
      <c r="J9" s="2911"/>
      <c r="K9" s="2911"/>
      <c r="L9" s="3064"/>
      <c r="M9" s="108"/>
      <c r="N9" s="276">
        <v>1203965</v>
      </c>
      <c r="O9" s="109">
        <f>N9</f>
        <v>1203965</v>
      </c>
      <c r="Q9" s="281"/>
    </row>
    <row r="10" spans="1:19" ht="16.5" x14ac:dyDescent="0.25">
      <c r="A10" s="110">
        <f>+KONGFU!A9</f>
        <v>44105</v>
      </c>
      <c r="B10" s="114">
        <f>+C10/B$8</f>
        <v>0</v>
      </c>
      <c r="C10" s="86"/>
      <c r="D10" s="114">
        <f>+E10/575</f>
        <v>0</v>
      </c>
      <c r="E10" s="86"/>
      <c r="F10" s="111">
        <f>+G10/F$8</f>
        <v>0</v>
      </c>
      <c r="G10" s="114"/>
      <c r="H10" s="114"/>
      <c r="I10" s="114"/>
      <c r="J10" s="114"/>
      <c r="K10" s="115">
        <f>C10+E10+G10+H10+I10+J10</f>
        <v>0</v>
      </c>
      <c r="L10" s="115"/>
      <c r="M10" s="113"/>
      <c r="N10" s="114">
        <f>K10-M10</f>
        <v>0</v>
      </c>
      <c r="O10" s="114">
        <f>+O9+K10-M10</f>
        <v>1203965</v>
      </c>
      <c r="P10" s="39">
        <f t="shared" ref="P10:P22" si="0">+M10/597</f>
        <v>0</v>
      </c>
      <c r="Q10" s="281"/>
    </row>
    <row r="11" spans="1:19" ht="16.5" x14ac:dyDescent="0.25">
      <c r="A11" s="110">
        <f>+A10+1</f>
        <v>44106</v>
      </c>
      <c r="B11" s="114">
        <f t="shared" ref="B11:B40" si="1">+C11/B$8</f>
        <v>0</v>
      </c>
      <c r="C11" s="86"/>
      <c r="D11" s="114">
        <f t="shared" ref="D11:D40" si="2">+E11/575</f>
        <v>0</v>
      </c>
      <c r="E11" s="86"/>
      <c r="F11" s="111">
        <f t="shared" ref="F11:F40" si="3">+G11/F$8</f>
        <v>0</v>
      </c>
      <c r="G11" s="114"/>
      <c r="H11" s="114"/>
      <c r="I11" s="114"/>
      <c r="J11" s="114"/>
      <c r="K11" s="115">
        <f t="shared" ref="K11:K25" si="4">C11+E11+G11+H11+I11+J11</f>
        <v>0</v>
      </c>
      <c r="L11" s="115"/>
      <c r="M11" s="113"/>
      <c r="N11" s="114">
        <f t="shared" ref="N11:N38" si="5">K11-M11</f>
        <v>0</v>
      </c>
      <c r="O11" s="114">
        <f t="shared" ref="O11:O39" si="6">+O10+K11-M11</f>
        <v>1203965</v>
      </c>
      <c r="P11" s="39">
        <f t="shared" si="0"/>
        <v>0</v>
      </c>
      <c r="Q11" s="281"/>
    </row>
    <row r="12" spans="1:19" ht="16.5" x14ac:dyDescent="0.25">
      <c r="A12" s="110">
        <f t="shared" ref="A12:A40" si="7">+A11+1</f>
        <v>44107</v>
      </c>
      <c r="B12" s="114">
        <f t="shared" si="1"/>
        <v>0</v>
      </c>
      <c r="C12" s="86"/>
      <c r="D12" s="114">
        <f t="shared" si="2"/>
        <v>0</v>
      </c>
      <c r="E12" s="86"/>
      <c r="F12" s="111">
        <f t="shared" si="3"/>
        <v>0</v>
      </c>
      <c r="G12" s="114"/>
      <c r="H12" s="114"/>
      <c r="I12" s="114"/>
      <c r="J12" s="114"/>
      <c r="K12" s="115">
        <f t="shared" si="4"/>
        <v>0</v>
      </c>
      <c r="L12" s="115"/>
      <c r="M12" s="86"/>
      <c r="N12" s="114">
        <f t="shared" si="5"/>
        <v>0</v>
      </c>
      <c r="O12" s="114">
        <f t="shared" si="6"/>
        <v>1203965</v>
      </c>
      <c r="P12" s="39">
        <f t="shared" si="0"/>
        <v>0</v>
      </c>
      <c r="Q12" s="281"/>
    </row>
    <row r="13" spans="1:19" ht="16.5" x14ac:dyDescent="0.25">
      <c r="A13" s="110">
        <f t="shared" si="7"/>
        <v>44108</v>
      </c>
      <c r="B13" s="114">
        <f t="shared" si="1"/>
        <v>0</v>
      </c>
      <c r="C13" s="86"/>
      <c r="D13" s="114">
        <f t="shared" si="2"/>
        <v>0</v>
      </c>
      <c r="E13" s="86"/>
      <c r="F13" s="111">
        <f t="shared" si="3"/>
        <v>0</v>
      </c>
      <c r="G13" s="114"/>
      <c r="H13" s="114"/>
      <c r="I13" s="114"/>
      <c r="J13" s="114"/>
      <c r="K13" s="115">
        <f t="shared" si="4"/>
        <v>0</v>
      </c>
      <c r="L13" s="115"/>
      <c r="M13" s="86"/>
      <c r="N13" s="114">
        <f t="shared" si="5"/>
        <v>0</v>
      </c>
      <c r="O13" s="114">
        <f t="shared" si="6"/>
        <v>1203965</v>
      </c>
      <c r="P13" s="39">
        <f t="shared" si="0"/>
        <v>0</v>
      </c>
      <c r="Q13" s="281">
        <f>S13-D13</f>
        <v>550</v>
      </c>
      <c r="S13" s="39">
        <v>550</v>
      </c>
    </row>
    <row r="14" spans="1:19" ht="16.5" x14ac:dyDescent="0.25">
      <c r="A14" s="110">
        <f t="shared" si="7"/>
        <v>44109</v>
      </c>
      <c r="B14" s="114">
        <f t="shared" si="1"/>
        <v>0</v>
      </c>
      <c r="C14" s="86"/>
      <c r="D14" s="114">
        <f t="shared" si="2"/>
        <v>0</v>
      </c>
      <c r="E14" s="86"/>
      <c r="F14" s="111">
        <f t="shared" si="3"/>
        <v>0</v>
      </c>
      <c r="G14" s="114"/>
      <c r="H14" s="114"/>
      <c r="I14" s="114"/>
      <c r="J14" s="114"/>
      <c r="K14" s="115">
        <f t="shared" si="4"/>
        <v>0</v>
      </c>
      <c r="L14" s="115"/>
      <c r="M14" s="86"/>
      <c r="N14" s="114">
        <f t="shared" si="5"/>
        <v>0</v>
      </c>
      <c r="O14" s="114">
        <f t="shared" si="6"/>
        <v>1203965</v>
      </c>
      <c r="P14" s="39">
        <f t="shared" si="0"/>
        <v>0</v>
      </c>
      <c r="Q14" s="281">
        <f t="shared" ref="Q14:Q39" si="8">S14-D14</f>
        <v>0</v>
      </c>
    </row>
    <row r="15" spans="1:19" ht="16.5" x14ac:dyDescent="0.25">
      <c r="A15" s="110">
        <f t="shared" si="7"/>
        <v>44110</v>
      </c>
      <c r="B15" s="114">
        <f t="shared" si="1"/>
        <v>0</v>
      </c>
      <c r="C15" s="86"/>
      <c r="D15" s="114">
        <f t="shared" si="2"/>
        <v>0</v>
      </c>
      <c r="E15" s="86"/>
      <c r="F15" s="111">
        <f t="shared" si="3"/>
        <v>0</v>
      </c>
      <c r="G15" s="114"/>
      <c r="H15" s="114"/>
      <c r="I15" s="114"/>
      <c r="J15" s="114"/>
      <c r="K15" s="115">
        <f t="shared" si="4"/>
        <v>0</v>
      </c>
      <c r="L15" s="115"/>
      <c r="M15" s="86"/>
      <c r="N15" s="114">
        <f t="shared" si="5"/>
        <v>0</v>
      </c>
      <c r="O15" s="114">
        <f t="shared" si="6"/>
        <v>1203965</v>
      </c>
      <c r="P15" s="39">
        <f t="shared" si="0"/>
        <v>0</v>
      </c>
      <c r="Q15" s="281">
        <f t="shared" si="8"/>
        <v>0</v>
      </c>
    </row>
    <row r="16" spans="1:19" ht="16.5" x14ac:dyDescent="0.25">
      <c r="A16" s="110">
        <f t="shared" si="7"/>
        <v>44111</v>
      </c>
      <c r="B16" s="114">
        <f t="shared" si="1"/>
        <v>0</v>
      </c>
      <c r="C16" s="86"/>
      <c r="D16" s="114">
        <f t="shared" si="2"/>
        <v>0</v>
      </c>
      <c r="E16" s="86"/>
      <c r="F16" s="111">
        <f t="shared" si="3"/>
        <v>0</v>
      </c>
      <c r="G16" s="114"/>
      <c r="H16" s="114"/>
      <c r="I16" s="114"/>
      <c r="J16" s="114"/>
      <c r="K16" s="115">
        <f t="shared" si="4"/>
        <v>0</v>
      </c>
      <c r="L16" s="115"/>
      <c r="M16" s="86"/>
      <c r="N16" s="114">
        <f t="shared" si="5"/>
        <v>0</v>
      </c>
      <c r="O16" s="114">
        <f t="shared" si="6"/>
        <v>1203965</v>
      </c>
      <c r="P16" s="39">
        <f t="shared" si="0"/>
        <v>0</v>
      </c>
      <c r="Q16" s="281">
        <f t="shared" si="8"/>
        <v>0</v>
      </c>
    </row>
    <row r="17" spans="1:17" ht="16.5" x14ac:dyDescent="0.25">
      <c r="A17" s="110">
        <f t="shared" si="7"/>
        <v>44112</v>
      </c>
      <c r="B17" s="114">
        <f t="shared" si="1"/>
        <v>0</v>
      </c>
      <c r="C17" s="86"/>
      <c r="D17" s="114">
        <f t="shared" si="2"/>
        <v>0</v>
      </c>
      <c r="E17" s="86"/>
      <c r="F17" s="111">
        <f t="shared" si="3"/>
        <v>0</v>
      </c>
      <c r="G17" s="114"/>
      <c r="H17" s="114"/>
      <c r="I17" s="114"/>
      <c r="J17" s="114"/>
      <c r="K17" s="115">
        <f t="shared" si="4"/>
        <v>0</v>
      </c>
      <c r="L17" s="115"/>
      <c r="M17" s="86"/>
      <c r="N17" s="114">
        <f t="shared" si="5"/>
        <v>0</v>
      </c>
      <c r="O17" s="114">
        <f t="shared" si="6"/>
        <v>1203965</v>
      </c>
      <c r="P17" s="39">
        <f t="shared" si="0"/>
        <v>0</v>
      </c>
      <c r="Q17" s="281">
        <f t="shared" si="8"/>
        <v>0</v>
      </c>
    </row>
    <row r="18" spans="1:17" ht="16.5" x14ac:dyDescent="0.25">
      <c r="A18" s="110">
        <f t="shared" si="7"/>
        <v>44113</v>
      </c>
      <c r="B18" s="114">
        <f t="shared" si="1"/>
        <v>0</v>
      </c>
      <c r="C18" s="86"/>
      <c r="D18" s="114">
        <f t="shared" si="2"/>
        <v>0</v>
      </c>
      <c r="E18" s="86"/>
      <c r="F18" s="111">
        <f t="shared" si="3"/>
        <v>0</v>
      </c>
      <c r="G18" s="118"/>
      <c r="H18" s="118"/>
      <c r="I18" s="118"/>
      <c r="J18" s="118"/>
      <c r="K18" s="115">
        <f t="shared" si="4"/>
        <v>0</v>
      </c>
      <c r="L18" s="115"/>
      <c r="M18" s="86"/>
      <c r="N18" s="114">
        <f t="shared" si="5"/>
        <v>0</v>
      </c>
      <c r="O18" s="114">
        <f t="shared" si="6"/>
        <v>1203965</v>
      </c>
      <c r="P18" s="39">
        <f t="shared" si="0"/>
        <v>0</v>
      </c>
      <c r="Q18" s="281">
        <f t="shared" si="8"/>
        <v>0</v>
      </c>
    </row>
    <row r="19" spans="1:17" ht="16.5" x14ac:dyDescent="0.25">
      <c r="A19" s="110">
        <f t="shared" si="7"/>
        <v>44114</v>
      </c>
      <c r="B19" s="114">
        <f t="shared" si="1"/>
        <v>0</v>
      </c>
      <c r="C19" s="86"/>
      <c r="D19" s="114">
        <f t="shared" si="2"/>
        <v>0</v>
      </c>
      <c r="E19" s="86"/>
      <c r="F19" s="111">
        <f t="shared" si="3"/>
        <v>0</v>
      </c>
      <c r="G19" s="118"/>
      <c r="H19" s="118"/>
      <c r="I19" s="118"/>
      <c r="J19" s="118"/>
      <c r="K19" s="115">
        <f t="shared" si="4"/>
        <v>0</v>
      </c>
      <c r="L19" s="115"/>
      <c r="M19" s="86"/>
      <c r="N19" s="114">
        <f t="shared" si="5"/>
        <v>0</v>
      </c>
      <c r="O19" s="114">
        <f t="shared" si="6"/>
        <v>1203965</v>
      </c>
      <c r="P19" s="39">
        <f t="shared" si="0"/>
        <v>0</v>
      </c>
      <c r="Q19" s="281">
        <f t="shared" si="8"/>
        <v>0</v>
      </c>
    </row>
    <row r="20" spans="1:17" ht="16.5" x14ac:dyDescent="0.25">
      <c r="A20" s="110">
        <f t="shared" si="7"/>
        <v>44115</v>
      </c>
      <c r="B20" s="114">
        <f t="shared" si="1"/>
        <v>0</v>
      </c>
      <c r="C20" s="86"/>
      <c r="D20" s="114">
        <f t="shared" si="2"/>
        <v>0</v>
      </c>
      <c r="E20" s="86"/>
      <c r="F20" s="111">
        <f t="shared" si="3"/>
        <v>0</v>
      </c>
      <c r="G20" s="118"/>
      <c r="H20" s="118"/>
      <c r="I20" s="118"/>
      <c r="J20" s="118"/>
      <c r="K20" s="115">
        <f t="shared" si="4"/>
        <v>0</v>
      </c>
      <c r="L20" s="115"/>
      <c r="M20" s="86"/>
      <c r="N20" s="114">
        <f t="shared" si="5"/>
        <v>0</v>
      </c>
      <c r="O20" s="114">
        <f t="shared" si="6"/>
        <v>1203965</v>
      </c>
      <c r="P20" s="39">
        <f t="shared" si="0"/>
        <v>0</v>
      </c>
      <c r="Q20" s="281">
        <f t="shared" si="8"/>
        <v>0</v>
      </c>
    </row>
    <row r="21" spans="1:17" ht="16.5" x14ac:dyDescent="0.25">
      <c r="A21" s="110">
        <f t="shared" si="7"/>
        <v>44116</v>
      </c>
      <c r="B21" s="114">
        <f t="shared" si="1"/>
        <v>0</v>
      </c>
      <c r="C21" s="86"/>
      <c r="D21" s="114">
        <f t="shared" si="2"/>
        <v>0</v>
      </c>
      <c r="E21" s="86"/>
      <c r="F21" s="111">
        <f t="shared" si="3"/>
        <v>0</v>
      </c>
      <c r="G21" s="118"/>
      <c r="H21" s="118"/>
      <c r="I21" s="118"/>
      <c r="J21" s="118"/>
      <c r="K21" s="115">
        <f t="shared" si="4"/>
        <v>0</v>
      </c>
      <c r="L21" s="115"/>
      <c r="M21" s="86"/>
      <c r="N21" s="114">
        <f t="shared" si="5"/>
        <v>0</v>
      </c>
      <c r="O21" s="114">
        <f t="shared" si="6"/>
        <v>1203965</v>
      </c>
      <c r="P21" s="39">
        <f t="shared" si="0"/>
        <v>0</v>
      </c>
      <c r="Q21" s="281">
        <f t="shared" si="8"/>
        <v>0</v>
      </c>
    </row>
    <row r="22" spans="1:17" ht="16.5" x14ac:dyDescent="0.25">
      <c r="A22" s="110">
        <f t="shared" si="7"/>
        <v>44117</v>
      </c>
      <c r="B22" s="114">
        <f t="shared" si="1"/>
        <v>0</v>
      </c>
      <c r="C22" s="86"/>
      <c r="D22" s="114">
        <f t="shared" si="2"/>
        <v>0</v>
      </c>
      <c r="E22" s="86"/>
      <c r="F22" s="111">
        <f t="shared" si="3"/>
        <v>0</v>
      </c>
      <c r="G22" s="118"/>
      <c r="H22" s="118"/>
      <c r="I22" s="118"/>
      <c r="J22" s="118"/>
      <c r="K22" s="115">
        <f t="shared" si="4"/>
        <v>0</v>
      </c>
      <c r="L22" s="115"/>
      <c r="M22" s="86"/>
      <c r="N22" s="114">
        <f t="shared" si="5"/>
        <v>0</v>
      </c>
      <c r="O22" s="114">
        <f t="shared" si="6"/>
        <v>1203965</v>
      </c>
      <c r="P22" s="39">
        <f t="shared" si="0"/>
        <v>0</v>
      </c>
      <c r="Q22" s="281">
        <f t="shared" si="8"/>
        <v>0</v>
      </c>
    </row>
    <row r="23" spans="1:17" ht="16.5" x14ac:dyDescent="0.25">
      <c r="A23" s="110">
        <f t="shared" si="7"/>
        <v>44118</v>
      </c>
      <c r="B23" s="114">
        <f t="shared" si="1"/>
        <v>0</v>
      </c>
      <c r="C23" s="86"/>
      <c r="D23" s="114">
        <f t="shared" si="2"/>
        <v>0</v>
      </c>
      <c r="E23" s="86"/>
      <c r="F23" s="111">
        <f t="shared" si="3"/>
        <v>0</v>
      </c>
      <c r="G23" s="118"/>
      <c r="H23" s="118"/>
      <c r="I23" s="118"/>
      <c r="J23" s="118"/>
      <c r="K23" s="115">
        <f t="shared" si="4"/>
        <v>0</v>
      </c>
      <c r="L23" s="115"/>
      <c r="M23" s="86"/>
      <c r="N23" s="114">
        <f t="shared" si="5"/>
        <v>0</v>
      </c>
      <c r="O23" s="114">
        <f t="shared" si="6"/>
        <v>1203965</v>
      </c>
      <c r="P23" s="39">
        <f t="shared" ref="P23:P30" si="9">+M23/597</f>
        <v>0</v>
      </c>
      <c r="Q23" s="281">
        <f t="shared" si="8"/>
        <v>0</v>
      </c>
    </row>
    <row r="24" spans="1:17" ht="16.5" x14ac:dyDescent="0.25">
      <c r="A24" s="110">
        <f t="shared" si="7"/>
        <v>44119</v>
      </c>
      <c r="B24" s="114">
        <f t="shared" si="1"/>
        <v>0</v>
      </c>
      <c r="C24" s="86"/>
      <c r="D24" s="114">
        <f t="shared" si="2"/>
        <v>0</v>
      </c>
      <c r="E24" s="86"/>
      <c r="F24" s="111">
        <f t="shared" si="3"/>
        <v>0</v>
      </c>
      <c r="G24" s="118"/>
      <c r="H24" s="118"/>
      <c r="I24" s="118"/>
      <c r="J24" s="118"/>
      <c r="K24" s="115">
        <f t="shared" si="4"/>
        <v>0</v>
      </c>
      <c r="L24" s="115"/>
      <c r="M24" s="86"/>
      <c r="N24" s="114">
        <f t="shared" si="5"/>
        <v>0</v>
      </c>
      <c r="O24" s="114">
        <f t="shared" si="6"/>
        <v>1203965</v>
      </c>
      <c r="P24" s="39">
        <f t="shared" si="9"/>
        <v>0</v>
      </c>
      <c r="Q24" s="281">
        <f t="shared" si="8"/>
        <v>0</v>
      </c>
    </row>
    <row r="25" spans="1:17" ht="16.5" x14ac:dyDescent="0.25">
      <c r="A25" s="110">
        <f t="shared" si="7"/>
        <v>44120</v>
      </c>
      <c r="B25" s="114">
        <f t="shared" si="1"/>
        <v>0</v>
      </c>
      <c r="C25" s="86"/>
      <c r="D25" s="114">
        <f t="shared" si="2"/>
        <v>0</v>
      </c>
      <c r="E25" s="86"/>
      <c r="F25" s="111">
        <f t="shared" si="3"/>
        <v>0</v>
      </c>
      <c r="G25" s="118"/>
      <c r="H25" s="118"/>
      <c r="I25" s="118"/>
      <c r="J25" s="118"/>
      <c r="K25" s="115">
        <f t="shared" si="4"/>
        <v>0</v>
      </c>
      <c r="L25" s="115"/>
      <c r="M25" s="86"/>
      <c r="N25" s="118">
        <f t="shared" si="5"/>
        <v>0</v>
      </c>
      <c r="O25" s="114">
        <f t="shared" si="6"/>
        <v>1203965</v>
      </c>
      <c r="P25" s="39">
        <f t="shared" si="9"/>
        <v>0</v>
      </c>
      <c r="Q25" s="281">
        <f t="shared" si="8"/>
        <v>0</v>
      </c>
    </row>
    <row r="26" spans="1:17" ht="16.5" x14ac:dyDescent="0.25">
      <c r="A26" s="110">
        <f t="shared" si="7"/>
        <v>44121</v>
      </c>
      <c r="B26" s="114">
        <f t="shared" si="1"/>
        <v>0</v>
      </c>
      <c r="C26" s="86"/>
      <c r="D26" s="114">
        <f t="shared" si="2"/>
        <v>0</v>
      </c>
      <c r="E26" s="86"/>
      <c r="F26" s="111">
        <f t="shared" si="3"/>
        <v>0</v>
      </c>
      <c r="G26" s="118"/>
      <c r="H26" s="118"/>
      <c r="I26" s="118"/>
      <c r="J26" s="118"/>
      <c r="K26" s="115">
        <f t="shared" ref="K26:K40" si="10">C26+E26+G26+H26+I26+J26</f>
        <v>0</v>
      </c>
      <c r="L26" s="115"/>
      <c r="M26" s="86"/>
      <c r="N26" s="118">
        <f t="shared" si="5"/>
        <v>0</v>
      </c>
      <c r="O26" s="114">
        <f t="shared" si="6"/>
        <v>1203965</v>
      </c>
      <c r="P26" s="39">
        <f t="shared" si="9"/>
        <v>0</v>
      </c>
      <c r="Q26" s="281">
        <f t="shared" si="8"/>
        <v>0</v>
      </c>
    </row>
    <row r="27" spans="1:17" ht="16.5" x14ac:dyDescent="0.25">
      <c r="A27" s="110">
        <f t="shared" si="7"/>
        <v>44122</v>
      </c>
      <c r="B27" s="114">
        <f t="shared" si="1"/>
        <v>0</v>
      </c>
      <c r="C27" s="86"/>
      <c r="D27" s="114">
        <f t="shared" si="2"/>
        <v>0</v>
      </c>
      <c r="E27" s="86"/>
      <c r="F27" s="111">
        <f t="shared" si="3"/>
        <v>0</v>
      </c>
      <c r="G27" s="118"/>
      <c r="H27" s="118"/>
      <c r="I27" s="118"/>
      <c r="J27" s="118"/>
      <c r="K27" s="115">
        <f t="shared" si="10"/>
        <v>0</v>
      </c>
      <c r="L27" s="115"/>
      <c r="M27" s="86"/>
      <c r="N27" s="118">
        <f t="shared" si="5"/>
        <v>0</v>
      </c>
      <c r="O27" s="114">
        <f t="shared" si="6"/>
        <v>1203965</v>
      </c>
      <c r="P27" s="39">
        <f t="shared" si="9"/>
        <v>0</v>
      </c>
      <c r="Q27" s="281">
        <f t="shared" si="8"/>
        <v>0</v>
      </c>
    </row>
    <row r="28" spans="1:17" ht="16.5" x14ac:dyDescent="0.25">
      <c r="A28" s="110">
        <f t="shared" si="7"/>
        <v>44123</v>
      </c>
      <c r="B28" s="114">
        <f t="shared" si="1"/>
        <v>0</v>
      </c>
      <c r="C28" s="86"/>
      <c r="D28" s="114">
        <f t="shared" si="2"/>
        <v>0</v>
      </c>
      <c r="E28" s="86"/>
      <c r="F28" s="111">
        <f t="shared" si="3"/>
        <v>0</v>
      </c>
      <c r="G28" s="118"/>
      <c r="H28" s="118"/>
      <c r="I28" s="118"/>
      <c r="J28" s="118"/>
      <c r="K28" s="115">
        <f t="shared" si="10"/>
        <v>0</v>
      </c>
      <c r="L28" s="115"/>
      <c r="M28" s="86"/>
      <c r="N28" s="118">
        <f t="shared" si="5"/>
        <v>0</v>
      </c>
      <c r="O28" s="114">
        <f t="shared" si="6"/>
        <v>1203965</v>
      </c>
      <c r="P28" s="39">
        <f t="shared" si="9"/>
        <v>0</v>
      </c>
      <c r="Q28" s="281">
        <f t="shared" si="8"/>
        <v>0</v>
      </c>
    </row>
    <row r="29" spans="1:17" ht="16.5" x14ac:dyDescent="0.25">
      <c r="A29" s="110">
        <f t="shared" si="7"/>
        <v>44124</v>
      </c>
      <c r="B29" s="114">
        <f t="shared" si="1"/>
        <v>0</v>
      </c>
      <c r="C29" s="86"/>
      <c r="D29" s="114">
        <f t="shared" si="2"/>
        <v>0</v>
      </c>
      <c r="E29" s="86"/>
      <c r="F29" s="111">
        <f t="shared" si="3"/>
        <v>0</v>
      </c>
      <c r="G29" s="118"/>
      <c r="H29" s="118"/>
      <c r="I29" s="118"/>
      <c r="J29" s="118"/>
      <c r="K29" s="115">
        <f t="shared" si="10"/>
        <v>0</v>
      </c>
      <c r="L29" s="115"/>
      <c r="M29" s="86"/>
      <c r="N29" s="118">
        <f t="shared" si="5"/>
        <v>0</v>
      </c>
      <c r="O29" s="114">
        <f t="shared" si="6"/>
        <v>1203965</v>
      </c>
      <c r="P29" s="39">
        <f t="shared" si="9"/>
        <v>0</v>
      </c>
      <c r="Q29" s="281">
        <f t="shared" si="8"/>
        <v>0</v>
      </c>
    </row>
    <row r="30" spans="1:17" ht="16.5" x14ac:dyDescent="0.25">
      <c r="A30" s="110">
        <f t="shared" si="7"/>
        <v>44125</v>
      </c>
      <c r="B30" s="114">
        <f t="shared" si="1"/>
        <v>0</v>
      </c>
      <c r="C30" s="86"/>
      <c r="D30" s="114">
        <f t="shared" si="2"/>
        <v>0</v>
      </c>
      <c r="E30" s="86"/>
      <c r="F30" s="111">
        <f t="shared" si="3"/>
        <v>0</v>
      </c>
      <c r="G30" s="118"/>
      <c r="H30" s="118"/>
      <c r="I30" s="118"/>
      <c r="J30" s="118"/>
      <c r="K30" s="115">
        <f t="shared" si="10"/>
        <v>0</v>
      </c>
      <c r="L30" s="115"/>
      <c r="M30" s="86"/>
      <c r="N30" s="118">
        <f t="shared" si="5"/>
        <v>0</v>
      </c>
      <c r="O30" s="114">
        <f t="shared" si="6"/>
        <v>1203965</v>
      </c>
      <c r="P30" s="39">
        <f t="shared" si="9"/>
        <v>0</v>
      </c>
      <c r="Q30" s="281">
        <f t="shared" si="8"/>
        <v>0</v>
      </c>
    </row>
    <row r="31" spans="1:17" s="762" customFormat="1" ht="16.5" x14ac:dyDescent="0.25">
      <c r="A31" s="1547">
        <f t="shared" si="7"/>
        <v>44126</v>
      </c>
      <c r="B31" s="1548">
        <f t="shared" si="1"/>
        <v>0</v>
      </c>
      <c r="C31" s="1532"/>
      <c r="D31" s="114">
        <f t="shared" si="2"/>
        <v>0</v>
      </c>
      <c r="E31" s="1532"/>
      <c r="F31" s="1549">
        <f t="shared" si="3"/>
        <v>0</v>
      </c>
      <c r="G31" s="1548"/>
      <c r="H31" s="1548"/>
      <c r="I31" s="1548"/>
      <c r="J31" s="1548"/>
      <c r="K31" s="1550">
        <f t="shared" si="10"/>
        <v>0</v>
      </c>
      <c r="L31" s="1550"/>
      <c r="M31" s="1532"/>
      <c r="N31" s="1548">
        <f t="shared" si="5"/>
        <v>0</v>
      </c>
      <c r="O31" s="1548">
        <f t="shared" si="6"/>
        <v>1203965</v>
      </c>
      <c r="P31" s="762">
        <f>+M31/597</f>
        <v>0</v>
      </c>
      <c r="Q31" s="281">
        <f t="shared" si="8"/>
        <v>0</v>
      </c>
    </row>
    <row r="32" spans="1:17" ht="16.5" x14ac:dyDescent="0.25">
      <c r="A32" s="110">
        <f t="shared" si="7"/>
        <v>44127</v>
      </c>
      <c r="B32" s="114">
        <f t="shared" si="1"/>
        <v>0</v>
      </c>
      <c r="C32" s="86"/>
      <c r="D32" s="114">
        <f t="shared" si="2"/>
        <v>0</v>
      </c>
      <c r="E32" s="86"/>
      <c r="F32" s="111">
        <f t="shared" si="3"/>
        <v>0</v>
      </c>
      <c r="G32" s="118"/>
      <c r="H32" s="118"/>
      <c r="I32" s="118"/>
      <c r="J32" s="118"/>
      <c r="K32" s="115">
        <f t="shared" si="10"/>
        <v>0</v>
      </c>
      <c r="L32" s="115"/>
      <c r="M32" s="86"/>
      <c r="N32" s="118">
        <f t="shared" si="5"/>
        <v>0</v>
      </c>
      <c r="O32" s="114">
        <f t="shared" si="6"/>
        <v>1203965</v>
      </c>
      <c r="P32" s="39">
        <f t="shared" ref="P32:P39" si="11">+M32/597</f>
        <v>0</v>
      </c>
      <c r="Q32" s="281">
        <f t="shared" si="8"/>
        <v>0</v>
      </c>
    </row>
    <row r="33" spans="1:17" ht="16.5" x14ac:dyDescent="0.25">
      <c r="A33" s="110">
        <f t="shared" si="7"/>
        <v>44128</v>
      </c>
      <c r="B33" s="114">
        <f t="shared" si="1"/>
        <v>0</v>
      </c>
      <c r="C33" s="86"/>
      <c r="D33" s="114">
        <f t="shared" si="2"/>
        <v>0</v>
      </c>
      <c r="E33" s="86"/>
      <c r="F33" s="111">
        <f t="shared" si="3"/>
        <v>0</v>
      </c>
      <c r="G33" s="114"/>
      <c r="H33" s="114"/>
      <c r="I33" s="114"/>
      <c r="J33" s="114"/>
      <c r="K33" s="115">
        <f t="shared" si="10"/>
        <v>0</v>
      </c>
      <c r="L33" s="115"/>
      <c r="M33" s="86"/>
      <c r="N33" s="114">
        <f t="shared" si="5"/>
        <v>0</v>
      </c>
      <c r="O33" s="114">
        <f t="shared" si="6"/>
        <v>1203965</v>
      </c>
      <c r="P33" s="39">
        <f t="shared" si="11"/>
        <v>0</v>
      </c>
      <c r="Q33" s="281">
        <f t="shared" si="8"/>
        <v>0</v>
      </c>
    </row>
    <row r="34" spans="1:17" ht="16.5" x14ac:dyDescent="0.25">
      <c r="A34" s="110">
        <f t="shared" si="7"/>
        <v>44129</v>
      </c>
      <c r="B34" s="114">
        <f t="shared" si="1"/>
        <v>0</v>
      </c>
      <c r="C34" s="86"/>
      <c r="D34" s="114">
        <f t="shared" si="2"/>
        <v>0</v>
      </c>
      <c r="E34" s="86"/>
      <c r="F34" s="111">
        <f t="shared" si="3"/>
        <v>0</v>
      </c>
      <c r="G34" s="114"/>
      <c r="H34" s="114"/>
      <c r="I34" s="114"/>
      <c r="J34" s="114"/>
      <c r="K34" s="115">
        <f t="shared" si="10"/>
        <v>0</v>
      </c>
      <c r="L34" s="115"/>
      <c r="M34" s="86"/>
      <c r="N34" s="114">
        <f t="shared" si="5"/>
        <v>0</v>
      </c>
      <c r="O34" s="114">
        <f t="shared" si="6"/>
        <v>1203965</v>
      </c>
      <c r="P34" s="39">
        <f t="shared" si="11"/>
        <v>0</v>
      </c>
      <c r="Q34" s="281">
        <f t="shared" si="8"/>
        <v>0</v>
      </c>
    </row>
    <row r="35" spans="1:17" ht="16.5" x14ac:dyDescent="0.25">
      <c r="A35" s="110">
        <f t="shared" si="7"/>
        <v>44130</v>
      </c>
      <c r="B35" s="114">
        <f t="shared" si="1"/>
        <v>0</v>
      </c>
      <c r="C35" s="86"/>
      <c r="D35" s="114">
        <f t="shared" si="2"/>
        <v>0</v>
      </c>
      <c r="E35" s="86"/>
      <c r="F35" s="111">
        <f t="shared" si="3"/>
        <v>0</v>
      </c>
      <c r="G35" s="114"/>
      <c r="H35" s="114"/>
      <c r="I35" s="114"/>
      <c r="J35" s="114"/>
      <c r="K35" s="115">
        <f t="shared" si="10"/>
        <v>0</v>
      </c>
      <c r="L35" s="115"/>
      <c r="M35" s="86"/>
      <c r="N35" s="114">
        <f t="shared" si="5"/>
        <v>0</v>
      </c>
      <c r="O35" s="114">
        <f t="shared" si="6"/>
        <v>1203965</v>
      </c>
      <c r="P35" s="39">
        <f t="shared" si="11"/>
        <v>0</v>
      </c>
      <c r="Q35" s="281">
        <f t="shared" si="8"/>
        <v>0</v>
      </c>
    </row>
    <row r="36" spans="1:17" ht="16.5" x14ac:dyDescent="0.25">
      <c r="A36" s="110">
        <f t="shared" si="7"/>
        <v>44131</v>
      </c>
      <c r="B36" s="114">
        <f t="shared" si="1"/>
        <v>0</v>
      </c>
      <c r="C36" s="86"/>
      <c r="D36" s="114">
        <f t="shared" si="2"/>
        <v>0</v>
      </c>
      <c r="E36" s="86"/>
      <c r="F36" s="111">
        <f t="shared" si="3"/>
        <v>0</v>
      </c>
      <c r="G36" s="114"/>
      <c r="H36" s="114"/>
      <c r="I36" s="114"/>
      <c r="J36" s="114"/>
      <c r="K36" s="115">
        <f t="shared" si="10"/>
        <v>0</v>
      </c>
      <c r="L36" s="115"/>
      <c r="M36" s="113"/>
      <c r="N36" s="114">
        <f t="shared" si="5"/>
        <v>0</v>
      </c>
      <c r="O36" s="114">
        <f t="shared" si="6"/>
        <v>1203965</v>
      </c>
      <c r="P36" s="39">
        <f t="shared" si="11"/>
        <v>0</v>
      </c>
      <c r="Q36" s="281">
        <f t="shared" si="8"/>
        <v>0</v>
      </c>
    </row>
    <row r="37" spans="1:17" ht="16.5" x14ac:dyDescent="0.25">
      <c r="A37" s="110">
        <f t="shared" si="7"/>
        <v>44132</v>
      </c>
      <c r="B37" s="114">
        <f t="shared" si="1"/>
        <v>0</v>
      </c>
      <c r="C37" s="86"/>
      <c r="D37" s="114">
        <f t="shared" si="2"/>
        <v>0</v>
      </c>
      <c r="E37" s="86"/>
      <c r="F37" s="111">
        <f t="shared" si="3"/>
        <v>0</v>
      </c>
      <c r="G37" s="114"/>
      <c r="H37" s="114"/>
      <c r="I37" s="114"/>
      <c r="J37" s="114"/>
      <c r="K37" s="115">
        <f t="shared" si="10"/>
        <v>0</v>
      </c>
      <c r="L37" s="115"/>
      <c r="M37" s="113"/>
      <c r="N37" s="114">
        <f t="shared" si="5"/>
        <v>0</v>
      </c>
      <c r="O37" s="114">
        <f t="shared" si="6"/>
        <v>1203965</v>
      </c>
      <c r="P37" s="39">
        <f t="shared" si="11"/>
        <v>0</v>
      </c>
      <c r="Q37" s="281">
        <f t="shared" si="8"/>
        <v>0</v>
      </c>
    </row>
    <row r="38" spans="1:17" ht="16.5" x14ac:dyDescent="0.25">
      <c r="A38" s="110">
        <f t="shared" si="7"/>
        <v>44133</v>
      </c>
      <c r="B38" s="114">
        <f t="shared" si="1"/>
        <v>0</v>
      </c>
      <c r="C38" s="113"/>
      <c r="D38" s="114">
        <f t="shared" si="2"/>
        <v>0</v>
      </c>
      <c r="E38" s="113"/>
      <c r="F38" s="111">
        <f t="shared" si="3"/>
        <v>0</v>
      </c>
      <c r="G38" s="114"/>
      <c r="H38" s="114"/>
      <c r="I38" s="114"/>
      <c r="J38" s="114"/>
      <c r="K38" s="115">
        <f t="shared" si="10"/>
        <v>0</v>
      </c>
      <c r="L38" s="115"/>
      <c r="M38" s="113"/>
      <c r="N38" s="114">
        <f t="shared" si="5"/>
        <v>0</v>
      </c>
      <c r="O38" s="114">
        <f t="shared" si="6"/>
        <v>1203965</v>
      </c>
      <c r="P38" s="39">
        <f t="shared" si="11"/>
        <v>0</v>
      </c>
      <c r="Q38" s="281">
        <f t="shared" si="8"/>
        <v>0</v>
      </c>
    </row>
    <row r="39" spans="1:17" ht="16.5" x14ac:dyDescent="0.25">
      <c r="A39" s="110">
        <f t="shared" si="7"/>
        <v>44134</v>
      </c>
      <c r="B39" s="114">
        <f t="shared" si="1"/>
        <v>0</v>
      </c>
      <c r="C39" s="113"/>
      <c r="D39" s="114">
        <f t="shared" si="2"/>
        <v>0</v>
      </c>
      <c r="E39" s="113"/>
      <c r="F39" s="111">
        <f t="shared" si="3"/>
        <v>0</v>
      </c>
      <c r="G39" s="114"/>
      <c r="H39" s="114"/>
      <c r="I39" s="114"/>
      <c r="J39" s="114"/>
      <c r="K39" s="115">
        <f t="shared" si="10"/>
        <v>0</v>
      </c>
      <c r="L39" s="115"/>
      <c r="M39" s="113"/>
      <c r="N39" s="114">
        <f>K39-M39</f>
        <v>0</v>
      </c>
      <c r="O39" s="114">
        <f t="shared" si="6"/>
        <v>1203965</v>
      </c>
      <c r="P39" s="39">
        <f t="shared" si="11"/>
        <v>0</v>
      </c>
      <c r="Q39" s="281">
        <f t="shared" si="8"/>
        <v>0</v>
      </c>
    </row>
    <row r="40" spans="1:17" ht="16.5" x14ac:dyDescent="0.25">
      <c r="A40" s="110">
        <f t="shared" si="7"/>
        <v>44135</v>
      </c>
      <c r="B40" s="114">
        <f t="shared" si="1"/>
        <v>0</v>
      </c>
      <c r="C40" s="113"/>
      <c r="D40" s="114">
        <f t="shared" si="2"/>
        <v>0</v>
      </c>
      <c r="E40" s="113"/>
      <c r="F40" s="111">
        <f t="shared" si="3"/>
        <v>0</v>
      </c>
      <c r="G40" s="114"/>
      <c r="H40" s="114"/>
      <c r="I40" s="114"/>
      <c r="J40" s="114"/>
      <c r="K40" s="115">
        <f t="shared" si="10"/>
        <v>0</v>
      </c>
      <c r="L40" s="115"/>
      <c r="M40" s="113"/>
      <c r="N40" s="114">
        <f>K40-M40</f>
        <v>0</v>
      </c>
      <c r="O40" s="120">
        <f>+O39+K40-M40</f>
        <v>1203965</v>
      </c>
      <c r="Q40" s="281">
        <f>SUM(Q13:Q39)</f>
        <v>550</v>
      </c>
    </row>
    <row r="41" spans="1:17" ht="16.5" x14ac:dyDescent="0.2">
      <c r="A41" s="121" t="s">
        <v>18</v>
      </c>
      <c r="B41" s="115">
        <f t="shared" ref="B41:M41" si="12">SUM(B10:B40)</f>
        <v>0</v>
      </c>
      <c r="C41" s="115">
        <f>SUM(C10:C40)</f>
        <v>0</v>
      </c>
      <c r="D41" s="122">
        <f t="shared" si="12"/>
        <v>0</v>
      </c>
      <c r="E41" s="115">
        <f>SUM(E10:E40)</f>
        <v>0</v>
      </c>
      <c r="F41" s="115">
        <f>SUM(F10:F40)</f>
        <v>0</v>
      </c>
      <c r="G41" s="115">
        <f t="shared" si="12"/>
        <v>0</v>
      </c>
      <c r="H41" s="115">
        <f t="shared" si="12"/>
        <v>0</v>
      </c>
      <c r="I41" s="115">
        <f t="shared" si="12"/>
        <v>0</v>
      </c>
      <c r="J41" s="115">
        <f t="shared" si="12"/>
        <v>0</v>
      </c>
      <c r="K41" s="115">
        <f>SUM(K10:K40)</f>
        <v>0</v>
      </c>
      <c r="L41" s="115"/>
      <c r="M41" s="115">
        <f t="shared" si="12"/>
        <v>0</v>
      </c>
      <c r="N41" s="120">
        <f>SUM(N9:N40)</f>
        <v>1203965</v>
      </c>
      <c r="O41" s="123"/>
    </row>
    <row r="42" spans="1:17" ht="13.5" x14ac:dyDescent="0.2">
      <c r="A42" s="26"/>
      <c r="B42" s="26"/>
      <c r="C42" s="26"/>
      <c r="D42" s="27"/>
      <c r="E42" s="26"/>
      <c r="F42" s="26"/>
      <c r="G42" s="26"/>
      <c r="H42" s="26"/>
      <c r="I42" s="26"/>
      <c r="J42" s="26"/>
      <c r="K42" s="26"/>
      <c r="L42" s="26"/>
      <c r="M42" s="26"/>
      <c r="N42" s="26"/>
      <c r="O42" s="26"/>
    </row>
    <row r="43" spans="1:17" ht="13.5" x14ac:dyDescent="0.25">
      <c r="A43" s="10" t="s">
        <v>121</v>
      </c>
      <c r="B43" s="10" t="s">
        <v>61</v>
      </c>
      <c r="C43" s="10" t="s">
        <v>122</v>
      </c>
      <c r="D43" s="28" t="s">
        <v>39</v>
      </c>
    </row>
    <row r="44" spans="1:17" ht="13.5" x14ac:dyDescent="0.25">
      <c r="A44" s="10" t="s">
        <v>15</v>
      </c>
      <c r="B44" s="24">
        <f>B41</f>
        <v>0</v>
      </c>
      <c r="C44" s="10"/>
      <c r="D44" s="28">
        <f>B44*C44</f>
        <v>0</v>
      </c>
      <c r="M44" s="717"/>
    </row>
    <row r="45" spans="1:17" ht="13.5" x14ac:dyDescent="0.25">
      <c r="A45" s="10" t="s">
        <v>16</v>
      </c>
      <c r="B45" s="28">
        <f>D41</f>
        <v>0</v>
      </c>
      <c r="C45" s="10"/>
      <c r="D45" s="28">
        <f>B45*C45</f>
        <v>0</v>
      </c>
      <c r="H45" s="21"/>
      <c r="K45" s="21"/>
      <c r="L45" s="21"/>
      <c r="M45" s="21"/>
      <c r="N45" s="905"/>
    </row>
    <row r="46" spans="1:17" ht="13.5" x14ac:dyDescent="0.25">
      <c r="A46" s="10" t="s">
        <v>17</v>
      </c>
      <c r="B46" s="24">
        <f>F41</f>
        <v>0</v>
      </c>
      <c r="C46" s="10"/>
      <c r="D46" s="28">
        <f>B46*C46</f>
        <v>0</v>
      </c>
      <c r="E46" s="14"/>
      <c r="N46" s="906"/>
      <c r="O46" s="21"/>
    </row>
    <row r="47" spans="1:17" ht="13.5" x14ac:dyDescent="0.25">
      <c r="A47" s="33" t="s">
        <v>18</v>
      </c>
      <c r="B47" s="34"/>
      <c r="C47" s="35"/>
      <c r="D47" s="28">
        <f>SUM(D44:D46)</f>
        <v>0</v>
      </c>
      <c r="O47" s="21"/>
    </row>
    <row r="48" spans="1:17" x14ac:dyDescent="0.2">
      <c r="N48" s="281"/>
    </row>
  </sheetData>
  <mergeCells count="8">
    <mergeCell ref="O7:O8"/>
    <mergeCell ref="H7:H9"/>
    <mergeCell ref="I7:I9"/>
    <mergeCell ref="J7:J9"/>
    <mergeCell ref="K7:K9"/>
    <mergeCell ref="M7:M8"/>
    <mergeCell ref="N7:N8"/>
    <mergeCell ref="L7:L9"/>
  </mergeCells>
  <pageMargins left="0.70866141732283472" right="0.70866141732283472" top="0.74803149606299213" bottom="0.74803149606299213" header="0.31496062992125984" footer="0.31496062992125984"/>
  <pageSetup paperSize="9" scale="55"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9">
    <tabColor theme="4" tint="-0.249977111117893"/>
    <pageSetUpPr fitToPage="1"/>
  </sheetPr>
  <dimension ref="A2:Q48"/>
  <sheetViews>
    <sheetView topLeftCell="A19" zoomScaleNormal="100" workbookViewId="0">
      <selection activeCell="J18" sqref="J18"/>
    </sheetView>
  </sheetViews>
  <sheetFormatPr baseColWidth="10" defaultColWidth="14" defaultRowHeight="15" x14ac:dyDescent="0.2"/>
  <cols>
    <col min="1" max="1" width="14" style="37"/>
    <col min="2" max="2" width="25.42578125" style="37" bestFit="1" customWidth="1"/>
    <col min="3" max="4" width="14" style="37"/>
    <col min="5" max="5" width="15.7109375" style="37" customWidth="1"/>
    <col min="6" max="10" width="14" style="37"/>
    <col min="11" max="11" width="18.7109375" style="37" customWidth="1"/>
    <col min="12" max="12" width="18.28515625" style="37" customWidth="1"/>
    <col min="13" max="13" width="16.7109375" style="37" customWidth="1"/>
    <col min="14" max="14" width="15.5703125" style="37" customWidth="1"/>
    <col min="15" max="15" width="15.28515625" style="37" customWidth="1"/>
    <col min="16" max="16384" width="14" style="37"/>
  </cols>
  <sheetData>
    <row r="2" spans="1:16" ht="16.5" x14ac:dyDescent="0.3">
      <c r="A2" s="1" t="s">
        <v>118</v>
      </c>
      <c r="B2" s="1" t="s">
        <v>684</v>
      </c>
    </row>
    <row r="3" spans="1:16" ht="15.75" x14ac:dyDescent="0.25">
      <c r="C3" s="1860"/>
    </row>
    <row r="4" spans="1:16" ht="18.75" x14ac:dyDescent="0.3">
      <c r="A4" s="1" t="s">
        <v>19</v>
      </c>
      <c r="B4" s="1859"/>
      <c r="C4" s="1"/>
    </row>
    <row r="5" spans="1:16" ht="16.5" x14ac:dyDescent="0.3">
      <c r="A5" s="1"/>
      <c r="B5" s="1"/>
      <c r="C5" s="1"/>
    </row>
    <row r="6" spans="1:16" ht="16.5" x14ac:dyDescent="0.2">
      <c r="A6" s="100" t="s">
        <v>3</v>
      </c>
      <c r="B6" s="1271" t="s">
        <v>15</v>
      </c>
      <c r="C6" s="1272"/>
      <c r="D6" s="1271" t="s">
        <v>16</v>
      </c>
      <c r="E6" s="1272"/>
      <c r="F6" s="1271" t="s">
        <v>17</v>
      </c>
      <c r="G6" s="1272"/>
      <c r="H6" s="2910" t="s">
        <v>52</v>
      </c>
      <c r="I6" s="2910" t="s">
        <v>53</v>
      </c>
      <c r="J6" s="2910" t="s">
        <v>119</v>
      </c>
      <c r="K6" s="2910" t="s">
        <v>18</v>
      </c>
      <c r="L6" s="3062" t="s">
        <v>416</v>
      </c>
      <c r="M6" s="2910" t="s">
        <v>60</v>
      </c>
      <c r="N6" s="2910" t="s">
        <v>55</v>
      </c>
      <c r="O6" s="2910" t="s">
        <v>120</v>
      </c>
    </row>
    <row r="7" spans="1:16" ht="21" x14ac:dyDescent="0.2">
      <c r="A7" s="103"/>
      <c r="B7" s="915">
        <v>630</v>
      </c>
      <c r="C7" s="916"/>
      <c r="D7" s="915">
        <v>575</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v>8308418</v>
      </c>
      <c r="O8" s="118">
        <f>N8</f>
        <v>8308418</v>
      </c>
    </row>
    <row r="9" spans="1:16" s="94" customFormat="1" ht="16.5" x14ac:dyDescent="0.3">
      <c r="A9" s="110">
        <f>+HERAKLESS!A8</f>
        <v>44105</v>
      </c>
      <c r="B9" s="118">
        <f>C9/B$7</f>
        <v>0</v>
      </c>
      <c r="C9" s="189"/>
      <c r="D9" s="117">
        <f>+E9/D$7</f>
        <v>0</v>
      </c>
      <c r="E9" s="279"/>
      <c r="F9" s="117">
        <f>+G9/F$7</f>
        <v>0</v>
      </c>
      <c r="G9" s="118"/>
      <c r="H9" s="118"/>
      <c r="I9" s="118"/>
      <c r="J9" s="118"/>
      <c r="K9" s="134">
        <f>C9+E9+G9+H9+I9+J9</f>
        <v>0</v>
      </c>
      <c r="L9" s="134"/>
      <c r="M9" s="86"/>
      <c r="N9" s="118">
        <f>K9-M9</f>
        <v>0</v>
      </c>
      <c r="O9" s="118">
        <f>+O8+K9-M9</f>
        <v>8308418</v>
      </c>
    </row>
    <row r="10" spans="1:16" s="94" customFormat="1" ht="16.5" x14ac:dyDescent="0.3">
      <c r="A10" s="110">
        <f>+A9+1</f>
        <v>44106</v>
      </c>
      <c r="B10" s="118">
        <f t="shared" ref="B10:B39" si="0">C10/B$7</f>
        <v>0</v>
      </c>
      <c r="C10" s="189"/>
      <c r="D10" s="117">
        <f t="shared" ref="D10:D39" si="1">+E10/D$7</f>
        <v>0</v>
      </c>
      <c r="E10" s="86"/>
      <c r="F10" s="117">
        <f>+G10/F$7</f>
        <v>0</v>
      </c>
      <c r="G10" s="118"/>
      <c r="H10" s="118"/>
      <c r="I10" s="118"/>
      <c r="J10" s="118"/>
      <c r="K10" s="134">
        <f t="shared" ref="K10:K39" si="2">C10+E10+G10+H10+I10+J10</f>
        <v>0</v>
      </c>
      <c r="L10" s="134"/>
      <c r="M10" s="86"/>
      <c r="N10" s="118">
        <f t="shared" ref="N10:N37" si="3">K10-M10</f>
        <v>0</v>
      </c>
      <c r="O10" s="118">
        <f t="shared" ref="O10:O37" si="4">+O9+K10-M10</f>
        <v>8308418</v>
      </c>
    </row>
    <row r="11" spans="1:16" s="94" customFormat="1" ht="16.5" x14ac:dyDescent="0.25">
      <c r="A11" s="110">
        <f t="shared" ref="A11:A39" si="5">+A10+1</f>
        <v>44107</v>
      </c>
      <c r="B11" s="118">
        <f t="shared" si="0"/>
        <v>0</v>
      </c>
      <c r="C11" s="86"/>
      <c r="D11" s="117">
        <f t="shared" si="1"/>
        <v>0</v>
      </c>
      <c r="E11" s="86"/>
      <c r="F11" s="117">
        <f t="shared" ref="F11:F39" si="6">+G11/F$7</f>
        <v>0</v>
      </c>
      <c r="G11" s="118"/>
      <c r="H11" s="118"/>
      <c r="I11" s="118"/>
      <c r="J11" s="118"/>
      <c r="K11" s="134">
        <f t="shared" si="2"/>
        <v>0</v>
      </c>
      <c r="L11" s="831"/>
      <c r="M11" s="86"/>
      <c r="N11" s="118"/>
      <c r="O11" s="118">
        <f t="shared" si="4"/>
        <v>8308418</v>
      </c>
    </row>
    <row r="12" spans="1:16" s="94" customFormat="1" ht="16.5" x14ac:dyDescent="0.25">
      <c r="A12" s="110">
        <f t="shared" si="5"/>
        <v>44108</v>
      </c>
      <c r="B12" s="118">
        <f t="shared" si="0"/>
        <v>0</v>
      </c>
      <c r="C12" s="86"/>
      <c r="D12" s="117">
        <f t="shared" si="1"/>
        <v>0</v>
      </c>
      <c r="E12" s="279"/>
      <c r="F12" s="117">
        <f t="shared" si="6"/>
        <v>0</v>
      </c>
      <c r="G12" s="118"/>
      <c r="H12" s="118"/>
      <c r="I12" s="118"/>
      <c r="J12" s="118"/>
      <c r="K12" s="134">
        <f t="shared" si="2"/>
        <v>0</v>
      </c>
      <c r="L12" s="134"/>
      <c r="M12" s="86"/>
      <c r="N12" s="118">
        <f t="shared" si="3"/>
        <v>0</v>
      </c>
      <c r="O12" s="118">
        <f t="shared" si="4"/>
        <v>8308418</v>
      </c>
      <c r="P12" s="190"/>
    </row>
    <row r="13" spans="1:16" s="94" customFormat="1" ht="16.5" x14ac:dyDescent="0.3">
      <c r="A13" s="110">
        <f t="shared" si="5"/>
        <v>44109</v>
      </c>
      <c r="B13" s="118">
        <f t="shared" si="0"/>
        <v>0</v>
      </c>
      <c r="C13" s="189"/>
      <c r="D13" s="117">
        <f t="shared" si="1"/>
        <v>0</v>
      </c>
      <c r="E13" s="279"/>
      <c r="F13" s="117">
        <f t="shared" si="6"/>
        <v>0</v>
      </c>
      <c r="G13" s="118"/>
      <c r="H13" s="118"/>
      <c r="I13" s="118"/>
      <c r="J13" s="118"/>
      <c r="K13" s="134">
        <f t="shared" si="2"/>
        <v>0</v>
      </c>
      <c r="L13" s="134"/>
      <c r="M13" s="86"/>
      <c r="N13" s="118">
        <f t="shared" si="3"/>
        <v>0</v>
      </c>
      <c r="O13" s="118">
        <f t="shared" si="4"/>
        <v>8308418</v>
      </c>
    </row>
    <row r="14" spans="1:16" s="94" customFormat="1" ht="16.5" x14ac:dyDescent="0.25">
      <c r="A14" s="110">
        <f t="shared" si="5"/>
        <v>44110</v>
      </c>
      <c r="B14" s="118">
        <f t="shared" si="0"/>
        <v>0</v>
      </c>
      <c r="C14" s="86"/>
      <c r="D14" s="117">
        <f t="shared" si="1"/>
        <v>0</v>
      </c>
      <c r="E14" s="279"/>
      <c r="F14" s="117">
        <f t="shared" si="6"/>
        <v>0</v>
      </c>
      <c r="G14" s="118"/>
      <c r="H14" s="118"/>
      <c r="I14" s="118"/>
      <c r="J14" s="118"/>
      <c r="K14" s="134">
        <f t="shared" si="2"/>
        <v>0</v>
      </c>
      <c r="L14" s="134"/>
      <c r="M14" s="86"/>
      <c r="N14" s="118">
        <f t="shared" si="3"/>
        <v>0</v>
      </c>
      <c r="O14" s="118">
        <f t="shared" si="4"/>
        <v>8308418</v>
      </c>
    </row>
    <row r="15" spans="1:16" s="94" customFormat="1" ht="16.5" x14ac:dyDescent="0.25">
      <c r="A15" s="110">
        <f t="shared" si="5"/>
        <v>44111</v>
      </c>
      <c r="B15" s="118">
        <f t="shared" si="0"/>
        <v>0</v>
      </c>
      <c r="C15" s="86"/>
      <c r="D15" s="117">
        <f t="shared" si="1"/>
        <v>0</v>
      </c>
      <c r="E15" s="279"/>
      <c r="F15" s="117">
        <f t="shared" si="6"/>
        <v>0</v>
      </c>
      <c r="G15" s="118"/>
      <c r="H15" s="118"/>
      <c r="I15" s="118"/>
      <c r="J15" s="118"/>
      <c r="K15" s="134">
        <f t="shared" si="2"/>
        <v>0</v>
      </c>
      <c r="L15" s="134"/>
      <c r="M15" s="86"/>
      <c r="N15" s="118">
        <f t="shared" si="3"/>
        <v>0</v>
      </c>
      <c r="O15" s="118">
        <f t="shared" si="4"/>
        <v>8308418</v>
      </c>
    </row>
    <row r="16" spans="1:16" s="94" customFormat="1" ht="16.5" x14ac:dyDescent="0.25">
      <c r="A16" s="110">
        <f t="shared" si="5"/>
        <v>44112</v>
      </c>
      <c r="B16" s="118">
        <f t="shared" si="0"/>
        <v>0</v>
      </c>
      <c r="C16" s="86"/>
      <c r="D16" s="118">
        <f t="shared" si="1"/>
        <v>0</v>
      </c>
      <c r="E16" s="279"/>
      <c r="F16" s="117">
        <f t="shared" si="6"/>
        <v>0</v>
      </c>
      <c r="G16" s="118"/>
      <c r="H16" s="118"/>
      <c r="I16" s="118"/>
      <c r="J16" s="118"/>
      <c r="K16" s="134">
        <f t="shared" si="2"/>
        <v>0</v>
      </c>
      <c r="L16" s="134"/>
      <c r="M16" s="86"/>
      <c r="N16" s="118">
        <f t="shared" si="3"/>
        <v>0</v>
      </c>
      <c r="O16" s="118">
        <f t="shared" si="4"/>
        <v>8308418</v>
      </c>
    </row>
    <row r="17" spans="1:17" s="94" customFormat="1" ht="16.5" x14ac:dyDescent="0.25">
      <c r="A17" s="110">
        <f t="shared" si="5"/>
        <v>44113</v>
      </c>
      <c r="B17" s="118">
        <f t="shared" si="0"/>
        <v>0</v>
      </c>
      <c r="C17" s="86"/>
      <c r="D17" s="118">
        <f t="shared" si="1"/>
        <v>0</v>
      </c>
      <c r="E17" s="279"/>
      <c r="F17" s="117">
        <f t="shared" si="6"/>
        <v>0</v>
      </c>
      <c r="G17" s="118"/>
      <c r="H17" s="118"/>
      <c r="I17" s="118"/>
      <c r="J17" s="118"/>
      <c r="K17" s="134">
        <f t="shared" si="2"/>
        <v>0</v>
      </c>
      <c r="L17" s="134"/>
      <c r="M17" s="86"/>
      <c r="N17" s="118">
        <f t="shared" si="3"/>
        <v>0</v>
      </c>
      <c r="O17" s="118">
        <f t="shared" si="4"/>
        <v>8308418</v>
      </c>
    </row>
    <row r="18" spans="1:17" s="94" customFormat="1" ht="16.5" x14ac:dyDescent="0.25">
      <c r="A18" s="110">
        <f t="shared" si="5"/>
        <v>44114</v>
      </c>
      <c r="B18" s="118">
        <f t="shared" si="0"/>
        <v>0</v>
      </c>
      <c r="C18" s="86"/>
      <c r="D18" s="118">
        <f t="shared" si="1"/>
        <v>0</v>
      </c>
      <c r="E18" s="279"/>
      <c r="F18" s="117">
        <f t="shared" si="6"/>
        <v>0</v>
      </c>
      <c r="G18" s="118"/>
      <c r="H18" s="118"/>
      <c r="I18" s="118"/>
      <c r="J18" s="118"/>
      <c r="K18" s="134">
        <f t="shared" si="2"/>
        <v>0</v>
      </c>
      <c r="L18" s="134"/>
      <c r="M18" s="86"/>
      <c r="N18" s="118">
        <f t="shared" si="3"/>
        <v>0</v>
      </c>
      <c r="O18" s="118">
        <f t="shared" si="4"/>
        <v>8308418</v>
      </c>
    </row>
    <row r="19" spans="1:17" s="94" customFormat="1" ht="16.5" x14ac:dyDescent="0.25">
      <c r="A19" s="110">
        <f t="shared" si="5"/>
        <v>44115</v>
      </c>
      <c r="B19" s="118">
        <f t="shared" si="0"/>
        <v>0</v>
      </c>
      <c r="C19" s="86"/>
      <c r="D19" s="118">
        <f t="shared" si="1"/>
        <v>0</v>
      </c>
      <c r="E19" s="279"/>
      <c r="F19" s="117">
        <f t="shared" si="6"/>
        <v>0</v>
      </c>
      <c r="G19" s="118"/>
      <c r="H19" s="118"/>
      <c r="I19" s="118"/>
      <c r="J19" s="118"/>
      <c r="K19" s="134">
        <f t="shared" si="2"/>
        <v>0</v>
      </c>
      <c r="L19" s="134"/>
      <c r="M19" s="86"/>
      <c r="N19" s="118">
        <f t="shared" si="3"/>
        <v>0</v>
      </c>
      <c r="O19" s="118">
        <f t="shared" si="4"/>
        <v>8308418</v>
      </c>
    </row>
    <row r="20" spans="1:17" s="94" customFormat="1" ht="16.5" x14ac:dyDescent="0.25">
      <c r="A20" s="110">
        <f t="shared" si="5"/>
        <v>44116</v>
      </c>
      <c r="B20" s="118">
        <f t="shared" si="0"/>
        <v>0</v>
      </c>
      <c r="C20" s="86"/>
      <c r="D20" s="118">
        <f t="shared" si="1"/>
        <v>0</v>
      </c>
      <c r="E20" s="279"/>
      <c r="F20" s="117">
        <f t="shared" si="6"/>
        <v>0</v>
      </c>
      <c r="G20" s="118"/>
      <c r="H20" s="118"/>
      <c r="I20" s="118"/>
      <c r="J20" s="118"/>
      <c r="K20" s="134">
        <f t="shared" si="2"/>
        <v>0</v>
      </c>
      <c r="L20" s="134"/>
      <c r="M20" s="86"/>
      <c r="N20" s="118">
        <f t="shared" si="3"/>
        <v>0</v>
      </c>
      <c r="O20" s="118">
        <f>+O19+K20-M20</f>
        <v>8308418</v>
      </c>
    </row>
    <row r="21" spans="1:17" s="94" customFormat="1" ht="16.5" x14ac:dyDescent="0.25">
      <c r="A21" s="110">
        <f t="shared" si="5"/>
        <v>44117</v>
      </c>
      <c r="B21" s="118">
        <f t="shared" si="0"/>
        <v>0</v>
      </c>
      <c r="C21" s="86"/>
      <c r="D21" s="118">
        <f t="shared" si="1"/>
        <v>0</v>
      </c>
      <c r="E21" s="279"/>
      <c r="F21" s="117">
        <f t="shared" si="6"/>
        <v>0</v>
      </c>
      <c r="G21" s="118"/>
      <c r="H21" s="118"/>
      <c r="I21" s="118"/>
      <c r="J21" s="118"/>
      <c r="K21" s="134">
        <f t="shared" si="2"/>
        <v>0</v>
      </c>
      <c r="L21" s="134"/>
      <c r="M21" s="86"/>
      <c r="N21" s="118">
        <f t="shared" si="3"/>
        <v>0</v>
      </c>
      <c r="O21" s="118">
        <f t="shared" si="4"/>
        <v>8308418</v>
      </c>
    </row>
    <row r="22" spans="1:17" s="94" customFormat="1" ht="16.5" x14ac:dyDescent="0.25">
      <c r="A22" s="110">
        <f t="shared" si="5"/>
        <v>44118</v>
      </c>
      <c r="B22" s="118">
        <f t="shared" si="0"/>
        <v>0</v>
      </c>
      <c r="C22" s="86"/>
      <c r="D22" s="118">
        <f t="shared" si="1"/>
        <v>0</v>
      </c>
      <c r="E22" s="279"/>
      <c r="F22" s="117">
        <f t="shared" si="6"/>
        <v>0</v>
      </c>
      <c r="G22" s="118"/>
      <c r="H22" s="118"/>
      <c r="I22" s="118"/>
      <c r="J22" s="118"/>
      <c r="K22" s="134">
        <f t="shared" si="2"/>
        <v>0</v>
      </c>
      <c r="L22" s="134"/>
      <c r="M22" s="86"/>
      <c r="N22" s="118">
        <f t="shared" si="3"/>
        <v>0</v>
      </c>
      <c r="O22" s="118">
        <f t="shared" si="4"/>
        <v>8308418</v>
      </c>
    </row>
    <row r="23" spans="1:17" s="94" customFormat="1" ht="16.5" x14ac:dyDescent="0.25">
      <c r="A23" s="110">
        <f t="shared" si="5"/>
        <v>44119</v>
      </c>
      <c r="B23" s="118">
        <f t="shared" si="0"/>
        <v>0</v>
      </c>
      <c r="C23" s="86"/>
      <c r="D23" s="118">
        <f t="shared" si="1"/>
        <v>0</v>
      </c>
      <c r="E23" s="279"/>
      <c r="F23" s="117">
        <f t="shared" si="6"/>
        <v>0</v>
      </c>
      <c r="G23" s="118"/>
      <c r="H23" s="118"/>
      <c r="I23" s="118"/>
      <c r="J23" s="118"/>
      <c r="K23" s="134">
        <f t="shared" si="2"/>
        <v>0</v>
      </c>
      <c r="L23" s="134"/>
      <c r="M23" s="86"/>
      <c r="N23" s="118">
        <f t="shared" si="3"/>
        <v>0</v>
      </c>
      <c r="O23" s="118">
        <f t="shared" si="4"/>
        <v>8308418</v>
      </c>
    </row>
    <row r="24" spans="1:17" s="94" customFormat="1" ht="16.5" x14ac:dyDescent="0.25">
      <c r="A24" s="110">
        <f t="shared" si="5"/>
        <v>44120</v>
      </c>
      <c r="B24" s="118">
        <f t="shared" si="0"/>
        <v>0</v>
      </c>
      <c r="C24" s="86"/>
      <c r="D24" s="118">
        <f t="shared" si="1"/>
        <v>0</v>
      </c>
      <c r="E24" s="279"/>
      <c r="F24" s="117">
        <f t="shared" si="6"/>
        <v>0</v>
      </c>
      <c r="G24" s="118"/>
      <c r="H24" s="118"/>
      <c r="I24" s="118"/>
      <c r="J24" s="118"/>
      <c r="K24" s="134">
        <f t="shared" si="2"/>
        <v>0</v>
      </c>
      <c r="L24" s="134"/>
      <c r="M24" s="86"/>
      <c r="N24" s="118">
        <f t="shared" si="3"/>
        <v>0</v>
      </c>
      <c r="O24" s="118">
        <f t="shared" si="4"/>
        <v>8308418</v>
      </c>
    </row>
    <row r="25" spans="1:17" s="94" customFormat="1" ht="16.5" x14ac:dyDescent="0.25">
      <c r="A25" s="110">
        <f t="shared" si="5"/>
        <v>44121</v>
      </c>
      <c r="B25" s="118">
        <f t="shared" si="0"/>
        <v>0</v>
      </c>
      <c r="C25" s="86"/>
      <c r="D25" s="118">
        <f t="shared" si="1"/>
        <v>0</v>
      </c>
      <c r="E25" s="279"/>
      <c r="F25" s="117">
        <f t="shared" si="6"/>
        <v>0</v>
      </c>
      <c r="G25" s="118"/>
      <c r="H25" s="118"/>
      <c r="I25" s="118"/>
      <c r="J25" s="118"/>
      <c r="K25" s="134">
        <f t="shared" si="2"/>
        <v>0</v>
      </c>
      <c r="L25" s="134"/>
      <c r="M25" s="86"/>
      <c r="N25" s="118">
        <f t="shared" si="3"/>
        <v>0</v>
      </c>
      <c r="O25" s="118">
        <f t="shared" si="4"/>
        <v>8308418</v>
      </c>
    </row>
    <row r="26" spans="1:17" s="94" customFormat="1" ht="16.5" x14ac:dyDescent="0.3">
      <c r="A26" s="110">
        <f t="shared" si="5"/>
        <v>44122</v>
      </c>
      <c r="B26" s="118">
        <f t="shared" si="0"/>
        <v>0</v>
      </c>
      <c r="C26" s="86"/>
      <c r="D26" s="118">
        <f t="shared" si="1"/>
        <v>0</v>
      </c>
      <c r="E26" s="279"/>
      <c r="F26" s="117">
        <f t="shared" si="6"/>
        <v>0</v>
      </c>
      <c r="G26" s="118"/>
      <c r="H26" s="118"/>
      <c r="I26" s="118"/>
      <c r="J26" s="118"/>
      <c r="K26" s="134">
        <f t="shared" si="2"/>
        <v>0</v>
      </c>
      <c r="L26" s="86"/>
      <c r="M26" s="86"/>
      <c r="N26" s="118">
        <f t="shared" si="3"/>
        <v>0</v>
      </c>
      <c r="O26" s="118">
        <f t="shared" si="4"/>
        <v>8308418</v>
      </c>
      <c r="P26" s="119"/>
    </row>
    <row r="27" spans="1:17" ht="16.5" x14ac:dyDescent="0.25">
      <c r="A27" s="110">
        <f t="shared" si="5"/>
        <v>44123</v>
      </c>
      <c r="B27" s="118">
        <f t="shared" si="0"/>
        <v>0</v>
      </c>
      <c r="C27" s="86"/>
      <c r="D27" s="114">
        <f t="shared" si="1"/>
        <v>0</v>
      </c>
      <c r="E27" s="279"/>
      <c r="F27" s="117">
        <f t="shared" si="6"/>
        <v>0</v>
      </c>
      <c r="G27" s="118"/>
      <c r="H27" s="118"/>
      <c r="I27" s="118"/>
      <c r="J27" s="118"/>
      <c r="K27" s="134">
        <f t="shared" si="2"/>
        <v>0</v>
      </c>
      <c r="L27" s="115"/>
      <c r="M27" s="86"/>
      <c r="N27" s="118">
        <f t="shared" si="3"/>
        <v>0</v>
      </c>
      <c r="O27" s="118">
        <f t="shared" si="4"/>
        <v>8308418</v>
      </c>
    </row>
    <row r="28" spans="1:17" ht="16.5" x14ac:dyDescent="0.25">
      <c r="A28" s="110">
        <f t="shared" si="5"/>
        <v>44124</v>
      </c>
      <c r="B28" s="118">
        <f t="shared" si="0"/>
        <v>0</v>
      </c>
      <c r="C28" s="86"/>
      <c r="D28" s="114">
        <f t="shared" si="1"/>
        <v>0</v>
      </c>
      <c r="E28" s="279"/>
      <c r="F28" s="117">
        <f t="shared" si="6"/>
        <v>0</v>
      </c>
      <c r="G28" s="118"/>
      <c r="H28" s="118"/>
      <c r="I28" s="118"/>
      <c r="J28" s="118"/>
      <c r="K28" s="134">
        <f t="shared" si="2"/>
        <v>0</v>
      </c>
      <c r="L28" s="115"/>
      <c r="M28" s="86"/>
      <c r="N28" s="118">
        <f t="shared" si="3"/>
        <v>0</v>
      </c>
      <c r="O28" s="118">
        <f t="shared" si="4"/>
        <v>8308418</v>
      </c>
    </row>
    <row r="29" spans="1:17" ht="16.5" x14ac:dyDescent="0.25">
      <c r="A29" s="110">
        <f t="shared" si="5"/>
        <v>44125</v>
      </c>
      <c r="B29" s="118">
        <f t="shared" si="0"/>
        <v>0</v>
      </c>
      <c r="C29" s="86"/>
      <c r="D29" s="111">
        <f t="shared" si="1"/>
        <v>0</v>
      </c>
      <c r="E29" s="279"/>
      <c r="F29" s="117">
        <f t="shared" si="6"/>
        <v>0</v>
      </c>
      <c r="G29" s="118"/>
      <c r="H29" s="118"/>
      <c r="I29" s="118"/>
      <c r="J29" s="118"/>
      <c r="K29" s="134">
        <f t="shared" si="2"/>
        <v>0</v>
      </c>
      <c r="L29" s="115"/>
      <c r="M29" s="86"/>
      <c r="N29" s="118">
        <f t="shared" si="3"/>
        <v>0</v>
      </c>
      <c r="O29" s="118">
        <f t="shared" si="4"/>
        <v>8308418</v>
      </c>
    </row>
    <row r="30" spans="1:17" ht="16.5" x14ac:dyDescent="0.25">
      <c r="A30" s="110">
        <f t="shared" si="5"/>
        <v>44126</v>
      </c>
      <c r="B30" s="118">
        <f t="shared" si="0"/>
        <v>0</v>
      </c>
      <c r="C30" s="86"/>
      <c r="D30" s="111">
        <f t="shared" si="1"/>
        <v>0</v>
      </c>
      <c r="E30" s="279"/>
      <c r="F30" s="117">
        <f t="shared" si="6"/>
        <v>0</v>
      </c>
      <c r="G30" s="118"/>
      <c r="H30" s="118"/>
      <c r="I30" s="118"/>
      <c r="J30" s="118"/>
      <c r="K30" s="134">
        <f t="shared" si="2"/>
        <v>0</v>
      </c>
      <c r="L30" s="115"/>
      <c r="M30" s="86"/>
      <c r="N30" s="118">
        <f t="shared" si="3"/>
        <v>0</v>
      </c>
      <c r="O30" s="118">
        <f>+O29+K30-M30</f>
        <v>8308418</v>
      </c>
    </row>
    <row r="31" spans="1:17" s="94" customFormat="1" ht="16.5" x14ac:dyDescent="0.25">
      <c r="A31" s="827">
        <f t="shared" si="5"/>
        <v>44127</v>
      </c>
      <c r="B31" s="118">
        <f t="shared" si="0"/>
        <v>0</v>
      </c>
      <c r="C31" s="86"/>
      <c r="D31" s="117">
        <f t="shared" si="1"/>
        <v>0</v>
      </c>
      <c r="E31" s="86"/>
      <c r="F31" s="117">
        <f t="shared" si="6"/>
        <v>0</v>
      </c>
      <c r="G31" s="118"/>
      <c r="H31" s="118"/>
      <c r="I31" s="118"/>
      <c r="J31" s="118"/>
      <c r="K31" s="134">
        <f t="shared" si="2"/>
        <v>0</v>
      </c>
      <c r="L31" s="134"/>
      <c r="M31" s="86"/>
      <c r="N31" s="118">
        <f t="shared" si="3"/>
        <v>0</v>
      </c>
      <c r="O31" s="118">
        <f t="shared" si="4"/>
        <v>8308418</v>
      </c>
    </row>
    <row r="32" spans="1:17" ht="16.5" x14ac:dyDescent="0.25">
      <c r="A32" s="110">
        <f t="shared" si="5"/>
        <v>44128</v>
      </c>
      <c r="B32" s="114">
        <f t="shared" si="0"/>
        <v>0</v>
      </c>
      <c r="C32" s="113"/>
      <c r="D32" s="111">
        <f t="shared" si="1"/>
        <v>0</v>
      </c>
      <c r="E32" s="279"/>
      <c r="F32" s="111">
        <f t="shared" si="6"/>
        <v>0</v>
      </c>
      <c r="G32" s="114"/>
      <c r="H32" s="114"/>
      <c r="I32" s="114"/>
      <c r="J32" s="114"/>
      <c r="K32" s="134">
        <f t="shared" si="2"/>
        <v>0</v>
      </c>
      <c r="L32" s="115"/>
      <c r="M32" s="86"/>
      <c r="N32" s="114">
        <f t="shared" si="3"/>
        <v>0</v>
      </c>
      <c r="O32" s="114">
        <f t="shared" si="4"/>
        <v>8308418</v>
      </c>
      <c r="P32" s="1749">
        <f>Q32-D32</f>
        <v>10377</v>
      </c>
      <c r="Q32" s="37">
        <f>7677+2700</f>
        <v>10377</v>
      </c>
    </row>
    <row r="33" spans="1:16" ht="16.5" x14ac:dyDescent="0.25">
      <c r="A33" s="110">
        <f t="shared" si="5"/>
        <v>44129</v>
      </c>
      <c r="B33" s="114">
        <f t="shared" si="0"/>
        <v>0</v>
      </c>
      <c r="C33" s="113"/>
      <c r="D33" s="111">
        <f t="shared" si="1"/>
        <v>0</v>
      </c>
      <c r="E33" s="279"/>
      <c r="F33" s="111">
        <f t="shared" si="6"/>
        <v>0</v>
      </c>
      <c r="G33" s="114"/>
      <c r="H33" s="114"/>
      <c r="I33" s="114"/>
      <c r="J33" s="114"/>
      <c r="K33" s="134">
        <f t="shared" si="2"/>
        <v>0</v>
      </c>
      <c r="L33" s="115"/>
      <c r="M33" s="1696"/>
      <c r="N33" s="114">
        <f t="shared" si="3"/>
        <v>0</v>
      </c>
      <c r="O33" s="114">
        <f t="shared" si="4"/>
        <v>8308418</v>
      </c>
      <c r="P33" s="1749">
        <f t="shared" ref="P33:P38" si="7">Q33-D33</f>
        <v>0</v>
      </c>
    </row>
    <row r="34" spans="1:16" ht="16.5" x14ac:dyDescent="0.25">
      <c r="A34" s="110">
        <f t="shared" si="5"/>
        <v>44130</v>
      </c>
      <c r="B34" s="114">
        <f t="shared" si="0"/>
        <v>0</v>
      </c>
      <c r="C34" s="113"/>
      <c r="D34" s="111">
        <f t="shared" si="1"/>
        <v>0</v>
      </c>
      <c r="E34" s="113"/>
      <c r="F34" s="111">
        <f t="shared" si="6"/>
        <v>0</v>
      </c>
      <c r="G34" s="114"/>
      <c r="H34" s="114"/>
      <c r="I34" s="114"/>
      <c r="J34" s="114"/>
      <c r="K34" s="134">
        <f t="shared" si="2"/>
        <v>0</v>
      </c>
      <c r="L34" s="115"/>
      <c r="M34" s="1696"/>
      <c r="N34" s="114">
        <f t="shared" si="3"/>
        <v>0</v>
      </c>
      <c r="O34" s="114">
        <f t="shared" si="4"/>
        <v>8308418</v>
      </c>
      <c r="P34" s="1749">
        <f t="shared" si="7"/>
        <v>0</v>
      </c>
    </row>
    <row r="35" spans="1:16" ht="16.5" x14ac:dyDescent="0.25">
      <c r="A35" s="110">
        <f t="shared" si="5"/>
        <v>44131</v>
      </c>
      <c r="B35" s="114">
        <f t="shared" si="0"/>
        <v>0</v>
      </c>
      <c r="C35" s="113"/>
      <c r="D35" s="111">
        <f t="shared" si="1"/>
        <v>0</v>
      </c>
      <c r="E35" s="113"/>
      <c r="F35" s="111">
        <f t="shared" si="6"/>
        <v>0</v>
      </c>
      <c r="G35" s="114"/>
      <c r="H35" s="114"/>
      <c r="I35" s="114"/>
      <c r="J35" s="114"/>
      <c r="K35" s="134">
        <f t="shared" si="2"/>
        <v>0</v>
      </c>
      <c r="L35" s="115"/>
      <c r="M35" s="1696"/>
      <c r="N35" s="114">
        <f t="shared" si="3"/>
        <v>0</v>
      </c>
      <c r="O35" s="114">
        <f t="shared" si="4"/>
        <v>8308418</v>
      </c>
      <c r="P35" s="1749">
        <f t="shared" si="7"/>
        <v>0</v>
      </c>
    </row>
    <row r="36" spans="1:16" ht="16.5" x14ac:dyDescent="0.25">
      <c r="A36" s="110">
        <f t="shared" si="5"/>
        <v>44132</v>
      </c>
      <c r="B36" s="114">
        <f t="shared" si="0"/>
        <v>0</v>
      </c>
      <c r="C36" s="113"/>
      <c r="D36" s="111">
        <f t="shared" si="1"/>
        <v>0</v>
      </c>
      <c r="E36" s="113"/>
      <c r="F36" s="111">
        <f t="shared" si="6"/>
        <v>0</v>
      </c>
      <c r="G36" s="114"/>
      <c r="H36" s="114"/>
      <c r="I36" s="114"/>
      <c r="J36" s="114"/>
      <c r="K36" s="134">
        <f t="shared" si="2"/>
        <v>0</v>
      </c>
      <c r="L36" s="115"/>
      <c r="M36" s="1696"/>
      <c r="N36" s="114">
        <f t="shared" si="3"/>
        <v>0</v>
      </c>
      <c r="O36" s="114">
        <f t="shared" si="4"/>
        <v>8308418</v>
      </c>
      <c r="P36" s="1749">
        <f t="shared" si="7"/>
        <v>0</v>
      </c>
    </row>
    <row r="37" spans="1:16" ht="16.5" x14ac:dyDescent="0.25">
      <c r="A37" s="110">
        <f t="shared" si="5"/>
        <v>44133</v>
      </c>
      <c r="B37" s="114">
        <f t="shared" si="0"/>
        <v>0</v>
      </c>
      <c r="C37" s="113"/>
      <c r="D37" s="111">
        <f t="shared" si="1"/>
        <v>0</v>
      </c>
      <c r="E37" s="113"/>
      <c r="F37" s="111">
        <f t="shared" si="6"/>
        <v>0</v>
      </c>
      <c r="G37" s="114"/>
      <c r="H37" s="114"/>
      <c r="I37" s="114"/>
      <c r="J37" s="114"/>
      <c r="K37" s="134">
        <f t="shared" si="2"/>
        <v>0</v>
      </c>
      <c r="L37" s="115"/>
      <c r="M37" s="1917"/>
      <c r="N37" s="114">
        <f t="shared" si="3"/>
        <v>0</v>
      </c>
      <c r="O37" s="114">
        <f t="shared" si="4"/>
        <v>8308418</v>
      </c>
      <c r="P37" s="1749">
        <f t="shared" si="7"/>
        <v>0</v>
      </c>
    </row>
    <row r="38" spans="1:16" ht="16.5" x14ac:dyDescent="0.25">
      <c r="A38" s="110">
        <f t="shared" si="5"/>
        <v>44134</v>
      </c>
      <c r="B38" s="114">
        <f t="shared" si="0"/>
        <v>0</v>
      </c>
      <c r="C38" s="113"/>
      <c r="D38" s="111">
        <f t="shared" si="1"/>
        <v>0</v>
      </c>
      <c r="E38" s="113"/>
      <c r="F38" s="111">
        <f t="shared" si="6"/>
        <v>0</v>
      </c>
      <c r="G38" s="114"/>
      <c r="H38" s="114"/>
      <c r="I38" s="114"/>
      <c r="J38" s="114"/>
      <c r="K38" s="134">
        <f t="shared" si="2"/>
        <v>0</v>
      </c>
      <c r="L38" s="115"/>
      <c r="M38" s="113"/>
      <c r="N38" s="114">
        <f>K38-M38</f>
        <v>0</v>
      </c>
      <c r="O38" s="114">
        <f>+O37+K38-M38</f>
        <v>8308418</v>
      </c>
      <c r="P38" s="1749">
        <f t="shared" si="7"/>
        <v>0</v>
      </c>
    </row>
    <row r="39" spans="1:16" ht="16.5" x14ac:dyDescent="0.25">
      <c r="A39" s="110">
        <f t="shared" si="5"/>
        <v>44135</v>
      </c>
      <c r="B39" s="111">
        <f t="shared" si="0"/>
        <v>0</v>
      </c>
      <c r="C39" s="113"/>
      <c r="D39" s="111">
        <f t="shared" si="1"/>
        <v>0</v>
      </c>
      <c r="E39" s="113"/>
      <c r="F39" s="111">
        <f t="shared" si="6"/>
        <v>0</v>
      </c>
      <c r="G39" s="114"/>
      <c r="H39" s="114"/>
      <c r="I39" s="114"/>
      <c r="J39" s="114"/>
      <c r="K39" s="134">
        <f t="shared" si="2"/>
        <v>0</v>
      </c>
      <c r="L39" s="115"/>
      <c r="M39" s="113"/>
      <c r="N39" s="114">
        <f>K39-M39</f>
        <v>0</v>
      </c>
      <c r="O39" s="120">
        <f>+O38+K39-M39</f>
        <v>8308418</v>
      </c>
      <c r="P39" s="1749">
        <f>SUM(P32:P38)</f>
        <v>10377</v>
      </c>
    </row>
    <row r="40" spans="1:16" ht="16.5" x14ac:dyDescent="0.2">
      <c r="A40" s="121" t="s">
        <v>18</v>
      </c>
      <c r="B40" s="115">
        <f t="shared" ref="B40:J40" si="8">SUM(B9:B39)</f>
        <v>0</v>
      </c>
      <c r="C40" s="115">
        <f>SUM(C9:C39)</f>
        <v>0</v>
      </c>
      <c r="D40" s="122">
        <f t="shared" si="8"/>
        <v>0</v>
      </c>
      <c r="E40" s="115">
        <f>SUM(E9:E39)</f>
        <v>0</v>
      </c>
      <c r="F40" s="115">
        <f t="shared" si="8"/>
        <v>0</v>
      </c>
      <c r="G40" s="115">
        <f t="shared" si="8"/>
        <v>0</v>
      </c>
      <c r="H40" s="115">
        <f t="shared" si="8"/>
        <v>0</v>
      </c>
      <c r="I40" s="115">
        <f t="shared" si="8"/>
        <v>0</v>
      </c>
      <c r="J40" s="115">
        <f t="shared" si="8"/>
        <v>0</v>
      </c>
      <c r="K40" s="115">
        <f>SUM(K9:K39)</f>
        <v>0</v>
      </c>
      <c r="L40" s="115"/>
      <c r="M40" s="115">
        <f>SUM(M9:M39)</f>
        <v>0</v>
      </c>
      <c r="N40" s="120">
        <f>SUM(N8:N39)</f>
        <v>8308418</v>
      </c>
      <c r="O40" s="123"/>
    </row>
    <row r="41" spans="1:16" ht="15.75" x14ac:dyDescent="0.2">
      <c r="A41" s="124"/>
      <c r="B41" s="124"/>
      <c r="C41" s="124"/>
      <c r="D41" s="125"/>
      <c r="E41" s="124"/>
      <c r="F41" s="124"/>
      <c r="G41" s="124"/>
      <c r="H41" s="124"/>
      <c r="I41" s="124"/>
      <c r="J41" s="124"/>
      <c r="K41" s="124"/>
      <c r="L41" s="124"/>
      <c r="M41" s="124"/>
      <c r="N41" s="124"/>
      <c r="O41" s="124"/>
    </row>
    <row r="42" spans="1:16" ht="15.75" x14ac:dyDescent="0.25">
      <c r="A42" s="57" t="s">
        <v>121</v>
      </c>
      <c r="B42" s="57" t="s">
        <v>61</v>
      </c>
      <c r="C42" s="57" t="s">
        <v>122</v>
      </c>
      <c r="D42" s="126" t="s">
        <v>39</v>
      </c>
    </row>
    <row r="43" spans="1:16" ht="15.75" x14ac:dyDescent="0.25">
      <c r="A43" s="57" t="s">
        <v>15</v>
      </c>
      <c r="B43" s="127">
        <f>B40</f>
        <v>0</v>
      </c>
      <c r="C43" s="57"/>
      <c r="D43" s="126">
        <f>B43*C43</f>
        <v>0</v>
      </c>
    </row>
    <row r="44" spans="1:16" ht="15.75" x14ac:dyDescent="0.25">
      <c r="A44" s="57" t="s">
        <v>16</v>
      </c>
      <c r="B44" s="126">
        <f>D40</f>
        <v>0</v>
      </c>
      <c r="C44" s="57"/>
      <c r="D44" s="126">
        <f>B44*C44</f>
        <v>0</v>
      </c>
      <c r="H44" s="116"/>
      <c r="K44" s="116"/>
      <c r="L44" s="116"/>
      <c r="M44" s="116"/>
      <c r="N44" s="116"/>
    </row>
    <row r="45" spans="1:16" ht="15.75" x14ac:dyDescent="0.25">
      <c r="A45" s="57" t="s">
        <v>17</v>
      </c>
      <c r="B45" s="127">
        <f>F40</f>
        <v>0</v>
      </c>
      <c r="C45" s="57"/>
      <c r="D45" s="126">
        <f>B45*C45</f>
        <v>0</v>
      </c>
      <c r="E45" s="99"/>
      <c r="O45" s="116"/>
    </row>
    <row r="46" spans="1:16" ht="15.75" x14ac:dyDescent="0.25">
      <c r="A46" s="128" t="s">
        <v>18</v>
      </c>
      <c r="B46" s="129"/>
      <c r="C46" s="130"/>
      <c r="D46" s="126">
        <f>SUM(D43:D45)</f>
        <v>0</v>
      </c>
      <c r="O46" s="116"/>
    </row>
    <row r="48" spans="1:16" ht="16.5" x14ac:dyDescent="0.3">
      <c r="C48" s="1" t="s">
        <v>174</v>
      </c>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53" orientation="landscape"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0">
    <tabColor rgb="FFFF0000"/>
    <pageSetUpPr fitToPage="1"/>
  </sheetPr>
  <dimension ref="A1:R48"/>
  <sheetViews>
    <sheetView topLeftCell="A22" zoomScaleNormal="100" workbookViewId="0">
      <selection activeCell="J18" sqref="J18"/>
    </sheetView>
  </sheetViews>
  <sheetFormatPr baseColWidth="10" defaultRowHeight="18" x14ac:dyDescent="0.25"/>
  <cols>
    <col min="1" max="1" width="13.85546875" style="38" customWidth="1"/>
    <col min="2" max="3" width="11.42578125" style="38"/>
    <col min="4" max="4" width="21.28515625" style="38" customWidth="1"/>
    <col min="5" max="5" width="22.140625" style="38" customWidth="1"/>
    <col min="6" max="6" width="11.42578125" style="38"/>
    <col min="7" max="7" width="16.140625" style="38" customWidth="1"/>
    <col min="8" max="8" width="13.85546875" style="38" hidden="1" customWidth="1"/>
    <col min="9" max="9" width="13.42578125" style="38" hidden="1" customWidth="1"/>
    <col min="10" max="10" width="19" style="38" hidden="1" customWidth="1"/>
    <col min="11" max="12" width="18.28515625" style="38" customWidth="1"/>
    <col min="13" max="13" width="19.5703125" style="38" customWidth="1"/>
    <col min="14" max="14" width="18.42578125" style="38" bestFit="1" customWidth="1"/>
    <col min="15" max="16384" width="11.42578125" style="38"/>
  </cols>
  <sheetData>
    <row r="1" spans="1:16" ht="18.75" x14ac:dyDescent="0.3">
      <c r="A1" s="36" t="s">
        <v>118</v>
      </c>
      <c r="B1" s="36" t="s">
        <v>1163</v>
      </c>
    </row>
    <row r="2" spans="1:16" ht="13.5" customHeight="1" x14ac:dyDescent="0.35">
      <c r="C2" s="159"/>
      <c r="K2" s="148"/>
    </row>
    <row r="3" spans="1:16" ht="16.5" customHeight="1" x14ac:dyDescent="0.3">
      <c r="A3" s="36" t="s">
        <v>19</v>
      </c>
      <c r="B3" s="142">
        <f>+ACHOU!B3</f>
        <v>44075</v>
      </c>
      <c r="C3" s="36"/>
      <c r="G3" s="218"/>
      <c r="M3" s="37"/>
    </row>
    <row r="4" spans="1:16" ht="13.5" customHeight="1" x14ac:dyDescent="0.3">
      <c r="A4" s="36"/>
      <c r="B4" s="36"/>
      <c r="C4" s="36"/>
    </row>
    <row r="5" spans="1:16" ht="13.5" customHeight="1" x14ac:dyDescent="0.25">
      <c r="A5" s="421" t="s">
        <v>3</v>
      </c>
      <c r="B5" s="161" t="s">
        <v>15</v>
      </c>
      <c r="C5" s="162"/>
      <c r="D5" s="161" t="s">
        <v>16</v>
      </c>
      <c r="E5" s="162"/>
      <c r="F5" s="161" t="s">
        <v>17</v>
      </c>
      <c r="G5" s="162"/>
      <c r="H5" s="2901" t="s">
        <v>52</v>
      </c>
      <c r="I5" s="2901" t="s">
        <v>53</v>
      </c>
      <c r="J5" s="2901" t="s">
        <v>230</v>
      </c>
      <c r="K5" s="2901" t="s">
        <v>18</v>
      </c>
      <c r="L5" s="2901" t="s">
        <v>60</v>
      </c>
      <c r="M5" s="2901" t="s">
        <v>55</v>
      </c>
      <c r="N5" s="2901" t="s">
        <v>120</v>
      </c>
    </row>
    <row r="6" spans="1:16" ht="14.25" customHeight="1" x14ac:dyDescent="0.25">
      <c r="A6" s="163"/>
      <c r="B6" s="915">
        <v>650</v>
      </c>
      <c r="C6" s="916"/>
      <c r="D6" s="915">
        <v>600</v>
      </c>
      <c r="E6" s="916"/>
      <c r="F6" s="915">
        <v>350</v>
      </c>
      <c r="G6" s="916"/>
      <c r="H6" s="3070"/>
      <c r="I6" s="3070"/>
      <c r="J6" s="2902"/>
      <c r="K6" s="2902"/>
      <c r="L6" s="2902"/>
      <c r="M6" s="2902"/>
      <c r="N6" s="2902"/>
    </row>
    <row r="7" spans="1:16" ht="18" customHeight="1" x14ac:dyDescent="0.35">
      <c r="A7" s="422"/>
      <c r="B7" s="166" t="s">
        <v>56</v>
      </c>
      <c r="C7" s="166" t="s">
        <v>37</v>
      </c>
      <c r="D7" s="167" t="s">
        <v>56</v>
      </c>
      <c r="E7" s="166" t="s">
        <v>37</v>
      </c>
      <c r="F7" s="166" t="s">
        <v>56</v>
      </c>
      <c r="G7" s="166" t="s">
        <v>37</v>
      </c>
      <c r="H7" s="420"/>
      <c r="I7" s="420"/>
      <c r="J7" s="181"/>
      <c r="K7" s="181"/>
      <c r="L7" s="182"/>
      <c r="M7" s="183">
        <v>19</v>
      </c>
      <c r="N7" s="168">
        <f>M7</f>
        <v>19</v>
      </c>
      <c r="P7" s="38">
        <v>3</v>
      </c>
    </row>
    <row r="8" spans="1:16" ht="13.5" customHeight="1" x14ac:dyDescent="0.25">
      <c r="A8" s="110">
        <f>+ACHOU!A8</f>
        <v>44105</v>
      </c>
      <c r="B8" s="174">
        <f t="shared" ref="B8:B16" si="0">+C8/569</f>
        <v>0</v>
      </c>
      <c r="C8" s="173"/>
      <c r="D8" s="174">
        <f t="shared" ref="D8:D38" si="1">+E8/520</f>
        <v>0</v>
      </c>
      <c r="E8" s="172"/>
      <c r="F8" s="169"/>
      <c r="G8" s="172"/>
      <c r="H8" s="172"/>
      <c r="I8" s="172"/>
      <c r="J8" s="172"/>
      <c r="K8" s="173">
        <f t="shared" ref="K8:K38" si="2">C8+E8+G8+H8+I8+J8</f>
        <v>0</v>
      </c>
      <c r="L8" s="172"/>
      <c r="M8" s="172">
        <f>K8-L8</f>
        <v>0</v>
      </c>
      <c r="N8" s="172">
        <f>+N7+K8-L8</f>
        <v>19</v>
      </c>
    </row>
    <row r="9" spans="1:16" ht="13.5" customHeight="1" x14ac:dyDescent="0.25">
      <c r="A9" s="110">
        <f>+A8+1</f>
        <v>44106</v>
      </c>
      <c r="B9" s="174">
        <f t="shared" si="0"/>
        <v>0</v>
      </c>
      <c r="C9" s="173"/>
      <c r="D9" s="174">
        <f t="shared" si="1"/>
        <v>0</v>
      </c>
      <c r="E9" s="172"/>
      <c r="F9" s="169"/>
      <c r="G9" s="172"/>
      <c r="H9" s="172"/>
      <c r="I9" s="172"/>
      <c r="J9" s="172"/>
      <c r="K9" s="173">
        <f t="shared" si="2"/>
        <v>0</v>
      </c>
      <c r="L9" s="175"/>
      <c r="M9" s="172">
        <f t="shared" ref="M9:M40" si="3">K9-L9</f>
        <v>0</v>
      </c>
      <c r="N9" s="172">
        <f t="shared" ref="N9:N37" si="4">+N8+K9-L9</f>
        <v>19</v>
      </c>
    </row>
    <row r="10" spans="1:16" ht="13.5" customHeight="1" x14ac:dyDescent="0.25">
      <c r="A10" s="110">
        <f t="shared" ref="A10:A40" si="5">+A9+1</f>
        <v>44107</v>
      </c>
      <c r="B10" s="174">
        <f t="shared" si="0"/>
        <v>0</v>
      </c>
      <c r="C10" s="172"/>
      <c r="D10" s="174">
        <f t="shared" si="1"/>
        <v>0</v>
      </c>
      <c r="E10" s="423"/>
      <c r="F10" s="169"/>
      <c r="G10" s="172"/>
      <c r="H10" s="172"/>
      <c r="I10" s="172"/>
      <c r="J10" s="172"/>
      <c r="K10" s="173">
        <f t="shared" si="2"/>
        <v>0</v>
      </c>
      <c r="L10" s="1187"/>
      <c r="M10" s="172">
        <f t="shared" si="3"/>
        <v>0</v>
      </c>
      <c r="N10" s="172">
        <f t="shared" si="4"/>
        <v>19</v>
      </c>
    </row>
    <row r="11" spans="1:16" ht="13.5" customHeight="1" x14ac:dyDescent="0.25">
      <c r="A11" s="110">
        <f t="shared" si="5"/>
        <v>44108</v>
      </c>
      <c r="B11" s="174">
        <f t="shared" si="0"/>
        <v>0</v>
      </c>
      <c r="C11" s="172"/>
      <c r="D11" s="174">
        <f>+E11/520</f>
        <v>0</v>
      </c>
      <c r="E11" s="172"/>
      <c r="F11" s="169"/>
      <c r="G11" s="423"/>
      <c r="H11" s="172"/>
      <c r="I11" s="172"/>
      <c r="J11" s="172"/>
      <c r="K11" s="173">
        <f t="shared" si="2"/>
        <v>0</v>
      </c>
      <c r="L11" s="175"/>
      <c r="M11" s="172">
        <f t="shared" si="3"/>
        <v>0</v>
      </c>
      <c r="N11" s="172">
        <f t="shared" si="4"/>
        <v>19</v>
      </c>
    </row>
    <row r="12" spans="1:16" ht="13.5" customHeight="1" x14ac:dyDescent="0.25">
      <c r="A12" s="1188">
        <f t="shared" si="5"/>
        <v>44109</v>
      </c>
      <c r="B12" s="174">
        <f t="shared" si="0"/>
        <v>0</v>
      </c>
      <c r="C12" s="173"/>
      <c r="D12" s="174">
        <f t="shared" si="1"/>
        <v>0</v>
      </c>
      <c r="E12" s="172"/>
      <c r="F12" s="169"/>
      <c r="G12" s="172"/>
      <c r="H12" s="172"/>
      <c r="I12" s="172"/>
      <c r="J12" s="172"/>
      <c r="K12" s="173">
        <f t="shared" si="2"/>
        <v>0</v>
      </c>
      <c r="L12" s="175"/>
      <c r="M12" s="172">
        <f t="shared" si="3"/>
        <v>0</v>
      </c>
      <c r="N12" s="172">
        <f t="shared" si="4"/>
        <v>19</v>
      </c>
    </row>
    <row r="13" spans="1:16" ht="13.5" customHeight="1" x14ac:dyDescent="0.25">
      <c r="A13" s="1188">
        <f t="shared" si="5"/>
        <v>44110</v>
      </c>
      <c r="B13" s="174">
        <f t="shared" si="0"/>
        <v>0</v>
      </c>
      <c r="C13" s="173"/>
      <c r="D13" s="174">
        <f t="shared" si="1"/>
        <v>0</v>
      </c>
      <c r="E13" s="172"/>
      <c r="F13" s="169"/>
      <c r="G13" s="423"/>
      <c r="H13" s="172"/>
      <c r="I13" s="172"/>
      <c r="J13" s="172"/>
      <c r="K13" s="173">
        <f t="shared" si="2"/>
        <v>0</v>
      </c>
      <c r="L13" s="1187"/>
      <c r="M13" s="172">
        <f t="shared" si="3"/>
        <v>0</v>
      </c>
      <c r="N13" s="172">
        <f t="shared" si="4"/>
        <v>19</v>
      </c>
    </row>
    <row r="14" spans="1:16" ht="13.5" customHeight="1" x14ac:dyDescent="0.25">
      <c r="A14" s="1188">
        <f t="shared" si="5"/>
        <v>44111</v>
      </c>
      <c r="B14" s="174">
        <f t="shared" si="0"/>
        <v>0</v>
      </c>
      <c r="C14" s="172"/>
      <c r="D14" s="174">
        <f t="shared" si="1"/>
        <v>0</v>
      </c>
      <c r="E14" s="172"/>
      <c r="F14" s="169"/>
      <c r="G14" s="172"/>
      <c r="H14" s="172"/>
      <c r="I14" s="172"/>
      <c r="J14" s="172"/>
      <c r="K14" s="173">
        <f t="shared" si="2"/>
        <v>0</v>
      </c>
      <c r="L14" s="1187"/>
      <c r="M14" s="172">
        <f t="shared" si="3"/>
        <v>0</v>
      </c>
      <c r="N14" s="172">
        <f t="shared" si="4"/>
        <v>19</v>
      </c>
    </row>
    <row r="15" spans="1:16" ht="13.5" customHeight="1" x14ac:dyDescent="0.25">
      <c r="A15" s="1188">
        <f t="shared" si="5"/>
        <v>44112</v>
      </c>
      <c r="B15" s="174">
        <f t="shared" si="0"/>
        <v>0</v>
      </c>
      <c r="C15" s="172"/>
      <c r="D15" s="174">
        <f t="shared" si="1"/>
        <v>0</v>
      </c>
      <c r="E15" s="172"/>
      <c r="F15" s="169"/>
      <c r="G15" s="172"/>
      <c r="H15" s="172"/>
      <c r="I15" s="172"/>
      <c r="J15" s="172"/>
      <c r="K15" s="173">
        <f t="shared" si="2"/>
        <v>0</v>
      </c>
      <c r="L15" s="1187"/>
      <c r="M15" s="172">
        <f t="shared" si="3"/>
        <v>0</v>
      </c>
      <c r="N15" s="172">
        <f t="shared" si="4"/>
        <v>19</v>
      </c>
    </row>
    <row r="16" spans="1:16" ht="13.5" customHeight="1" x14ac:dyDescent="0.25">
      <c r="A16" s="110">
        <f t="shared" si="5"/>
        <v>44113</v>
      </c>
      <c r="B16" s="174">
        <f t="shared" si="0"/>
        <v>0</v>
      </c>
      <c r="C16" s="175"/>
      <c r="D16" s="174">
        <f t="shared" si="1"/>
        <v>0</v>
      </c>
      <c r="E16" s="172"/>
      <c r="F16" s="169"/>
      <c r="G16" s="175"/>
      <c r="H16" s="175"/>
      <c r="I16" s="175"/>
      <c r="J16" s="175"/>
      <c r="K16" s="184">
        <f t="shared" si="2"/>
        <v>0</v>
      </c>
      <c r="L16" s="1187"/>
      <c r="M16" s="172">
        <f t="shared" si="3"/>
        <v>0</v>
      </c>
      <c r="N16" s="172">
        <f t="shared" si="4"/>
        <v>19</v>
      </c>
    </row>
    <row r="17" spans="1:18" ht="13.5" customHeight="1" x14ac:dyDescent="0.25">
      <c r="A17" s="110">
        <f t="shared" si="5"/>
        <v>44114</v>
      </c>
      <c r="B17" s="174">
        <f>+C17/569</f>
        <v>0</v>
      </c>
      <c r="C17" s="175"/>
      <c r="D17" s="174">
        <f>+E17/520</f>
        <v>0</v>
      </c>
      <c r="E17" s="172"/>
      <c r="F17" s="169"/>
      <c r="G17" s="175"/>
      <c r="H17" s="175"/>
      <c r="I17" s="175"/>
      <c r="J17" s="175"/>
      <c r="K17" s="184">
        <f t="shared" si="2"/>
        <v>0</v>
      </c>
      <c r="L17" s="175"/>
      <c r="M17" s="172">
        <f t="shared" si="3"/>
        <v>0</v>
      </c>
      <c r="N17" s="172">
        <f t="shared" si="4"/>
        <v>19</v>
      </c>
      <c r="R17" s="38" t="s">
        <v>420</v>
      </c>
    </row>
    <row r="18" spans="1:18" ht="13.5" customHeight="1" x14ac:dyDescent="0.25">
      <c r="A18" s="110">
        <f t="shared" si="5"/>
        <v>44115</v>
      </c>
      <c r="B18" s="174">
        <f t="shared" ref="B18:B38" si="6">+C18/569</f>
        <v>0</v>
      </c>
      <c r="C18" s="175"/>
      <c r="D18" s="175">
        <f t="shared" si="1"/>
        <v>0</v>
      </c>
      <c r="E18" s="172"/>
      <c r="F18" s="169"/>
      <c r="G18" s="175"/>
      <c r="H18" s="175"/>
      <c r="I18" s="175"/>
      <c r="J18" s="175"/>
      <c r="K18" s="184">
        <f>C18+E18+G18+H18+I18+J18</f>
        <v>0</v>
      </c>
      <c r="L18" s="175"/>
      <c r="M18" s="172">
        <f t="shared" si="3"/>
        <v>0</v>
      </c>
      <c r="N18" s="172">
        <f>+N17+K18-L18</f>
        <v>19</v>
      </c>
    </row>
    <row r="19" spans="1:18" ht="13.5" customHeight="1" x14ac:dyDescent="0.25">
      <c r="A19" s="1188">
        <f t="shared" si="5"/>
        <v>44116</v>
      </c>
      <c r="B19" s="174">
        <f t="shared" si="6"/>
        <v>0</v>
      </c>
      <c r="C19" s="175"/>
      <c r="D19" s="174">
        <f t="shared" si="1"/>
        <v>0</v>
      </c>
      <c r="E19" s="172"/>
      <c r="F19" s="169"/>
      <c r="G19" s="175"/>
      <c r="H19" s="175"/>
      <c r="I19" s="175"/>
      <c r="J19" s="175"/>
      <c r="K19" s="184">
        <f t="shared" si="2"/>
        <v>0</v>
      </c>
      <c r="L19" s="1187"/>
      <c r="M19" s="172">
        <f t="shared" si="3"/>
        <v>0</v>
      </c>
      <c r="N19" s="172">
        <f t="shared" si="4"/>
        <v>19</v>
      </c>
    </row>
    <row r="20" spans="1:18" ht="13.5" customHeight="1" x14ac:dyDescent="0.25">
      <c r="A20" s="1188">
        <f t="shared" si="5"/>
        <v>44117</v>
      </c>
      <c r="B20" s="174">
        <f t="shared" si="6"/>
        <v>0</v>
      </c>
      <c r="C20" s="175"/>
      <c r="D20" s="174">
        <f t="shared" si="1"/>
        <v>0</v>
      </c>
      <c r="E20" s="172"/>
      <c r="F20" s="169"/>
      <c r="G20" s="175"/>
      <c r="H20" s="175"/>
      <c r="I20" s="175"/>
      <c r="J20" s="175"/>
      <c r="K20" s="184">
        <f t="shared" si="2"/>
        <v>0</v>
      </c>
      <c r="L20" s="175"/>
      <c r="M20" s="172">
        <f t="shared" si="3"/>
        <v>0</v>
      </c>
      <c r="N20" s="172">
        <f t="shared" si="4"/>
        <v>19</v>
      </c>
    </row>
    <row r="21" spans="1:18" ht="13.5" customHeight="1" x14ac:dyDescent="0.25">
      <c r="A21" s="110">
        <f t="shared" si="5"/>
        <v>44118</v>
      </c>
      <c r="B21" s="174">
        <f t="shared" si="6"/>
        <v>0</v>
      </c>
      <c r="C21" s="175"/>
      <c r="D21" s="174">
        <f t="shared" si="1"/>
        <v>0</v>
      </c>
      <c r="E21" s="172"/>
      <c r="F21" s="169"/>
      <c r="G21" s="175"/>
      <c r="H21" s="175"/>
      <c r="I21" s="175"/>
      <c r="J21" s="175"/>
      <c r="K21" s="184">
        <f t="shared" si="2"/>
        <v>0</v>
      </c>
      <c r="L21" s="1187"/>
      <c r="M21" s="172">
        <f t="shared" si="3"/>
        <v>0</v>
      </c>
      <c r="N21" s="172">
        <f t="shared" si="4"/>
        <v>19</v>
      </c>
    </row>
    <row r="22" spans="1:18" ht="13.5" customHeight="1" x14ac:dyDescent="0.25">
      <c r="A22" s="110">
        <f t="shared" si="5"/>
        <v>44119</v>
      </c>
      <c r="B22" s="174">
        <f t="shared" si="6"/>
        <v>0</v>
      </c>
      <c r="C22" s="175"/>
      <c r="D22" s="174">
        <f t="shared" si="1"/>
        <v>0</v>
      </c>
      <c r="E22" s="172"/>
      <c r="F22" s="174"/>
      <c r="G22" s="175"/>
      <c r="H22" s="175"/>
      <c r="I22" s="175"/>
      <c r="J22" s="175"/>
      <c r="K22" s="184">
        <f t="shared" si="2"/>
        <v>0</v>
      </c>
      <c r="L22" s="175"/>
      <c r="M22" s="172">
        <f t="shared" si="3"/>
        <v>0</v>
      </c>
      <c r="N22" s="172">
        <f t="shared" si="4"/>
        <v>19</v>
      </c>
    </row>
    <row r="23" spans="1:18" ht="13.5" customHeight="1" x14ac:dyDescent="0.25">
      <c r="A23" s="110">
        <f t="shared" si="5"/>
        <v>44120</v>
      </c>
      <c r="B23" s="174">
        <f t="shared" si="6"/>
        <v>0</v>
      </c>
      <c r="C23" s="175"/>
      <c r="D23" s="174">
        <f t="shared" si="1"/>
        <v>0</v>
      </c>
      <c r="E23" s="172"/>
      <c r="F23" s="174"/>
      <c r="G23" s="175"/>
      <c r="H23" s="175"/>
      <c r="I23" s="175"/>
      <c r="J23" s="175"/>
      <c r="K23" s="184">
        <f t="shared" si="2"/>
        <v>0</v>
      </c>
      <c r="L23" s="172"/>
      <c r="M23" s="172">
        <f t="shared" si="3"/>
        <v>0</v>
      </c>
      <c r="N23" s="172">
        <f t="shared" si="4"/>
        <v>19</v>
      </c>
    </row>
    <row r="24" spans="1:18" ht="13.5" customHeight="1" x14ac:dyDescent="0.25">
      <c r="A24" s="110">
        <f t="shared" si="5"/>
        <v>44121</v>
      </c>
      <c r="B24" s="174">
        <f t="shared" si="6"/>
        <v>0</v>
      </c>
      <c r="C24" s="175"/>
      <c r="D24" s="174">
        <f t="shared" si="1"/>
        <v>0</v>
      </c>
      <c r="E24" s="172"/>
      <c r="F24" s="174"/>
      <c r="G24" s="175"/>
      <c r="H24" s="175"/>
      <c r="I24" s="175"/>
      <c r="J24" s="175"/>
      <c r="K24" s="184">
        <f t="shared" si="2"/>
        <v>0</v>
      </c>
      <c r="L24" s="172"/>
      <c r="M24" s="172">
        <f t="shared" si="3"/>
        <v>0</v>
      </c>
      <c r="N24" s="172">
        <f t="shared" si="4"/>
        <v>19</v>
      </c>
    </row>
    <row r="25" spans="1:18" ht="13.5" customHeight="1" x14ac:dyDescent="0.25">
      <c r="A25" s="110">
        <f t="shared" si="5"/>
        <v>44122</v>
      </c>
      <c r="B25" s="174">
        <f t="shared" si="6"/>
        <v>0</v>
      </c>
      <c r="C25" s="175"/>
      <c r="D25" s="174">
        <f t="shared" si="1"/>
        <v>0</v>
      </c>
      <c r="E25" s="172"/>
      <c r="F25" s="174"/>
      <c r="G25" s="175"/>
      <c r="H25" s="175"/>
      <c r="I25" s="175"/>
      <c r="J25" s="175"/>
      <c r="K25" s="184">
        <f t="shared" si="2"/>
        <v>0</v>
      </c>
      <c r="L25" s="172"/>
      <c r="M25" s="172">
        <f t="shared" si="3"/>
        <v>0</v>
      </c>
      <c r="N25" s="172">
        <f t="shared" si="4"/>
        <v>19</v>
      </c>
    </row>
    <row r="26" spans="1:18" ht="13.5" customHeight="1" x14ac:dyDescent="0.25">
      <c r="A26" s="110">
        <f t="shared" si="5"/>
        <v>44123</v>
      </c>
      <c r="B26" s="174">
        <f t="shared" si="6"/>
        <v>0</v>
      </c>
      <c r="C26" s="175"/>
      <c r="D26" s="174">
        <f t="shared" si="1"/>
        <v>0</v>
      </c>
      <c r="E26" s="172"/>
      <c r="F26" s="174"/>
      <c r="G26" s="175"/>
      <c r="H26" s="175"/>
      <c r="I26" s="175"/>
      <c r="J26" s="175"/>
      <c r="K26" s="184">
        <f t="shared" si="2"/>
        <v>0</v>
      </c>
      <c r="L26" s="172"/>
      <c r="M26" s="172">
        <f t="shared" si="3"/>
        <v>0</v>
      </c>
      <c r="N26" s="172">
        <f t="shared" si="4"/>
        <v>19</v>
      </c>
    </row>
    <row r="27" spans="1:18" ht="13.5" customHeight="1" x14ac:dyDescent="0.25">
      <c r="A27" s="110">
        <f t="shared" si="5"/>
        <v>44124</v>
      </c>
      <c r="B27" s="174">
        <f t="shared" si="6"/>
        <v>0</v>
      </c>
      <c r="C27" s="175"/>
      <c r="D27" s="174">
        <f t="shared" si="1"/>
        <v>0</v>
      </c>
      <c r="E27" s="172"/>
      <c r="F27" s="174"/>
      <c r="G27" s="175"/>
      <c r="H27" s="175"/>
      <c r="I27" s="175"/>
      <c r="J27" s="175"/>
      <c r="K27" s="184">
        <f t="shared" si="2"/>
        <v>0</v>
      </c>
      <c r="L27" s="172"/>
      <c r="M27" s="172">
        <f t="shared" si="3"/>
        <v>0</v>
      </c>
      <c r="N27" s="172">
        <f t="shared" si="4"/>
        <v>19</v>
      </c>
      <c r="O27" s="38" t="s">
        <v>62</v>
      </c>
    </row>
    <row r="28" spans="1:18" ht="13.5" customHeight="1" x14ac:dyDescent="0.25">
      <c r="A28" s="110">
        <f t="shared" si="5"/>
        <v>44125</v>
      </c>
      <c r="B28" s="174">
        <f t="shared" si="6"/>
        <v>0</v>
      </c>
      <c r="C28" s="175"/>
      <c r="D28" s="174">
        <f t="shared" si="1"/>
        <v>0</v>
      </c>
      <c r="E28" s="172"/>
      <c r="F28" s="174"/>
      <c r="G28" s="175"/>
      <c r="H28" s="175"/>
      <c r="I28" s="175"/>
      <c r="J28" s="175"/>
      <c r="K28" s="184">
        <f t="shared" si="2"/>
        <v>0</v>
      </c>
      <c r="L28" s="172"/>
      <c r="M28" s="172">
        <f t="shared" si="3"/>
        <v>0</v>
      </c>
      <c r="N28" s="172">
        <f>+N27+K28-L28</f>
        <v>19</v>
      </c>
    </row>
    <row r="29" spans="1:18" ht="13.5" customHeight="1" x14ac:dyDescent="0.25">
      <c r="A29" s="110">
        <f t="shared" si="5"/>
        <v>44126</v>
      </c>
      <c r="B29" s="174">
        <f t="shared" si="6"/>
        <v>0</v>
      </c>
      <c r="C29" s="175"/>
      <c r="D29" s="174">
        <f t="shared" si="1"/>
        <v>0</v>
      </c>
      <c r="E29" s="172"/>
      <c r="F29" s="174"/>
      <c r="G29" s="175"/>
      <c r="H29" s="175"/>
      <c r="I29" s="175"/>
      <c r="J29" s="175"/>
      <c r="K29" s="184">
        <f t="shared" si="2"/>
        <v>0</v>
      </c>
      <c r="L29" s="172"/>
      <c r="M29" s="172">
        <f t="shared" si="3"/>
        <v>0</v>
      </c>
      <c r="N29" s="172">
        <f t="shared" si="4"/>
        <v>19</v>
      </c>
    </row>
    <row r="30" spans="1:18" ht="13.5" customHeight="1" x14ac:dyDescent="0.25">
      <c r="A30" s="110">
        <f t="shared" si="5"/>
        <v>44127</v>
      </c>
      <c r="B30" s="174">
        <f t="shared" si="6"/>
        <v>0</v>
      </c>
      <c r="C30" s="175"/>
      <c r="D30" s="174">
        <f t="shared" si="1"/>
        <v>0</v>
      </c>
      <c r="E30" s="172"/>
      <c r="F30" s="174"/>
      <c r="G30" s="175"/>
      <c r="H30" s="175"/>
      <c r="I30" s="175"/>
      <c r="J30" s="175"/>
      <c r="K30" s="184">
        <f t="shared" si="2"/>
        <v>0</v>
      </c>
      <c r="L30" s="172"/>
      <c r="M30" s="172">
        <f t="shared" si="3"/>
        <v>0</v>
      </c>
      <c r="N30" s="172">
        <f t="shared" si="4"/>
        <v>19</v>
      </c>
    </row>
    <row r="31" spans="1:18" s="1554" customFormat="1" ht="13.5" customHeight="1" x14ac:dyDescent="0.25">
      <c r="A31" s="1547">
        <f t="shared" si="5"/>
        <v>44128</v>
      </c>
      <c r="B31" s="1551">
        <f t="shared" si="6"/>
        <v>0</v>
      </c>
      <c r="C31" s="1552"/>
      <c r="D31" s="1551">
        <f t="shared" si="1"/>
        <v>0</v>
      </c>
      <c r="E31" s="1552"/>
      <c r="F31" s="1551"/>
      <c r="G31" s="1552"/>
      <c r="H31" s="1552"/>
      <c r="I31" s="1552"/>
      <c r="J31" s="1552"/>
      <c r="K31" s="1553">
        <f t="shared" si="2"/>
        <v>0</v>
      </c>
      <c r="L31" s="1552"/>
      <c r="M31" s="1552">
        <f t="shared" si="3"/>
        <v>0</v>
      </c>
      <c r="N31" s="1552">
        <f t="shared" si="4"/>
        <v>19</v>
      </c>
    </row>
    <row r="32" spans="1:18" ht="13.5" customHeight="1" x14ac:dyDescent="0.25">
      <c r="A32" s="110">
        <f t="shared" si="5"/>
        <v>44129</v>
      </c>
      <c r="B32" s="174">
        <f t="shared" si="6"/>
        <v>0</v>
      </c>
      <c r="C32" s="172"/>
      <c r="D32" s="174">
        <f t="shared" si="1"/>
        <v>0</v>
      </c>
      <c r="E32" s="172"/>
      <c r="F32" s="169"/>
      <c r="G32" s="172"/>
      <c r="H32" s="172"/>
      <c r="I32" s="172"/>
      <c r="J32" s="172"/>
      <c r="K32" s="173">
        <f t="shared" si="2"/>
        <v>0</v>
      </c>
      <c r="L32" s="172"/>
      <c r="M32" s="172">
        <f t="shared" si="3"/>
        <v>0</v>
      </c>
      <c r="N32" s="172">
        <f t="shared" si="4"/>
        <v>19</v>
      </c>
    </row>
    <row r="33" spans="1:14" ht="19.5" x14ac:dyDescent="0.25">
      <c r="A33" s="110">
        <f t="shared" si="5"/>
        <v>44130</v>
      </c>
      <c r="B33" s="174">
        <f t="shared" si="6"/>
        <v>0</v>
      </c>
      <c r="C33" s="172"/>
      <c r="D33" s="174">
        <f t="shared" si="1"/>
        <v>0</v>
      </c>
      <c r="E33" s="172"/>
      <c r="F33" s="169"/>
      <c r="G33" s="172"/>
      <c r="H33" s="172"/>
      <c r="I33" s="172"/>
      <c r="J33" s="172"/>
      <c r="K33" s="173">
        <f t="shared" si="2"/>
        <v>0</v>
      </c>
      <c r="L33" s="172"/>
      <c r="M33" s="172">
        <f t="shared" si="3"/>
        <v>0</v>
      </c>
      <c r="N33" s="172">
        <f t="shared" si="4"/>
        <v>19</v>
      </c>
    </row>
    <row r="34" spans="1:14" ht="19.5" x14ac:dyDescent="0.25">
      <c r="A34" s="110">
        <f t="shared" si="5"/>
        <v>44131</v>
      </c>
      <c r="B34" s="174">
        <f t="shared" si="6"/>
        <v>0</v>
      </c>
      <c r="C34" s="172"/>
      <c r="D34" s="174">
        <f t="shared" si="1"/>
        <v>0</v>
      </c>
      <c r="E34" s="172"/>
      <c r="F34" s="169"/>
      <c r="G34" s="172"/>
      <c r="H34" s="172"/>
      <c r="I34" s="172"/>
      <c r="J34" s="172"/>
      <c r="K34" s="173">
        <f t="shared" si="2"/>
        <v>0</v>
      </c>
      <c r="L34" s="172"/>
      <c r="M34" s="172">
        <f t="shared" si="3"/>
        <v>0</v>
      </c>
      <c r="N34" s="172">
        <f t="shared" si="4"/>
        <v>19</v>
      </c>
    </row>
    <row r="35" spans="1:14" ht="19.5" x14ac:dyDescent="0.25">
      <c r="A35" s="110">
        <f t="shared" si="5"/>
        <v>44132</v>
      </c>
      <c r="B35" s="174">
        <f t="shared" si="6"/>
        <v>0</v>
      </c>
      <c r="C35" s="172"/>
      <c r="D35" s="174">
        <f t="shared" si="1"/>
        <v>0</v>
      </c>
      <c r="E35" s="172"/>
      <c r="F35" s="169"/>
      <c r="G35" s="172"/>
      <c r="H35" s="172"/>
      <c r="I35" s="172"/>
      <c r="J35" s="172"/>
      <c r="K35" s="173">
        <f t="shared" si="2"/>
        <v>0</v>
      </c>
      <c r="L35" s="172"/>
      <c r="M35" s="172">
        <f t="shared" si="3"/>
        <v>0</v>
      </c>
      <c r="N35" s="172">
        <f t="shared" si="4"/>
        <v>19</v>
      </c>
    </row>
    <row r="36" spans="1:14" ht="19.5" x14ac:dyDescent="0.25">
      <c r="A36" s="110">
        <f t="shared" si="5"/>
        <v>44133</v>
      </c>
      <c r="B36" s="174">
        <f t="shared" si="6"/>
        <v>0</v>
      </c>
      <c r="C36" s="172"/>
      <c r="D36" s="174">
        <f t="shared" si="1"/>
        <v>0</v>
      </c>
      <c r="E36" s="172"/>
      <c r="F36" s="169"/>
      <c r="G36" s="172"/>
      <c r="H36" s="172"/>
      <c r="I36" s="172"/>
      <c r="J36" s="172"/>
      <c r="K36" s="173">
        <f t="shared" si="2"/>
        <v>0</v>
      </c>
      <c r="L36" s="172"/>
      <c r="M36" s="172">
        <f t="shared" si="3"/>
        <v>0</v>
      </c>
      <c r="N36" s="172">
        <f t="shared" si="4"/>
        <v>19</v>
      </c>
    </row>
    <row r="37" spans="1:14" ht="19.5" x14ac:dyDescent="0.25">
      <c r="A37" s="110">
        <f t="shared" si="5"/>
        <v>44134</v>
      </c>
      <c r="B37" s="174">
        <f t="shared" si="6"/>
        <v>0</v>
      </c>
      <c r="C37" s="172"/>
      <c r="D37" s="174">
        <f t="shared" si="1"/>
        <v>0</v>
      </c>
      <c r="E37" s="172"/>
      <c r="F37" s="169"/>
      <c r="G37" s="172"/>
      <c r="H37" s="172"/>
      <c r="I37" s="172"/>
      <c r="J37" s="172"/>
      <c r="K37" s="173">
        <f t="shared" si="2"/>
        <v>0</v>
      </c>
      <c r="L37" s="172"/>
      <c r="M37" s="172">
        <f t="shared" si="3"/>
        <v>0</v>
      </c>
      <c r="N37" s="172">
        <f t="shared" si="4"/>
        <v>19</v>
      </c>
    </row>
    <row r="38" spans="1:14" ht="19.5" x14ac:dyDescent="0.25">
      <c r="A38" s="110">
        <f t="shared" si="5"/>
        <v>44135</v>
      </c>
      <c r="B38" s="174">
        <f t="shared" si="6"/>
        <v>0</v>
      </c>
      <c r="C38" s="172"/>
      <c r="D38" s="174">
        <f t="shared" si="1"/>
        <v>0</v>
      </c>
      <c r="E38" s="172"/>
      <c r="F38" s="169"/>
      <c r="G38" s="172"/>
      <c r="H38" s="172"/>
      <c r="I38" s="172"/>
      <c r="J38" s="172"/>
      <c r="K38" s="173">
        <f t="shared" si="2"/>
        <v>0</v>
      </c>
      <c r="L38" s="172"/>
      <c r="M38" s="172">
        <f>K38-L38</f>
        <v>0</v>
      </c>
      <c r="N38" s="177">
        <f>+N37+K38-L38</f>
        <v>19</v>
      </c>
    </row>
    <row r="39" spans="1:14" ht="19.5" x14ac:dyDescent="0.25">
      <c r="A39" s="110">
        <f t="shared" si="5"/>
        <v>44136</v>
      </c>
      <c r="B39" s="174"/>
      <c r="C39" s="172"/>
      <c r="D39" s="174">
        <f>+E39/520</f>
        <v>0</v>
      </c>
      <c r="E39" s="172"/>
      <c r="F39" s="169"/>
      <c r="G39" s="172"/>
      <c r="H39" s="172"/>
      <c r="I39" s="172"/>
      <c r="J39" s="172"/>
      <c r="K39" s="173">
        <f>C39+E39+G39+H39+I39+J39</f>
        <v>0</v>
      </c>
      <c r="L39" s="172"/>
      <c r="M39" s="172">
        <f t="shared" si="3"/>
        <v>0</v>
      </c>
      <c r="N39" s="177">
        <f>+N38+K39-L39</f>
        <v>19</v>
      </c>
    </row>
    <row r="40" spans="1:14" ht="19.5" x14ac:dyDescent="0.25">
      <c r="A40" s="110">
        <f t="shared" si="5"/>
        <v>44137</v>
      </c>
      <c r="B40" s="174"/>
      <c r="C40" s="172"/>
      <c r="D40" s="174"/>
      <c r="E40" s="172"/>
      <c r="F40" s="169"/>
      <c r="G40" s="172"/>
      <c r="H40" s="172"/>
      <c r="I40" s="172"/>
      <c r="J40" s="172"/>
      <c r="K40" s="173">
        <f>C40+E40+G40+H40+I40+J40</f>
        <v>0</v>
      </c>
      <c r="L40" s="172"/>
      <c r="M40" s="172">
        <f t="shared" si="3"/>
        <v>0</v>
      </c>
      <c r="N40" s="177">
        <f>+N39+K40-L40</f>
        <v>19</v>
      </c>
    </row>
    <row r="41" spans="1:14" ht="19.5" x14ac:dyDescent="0.25">
      <c r="A41" s="178" t="s">
        <v>18</v>
      </c>
      <c r="B41" s="185">
        <f>SUM(B8:B38)</f>
        <v>0</v>
      </c>
      <c r="C41" s="173">
        <f>SUM(C8:C38)</f>
        <v>0</v>
      </c>
      <c r="D41" s="179">
        <f>SUM(D8:D38)</f>
        <v>0</v>
      </c>
      <c r="E41" s="173">
        <f>SUM(E8:E39)</f>
        <v>0</v>
      </c>
      <c r="F41" s="173">
        <f t="shared" ref="F41:L41" si="7">SUM(F8:F38)</f>
        <v>0</v>
      </c>
      <c r="G41" s="173">
        <f t="shared" si="7"/>
        <v>0</v>
      </c>
      <c r="H41" s="173">
        <f t="shared" si="7"/>
        <v>0</v>
      </c>
      <c r="I41" s="173">
        <f t="shared" si="7"/>
        <v>0</v>
      </c>
      <c r="J41" s="173">
        <f t="shared" si="7"/>
        <v>0</v>
      </c>
      <c r="K41" s="173">
        <f t="shared" si="7"/>
        <v>0</v>
      </c>
      <c r="L41" s="173">
        <f t="shared" si="7"/>
        <v>0</v>
      </c>
      <c r="M41" s="177">
        <f>SUM(M7:M38)</f>
        <v>19</v>
      </c>
      <c r="N41" s="180"/>
    </row>
    <row r="48" spans="1:14" x14ac:dyDescent="0.25">
      <c r="H48" s="218"/>
    </row>
  </sheetData>
  <mergeCells count="7">
    <mergeCell ref="N5:N6"/>
    <mergeCell ref="H5:H6"/>
    <mergeCell ref="I5:I6"/>
    <mergeCell ref="J5:J6"/>
    <mergeCell ref="K5:K6"/>
    <mergeCell ref="L5:L6"/>
    <mergeCell ref="M5:M6"/>
  </mergeCells>
  <printOptions horizontalCentered="1"/>
  <pageMargins left="0.39370078740157483" right="0.39370078740157483" top="0.74803149606299213" bottom="0.39370078740157483" header="0.31496062992125984" footer="0.31496062992125984"/>
  <pageSetup paperSize="9" scale="62"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2">
    <tabColor theme="6" tint="-0.249977111117893"/>
    <pageSetUpPr fitToPage="1"/>
  </sheetPr>
  <dimension ref="A1:R51"/>
  <sheetViews>
    <sheetView topLeftCell="A19" zoomScaleNormal="100" workbookViewId="0">
      <selection activeCell="J18" sqref="J18"/>
    </sheetView>
  </sheetViews>
  <sheetFormatPr baseColWidth="10" defaultRowHeight="12.75" x14ac:dyDescent="0.2"/>
  <cols>
    <col min="1" max="2" width="11.42578125" style="39"/>
    <col min="3" max="3" width="13.42578125" style="39" customWidth="1"/>
    <col min="4" max="4" width="13.7109375" style="39" customWidth="1"/>
    <col min="5" max="5" width="15.28515625" style="39" customWidth="1"/>
    <col min="6" max="6" width="14.7109375" style="39" customWidth="1"/>
    <col min="7" max="7" width="12" style="39" bestFit="1" customWidth="1"/>
    <col min="8" max="8" width="11.42578125" style="39" customWidth="1"/>
    <col min="9" max="9" width="13.5703125" style="39" customWidth="1"/>
    <col min="10" max="10" width="11.42578125" style="39" customWidth="1"/>
    <col min="11" max="12" width="15.140625" style="39" customWidth="1"/>
    <col min="13" max="13" width="15.42578125" style="39" customWidth="1"/>
    <col min="14" max="14" width="14.42578125" style="39" customWidth="1"/>
    <col min="15" max="15" width="15.7109375" style="39" bestFit="1" customWidth="1"/>
    <col min="16" max="18" width="12" style="39" bestFit="1" customWidth="1"/>
    <col min="19" max="16384" width="11.42578125" style="39"/>
  </cols>
  <sheetData>
    <row r="1" spans="1:15" ht="13.5" x14ac:dyDescent="0.25">
      <c r="A1" s="8" t="s">
        <v>118</v>
      </c>
      <c r="B1" s="8" t="s">
        <v>870</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O5" s="388" t="s">
        <v>190</v>
      </c>
    </row>
    <row r="6" spans="1:15" ht="13.5" x14ac:dyDescent="0.25">
      <c r="A6" s="8"/>
      <c r="B6" s="8"/>
      <c r="C6" s="8"/>
    </row>
    <row r="7" spans="1:15" ht="16.5" x14ac:dyDescent="0.2">
      <c r="A7" s="100" t="s">
        <v>3</v>
      </c>
      <c r="B7" s="1648" t="s">
        <v>15</v>
      </c>
      <c r="C7" s="1649"/>
      <c r="D7" s="1648" t="s">
        <v>16</v>
      </c>
      <c r="E7" s="1649"/>
      <c r="F7" s="1648" t="s">
        <v>17</v>
      </c>
      <c r="G7" s="1649"/>
      <c r="H7" s="2910" t="s">
        <v>52</v>
      </c>
      <c r="I7" s="2910" t="s">
        <v>53</v>
      </c>
      <c r="J7" s="2910" t="s">
        <v>119</v>
      </c>
      <c r="K7" s="2910" t="s">
        <v>18</v>
      </c>
      <c r="L7" s="3067" t="s">
        <v>704</v>
      </c>
      <c r="M7" s="3065" t="s">
        <v>223</v>
      </c>
      <c r="N7" s="2910" t="s">
        <v>55</v>
      </c>
      <c r="O7" s="2910" t="s">
        <v>120</v>
      </c>
    </row>
    <row r="8" spans="1:15" ht="21" x14ac:dyDescent="0.2">
      <c r="A8" s="103"/>
      <c r="B8" s="915">
        <v>630</v>
      </c>
      <c r="C8" s="916"/>
      <c r="D8" s="915">
        <v>575</v>
      </c>
      <c r="E8" s="916"/>
      <c r="F8" s="915">
        <v>350</v>
      </c>
      <c r="G8" s="916"/>
      <c r="H8" s="3059"/>
      <c r="I8" s="3059"/>
      <c r="J8" s="3059"/>
      <c r="K8" s="3059"/>
      <c r="L8" s="3068"/>
      <c r="M8" s="3066"/>
      <c r="N8" s="2911"/>
      <c r="O8" s="2911"/>
    </row>
    <row r="9" spans="1:15" ht="16.5" x14ac:dyDescent="0.2">
      <c r="A9" s="105"/>
      <c r="B9" s="106" t="s">
        <v>56</v>
      </c>
      <c r="C9" s="106"/>
      <c r="D9" s="107" t="s">
        <v>56</v>
      </c>
      <c r="E9" s="106"/>
      <c r="F9" s="106" t="s">
        <v>56</v>
      </c>
      <c r="G9" s="106" t="s">
        <v>37</v>
      </c>
      <c r="H9" s="2911"/>
      <c r="I9" s="2911"/>
      <c r="J9" s="2911"/>
      <c r="K9" s="2911"/>
      <c r="L9" s="3069"/>
      <c r="M9" s="108"/>
      <c r="N9" s="276">
        <v>0</v>
      </c>
      <c r="O9" s="109">
        <f>+N9-M9</f>
        <v>0</v>
      </c>
    </row>
    <row r="10" spans="1:15" ht="16.5" x14ac:dyDescent="0.25">
      <c r="A10" s="110">
        <f>+KONGFU!A9</f>
        <v>44105</v>
      </c>
      <c r="B10" s="114">
        <f>+C10/B$8</f>
        <v>0</v>
      </c>
      <c r="C10" s="86"/>
      <c r="D10" s="114">
        <f t="shared" ref="D10:D41" si="0">+E10/520</f>
        <v>0</v>
      </c>
      <c r="E10" s="86"/>
      <c r="F10" s="111">
        <f>+G10/F$8</f>
        <v>0</v>
      </c>
      <c r="G10" s="114"/>
      <c r="H10" s="114"/>
      <c r="I10" s="114"/>
      <c r="J10" s="114"/>
      <c r="K10" s="115">
        <f>C10+E10+G10+H10+I10+J10</f>
        <v>0</v>
      </c>
      <c r="L10" s="115"/>
      <c r="M10" s="113"/>
      <c r="N10" s="114">
        <f>K10-M10</f>
        <v>0</v>
      </c>
      <c r="O10" s="114">
        <f>+O9+K10-M10</f>
        <v>0</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115"/>
      <c r="M11" s="86"/>
      <c r="N11" s="114">
        <f t="shared" ref="N11:N38" si="4">K11-M11</f>
        <v>0</v>
      </c>
      <c r="O11" s="114">
        <f t="shared" ref="O11:O38" si="5">+O10+K11-M11</f>
        <v>0</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115"/>
      <c r="M12" s="86"/>
      <c r="N12" s="114">
        <f t="shared" si="4"/>
        <v>0</v>
      </c>
      <c r="O12" s="114">
        <f t="shared" si="5"/>
        <v>0</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115"/>
      <c r="M13" s="86"/>
      <c r="N13" s="114">
        <f t="shared" si="4"/>
        <v>0</v>
      </c>
      <c r="O13" s="114">
        <f t="shared" si="5"/>
        <v>0</v>
      </c>
    </row>
    <row r="14" spans="1:15" ht="16.5" x14ac:dyDescent="0.25">
      <c r="A14" s="110">
        <f>+A13+1</f>
        <v>44109</v>
      </c>
      <c r="B14" s="114">
        <f t="shared" si="1"/>
        <v>0</v>
      </c>
      <c r="C14" s="86"/>
      <c r="D14" s="114">
        <f t="shared" si="0"/>
        <v>0</v>
      </c>
      <c r="E14" s="86"/>
      <c r="F14" s="111">
        <f t="shared" si="2"/>
        <v>0</v>
      </c>
      <c r="G14" s="114"/>
      <c r="H14" s="114"/>
      <c r="I14" s="114"/>
      <c r="J14" s="114"/>
      <c r="K14" s="115">
        <f t="shared" si="3"/>
        <v>0</v>
      </c>
      <c r="L14" s="115"/>
      <c r="M14" s="86"/>
      <c r="N14" s="114">
        <f t="shared" si="4"/>
        <v>0</v>
      </c>
      <c r="O14" s="114">
        <f t="shared" si="5"/>
        <v>0</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115"/>
      <c r="M15" s="86"/>
      <c r="N15" s="114">
        <f t="shared" si="4"/>
        <v>0</v>
      </c>
      <c r="O15" s="114">
        <f t="shared" si="5"/>
        <v>0</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115"/>
      <c r="M16" s="86"/>
      <c r="N16" s="114">
        <f t="shared" si="4"/>
        <v>0</v>
      </c>
      <c r="O16" s="114">
        <f t="shared" si="5"/>
        <v>0</v>
      </c>
    </row>
    <row r="17" spans="1:17" ht="14.25" customHeight="1" x14ac:dyDescent="0.25">
      <c r="A17" s="110">
        <f t="shared" si="6"/>
        <v>44112</v>
      </c>
      <c r="B17" s="114">
        <f t="shared" si="1"/>
        <v>0</v>
      </c>
      <c r="C17" s="86"/>
      <c r="D17" s="114">
        <f t="shared" si="0"/>
        <v>0</v>
      </c>
      <c r="E17" s="86"/>
      <c r="F17" s="111">
        <f t="shared" si="2"/>
        <v>0</v>
      </c>
      <c r="G17" s="114"/>
      <c r="H17" s="114"/>
      <c r="I17" s="114"/>
      <c r="J17" s="114"/>
      <c r="K17" s="115">
        <f t="shared" si="3"/>
        <v>0</v>
      </c>
      <c r="L17" s="115"/>
      <c r="M17" s="86"/>
      <c r="N17" s="114">
        <f t="shared" si="4"/>
        <v>0</v>
      </c>
      <c r="O17" s="114">
        <f t="shared" si="5"/>
        <v>0</v>
      </c>
    </row>
    <row r="18" spans="1:17" ht="16.5" x14ac:dyDescent="0.25">
      <c r="A18" s="110">
        <f t="shared" si="6"/>
        <v>44113</v>
      </c>
      <c r="B18" s="114">
        <f t="shared" si="1"/>
        <v>0</v>
      </c>
      <c r="C18" s="86"/>
      <c r="D18" s="114">
        <f t="shared" si="0"/>
        <v>0</v>
      </c>
      <c r="E18" s="86"/>
      <c r="F18" s="111">
        <f t="shared" si="2"/>
        <v>0</v>
      </c>
      <c r="G18" s="118"/>
      <c r="H18" s="118"/>
      <c r="I18" s="118"/>
      <c r="J18" s="118"/>
      <c r="K18" s="115">
        <f t="shared" si="3"/>
        <v>0</v>
      </c>
      <c r="L18" s="115"/>
      <c r="M18" s="86"/>
      <c r="N18" s="114">
        <f t="shared" si="4"/>
        <v>0</v>
      </c>
      <c r="O18" s="118">
        <f t="shared" si="5"/>
        <v>0</v>
      </c>
    </row>
    <row r="19" spans="1:17" ht="16.5" x14ac:dyDescent="0.25">
      <c r="A19" s="110">
        <f t="shared" si="6"/>
        <v>44114</v>
      </c>
      <c r="B19" s="114">
        <f t="shared" si="1"/>
        <v>0</v>
      </c>
      <c r="C19" s="86"/>
      <c r="D19" s="114">
        <f t="shared" si="0"/>
        <v>0</v>
      </c>
      <c r="E19" s="86"/>
      <c r="F19" s="111">
        <f t="shared" si="2"/>
        <v>0</v>
      </c>
      <c r="G19" s="118"/>
      <c r="H19" s="118"/>
      <c r="I19" s="118"/>
      <c r="J19" s="118"/>
      <c r="K19" s="115">
        <f>C19+E19+G19+H19+I19+J19</f>
        <v>0</v>
      </c>
      <c r="L19" s="115"/>
      <c r="M19" s="86"/>
      <c r="N19" s="114">
        <f t="shared" si="4"/>
        <v>0</v>
      </c>
      <c r="O19" s="118">
        <f t="shared" si="5"/>
        <v>0</v>
      </c>
    </row>
    <row r="20" spans="1:17" ht="16.5" x14ac:dyDescent="0.25">
      <c r="A20" s="110">
        <f t="shared" si="6"/>
        <v>44115</v>
      </c>
      <c r="B20" s="114">
        <f t="shared" si="1"/>
        <v>0</v>
      </c>
      <c r="C20" s="86"/>
      <c r="D20" s="114">
        <f>+E20/520</f>
        <v>0</v>
      </c>
      <c r="E20" s="86"/>
      <c r="F20" s="111">
        <f t="shared" si="2"/>
        <v>0</v>
      </c>
      <c r="G20" s="118"/>
      <c r="H20" s="118"/>
      <c r="I20" s="118"/>
      <c r="J20" s="118"/>
      <c r="K20" s="115">
        <f t="shared" si="3"/>
        <v>0</v>
      </c>
      <c r="L20" s="115"/>
      <c r="M20" s="86"/>
      <c r="N20" s="114">
        <f t="shared" si="4"/>
        <v>0</v>
      </c>
      <c r="O20" s="118">
        <f t="shared" si="5"/>
        <v>0</v>
      </c>
    </row>
    <row r="21" spans="1:17" ht="16.5" x14ac:dyDescent="0.25">
      <c r="A21" s="110">
        <f t="shared" si="6"/>
        <v>44116</v>
      </c>
      <c r="B21" s="114">
        <f t="shared" si="1"/>
        <v>0</v>
      </c>
      <c r="C21" s="86"/>
      <c r="D21" s="114">
        <f t="shared" si="0"/>
        <v>0</v>
      </c>
      <c r="E21" s="86"/>
      <c r="F21" s="111">
        <f t="shared" si="2"/>
        <v>0</v>
      </c>
      <c r="G21" s="118"/>
      <c r="H21" s="118"/>
      <c r="I21" s="118"/>
      <c r="J21" s="118"/>
      <c r="K21" s="115">
        <f t="shared" si="3"/>
        <v>0</v>
      </c>
      <c r="L21" s="115"/>
      <c r="M21" s="86"/>
      <c r="N21" s="114">
        <f t="shared" si="4"/>
        <v>0</v>
      </c>
      <c r="O21" s="118">
        <f>+O20+K21-M21</f>
        <v>0</v>
      </c>
    </row>
    <row r="22" spans="1:17" ht="16.5" x14ac:dyDescent="0.25">
      <c r="A22" s="110">
        <f t="shared" si="6"/>
        <v>44117</v>
      </c>
      <c r="B22" s="114">
        <f t="shared" si="1"/>
        <v>0</v>
      </c>
      <c r="C22" s="86"/>
      <c r="D22" s="114">
        <f t="shared" si="0"/>
        <v>0</v>
      </c>
      <c r="E22" s="86"/>
      <c r="F22" s="111">
        <f t="shared" si="2"/>
        <v>0</v>
      </c>
      <c r="G22" s="118"/>
      <c r="H22" s="118"/>
      <c r="I22" s="118"/>
      <c r="J22" s="118"/>
      <c r="K22" s="115">
        <f t="shared" si="3"/>
        <v>0</v>
      </c>
      <c r="L22" s="115"/>
      <c r="M22" s="86"/>
      <c r="N22" s="114">
        <f t="shared" si="4"/>
        <v>0</v>
      </c>
      <c r="O22" s="118">
        <f t="shared" si="5"/>
        <v>0</v>
      </c>
    </row>
    <row r="23" spans="1:17" ht="16.5" x14ac:dyDescent="0.25">
      <c r="A23" s="110">
        <f t="shared" si="6"/>
        <v>44118</v>
      </c>
      <c r="B23" s="114">
        <f t="shared" si="1"/>
        <v>0</v>
      </c>
      <c r="C23" s="86"/>
      <c r="D23" s="114">
        <f t="shared" si="0"/>
        <v>0</v>
      </c>
      <c r="E23" s="86"/>
      <c r="F23" s="111">
        <f t="shared" si="2"/>
        <v>0</v>
      </c>
      <c r="G23" s="118"/>
      <c r="H23" s="118"/>
      <c r="I23" s="118"/>
      <c r="J23" s="118"/>
      <c r="K23" s="115">
        <f t="shared" si="3"/>
        <v>0</v>
      </c>
      <c r="L23" s="115"/>
      <c r="M23" s="86"/>
      <c r="N23" s="114">
        <f t="shared" si="4"/>
        <v>0</v>
      </c>
      <c r="O23" s="118">
        <f t="shared" si="5"/>
        <v>0</v>
      </c>
      <c r="Q23" s="281"/>
    </row>
    <row r="24" spans="1:17" ht="16.5" x14ac:dyDescent="0.25">
      <c r="A24" s="110">
        <f t="shared" si="6"/>
        <v>44119</v>
      </c>
      <c r="B24" s="114">
        <f t="shared" si="1"/>
        <v>0</v>
      </c>
      <c r="C24" s="86"/>
      <c r="D24" s="114">
        <f t="shared" si="0"/>
        <v>0</v>
      </c>
      <c r="E24" s="86"/>
      <c r="F24" s="111">
        <f t="shared" si="2"/>
        <v>0</v>
      </c>
      <c r="G24" s="118"/>
      <c r="H24" s="118"/>
      <c r="I24" s="118"/>
      <c r="J24" s="118"/>
      <c r="K24" s="115">
        <f t="shared" si="3"/>
        <v>0</v>
      </c>
      <c r="L24" s="115"/>
      <c r="M24" s="86"/>
      <c r="N24" s="114">
        <f t="shared" si="4"/>
        <v>0</v>
      </c>
      <c r="O24" s="118">
        <f t="shared" si="5"/>
        <v>0</v>
      </c>
      <c r="Q24" s="281"/>
    </row>
    <row r="25" spans="1:17" ht="16.5" x14ac:dyDescent="0.25">
      <c r="A25" s="110">
        <f t="shared" si="6"/>
        <v>44120</v>
      </c>
      <c r="B25" s="114">
        <f t="shared" si="1"/>
        <v>0</v>
      </c>
      <c r="C25" s="86"/>
      <c r="D25" s="114">
        <f t="shared" si="0"/>
        <v>0</v>
      </c>
      <c r="E25" s="86"/>
      <c r="F25" s="111">
        <f t="shared" si="2"/>
        <v>0</v>
      </c>
      <c r="G25" s="118"/>
      <c r="H25" s="118"/>
      <c r="I25" s="118"/>
      <c r="J25" s="118"/>
      <c r="K25" s="115">
        <f t="shared" si="3"/>
        <v>0</v>
      </c>
      <c r="L25" s="115"/>
      <c r="M25" s="86"/>
      <c r="N25" s="118">
        <f t="shared" si="4"/>
        <v>0</v>
      </c>
      <c r="O25" s="118">
        <f t="shared" si="5"/>
        <v>0</v>
      </c>
    </row>
    <row r="26" spans="1:17" ht="16.5" x14ac:dyDescent="0.25">
      <c r="A26" s="110">
        <f t="shared" si="6"/>
        <v>44121</v>
      </c>
      <c r="B26" s="114">
        <f t="shared" si="1"/>
        <v>0</v>
      </c>
      <c r="C26" s="86"/>
      <c r="D26" s="114">
        <f t="shared" si="0"/>
        <v>0</v>
      </c>
      <c r="E26" s="86"/>
      <c r="F26" s="111">
        <f t="shared" si="2"/>
        <v>0</v>
      </c>
      <c r="G26" s="118"/>
      <c r="H26" s="118"/>
      <c r="I26" s="118"/>
      <c r="J26" s="118"/>
      <c r="K26" s="115">
        <f t="shared" si="3"/>
        <v>0</v>
      </c>
      <c r="L26" s="115"/>
      <c r="M26" s="86"/>
      <c r="N26" s="118">
        <f t="shared" si="4"/>
        <v>0</v>
      </c>
      <c r="O26" s="118">
        <f t="shared" si="5"/>
        <v>0</v>
      </c>
    </row>
    <row r="27" spans="1:17" ht="16.5" x14ac:dyDescent="0.25">
      <c r="A27" s="110">
        <f t="shared" si="6"/>
        <v>44122</v>
      </c>
      <c r="B27" s="114">
        <f t="shared" si="1"/>
        <v>0</v>
      </c>
      <c r="C27" s="86"/>
      <c r="D27" s="114">
        <f t="shared" si="0"/>
        <v>0</v>
      </c>
      <c r="E27" s="86"/>
      <c r="F27" s="111">
        <f t="shared" si="2"/>
        <v>0</v>
      </c>
      <c r="G27" s="118"/>
      <c r="H27" s="118"/>
      <c r="I27" s="118"/>
      <c r="J27" s="118"/>
      <c r="K27" s="115">
        <f t="shared" si="3"/>
        <v>0</v>
      </c>
      <c r="L27" s="115"/>
      <c r="M27" s="86"/>
      <c r="N27" s="118">
        <f t="shared" si="4"/>
        <v>0</v>
      </c>
      <c r="O27" s="118">
        <f t="shared" si="5"/>
        <v>0</v>
      </c>
      <c r="P27" s="281">
        <f>255644+E42</f>
        <v>255644</v>
      </c>
    </row>
    <row r="28" spans="1:17" ht="16.5" x14ac:dyDescent="0.25">
      <c r="A28" s="110">
        <f t="shared" si="6"/>
        <v>44123</v>
      </c>
      <c r="B28" s="114">
        <f t="shared" si="1"/>
        <v>0</v>
      </c>
      <c r="C28" s="86"/>
      <c r="D28" s="114">
        <f t="shared" si="0"/>
        <v>0</v>
      </c>
      <c r="E28" s="86"/>
      <c r="F28" s="111">
        <f t="shared" si="2"/>
        <v>0</v>
      </c>
      <c r="G28" s="118"/>
      <c r="H28" s="118"/>
      <c r="I28" s="118"/>
      <c r="J28" s="118"/>
      <c r="K28" s="115">
        <f t="shared" si="3"/>
        <v>0</v>
      </c>
      <c r="L28" s="115"/>
      <c r="M28" s="86"/>
      <c r="N28" s="118">
        <f t="shared" si="4"/>
        <v>0</v>
      </c>
      <c r="O28" s="118">
        <f t="shared" si="5"/>
        <v>0</v>
      </c>
    </row>
    <row r="29" spans="1:17" ht="16.5" x14ac:dyDescent="0.25">
      <c r="A29" s="110">
        <f t="shared" si="6"/>
        <v>44124</v>
      </c>
      <c r="B29" s="114">
        <f t="shared" si="1"/>
        <v>0</v>
      </c>
      <c r="C29" s="86"/>
      <c r="D29" s="114">
        <f t="shared" si="0"/>
        <v>0</v>
      </c>
      <c r="E29" s="86"/>
      <c r="F29" s="111">
        <f t="shared" si="2"/>
        <v>0</v>
      </c>
      <c r="G29" s="118"/>
      <c r="H29" s="118"/>
      <c r="I29" s="118"/>
      <c r="J29" s="118"/>
      <c r="K29" s="115">
        <f t="shared" si="3"/>
        <v>0</v>
      </c>
      <c r="L29" s="115"/>
      <c r="M29" s="86"/>
      <c r="N29" s="118">
        <f t="shared" si="4"/>
        <v>0</v>
      </c>
      <c r="O29" s="118">
        <f t="shared" si="5"/>
        <v>0</v>
      </c>
      <c r="Q29" s="281"/>
    </row>
    <row r="30" spans="1:17" ht="16.5" x14ac:dyDescent="0.25">
      <c r="A30" s="110">
        <f t="shared" si="6"/>
        <v>44125</v>
      </c>
      <c r="B30" s="114">
        <f t="shared" si="1"/>
        <v>0</v>
      </c>
      <c r="C30" s="86"/>
      <c r="D30" s="114">
        <f t="shared" si="0"/>
        <v>0</v>
      </c>
      <c r="E30" s="86"/>
      <c r="F30" s="111">
        <f t="shared" si="2"/>
        <v>0</v>
      </c>
      <c r="G30" s="118"/>
      <c r="H30" s="118"/>
      <c r="I30" s="118"/>
      <c r="J30" s="118"/>
      <c r="K30" s="115">
        <f t="shared" si="3"/>
        <v>0</v>
      </c>
      <c r="L30" s="115"/>
      <c r="M30" s="86"/>
      <c r="N30" s="118">
        <f t="shared" si="4"/>
        <v>0</v>
      </c>
      <c r="O30" s="118">
        <f t="shared" si="5"/>
        <v>0</v>
      </c>
    </row>
    <row r="31" spans="1:17" s="762" customFormat="1" ht="16.5" x14ac:dyDescent="0.25">
      <c r="A31" s="1547">
        <f t="shared" si="6"/>
        <v>44126</v>
      </c>
      <c r="B31" s="1548">
        <f t="shared" si="1"/>
        <v>0</v>
      </c>
      <c r="C31" s="1532"/>
      <c r="D31" s="1548">
        <f t="shared" si="0"/>
        <v>0</v>
      </c>
      <c r="E31" s="1532"/>
      <c r="F31" s="1549">
        <f t="shared" si="2"/>
        <v>0</v>
      </c>
      <c r="G31" s="1548"/>
      <c r="H31" s="1548"/>
      <c r="I31" s="1548"/>
      <c r="J31" s="1548"/>
      <c r="K31" s="1550">
        <f t="shared" si="3"/>
        <v>0</v>
      </c>
      <c r="L31" s="1550"/>
      <c r="M31" s="1532"/>
      <c r="N31" s="1548">
        <f t="shared" si="4"/>
        <v>0</v>
      </c>
      <c r="O31" s="1548">
        <f>+O30+K31-M31</f>
        <v>0</v>
      </c>
    </row>
    <row r="32" spans="1:17" ht="16.5" x14ac:dyDescent="0.25">
      <c r="A32" s="110">
        <f t="shared" si="6"/>
        <v>44127</v>
      </c>
      <c r="B32" s="114">
        <f t="shared" si="1"/>
        <v>0</v>
      </c>
      <c r="C32" s="86"/>
      <c r="D32" s="114">
        <f t="shared" si="0"/>
        <v>0</v>
      </c>
      <c r="E32" s="86"/>
      <c r="F32" s="111">
        <f t="shared" si="2"/>
        <v>0</v>
      </c>
      <c r="G32" s="118"/>
      <c r="H32" s="118"/>
      <c r="I32" s="118"/>
      <c r="J32" s="118"/>
      <c r="K32" s="115">
        <f t="shared" si="3"/>
        <v>0</v>
      </c>
      <c r="L32" s="115"/>
      <c r="M32" s="86"/>
      <c r="N32" s="118">
        <f t="shared" si="4"/>
        <v>0</v>
      </c>
      <c r="O32" s="118">
        <f t="shared" si="5"/>
        <v>0</v>
      </c>
    </row>
    <row r="33" spans="1:18" ht="16.5" x14ac:dyDescent="0.25">
      <c r="A33" s="110">
        <f t="shared" si="6"/>
        <v>44128</v>
      </c>
      <c r="B33" s="114">
        <f t="shared" si="1"/>
        <v>0</v>
      </c>
      <c r="C33" s="86"/>
      <c r="D33" s="114">
        <f t="shared" si="0"/>
        <v>0</v>
      </c>
      <c r="E33" s="86"/>
      <c r="F33" s="111">
        <f t="shared" si="2"/>
        <v>0</v>
      </c>
      <c r="G33" s="114"/>
      <c r="H33" s="114"/>
      <c r="I33" s="114"/>
      <c r="J33" s="114"/>
      <c r="K33" s="115">
        <f t="shared" si="3"/>
        <v>0</v>
      </c>
      <c r="L33" s="115"/>
      <c r="M33" s="86"/>
      <c r="N33" s="114">
        <f t="shared" si="4"/>
        <v>0</v>
      </c>
      <c r="O33" s="114">
        <f t="shared" si="5"/>
        <v>0</v>
      </c>
      <c r="Q33" s="39" t="s">
        <v>62</v>
      </c>
    </row>
    <row r="34" spans="1:18" ht="16.5" x14ac:dyDescent="0.25">
      <c r="A34" s="110">
        <f t="shared" si="6"/>
        <v>44129</v>
      </c>
      <c r="B34" s="114">
        <f t="shared" si="1"/>
        <v>0</v>
      </c>
      <c r="C34" s="86"/>
      <c r="D34" s="114">
        <f t="shared" si="0"/>
        <v>0</v>
      </c>
      <c r="E34" s="86"/>
      <c r="F34" s="111">
        <f t="shared" si="2"/>
        <v>0</v>
      </c>
      <c r="G34" s="114"/>
      <c r="H34" s="114"/>
      <c r="I34" s="114"/>
      <c r="J34" s="114"/>
      <c r="K34" s="115">
        <f t="shared" si="3"/>
        <v>0</v>
      </c>
      <c r="L34" s="115"/>
      <c r="M34" s="86"/>
      <c r="N34" s="114">
        <f t="shared" si="4"/>
        <v>0</v>
      </c>
      <c r="O34" s="114">
        <f t="shared" si="5"/>
        <v>0</v>
      </c>
    </row>
    <row r="35" spans="1:18" ht="16.5" x14ac:dyDescent="0.25">
      <c r="A35" s="110">
        <f t="shared" si="6"/>
        <v>44130</v>
      </c>
      <c r="B35" s="114">
        <f t="shared" si="1"/>
        <v>0</v>
      </c>
      <c r="C35" s="86"/>
      <c r="D35" s="114">
        <f t="shared" si="0"/>
        <v>0</v>
      </c>
      <c r="E35" s="86"/>
      <c r="F35" s="111">
        <f t="shared" si="2"/>
        <v>0</v>
      </c>
      <c r="G35" s="114"/>
      <c r="H35" s="114"/>
      <c r="I35" s="114"/>
      <c r="J35" s="114"/>
      <c r="K35" s="115">
        <f t="shared" si="3"/>
        <v>0</v>
      </c>
      <c r="L35" s="115"/>
      <c r="M35" s="86"/>
      <c r="N35" s="114">
        <f t="shared" si="4"/>
        <v>0</v>
      </c>
      <c r="O35" s="114">
        <f t="shared" si="5"/>
        <v>0</v>
      </c>
    </row>
    <row r="36" spans="1:18" ht="16.5" x14ac:dyDescent="0.25">
      <c r="A36" s="110">
        <f t="shared" si="6"/>
        <v>44131</v>
      </c>
      <c r="B36" s="114">
        <f t="shared" si="1"/>
        <v>0</v>
      </c>
      <c r="C36" s="86"/>
      <c r="D36" s="114">
        <f t="shared" si="0"/>
        <v>0</v>
      </c>
      <c r="E36" s="86"/>
      <c r="F36" s="111">
        <f t="shared" si="2"/>
        <v>0</v>
      </c>
      <c r="G36" s="114"/>
      <c r="H36" s="114"/>
      <c r="I36" s="114"/>
      <c r="J36" s="114"/>
      <c r="K36" s="115">
        <f t="shared" si="3"/>
        <v>0</v>
      </c>
      <c r="L36" s="115"/>
      <c r="M36" s="113"/>
      <c r="N36" s="114">
        <f t="shared" si="4"/>
        <v>0</v>
      </c>
      <c r="O36" s="114">
        <f t="shared" si="5"/>
        <v>0</v>
      </c>
    </row>
    <row r="37" spans="1:18" ht="16.5" x14ac:dyDescent="0.25">
      <c r="A37" s="110">
        <f t="shared" si="6"/>
        <v>44132</v>
      </c>
      <c r="B37" s="114">
        <f t="shared" si="1"/>
        <v>0</v>
      </c>
      <c r="C37" s="86"/>
      <c r="D37" s="114">
        <f t="shared" si="0"/>
        <v>0</v>
      </c>
      <c r="E37" s="86"/>
      <c r="F37" s="111">
        <f t="shared" si="2"/>
        <v>0</v>
      </c>
      <c r="G37" s="114"/>
      <c r="H37" s="114"/>
      <c r="I37" s="114"/>
      <c r="J37" s="114"/>
      <c r="K37" s="115">
        <f t="shared" si="3"/>
        <v>0</v>
      </c>
      <c r="L37" s="115"/>
      <c r="M37" s="113"/>
      <c r="N37" s="114">
        <f t="shared" si="4"/>
        <v>0</v>
      </c>
      <c r="O37" s="114">
        <f t="shared" si="5"/>
        <v>0</v>
      </c>
      <c r="Q37" s="281"/>
    </row>
    <row r="38" spans="1:18" ht="16.5" x14ac:dyDescent="0.25">
      <c r="A38" s="110">
        <f t="shared" si="6"/>
        <v>44133</v>
      </c>
      <c r="B38" s="114">
        <f t="shared" si="1"/>
        <v>0</v>
      </c>
      <c r="C38" s="113"/>
      <c r="D38" s="114">
        <f t="shared" si="0"/>
        <v>0</v>
      </c>
      <c r="E38" s="113"/>
      <c r="F38" s="111">
        <f t="shared" si="2"/>
        <v>0</v>
      </c>
      <c r="G38" s="114"/>
      <c r="H38" s="114"/>
      <c r="I38" s="114"/>
      <c r="J38" s="114"/>
      <c r="K38" s="115">
        <f t="shared" si="3"/>
        <v>0</v>
      </c>
      <c r="L38" s="115"/>
      <c r="M38" s="113"/>
      <c r="N38" s="114">
        <f t="shared" si="4"/>
        <v>0</v>
      </c>
      <c r="O38" s="114">
        <f t="shared" si="5"/>
        <v>0</v>
      </c>
    </row>
    <row r="39" spans="1:18" ht="16.5" x14ac:dyDescent="0.25">
      <c r="A39" s="110">
        <f t="shared" si="6"/>
        <v>44134</v>
      </c>
      <c r="B39" s="114">
        <f t="shared" si="1"/>
        <v>0</v>
      </c>
      <c r="C39" s="113"/>
      <c r="D39" s="114">
        <f t="shared" si="0"/>
        <v>0</v>
      </c>
      <c r="E39" s="113"/>
      <c r="F39" s="111">
        <f t="shared" si="2"/>
        <v>0</v>
      </c>
      <c r="G39" s="114"/>
      <c r="H39" s="114"/>
      <c r="I39" s="114"/>
      <c r="J39" s="114"/>
      <c r="K39" s="115">
        <f t="shared" si="3"/>
        <v>0</v>
      </c>
      <c r="L39" s="115"/>
      <c r="M39" s="113"/>
      <c r="N39" s="114">
        <f>K39-M39</f>
        <v>0</v>
      </c>
      <c r="O39" s="114">
        <f>+O38+K39-M39</f>
        <v>0</v>
      </c>
    </row>
    <row r="40" spans="1:18" ht="16.5" x14ac:dyDescent="0.25">
      <c r="A40" s="110">
        <f t="shared" si="6"/>
        <v>44135</v>
      </c>
      <c r="B40" s="114">
        <f t="shared" si="1"/>
        <v>0</v>
      </c>
      <c r="C40" s="113"/>
      <c r="D40" s="114">
        <f t="shared" si="0"/>
        <v>0</v>
      </c>
      <c r="E40" s="113"/>
      <c r="F40" s="111">
        <f t="shared" si="2"/>
        <v>0</v>
      </c>
      <c r="G40" s="114"/>
      <c r="H40" s="114"/>
      <c r="I40" s="114"/>
      <c r="J40" s="114"/>
      <c r="K40" s="115">
        <f t="shared" si="3"/>
        <v>0</v>
      </c>
      <c r="L40" s="115"/>
      <c r="M40" s="113"/>
      <c r="N40" s="114">
        <f>K40-M40</f>
        <v>0</v>
      </c>
      <c r="O40" s="120">
        <f>+N42</f>
        <v>0</v>
      </c>
      <c r="Q40" s="281"/>
    </row>
    <row r="41" spans="1:18" ht="16.5" x14ac:dyDescent="0.25">
      <c r="A41" s="110"/>
      <c r="B41" s="114"/>
      <c r="C41" s="113"/>
      <c r="D41" s="114">
        <f t="shared" si="0"/>
        <v>0</v>
      </c>
      <c r="E41" s="113"/>
      <c r="F41" s="111"/>
      <c r="G41" s="114"/>
      <c r="H41" s="114"/>
      <c r="I41" s="114"/>
      <c r="J41" s="114"/>
      <c r="K41" s="115">
        <f>C41+E41+G41+H41+I41+J41</f>
        <v>0</v>
      </c>
      <c r="L41" s="115"/>
      <c r="M41" s="113"/>
      <c r="N41" s="114">
        <f>K41-M41</f>
        <v>0</v>
      </c>
      <c r="O41" s="990"/>
      <c r="Q41" s="281"/>
    </row>
    <row r="42" spans="1:18" ht="16.5" x14ac:dyDescent="0.2">
      <c r="A42" s="121" t="s">
        <v>18</v>
      </c>
      <c r="B42" s="115">
        <f t="shared" ref="B42:J42" si="7">SUM(B10:B40)</f>
        <v>0</v>
      </c>
      <c r="C42" s="115">
        <f>SUM(C10:C40)</f>
        <v>0</v>
      </c>
      <c r="D42" s="122">
        <f>SUM(D10:D41)</f>
        <v>0</v>
      </c>
      <c r="E42" s="115">
        <f>SUM(E10:E41)</f>
        <v>0</v>
      </c>
      <c r="F42" s="115">
        <f>SUM(F10:F40)</f>
        <v>0</v>
      </c>
      <c r="G42" s="115">
        <f t="shared" si="7"/>
        <v>0</v>
      </c>
      <c r="H42" s="115">
        <f t="shared" si="7"/>
        <v>0</v>
      </c>
      <c r="I42" s="115">
        <f t="shared" si="7"/>
        <v>0</v>
      </c>
      <c r="J42" s="115">
        <f t="shared" si="7"/>
        <v>0</v>
      </c>
      <c r="K42" s="115">
        <f>SUM(K10:K41)</f>
        <v>0</v>
      </c>
      <c r="L42" s="115"/>
      <c r="M42" s="115">
        <f>SUM(M9:M41)</f>
        <v>0</v>
      </c>
      <c r="N42" s="120">
        <f>SUM(N9:N41)</f>
        <v>0</v>
      </c>
      <c r="O42" s="123"/>
    </row>
    <row r="43" spans="1:18" ht="13.5" x14ac:dyDescent="0.2">
      <c r="A43" s="26"/>
      <c r="B43" s="26"/>
      <c r="C43" s="26"/>
      <c r="D43" s="26"/>
      <c r="F43" s="26"/>
      <c r="G43" s="26"/>
      <c r="H43" s="1159"/>
      <c r="I43" s="26"/>
      <c r="J43" s="26"/>
      <c r="K43" s="26"/>
      <c r="L43" s="26"/>
      <c r="M43" s="26"/>
      <c r="N43" s="26"/>
      <c r="O43" s="1223"/>
      <c r="Q43" s="281"/>
    </row>
    <row r="44" spans="1:18" ht="13.5" x14ac:dyDescent="0.25">
      <c r="A44" s="10" t="s">
        <v>121</v>
      </c>
      <c r="B44" s="10" t="s">
        <v>61</v>
      </c>
      <c r="C44" s="10" t="s">
        <v>122</v>
      </c>
      <c r="D44" s="28" t="s">
        <v>39</v>
      </c>
      <c r="O44" s="281"/>
      <c r="P44" s="281"/>
      <c r="R44" s="281"/>
    </row>
    <row r="45" spans="1:18" ht="13.5" x14ac:dyDescent="0.25">
      <c r="A45" s="10" t="s">
        <v>15</v>
      </c>
      <c r="B45" s="24">
        <f>B42</f>
        <v>0</v>
      </c>
      <c r="C45" s="10"/>
      <c r="D45" s="28">
        <f>B45*C45</f>
        <v>0</v>
      </c>
    </row>
    <row r="46" spans="1:18" ht="13.5" x14ac:dyDescent="0.25">
      <c r="A46" s="10" t="s">
        <v>16</v>
      </c>
      <c r="B46" s="28">
        <f>D42</f>
        <v>0</v>
      </c>
      <c r="C46" s="10"/>
      <c r="D46" s="28">
        <f>B46*C46</f>
        <v>0</v>
      </c>
      <c r="E46" s="281"/>
      <c r="H46" s="21"/>
      <c r="K46" s="21"/>
      <c r="L46" s="21"/>
      <c r="M46" s="21"/>
      <c r="N46" s="21"/>
    </row>
    <row r="47" spans="1:18" ht="13.5" x14ac:dyDescent="0.25">
      <c r="A47" s="10" t="s">
        <v>17</v>
      </c>
      <c r="B47" s="24">
        <f>F42</f>
        <v>0</v>
      </c>
      <c r="C47" s="10"/>
      <c r="D47" s="28">
        <f>B47*C47</f>
        <v>0</v>
      </c>
      <c r="E47" s="14"/>
      <c r="F47" s="281"/>
      <c r="H47" s="39">
        <f>436380-28700</f>
        <v>407680</v>
      </c>
      <c r="O47" s="21"/>
    </row>
    <row r="48" spans="1:18" ht="13.5" x14ac:dyDescent="0.25">
      <c r="A48" s="33" t="s">
        <v>18</v>
      </c>
      <c r="B48" s="34"/>
      <c r="C48" s="35"/>
      <c r="D48" s="28">
        <f>SUM(D45:D47)</f>
        <v>0</v>
      </c>
      <c r="F48" s="281">
        <f>7000000-E42</f>
        <v>7000000</v>
      </c>
      <c r="O48" s="21"/>
    </row>
    <row r="49" spans="6:9" x14ac:dyDescent="0.2">
      <c r="G49" s="281"/>
    </row>
    <row r="50" spans="6:9" x14ac:dyDescent="0.2">
      <c r="I50" s="281"/>
    </row>
    <row r="51" spans="6:9" x14ac:dyDescent="0.2">
      <c r="F51" s="906"/>
      <c r="G51" s="39">
        <f>+F48/600</f>
        <v>11666.666666666666</v>
      </c>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8">
    <tabColor rgb="FFFF0000"/>
    <pageSetUpPr fitToPage="1"/>
  </sheetPr>
  <dimension ref="A1:O45"/>
  <sheetViews>
    <sheetView topLeftCell="A4" zoomScaleNormal="100" workbookViewId="0">
      <selection activeCell="A8" sqref="A8"/>
    </sheetView>
  </sheetViews>
  <sheetFormatPr baseColWidth="10" defaultRowHeight="18" x14ac:dyDescent="0.25"/>
  <cols>
    <col min="1" max="1" width="13.85546875" style="38" customWidth="1"/>
    <col min="2" max="3" width="11.42578125" style="38"/>
    <col min="4" max="4" width="16.85546875" style="38" customWidth="1"/>
    <col min="5" max="5" width="19.5703125" style="38" customWidth="1"/>
    <col min="6" max="6" width="11.42578125" style="38"/>
    <col min="7" max="7" width="12.5703125" style="38" bestFit="1" customWidth="1"/>
    <col min="8" max="8" width="11.42578125" style="38"/>
    <col min="9" max="9" width="13.42578125" style="38" bestFit="1" customWidth="1"/>
    <col min="10" max="10" width="19" style="38" bestFit="1" customWidth="1"/>
    <col min="11" max="12" width="17.140625" style="38" customWidth="1"/>
    <col min="13" max="14" width="17.5703125" style="38" customWidth="1"/>
    <col min="15" max="15" width="18.42578125" style="38" bestFit="1" customWidth="1"/>
    <col min="16" max="16384" width="11.42578125" style="38"/>
  </cols>
  <sheetData>
    <row r="1" spans="1:15" ht="18.75" x14ac:dyDescent="0.3">
      <c r="A1" s="36" t="s">
        <v>118</v>
      </c>
      <c r="B1" s="36" t="s">
        <v>610</v>
      </c>
      <c r="E1" s="37" t="s">
        <v>748</v>
      </c>
    </row>
    <row r="2" spans="1:15" ht="13.5" customHeight="1" x14ac:dyDescent="0.35">
      <c r="C2" s="159"/>
      <c r="E2" s="540" t="s">
        <v>747</v>
      </c>
      <c r="K2" s="148"/>
      <c r="L2" s="148"/>
    </row>
    <row r="3" spans="1:15" ht="16.5" customHeight="1" x14ac:dyDescent="0.3">
      <c r="A3" s="36" t="s">
        <v>19</v>
      </c>
      <c r="B3" s="142">
        <f>+ACHOU!B3</f>
        <v>44075</v>
      </c>
      <c r="C3" s="36"/>
      <c r="N3" s="386">
        <f>+N7-2280225</f>
        <v>-3881015</v>
      </c>
    </row>
    <row r="4" spans="1:15" ht="13.5" customHeight="1" x14ac:dyDescent="0.3">
      <c r="A4" s="36"/>
      <c r="B4" s="36"/>
      <c r="C4" s="36"/>
    </row>
    <row r="5" spans="1:15" ht="13.5" customHeight="1" x14ac:dyDescent="0.25">
      <c r="A5" s="1132" t="s">
        <v>3</v>
      </c>
      <c r="B5" s="161" t="s">
        <v>15</v>
      </c>
      <c r="C5" s="162"/>
      <c r="D5" s="161" t="s">
        <v>16</v>
      </c>
      <c r="E5" s="162"/>
      <c r="F5" s="161" t="s">
        <v>17</v>
      </c>
      <c r="G5" s="162"/>
      <c r="H5" s="2901" t="s">
        <v>52</v>
      </c>
      <c r="I5" s="2901" t="s">
        <v>53</v>
      </c>
      <c r="J5" s="2901" t="s">
        <v>230</v>
      </c>
      <c r="K5" s="2901" t="s">
        <v>18</v>
      </c>
      <c r="L5" s="3091" t="s">
        <v>403</v>
      </c>
      <c r="M5" s="2901" t="s">
        <v>60</v>
      </c>
      <c r="N5" s="2901" t="s">
        <v>55</v>
      </c>
      <c r="O5" s="2901" t="s">
        <v>120</v>
      </c>
    </row>
    <row r="6" spans="1:15" ht="14.25" customHeight="1" x14ac:dyDescent="0.25">
      <c r="A6" s="163"/>
      <c r="B6" s="915">
        <v>630</v>
      </c>
      <c r="C6" s="916"/>
      <c r="D6" s="915">
        <v>575</v>
      </c>
      <c r="E6" s="916"/>
      <c r="F6" s="915">
        <v>350</v>
      </c>
      <c r="G6" s="916"/>
      <c r="H6" s="3070"/>
      <c r="I6" s="3070"/>
      <c r="J6" s="2902"/>
      <c r="K6" s="2902"/>
      <c r="L6" s="3092"/>
      <c r="M6" s="2902"/>
      <c r="N6" s="2902"/>
      <c r="O6" s="2902"/>
    </row>
    <row r="7" spans="1:15" ht="18" customHeight="1" x14ac:dyDescent="0.35">
      <c r="A7" s="1133"/>
      <c r="B7" s="166" t="s">
        <v>56</v>
      </c>
      <c r="C7" s="166" t="s">
        <v>37</v>
      </c>
      <c r="D7" s="167" t="s">
        <v>56</v>
      </c>
      <c r="E7" s="166" t="s">
        <v>37</v>
      </c>
      <c r="F7" s="166" t="s">
        <v>56</v>
      </c>
      <c r="G7" s="166" t="s">
        <v>37</v>
      </c>
      <c r="H7" s="1130"/>
      <c r="I7" s="1130"/>
      <c r="J7" s="1131"/>
      <c r="K7" s="1131"/>
      <c r="L7" s="1675"/>
      <c r="M7" s="182"/>
      <c r="N7" s="183">
        <v>-1600790</v>
      </c>
      <c r="O7" s="168">
        <f>N7</f>
        <v>-1600790</v>
      </c>
    </row>
    <row r="8" spans="1:15" ht="19.5" x14ac:dyDescent="0.25">
      <c r="A8" s="110">
        <f>+ACHOU!A8</f>
        <v>44105</v>
      </c>
      <c r="B8" s="174">
        <f t="shared" ref="B8:B16" si="0">+C8/569</f>
        <v>0</v>
      </c>
      <c r="C8" s="173"/>
      <c r="D8" s="174">
        <f>+E8/600</f>
        <v>0</v>
      </c>
      <c r="E8" s="172"/>
      <c r="F8" s="169"/>
      <c r="G8" s="172"/>
      <c r="H8" s="172"/>
      <c r="I8" s="172"/>
      <c r="J8" s="172"/>
      <c r="K8" s="173">
        <f t="shared" ref="K8:K38" si="1">C8+E8+G8+H8+I8+J8</f>
        <v>0</v>
      </c>
      <c r="L8" s="173"/>
      <c r="M8" s="172"/>
      <c r="N8" s="172">
        <f>K8-M8</f>
        <v>0</v>
      </c>
      <c r="O8" s="172">
        <f>+O7+K8-M8</f>
        <v>-1600790</v>
      </c>
    </row>
    <row r="9" spans="1:15" ht="13.5" customHeight="1" x14ac:dyDescent="0.25">
      <c r="A9" s="110">
        <f>+A8+1</f>
        <v>44106</v>
      </c>
      <c r="B9" s="174">
        <f t="shared" si="0"/>
        <v>0</v>
      </c>
      <c r="C9" s="173"/>
      <c r="D9" s="174">
        <f t="shared" ref="D9:D38" si="2">+E9/600</f>
        <v>0</v>
      </c>
      <c r="E9" s="172"/>
      <c r="F9" s="169"/>
      <c r="G9" s="172"/>
      <c r="H9" s="172"/>
      <c r="I9" s="172"/>
      <c r="J9" s="172"/>
      <c r="K9" s="173">
        <f t="shared" si="1"/>
        <v>0</v>
      </c>
      <c r="L9" s="173"/>
      <c r="M9" s="175"/>
      <c r="N9" s="172">
        <f t="shared" ref="N9:N38" si="3">K9-M9</f>
        <v>0</v>
      </c>
      <c r="O9" s="172">
        <f t="shared" ref="O9:O37" si="4">+O8+K9-M9</f>
        <v>-1600790</v>
      </c>
    </row>
    <row r="10" spans="1:15" ht="13.5" customHeight="1" x14ac:dyDescent="0.25">
      <c r="A10" s="110">
        <f t="shared" ref="A10:A38" si="5">+A9+1</f>
        <v>44107</v>
      </c>
      <c r="B10" s="174">
        <f t="shared" si="0"/>
        <v>0</v>
      </c>
      <c r="C10" s="172"/>
      <c r="D10" s="174">
        <f t="shared" si="2"/>
        <v>0</v>
      </c>
      <c r="E10" s="172"/>
      <c r="F10" s="169"/>
      <c r="G10" s="172"/>
      <c r="H10" s="172"/>
      <c r="I10" s="172"/>
      <c r="J10" s="172"/>
      <c r="K10" s="173">
        <f t="shared" si="1"/>
        <v>0</v>
      </c>
      <c r="L10" s="173"/>
      <c r="M10" s="175"/>
      <c r="N10" s="172">
        <f t="shared" si="3"/>
        <v>0</v>
      </c>
      <c r="O10" s="172">
        <f t="shared" si="4"/>
        <v>-1600790</v>
      </c>
    </row>
    <row r="11" spans="1:15" ht="13.5" customHeight="1" x14ac:dyDescent="0.25">
      <c r="A11" s="110">
        <f t="shared" si="5"/>
        <v>44108</v>
      </c>
      <c r="B11" s="174">
        <f t="shared" si="0"/>
        <v>0</v>
      </c>
      <c r="C11" s="172"/>
      <c r="D11" s="174">
        <f t="shared" si="2"/>
        <v>0</v>
      </c>
      <c r="E11" s="172"/>
      <c r="F11" s="169"/>
      <c r="G11" s="172"/>
      <c r="H11" s="172"/>
      <c r="I11" s="172"/>
      <c r="J11" s="172"/>
      <c r="K11" s="173">
        <f t="shared" si="1"/>
        <v>0</v>
      </c>
      <c r="L11" s="173"/>
      <c r="M11" s="175"/>
      <c r="N11" s="172">
        <f t="shared" si="3"/>
        <v>0</v>
      </c>
      <c r="O11" s="172">
        <f t="shared" si="4"/>
        <v>-1600790</v>
      </c>
    </row>
    <row r="12" spans="1:15" ht="13.5" customHeight="1" x14ac:dyDescent="0.25">
      <c r="A12" s="110">
        <f t="shared" si="5"/>
        <v>44109</v>
      </c>
      <c r="B12" s="174">
        <f t="shared" si="0"/>
        <v>0</v>
      </c>
      <c r="C12" s="173"/>
      <c r="D12" s="174">
        <f t="shared" si="2"/>
        <v>0</v>
      </c>
      <c r="E12" s="172"/>
      <c r="F12" s="169"/>
      <c r="G12" s="172"/>
      <c r="H12" s="172"/>
      <c r="I12" s="172"/>
      <c r="J12" s="172"/>
      <c r="K12" s="173">
        <f t="shared" si="1"/>
        <v>0</v>
      </c>
      <c r="L12" s="173"/>
      <c r="M12" s="175"/>
      <c r="N12" s="172">
        <f t="shared" si="3"/>
        <v>0</v>
      </c>
      <c r="O12" s="172">
        <f t="shared" si="4"/>
        <v>-1600790</v>
      </c>
    </row>
    <row r="13" spans="1:15" ht="13.5" customHeight="1" x14ac:dyDescent="0.25">
      <c r="A13" s="110">
        <f t="shared" si="5"/>
        <v>44110</v>
      </c>
      <c r="B13" s="174">
        <f t="shared" si="0"/>
        <v>0</v>
      </c>
      <c r="C13" s="173"/>
      <c r="D13" s="174">
        <f t="shared" si="2"/>
        <v>0</v>
      </c>
      <c r="E13" s="172"/>
      <c r="F13" s="169"/>
      <c r="G13" s="172"/>
      <c r="H13" s="172"/>
      <c r="I13" s="172"/>
      <c r="J13" s="172"/>
      <c r="K13" s="173">
        <f>C13+E13+G13+H13+I13+J13</f>
        <v>0</v>
      </c>
      <c r="L13" s="173"/>
      <c r="M13" s="175"/>
      <c r="N13" s="172">
        <f t="shared" si="3"/>
        <v>0</v>
      </c>
      <c r="O13" s="172">
        <f t="shared" si="4"/>
        <v>-1600790</v>
      </c>
    </row>
    <row r="14" spans="1:15" ht="13.5" customHeight="1" x14ac:dyDescent="0.25">
      <c r="A14" s="110">
        <f t="shared" si="5"/>
        <v>44111</v>
      </c>
      <c r="B14" s="174">
        <f t="shared" si="0"/>
        <v>0</v>
      </c>
      <c r="C14" s="172"/>
      <c r="D14" s="174">
        <f t="shared" si="2"/>
        <v>0</v>
      </c>
      <c r="E14" s="172"/>
      <c r="F14" s="169"/>
      <c r="G14" s="172"/>
      <c r="H14" s="172"/>
      <c r="I14" s="172"/>
      <c r="J14" s="172"/>
      <c r="K14" s="173">
        <f>C14+E14+G14+H14+I14+J14</f>
        <v>0</v>
      </c>
      <c r="L14" s="430"/>
      <c r="M14" s="175"/>
      <c r="N14" s="172">
        <f t="shared" si="3"/>
        <v>0</v>
      </c>
      <c r="O14" s="172">
        <f t="shared" si="4"/>
        <v>-1600790</v>
      </c>
    </row>
    <row r="15" spans="1:15" ht="13.5" customHeight="1" x14ac:dyDescent="0.25">
      <c r="A15" s="110">
        <f t="shared" si="5"/>
        <v>44112</v>
      </c>
      <c r="B15" s="174">
        <f t="shared" si="0"/>
        <v>0</v>
      </c>
      <c r="C15" s="172"/>
      <c r="D15" s="174">
        <f t="shared" si="2"/>
        <v>0</v>
      </c>
      <c r="E15" s="172"/>
      <c r="F15" s="169"/>
      <c r="G15" s="172"/>
      <c r="H15" s="172"/>
      <c r="I15" s="172"/>
      <c r="J15" s="172"/>
      <c r="K15" s="173">
        <f t="shared" si="1"/>
        <v>0</v>
      </c>
      <c r="L15" s="173"/>
      <c r="M15" s="175"/>
      <c r="N15" s="172">
        <f t="shared" si="3"/>
        <v>0</v>
      </c>
      <c r="O15" s="172">
        <f t="shared" si="4"/>
        <v>-1600790</v>
      </c>
    </row>
    <row r="16" spans="1:15" ht="13.5" customHeight="1" x14ac:dyDescent="0.25">
      <c r="A16" s="110">
        <f t="shared" si="5"/>
        <v>44113</v>
      </c>
      <c r="B16" s="174">
        <f t="shared" si="0"/>
        <v>0</v>
      </c>
      <c r="C16" s="175"/>
      <c r="D16" s="174">
        <f t="shared" si="2"/>
        <v>0</v>
      </c>
      <c r="E16" s="172"/>
      <c r="F16" s="169"/>
      <c r="G16" s="175"/>
      <c r="H16" s="175"/>
      <c r="I16" s="175"/>
      <c r="J16" s="175"/>
      <c r="K16" s="184">
        <f>C16+E16+G16+H16+I16+J16</f>
        <v>0</v>
      </c>
      <c r="L16" s="184"/>
      <c r="M16" s="175"/>
      <c r="N16" s="172">
        <f t="shared" si="3"/>
        <v>0</v>
      </c>
      <c r="O16" s="172">
        <f t="shared" si="4"/>
        <v>-1600790</v>
      </c>
    </row>
    <row r="17" spans="1:15" ht="13.5" customHeight="1" x14ac:dyDescent="0.25">
      <c r="A17" s="110">
        <f t="shared" si="5"/>
        <v>44114</v>
      </c>
      <c r="B17" s="174">
        <f>+C17/569</f>
        <v>0</v>
      </c>
      <c r="C17" s="175"/>
      <c r="D17" s="174">
        <f t="shared" si="2"/>
        <v>0</v>
      </c>
      <c r="E17" s="172"/>
      <c r="F17" s="169"/>
      <c r="G17" s="175"/>
      <c r="H17" s="175"/>
      <c r="I17" s="175"/>
      <c r="J17" s="175"/>
      <c r="K17" s="184">
        <f>C17+E17+G17+H17+I17+J17</f>
        <v>0</v>
      </c>
      <c r="L17" s="184"/>
      <c r="M17" s="175"/>
      <c r="N17" s="172">
        <f t="shared" si="3"/>
        <v>0</v>
      </c>
      <c r="O17" s="172">
        <f t="shared" si="4"/>
        <v>-1600790</v>
      </c>
    </row>
    <row r="18" spans="1:15" ht="13.5" customHeight="1" x14ac:dyDescent="0.25">
      <c r="A18" s="110">
        <f t="shared" si="5"/>
        <v>44115</v>
      </c>
      <c r="B18" s="174">
        <f t="shared" ref="B18:B38" si="6">+C18/569</f>
        <v>0</v>
      </c>
      <c r="C18" s="175"/>
      <c r="D18" s="174">
        <f t="shared" si="2"/>
        <v>0</v>
      </c>
      <c r="E18" s="172"/>
      <c r="F18" s="169"/>
      <c r="G18" s="175"/>
      <c r="H18" s="175"/>
      <c r="I18" s="175"/>
      <c r="J18" s="175"/>
      <c r="K18" s="184">
        <f>C18+E18+G18+H18+I18+J18</f>
        <v>0</v>
      </c>
      <c r="L18" s="184"/>
      <c r="M18" s="175"/>
      <c r="N18" s="172">
        <f t="shared" si="3"/>
        <v>0</v>
      </c>
      <c r="O18" s="172">
        <f>+O17+K18-M18</f>
        <v>-1600790</v>
      </c>
    </row>
    <row r="19" spans="1:15" ht="13.5" customHeight="1" x14ac:dyDescent="0.25">
      <c r="A19" s="110">
        <f t="shared" si="5"/>
        <v>44116</v>
      </c>
      <c r="B19" s="174">
        <f t="shared" si="6"/>
        <v>0</v>
      </c>
      <c r="C19" s="175"/>
      <c r="D19" s="174">
        <f t="shared" si="2"/>
        <v>0</v>
      </c>
      <c r="E19" s="172"/>
      <c r="F19" s="169"/>
      <c r="G19" s="175"/>
      <c r="H19" s="175"/>
      <c r="I19" s="175"/>
      <c r="J19" s="175"/>
      <c r="K19" s="184">
        <f>C19+E19+G19+H19+I19+J19</f>
        <v>0</v>
      </c>
      <c r="L19" s="184"/>
      <c r="M19" s="175"/>
      <c r="N19" s="172">
        <f t="shared" si="3"/>
        <v>0</v>
      </c>
      <c r="O19" s="172">
        <f t="shared" si="4"/>
        <v>-1600790</v>
      </c>
    </row>
    <row r="20" spans="1:15" ht="13.5" customHeight="1" x14ac:dyDescent="0.25">
      <c r="A20" s="110">
        <f t="shared" si="5"/>
        <v>44117</v>
      </c>
      <c r="B20" s="174">
        <f t="shared" si="6"/>
        <v>0</v>
      </c>
      <c r="C20" s="175"/>
      <c r="D20" s="174">
        <f t="shared" si="2"/>
        <v>0</v>
      </c>
      <c r="E20" s="172"/>
      <c r="F20" s="169"/>
      <c r="G20" s="175"/>
      <c r="H20" s="175"/>
      <c r="I20" s="175"/>
      <c r="J20" s="175"/>
      <c r="K20" s="184">
        <f t="shared" si="1"/>
        <v>0</v>
      </c>
      <c r="L20" s="184"/>
      <c r="M20" s="175"/>
      <c r="N20" s="172">
        <f t="shared" si="3"/>
        <v>0</v>
      </c>
      <c r="O20" s="172">
        <f t="shared" si="4"/>
        <v>-1600790</v>
      </c>
    </row>
    <row r="21" spans="1:15" ht="13.5" customHeight="1" x14ac:dyDescent="0.25">
      <c r="A21" s="110">
        <f t="shared" si="5"/>
        <v>44118</v>
      </c>
      <c r="B21" s="174">
        <f t="shared" si="6"/>
        <v>0</v>
      </c>
      <c r="C21" s="175"/>
      <c r="D21" s="174">
        <f t="shared" si="2"/>
        <v>0</v>
      </c>
      <c r="E21" s="172"/>
      <c r="F21" s="169"/>
      <c r="G21" s="175"/>
      <c r="H21" s="175"/>
      <c r="I21" s="175"/>
      <c r="J21" s="175"/>
      <c r="K21" s="184">
        <f t="shared" si="1"/>
        <v>0</v>
      </c>
      <c r="L21" s="184"/>
      <c r="M21" s="175"/>
      <c r="N21" s="172">
        <f t="shared" si="3"/>
        <v>0</v>
      </c>
      <c r="O21" s="172">
        <f t="shared" si="4"/>
        <v>-1600790</v>
      </c>
    </row>
    <row r="22" spans="1:15" ht="13.5" customHeight="1" x14ac:dyDescent="0.25">
      <c r="A22" s="110">
        <f t="shared" si="5"/>
        <v>44119</v>
      </c>
      <c r="B22" s="174">
        <f t="shared" si="6"/>
        <v>0</v>
      </c>
      <c r="C22" s="175"/>
      <c r="D22" s="174">
        <f t="shared" si="2"/>
        <v>0</v>
      </c>
      <c r="E22" s="172"/>
      <c r="F22" s="174"/>
      <c r="G22" s="175"/>
      <c r="H22" s="175"/>
      <c r="I22" s="175"/>
      <c r="J22" s="175"/>
      <c r="K22" s="184">
        <f t="shared" si="1"/>
        <v>0</v>
      </c>
      <c r="L22" s="184"/>
      <c r="M22" s="175"/>
      <c r="N22" s="172">
        <f t="shared" si="3"/>
        <v>0</v>
      </c>
      <c r="O22" s="172">
        <f t="shared" si="4"/>
        <v>-1600790</v>
      </c>
    </row>
    <row r="23" spans="1:15" ht="13.5" customHeight="1" x14ac:dyDescent="0.25">
      <c r="A23" s="110">
        <f t="shared" si="5"/>
        <v>44120</v>
      </c>
      <c r="B23" s="174">
        <f t="shared" si="6"/>
        <v>0</v>
      </c>
      <c r="C23" s="175"/>
      <c r="D23" s="174">
        <f t="shared" si="2"/>
        <v>0</v>
      </c>
      <c r="E23" s="172"/>
      <c r="F23" s="174"/>
      <c r="G23" s="175"/>
      <c r="H23" s="175"/>
      <c r="I23" s="175"/>
      <c r="J23" s="175"/>
      <c r="K23" s="184">
        <f t="shared" si="1"/>
        <v>0</v>
      </c>
      <c r="L23" s="184"/>
      <c r="M23" s="172"/>
      <c r="N23" s="172">
        <f t="shared" si="3"/>
        <v>0</v>
      </c>
      <c r="O23" s="172">
        <f t="shared" si="4"/>
        <v>-1600790</v>
      </c>
    </row>
    <row r="24" spans="1:15" ht="13.5" customHeight="1" x14ac:dyDescent="0.25">
      <c r="A24" s="110">
        <f t="shared" si="5"/>
        <v>44121</v>
      </c>
      <c r="B24" s="174">
        <f t="shared" si="6"/>
        <v>0</v>
      </c>
      <c r="C24" s="175"/>
      <c r="D24" s="174">
        <f t="shared" si="2"/>
        <v>0</v>
      </c>
      <c r="E24" s="172"/>
      <c r="F24" s="174"/>
      <c r="G24" s="175"/>
      <c r="H24" s="175"/>
      <c r="I24" s="175"/>
      <c r="J24" s="175"/>
      <c r="K24" s="184">
        <f t="shared" si="1"/>
        <v>0</v>
      </c>
      <c r="L24" s="184"/>
      <c r="M24" s="172"/>
      <c r="N24" s="172">
        <f t="shared" si="3"/>
        <v>0</v>
      </c>
      <c r="O24" s="172">
        <f t="shared" si="4"/>
        <v>-1600790</v>
      </c>
    </row>
    <row r="25" spans="1:15" ht="13.5" customHeight="1" x14ac:dyDescent="0.25">
      <c r="A25" s="110">
        <f t="shared" si="5"/>
        <v>44122</v>
      </c>
      <c r="B25" s="174">
        <f t="shared" si="6"/>
        <v>0</v>
      </c>
      <c r="C25" s="175"/>
      <c r="D25" s="174">
        <f t="shared" si="2"/>
        <v>0</v>
      </c>
      <c r="E25" s="172"/>
      <c r="F25" s="174"/>
      <c r="G25" s="175"/>
      <c r="H25" s="175"/>
      <c r="I25" s="175"/>
      <c r="J25" s="175"/>
      <c r="K25" s="184">
        <f t="shared" si="1"/>
        <v>0</v>
      </c>
      <c r="L25" s="184"/>
      <c r="M25" s="1352"/>
      <c r="N25" s="172">
        <f t="shared" si="3"/>
        <v>0</v>
      </c>
      <c r="O25" s="172">
        <f t="shared" si="4"/>
        <v>-1600790</v>
      </c>
    </row>
    <row r="26" spans="1:15" ht="13.5" customHeight="1" x14ac:dyDescent="0.25">
      <c r="A26" s="110">
        <f t="shared" si="5"/>
        <v>44123</v>
      </c>
      <c r="B26" s="174">
        <f t="shared" si="6"/>
        <v>0</v>
      </c>
      <c r="C26" s="175"/>
      <c r="D26" s="174">
        <f t="shared" si="2"/>
        <v>0</v>
      </c>
      <c r="E26" s="172"/>
      <c r="F26" s="174"/>
      <c r="G26" s="175"/>
      <c r="H26" s="175"/>
      <c r="I26" s="175"/>
      <c r="J26" s="175"/>
      <c r="K26" s="184">
        <f t="shared" si="1"/>
        <v>0</v>
      </c>
      <c r="L26" s="184"/>
      <c r="M26" s="1352"/>
      <c r="N26" s="172">
        <f t="shared" si="3"/>
        <v>0</v>
      </c>
      <c r="O26" s="172">
        <f t="shared" si="4"/>
        <v>-1600790</v>
      </c>
    </row>
    <row r="27" spans="1:15" ht="13.5" customHeight="1" x14ac:dyDescent="0.25">
      <c r="A27" s="110">
        <f t="shared" si="5"/>
        <v>44124</v>
      </c>
      <c r="B27" s="174">
        <f t="shared" si="6"/>
        <v>0</v>
      </c>
      <c r="C27" s="175"/>
      <c r="D27" s="174">
        <f t="shared" si="2"/>
        <v>0</v>
      </c>
      <c r="E27" s="172"/>
      <c r="F27" s="174"/>
      <c r="G27" s="175"/>
      <c r="H27" s="175"/>
      <c r="I27" s="175"/>
      <c r="J27" s="175"/>
      <c r="K27" s="184">
        <f t="shared" si="1"/>
        <v>0</v>
      </c>
      <c r="L27" s="184"/>
      <c r="M27" s="172"/>
      <c r="N27" s="172">
        <f t="shared" si="3"/>
        <v>0</v>
      </c>
      <c r="O27" s="172">
        <f t="shared" si="4"/>
        <v>-1600790</v>
      </c>
    </row>
    <row r="28" spans="1:15" ht="13.5" customHeight="1" x14ac:dyDescent="0.25">
      <c r="A28" s="110">
        <f t="shared" si="5"/>
        <v>44125</v>
      </c>
      <c r="B28" s="174">
        <f t="shared" si="6"/>
        <v>0</v>
      </c>
      <c r="C28" s="175"/>
      <c r="D28" s="174">
        <f t="shared" si="2"/>
        <v>0</v>
      </c>
      <c r="E28" s="172"/>
      <c r="F28" s="174"/>
      <c r="G28" s="175"/>
      <c r="H28" s="175"/>
      <c r="I28" s="175"/>
      <c r="J28" s="175"/>
      <c r="K28" s="184">
        <f t="shared" si="1"/>
        <v>0</v>
      </c>
      <c r="L28" s="184"/>
      <c r="M28" s="172"/>
      <c r="N28" s="172">
        <f t="shared" si="3"/>
        <v>0</v>
      </c>
      <c r="O28" s="172">
        <f t="shared" si="4"/>
        <v>-1600790</v>
      </c>
    </row>
    <row r="29" spans="1:15" ht="13.5" customHeight="1" x14ac:dyDescent="0.25">
      <c r="A29" s="110">
        <f t="shared" si="5"/>
        <v>44126</v>
      </c>
      <c r="B29" s="174">
        <f t="shared" si="6"/>
        <v>0</v>
      </c>
      <c r="C29" s="175"/>
      <c r="D29" s="174">
        <f t="shared" si="2"/>
        <v>0</v>
      </c>
      <c r="E29" s="172"/>
      <c r="F29" s="174"/>
      <c r="G29" s="175"/>
      <c r="H29" s="175"/>
      <c r="I29" s="175"/>
      <c r="J29" s="175"/>
      <c r="K29" s="184">
        <f t="shared" si="1"/>
        <v>0</v>
      </c>
      <c r="L29" s="184"/>
      <c r="M29" s="172"/>
      <c r="N29" s="172">
        <f t="shared" si="3"/>
        <v>0</v>
      </c>
      <c r="O29" s="172">
        <f t="shared" si="4"/>
        <v>-1600790</v>
      </c>
    </row>
    <row r="30" spans="1:15" ht="13.5" customHeight="1" x14ac:dyDescent="0.25">
      <c r="A30" s="110">
        <f t="shared" si="5"/>
        <v>44127</v>
      </c>
      <c r="B30" s="174">
        <f t="shared" si="6"/>
        <v>0</v>
      </c>
      <c r="C30" s="175"/>
      <c r="D30" s="174">
        <f t="shared" si="2"/>
        <v>0</v>
      </c>
      <c r="E30" s="172"/>
      <c r="F30" s="174"/>
      <c r="G30" s="175"/>
      <c r="H30" s="175"/>
      <c r="I30" s="175"/>
      <c r="J30" s="175"/>
      <c r="K30" s="184">
        <f t="shared" si="1"/>
        <v>0</v>
      </c>
      <c r="L30" s="184"/>
      <c r="M30" s="172"/>
      <c r="N30" s="172">
        <f t="shared" si="3"/>
        <v>0</v>
      </c>
      <c r="O30" s="172">
        <f t="shared" si="4"/>
        <v>-1600790</v>
      </c>
    </row>
    <row r="31" spans="1:15" s="139" customFormat="1" ht="13.5" customHeight="1" x14ac:dyDescent="0.25">
      <c r="A31" s="827">
        <f t="shared" si="5"/>
        <v>44128</v>
      </c>
      <c r="B31" s="174">
        <f t="shared" si="6"/>
        <v>0</v>
      </c>
      <c r="C31" s="175"/>
      <c r="D31" s="174">
        <f t="shared" si="2"/>
        <v>0</v>
      </c>
      <c r="E31" s="175"/>
      <c r="F31" s="174"/>
      <c r="G31" s="175"/>
      <c r="H31" s="175"/>
      <c r="I31" s="175"/>
      <c r="J31" s="175"/>
      <c r="K31" s="184">
        <f t="shared" si="1"/>
        <v>0</v>
      </c>
      <c r="L31" s="184"/>
      <c r="M31" s="175"/>
      <c r="N31" s="175">
        <f t="shared" si="3"/>
        <v>0</v>
      </c>
      <c r="O31" s="175">
        <f t="shared" si="4"/>
        <v>-1600790</v>
      </c>
    </row>
    <row r="32" spans="1:15" ht="13.5" customHeight="1" x14ac:dyDescent="0.25">
      <c r="A32" s="110">
        <f t="shared" si="5"/>
        <v>44129</v>
      </c>
      <c r="B32" s="174">
        <f t="shared" si="6"/>
        <v>0</v>
      </c>
      <c r="C32" s="172"/>
      <c r="D32" s="174">
        <f t="shared" si="2"/>
        <v>0</v>
      </c>
      <c r="E32" s="172"/>
      <c r="F32" s="169"/>
      <c r="G32" s="172"/>
      <c r="H32" s="172"/>
      <c r="I32" s="172"/>
      <c r="J32" s="172"/>
      <c r="K32" s="173">
        <f t="shared" si="1"/>
        <v>0</v>
      </c>
      <c r="L32" s="173"/>
      <c r="M32" s="172"/>
      <c r="N32" s="172">
        <f t="shared" si="3"/>
        <v>0</v>
      </c>
      <c r="O32" s="172">
        <f t="shared" si="4"/>
        <v>-1600790</v>
      </c>
    </row>
    <row r="33" spans="1:15" ht="19.5" x14ac:dyDescent="0.25">
      <c r="A33" s="110">
        <f t="shared" si="5"/>
        <v>44130</v>
      </c>
      <c r="B33" s="174">
        <f t="shared" si="6"/>
        <v>0</v>
      </c>
      <c r="C33" s="172"/>
      <c r="D33" s="174">
        <f t="shared" si="2"/>
        <v>0</v>
      </c>
      <c r="E33" s="172"/>
      <c r="F33" s="169"/>
      <c r="G33" s="172"/>
      <c r="H33" s="172"/>
      <c r="I33" s="172"/>
      <c r="J33" s="172"/>
      <c r="K33" s="173">
        <f t="shared" si="1"/>
        <v>0</v>
      </c>
      <c r="L33" s="173"/>
      <c r="M33" s="1697"/>
      <c r="N33" s="172">
        <f t="shared" si="3"/>
        <v>0</v>
      </c>
      <c r="O33" s="172">
        <f t="shared" si="4"/>
        <v>-1600790</v>
      </c>
    </row>
    <row r="34" spans="1:15" ht="19.5" x14ac:dyDescent="0.25">
      <c r="A34" s="110">
        <f t="shared" si="5"/>
        <v>44131</v>
      </c>
      <c r="B34" s="174">
        <f t="shared" si="6"/>
        <v>0</v>
      </c>
      <c r="C34" s="172"/>
      <c r="D34" s="174">
        <f t="shared" si="2"/>
        <v>0</v>
      </c>
      <c r="E34" s="172"/>
      <c r="F34" s="169"/>
      <c r="G34" s="172"/>
      <c r="H34" s="172"/>
      <c r="I34" s="172"/>
      <c r="J34" s="172"/>
      <c r="K34" s="173">
        <f t="shared" si="1"/>
        <v>0</v>
      </c>
      <c r="L34" s="173"/>
      <c r="M34" s="1697"/>
      <c r="N34" s="172">
        <f t="shared" si="3"/>
        <v>0</v>
      </c>
      <c r="O34" s="172">
        <f t="shared" si="4"/>
        <v>-1600790</v>
      </c>
    </row>
    <row r="35" spans="1:15" ht="19.5" x14ac:dyDescent="0.25">
      <c r="A35" s="110">
        <f t="shared" si="5"/>
        <v>44132</v>
      </c>
      <c r="B35" s="174">
        <f t="shared" si="6"/>
        <v>0</v>
      </c>
      <c r="C35" s="172"/>
      <c r="D35" s="174">
        <f t="shared" si="2"/>
        <v>0</v>
      </c>
      <c r="E35" s="172"/>
      <c r="F35" s="169"/>
      <c r="G35" s="172"/>
      <c r="H35" s="172"/>
      <c r="I35" s="172"/>
      <c r="J35" s="172"/>
      <c r="K35" s="173">
        <f t="shared" si="1"/>
        <v>0</v>
      </c>
      <c r="L35" s="173"/>
      <c r="M35" s="1697"/>
      <c r="N35" s="172">
        <f t="shared" si="3"/>
        <v>0</v>
      </c>
      <c r="O35" s="172">
        <f t="shared" si="4"/>
        <v>-1600790</v>
      </c>
    </row>
    <row r="36" spans="1:15" ht="19.5" x14ac:dyDescent="0.25">
      <c r="A36" s="110">
        <f t="shared" si="5"/>
        <v>44133</v>
      </c>
      <c r="B36" s="174">
        <f t="shared" si="6"/>
        <v>0</v>
      </c>
      <c r="C36" s="172"/>
      <c r="D36" s="174">
        <f t="shared" si="2"/>
        <v>0</v>
      </c>
      <c r="E36" s="172"/>
      <c r="F36" s="169"/>
      <c r="G36" s="172"/>
      <c r="H36" s="172"/>
      <c r="I36" s="172"/>
      <c r="J36" s="172"/>
      <c r="K36" s="173">
        <f t="shared" si="1"/>
        <v>0</v>
      </c>
      <c r="L36" s="173"/>
      <c r="M36" s="1697"/>
      <c r="N36" s="172">
        <f t="shared" si="3"/>
        <v>0</v>
      </c>
      <c r="O36" s="172">
        <f t="shared" si="4"/>
        <v>-1600790</v>
      </c>
    </row>
    <row r="37" spans="1:15" ht="19.5" x14ac:dyDescent="0.25">
      <c r="A37" s="110">
        <f t="shared" si="5"/>
        <v>44134</v>
      </c>
      <c r="B37" s="174">
        <f t="shared" si="6"/>
        <v>0</v>
      </c>
      <c r="C37" s="172"/>
      <c r="D37" s="174">
        <f t="shared" si="2"/>
        <v>0</v>
      </c>
      <c r="E37" s="172"/>
      <c r="F37" s="169"/>
      <c r="G37" s="172"/>
      <c r="H37" s="172"/>
      <c r="I37" s="172"/>
      <c r="J37" s="172"/>
      <c r="K37" s="173">
        <f t="shared" si="1"/>
        <v>0</v>
      </c>
      <c r="L37" s="173"/>
      <c r="M37" s="172"/>
      <c r="N37" s="172">
        <f t="shared" si="3"/>
        <v>0</v>
      </c>
      <c r="O37" s="172">
        <f t="shared" si="4"/>
        <v>-1600790</v>
      </c>
    </row>
    <row r="38" spans="1:15" ht="19.5" x14ac:dyDescent="0.25">
      <c r="A38" s="110">
        <f t="shared" si="5"/>
        <v>44135</v>
      </c>
      <c r="B38" s="174">
        <f t="shared" si="6"/>
        <v>0</v>
      </c>
      <c r="C38" s="172"/>
      <c r="D38" s="174">
        <f t="shared" si="2"/>
        <v>0</v>
      </c>
      <c r="E38" s="172"/>
      <c r="F38" s="169"/>
      <c r="G38" s="172"/>
      <c r="H38" s="172"/>
      <c r="I38" s="172"/>
      <c r="J38" s="172"/>
      <c r="K38" s="173">
        <f t="shared" si="1"/>
        <v>0</v>
      </c>
      <c r="L38" s="173"/>
      <c r="M38" s="172"/>
      <c r="N38" s="172">
        <f t="shared" si="3"/>
        <v>0</v>
      </c>
      <c r="O38" s="177">
        <f>+O37+K38-M38</f>
        <v>-1600790</v>
      </c>
    </row>
    <row r="39" spans="1:15" ht="19.5" x14ac:dyDescent="0.25">
      <c r="A39" s="178" t="s">
        <v>18</v>
      </c>
      <c r="B39" s="185">
        <f t="shared" ref="B39:M39" si="7">SUM(B8:B38)</f>
        <v>0</v>
      </c>
      <c r="C39" s="173">
        <f t="shared" si="7"/>
        <v>0</v>
      </c>
      <c r="D39" s="179">
        <f t="shared" si="7"/>
        <v>0</v>
      </c>
      <c r="E39" s="173">
        <f t="shared" si="7"/>
        <v>0</v>
      </c>
      <c r="F39" s="173">
        <f t="shared" si="7"/>
        <v>0</v>
      </c>
      <c r="G39" s="173">
        <f t="shared" si="7"/>
        <v>0</v>
      </c>
      <c r="H39" s="173">
        <f t="shared" si="7"/>
        <v>0</v>
      </c>
      <c r="I39" s="173">
        <f t="shared" si="7"/>
        <v>0</v>
      </c>
      <c r="J39" s="173">
        <f t="shared" si="7"/>
        <v>0</v>
      </c>
      <c r="K39" s="173">
        <f t="shared" si="7"/>
        <v>0</v>
      </c>
      <c r="L39" s="173"/>
      <c r="M39" s="173">
        <f t="shared" si="7"/>
        <v>0</v>
      </c>
      <c r="N39" s="177">
        <f>SUM(N7:N38)</f>
        <v>-1600790</v>
      </c>
      <c r="O39" s="180"/>
    </row>
    <row r="45" spans="1:15" x14ac:dyDescent="0.25">
      <c r="K45" s="38">
        <f>9229800+714000</f>
        <v>9943800</v>
      </c>
    </row>
  </sheetData>
  <mergeCells count="8">
    <mergeCell ref="O5:O6"/>
    <mergeCell ref="H5:H6"/>
    <mergeCell ref="I5:I6"/>
    <mergeCell ref="J5:J6"/>
    <mergeCell ref="K5:K6"/>
    <mergeCell ref="M5:M6"/>
    <mergeCell ref="N5:N6"/>
    <mergeCell ref="L5:L6"/>
  </mergeCells>
  <printOptions horizontalCentered="1"/>
  <pageMargins left="0.39370078740157483" right="0.39370078740157483" top="0.74803149606299213" bottom="0.39370078740157483" header="0.31496062992125984" footer="0.31496062992125984"/>
  <pageSetup paperSize="9" scale="59" orientation="landscape"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9">
    <tabColor rgb="FFFF0000"/>
    <pageSetUpPr fitToPage="1"/>
  </sheetPr>
  <dimension ref="A2:Q40"/>
  <sheetViews>
    <sheetView zoomScaleNormal="100" workbookViewId="0">
      <selection activeCell="B4" sqref="B4"/>
    </sheetView>
  </sheetViews>
  <sheetFormatPr baseColWidth="10" defaultRowHeight="15" x14ac:dyDescent="0.2"/>
  <cols>
    <col min="1" max="1" width="10.5703125" style="37" bestFit="1" customWidth="1"/>
    <col min="2" max="2" width="11.28515625" style="37" bestFit="1" customWidth="1"/>
    <col min="3" max="3" width="12.140625" style="37" bestFit="1" customWidth="1"/>
    <col min="4" max="4" width="12.7109375" style="37" bestFit="1" customWidth="1"/>
    <col min="5" max="5" width="13.5703125" style="37" bestFit="1" customWidth="1"/>
    <col min="6" max="6" width="11.28515625" style="37" bestFit="1" customWidth="1"/>
    <col min="7" max="7" width="10.85546875" style="37" bestFit="1" customWidth="1"/>
    <col min="8" max="8" width="14.5703125" style="37" hidden="1" customWidth="1"/>
    <col min="9" max="9" width="10.7109375" style="37" hidden="1" customWidth="1"/>
    <col min="10" max="10" width="12.28515625" style="37" hidden="1" customWidth="1"/>
    <col min="11" max="12" width="14" style="37" customWidth="1"/>
    <col min="13" max="13" width="14.140625" style="37" bestFit="1" customWidth="1"/>
    <col min="14" max="14" width="13.5703125" style="37" bestFit="1" customWidth="1"/>
    <col min="15" max="15" width="15.7109375" style="37" bestFit="1" customWidth="1"/>
    <col min="16" max="16384" width="11.42578125" style="37"/>
  </cols>
  <sheetData>
    <row r="2" spans="1:17" ht="16.5" x14ac:dyDescent="0.3">
      <c r="A2" s="1" t="s">
        <v>118</v>
      </c>
      <c r="B2" s="1" t="s">
        <v>253</v>
      </c>
    </row>
    <row r="3" spans="1:17" ht="15.75" x14ac:dyDescent="0.25">
      <c r="C3" s="99"/>
      <c r="K3" s="116"/>
      <c r="L3" s="116"/>
    </row>
    <row r="4" spans="1:17" ht="16.5" x14ac:dyDescent="0.3">
      <c r="A4" s="1" t="s">
        <v>19</v>
      </c>
      <c r="B4" s="2">
        <f>+BLESSING!B4</f>
        <v>44105</v>
      </c>
      <c r="C4" s="1"/>
      <c r="H4" s="37">
        <f>12200/4</f>
        <v>3050</v>
      </c>
    </row>
    <row r="5" spans="1:17" ht="16.5" x14ac:dyDescent="0.3">
      <c r="A5" s="1"/>
      <c r="B5" s="1"/>
      <c r="C5" s="1"/>
    </row>
    <row r="6" spans="1:17" ht="16.5" x14ac:dyDescent="0.2">
      <c r="A6" s="100" t="s">
        <v>3</v>
      </c>
      <c r="B6" s="101" t="s">
        <v>15</v>
      </c>
      <c r="C6" s="102"/>
      <c r="D6" s="101" t="s">
        <v>16</v>
      </c>
      <c r="E6" s="102"/>
      <c r="F6" s="101" t="s">
        <v>17</v>
      </c>
      <c r="G6" s="102"/>
      <c r="H6" s="2910" t="s">
        <v>52</v>
      </c>
      <c r="I6" s="2910" t="s">
        <v>53</v>
      </c>
      <c r="J6" s="2910" t="s">
        <v>119</v>
      </c>
      <c r="K6" s="2910" t="s">
        <v>18</v>
      </c>
      <c r="L6" s="3062" t="s">
        <v>416</v>
      </c>
      <c r="M6" s="2910" t="s">
        <v>60</v>
      </c>
      <c r="N6" s="2910" t="s">
        <v>55</v>
      </c>
      <c r="O6" s="2910" t="s">
        <v>120</v>
      </c>
    </row>
    <row r="7" spans="1:17" ht="21" x14ac:dyDescent="0.2">
      <c r="A7" s="103"/>
      <c r="B7" s="915">
        <v>630</v>
      </c>
      <c r="C7" s="916"/>
      <c r="D7" s="915">
        <v>575</v>
      </c>
      <c r="E7" s="916"/>
      <c r="F7" s="915">
        <v>350</v>
      </c>
      <c r="G7" s="916"/>
      <c r="H7" s="3059"/>
      <c r="I7" s="3059"/>
      <c r="J7" s="2911"/>
      <c r="K7" s="2911"/>
      <c r="L7" s="3064"/>
      <c r="M7" s="2911"/>
      <c r="N7" s="2911"/>
      <c r="O7" s="2911"/>
    </row>
    <row r="8" spans="1:17" ht="16.5" x14ac:dyDescent="0.25">
      <c r="A8" s="105"/>
      <c r="B8" s="106" t="s">
        <v>56</v>
      </c>
      <c r="C8" s="106" t="s">
        <v>37</v>
      </c>
      <c r="D8" s="107" t="s">
        <v>56</v>
      </c>
      <c r="E8" s="106" t="s">
        <v>37</v>
      </c>
      <c r="F8" s="106" t="s">
        <v>56</v>
      </c>
      <c r="G8" s="106" t="s">
        <v>37</v>
      </c>
      <c r="H8" s="346"/>
      <c r="I8" s="346"/>
      <c r="J8" s="132"/>
      <c r="K8" s="132"/>
      <c r="L8" s="132"/>
      <c r="M8" s="133"/>
      <c r="N8" s="136">
        <v>4662675</v>
      </c>
      <c r="O8" s="109">
        <f>N8</f>
        <v>4662675</v>
      </c>
    </row>
    <row r="9" spans="1:17" ht="16.5" x14ac:dyDescent="0.3">
      <c r="A9" s="110">
        <f>+BLESSING!A9</f>
        <v>44105</v>
      </c>
      <c r="B9" s="111">
        <f>C9/B$7</f>
        <v>0</v>
      </c>
      <c r="C9" s="112"/>
      <c r="D9" s="111">
        <f>+E9/D$7</f>
        <v>0</v>
      </c>
      <c r="E9" s="113"/>
      <c r="F9" s="111">
        <f>+G9/F$7</f>
        <v>0</v>
      </c>
      <c r="G9" s="114"/>
      <c r="H9" s="114"/>
      <c r="I9" s="114"/>
      <c r="J9" s="114"/>
      <c r="K9" s="115">
        <f t="shared" ref="K9:K39" si="0">C9+E9+G9+H9+I9+J9</f>
        <v>0</v>
      </c>
      <c r="L9" s="115"/>
      <c r="M9" s="113"/>
      <c r="N9" s="114">
        <f>K9-M9</f>
        <v>0</v>
      </c>
      <c r="O9" s="114">
        <f>+O8+K9-M9</f>
        <v>4662675</v>
      </c>
    </row>
    <row r="10" spans="1:17"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115"/>
      <c r="M10" s="86"/>
      <c r="N10" s="114">
        <f t="shared" ref="N10:N39" si="3">K10-M10</f>
        <v>0</v>
      </c>
      <c r="O10" s="114">
        <f t="shared" ref="O10:O37" si="4">+O9+K10-M10</f>
        <v>4662675</v>
      </c>
    </row>
    <row r="11" spans="1:17" ht="16.5" x14ac:dyDescent="0.25">
      <c r="A11" s="110">
        <f t="shared" ref="A11:A39" si="5">+A10+1</f>
        <v>44107</v>
      </c>
      <c r="B11" s="111">
        <f t="shared" si="1"/>
        <v>0</v>
      </c>
      <c r="C11" s="113"/>
      <c r="D11" s="111">
        <f t="shared" si="2"/>
        <v>0</v>
      </c>
      <c r="E11" s="113"/>
      <c r="F11" s="111">
        <f t="shared" si="2"/>
        <v>0</v>
      </c>
      <c r="G11" s="114"/>
      <c r="H11" s="114"/>
      <c r="I11" s="114"/>
      <c r="J11" s="114"/>
      <c r="K11" s="115">
        <f t="shared" si="0"/>
        <v>0</v>
      </c>
      <c r="L11" s="115"/>
      <c r="M11" s="86"/>
      <c r="N11" s="114">
        <f t="shared" si="3"/>
        <v>0</v>
      </c>
      <c r="O11" s="114">
        <f t="shared" si="4"/>
        <v>4662675</v>
      </c>
      <c r="Q11" s="37">
        <f>2438000/575</f>
        <v>4240</v>
      </c>
    </row>
    <row r="12" spans="1:17" ht="16.5" x14ac:dyDescent="0.25">
      <c r="A12" s="110">
        <f t="shared" si="5"/>
        <v>44108</v>
      </c>
      <c r="B12" s="111">
        <f t="shared" si="1"/>
        <v>0</v>
      </c>
      <c r="C12" s="113"/>
      <c r="D12" s="111">
        <f t="shared" si="2"/>
        <v>0</v>
      </c>
      <c r="E12" s="113"/>
      <c r="F12" s="111">
        <f t="shared" si="2"/>
        <v>0</v>
      </c>
      <c r="G12" s="114"/>
      <c r="H12" s="114"/>
      <c r="I12" s="114"/>
      <c r="J12" s="114"/>
      <c r="K12" s="115">
        <f t="shared" si="0"/>
        <v>0</v>
      </c>
      <c r="L12" s="115"/>
      <c r="M12" s="86"/>
      <c r="N12" s="114">
        <f t="shared" si="3"/>
        <v>0</v>
      </c>
      <c r="O12" s="114">
        <f t="shared" si="4"/>
        <v>4662675</v>
      </c>
      <c r="Q12" s="37">
        <v>1820</v>
      </c>
    </row>
    <row r="13" spans="1:17" ht="16.5" x14ac:dyDescent="0.3">
      <c r="A13" s="110">
        <f t="shared" si="5"/>
        <v>44109</v>
      </c>
      <c r="B13" s="111">
        <f t="shared" si="1"/>
        <v>0</v>
      </c>
      <c r="C13" s="112"/>
      <c r="D13" s="111">
        <f t="shared" si="2"/>
        <v>0</v>
      </c>
      <c r="E13" s="113"/>
      <c r="F13" s="111">
        <f t="shared" si="2"/>
        <v>0</v>
      </c>
      <c r="G13" s="114"/>
      <c r="H13" s="114"/>
      <c r="I13" s="114"/>
      <c r="J13" s="114"/>
      <c r="K13" s="115">
        <f t="shared" si="0"/>
        <v>0</v>
      </c>
      <c r="L13" s="115"/>
      <c r="M13" s="86"/>
      <c r="N13" s="114">
        <f t="shared" si="3"/>
        <v>0</v>
      </c>
      <c r="O13" s="114">
        <f t="shared" si="4"/>
        <v>4662675</v>
      </c>
    </row>
    <row r="14" spans="1:17" ht="16.5" x14ac:dyDescent="0.3">
      <c r="A14" s="110">
        <f t="shared" si="5"/>
        <v>44110</v>
      </c>
      <c r="B14" s="111">
        <f t="shared" si="1"/>
        <v>0</v>
      </c>
      <c r="C14" s="112"/>
      <c r="D14" s="111">
        <f t="shared" si="2"/>
        <v>0</v>
      </c>
      <c r="E14" s="113"/>
      <c r="F14" s="111">
        <f t="shared" si="2"/>
        <v>0</v>
      </c>
      <c r="G14" s="114"/>
      <c r="H14" s="114"/>
      <c r="I14" s="114"/>
      <c r="J14" s="114"/>
      <c r="K14" s="115">
        <f t="shared" si="0"/>
        <v>0</v>
      </c>
      <c r="L14" s="115"/>
      <c r="M14" s="86"/>
      <c r="N14" s="114">
        <f t="shared" si="3"/>
        <v>0</v>
      </c>
      <c r="O14" s="114">
        <f t="shared" si="4"/>
        <v>4662675</v>
      </c>
      <c r="Q14" s="37">
        <f>Q11-Q12</f>
        <v>2420</v>
      </c>
    </row>
    <row r="15" spans="1:17"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si="4"/>
        <v>4662675</v>
      </c>
    </row>
    <row r="16" spans="1:17" ht="16.5" x14ac:dyDescent="0.25">
      <c r="A16" s="110">
        <f t="shared" si="5"/>
        <v>44112</v>
      </c>
      <c r="B16" s="111">
        <f t="shared" si="1"/>
        <v>0</v>
      </c>
      <c r="C16" s="113"/>
      <c r="D16" s="111">
        <f t="shared" si="2"/>
        <v>0</v>
      </c>
      <c r="E16" s="113"/>
      <c r="F16" s="111">
        <f t="shared" si="2"/>
        <v>0</v>
      </c>
      <c r="G16" s="114"/>
      <c r="H16" s="114"/>
      <c r="I16" s="114"/>
      <c r="J16" s="114"/>
      <c r="K16" s="115">
        <f t="shared" si="0"/>
        <v>0</v>
      </c>
      <c r="L16" s="115"/>
      <c r="M16" s="86"/>
      <c r="N16" s="114">
        <f t="shared" si="3"/>
        <v>0</v>
      </c>
      <c r="O16" s="114">
        <f t="shared" si="4"/>
        <v>4662675</v>
      </c>
    </row>
    <row r="17" spans="1:17"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f t="shared" si="3"/>
        <v>0</v>
      </c>
      <c r="O17" s="114">
        <f t="shared" si="4"/>
        <v>4662675</v>
      </c>
      <c r="Q17" s="37">
        <f>1020*2</f>
        <v>2040</v>
      </c>
    </row>
    <row r="18" spans="1:17" ht="16.5" x14ac:dyDescent="0.25">
      <c r="A18" s="110">
        <f t="shared" si="5"/>
        <v>44114</v>
      </c>
      <c r="B18" s="117">
        <f t="shared" si="1"/>
        <v>0</v>
      </c>
      <c r="C18" s="86"/>
      <c r="D18" s="117">
        <f t="shared" si="2"/>
        <v>0</v>
      </c>
      <c r="E18" s="113"/>
      <c r="F18" s="111">
        <f t="shared" si="2"/>
        <v>0</v>
      </c>
      <c r="G18" s="118"/>
      <c r="H18" s="118"/>
      <c r="I18" s="118"/>
      <c r="J18" s="118"/>
      <c r="K18" s="134">
        <f t="shared" si="0"/>
        <v>0</v>
      </c>
      <c r="L18" s="134"/>
      <c r="M18" s="86"/>
      <c r="N18" s="114">
        <f t="shared" si="3"/>
        <v>0</v>
      </c>
      <c r="O18" s="114">
        <f t="shared" si="4"/>
        <v>4662675</v>
      </c>
      <c r="Q18" s="37">
        <v>1400</v>
      </c>
    </row>
    <row r="19" spans="1:17" ht="16.5" x14ac:dyDescent="0.25">
      <c r="A19" s="110">
        <f t="shared" si="5"/>
        <v>44115</v>
      </c>
      <c r="B19" s="117">
        <f t="shared" si="1"/>
        <v>0</v>
      </c>
      <c r="C19" s="86"/>
      <c r="D19" s="117">
        <f t="shared" si="2"/>
        <v>0</v>
      </c>
      <c r="E19" s="113"/>
      <c r="F19" s="111">
        <f t="shared" si="2"/>
        <v>0</v>
      </c>
      <c r="G19" s="118"/>
      <c r="H19" s="118"/>
      <c r="I19" s="118"/>
      <c r="J19" s="118"/>
      <c r="K19" s="134">
        <f>C19+E19+G19+H19+I19+J19</f>
        <v>0</v>
      </c>
      <c r="L19" s="134"/>
      <c r="M19" s="86"/>
      <c r="N19" s="114">
        <f t="shared" si="3"/>
        <v>0</v>
      </c>
      <c r="O19" s="114">
        <f>+O18+K19-M19</f>
        <v>4662675</v>
      </c>
      <c r="Q19" s="37">
        <v>800</v>
      </c>
    </row>
    <row r="20" spans="1:17" ht="16.5" x14ac:dyDescent="0.25">
      <c r="A20" s="110">
        <f t="shared" si="5"/>
        <v>44116</v>
      </c>
      <c r="B20" s="117">
        <f t="shared" si="1"/>
        <v>0</v>
      </c>
      <c r="C20" s="86"/>
      <c r="D20" s="117">
        <f t="shared" si="2"/>
        <v>0</v>
      </c>
      <c r="E20" s="113"/>
      <c r="F20" s="111">
        <f t="shared" si="2"/>
        <v>0</v>
      </c>
      <c r="G20" s="118"/>
      <c r="H20" s="118"/>
      <c r="I20" s="118"/>
      <c r="J20" s="118"/>
      <c r="K20" s="134">
        <f t="shared" si="0"/>
        <v>0</v>
      </c>
      <c r="L20" s="134"/>
      <c r="M20" s="86"/>
      <c r="N20" s="114">
        <f t="shared" si="3"/>
        <v>0</v>
      </c>
      <c r="O20" s="114">
        <f t="shared" si="4"/>
        <v>4662675</v>
      </c>
      <c r="Q20" s="37">
        <f>SUM(Q17:Q19)</f>
        <v>4240</v>
      </c>
    </row>
    <row r="21" spans="1:17" ht="16.5" x14ac:dyDescent="0.25">
      <c r="A21" s="110">
        <f t="shared" si="5"/>
        <v>44117</v>
      </c>
      <c r="B21" s="117">
        <f t="shared" si="1"/>
        <v>0</v>
      </c>
      <c r="C21" s="86"/>
      <c r="D21" s="117">
        <f t="shared" si="2"/>
        <v>0</v>
      </c>
      <c r="E21" s="113"/>
      <c r="F21" s="111">
        <f t="shared" si="2"/>
        <v>0</v>
      </c>
      <c r="G21" s="118"/>
      <c r="H21" s="118"/>
      <c r="I21" s="118"/>
      <c r="J21" s="118"/>
      <c r="K21" s="134">
        <f t="shared" si="0"/>
        <v>0</v>
      </c>
      <c r="L21" s="134"/>
      <c r="M21" s="86"/>
      <c r="N21" s="114">
        <f t="shared" si="3"/>
        <v>0</v>
      </c>
      <c r="O21" s="114">
        <f t="shared" si="4"/>
        <v>4662675</v>
      </c>
    </row>
    <row r="22" spans="1:17" ht="16.5" x14ac:dyDescent="0.25">
      <c r="A22" s="110">
        <f t="shared" si="5"/>
        <v>44118</v>
      </c>
      <c r="B22" s="117">
        <f t="shared" si="1"/>
        <v>0</v>
      </c>
      <c r="C22" s="86"/>
      <c r="D22" s="117">
        <f t="shared" si="2"/>
        <v>0</v>
      </c>
      <c r="E22" s="86"/>
      <c r="F22" s="111">
        <f t="shared" si="2"/>
        <v>0</v>
      </c>
      <c r="G22" s="118"/>
      <c r="H22" s="118"/>
      <c r="I22" s="118"/>
      <c r="J22" s="118"/>
      <c r="K22" s="134">
        <f t="shared" si="0"/>
        <v>0</v>
      </c>
      <c r="L22" s="134"/>
      <c r="M22" s="86"/>
      <c r="N22" s="114">
        <f t="shared" si="3"/>
        <v>0</v>
      </c>
      <c r="O22" s="114">
        <f t="shared" si="4"/>
        <v>4662675</v>
      </c>
    </row>
    <row r="23" spans="1:17" ht="16.5" x14ac:dyDescent="0.25">
      <c r="A23" s="110">
        <f t="shared" si="5"/>
        <v>44119</v>
      </c>
      <c r="B23" s="117">
        <f t="shared" si="1"/>
        <v>0</v>
      </c>
      <c r="C23" s="86"/>
      <c r="D23" s="117">
        <f t="shared" si="2"/>
        <v>0</v>
      </c>
      <c r="E23" s="113"/>
      <c r="F23" s="117">
        <f t="shared" si="2"/>
        <v>0</v>
      </c>
      <c r="G23" s="118"/>
      <c r="H23" s="118"/>
      <c r="I23" s="118"/>
      <c r="J23" s="118"/>
      <c r="K23" s="134">
        <f t="shared" si="0"/>
        <v>0</v>
      </c>
      <c r="L23" s="134"/>
      <c r="M23" s="86"/>
      <c r="N23" s="114">
        <f t="shared" si="3"/>
        <v>0</v>
      </c>
      <c r="O23" s="114">
        <f t="shared" si="4"/>
        <v>4662675</v>
      </c>
    </row>
    <row r="24" spans="1:17" ht="16.5" x14ac:dyDescent="0.25">
      <c r="A24" s="110">
        <f t="shared" si="5"/>
        <v>44120</v>
      </c>
      <c r="B24" s="117">
        <f t="shared" si="1"/>
        <v>0</v>
      </c>
      <c r="C24" s="86"/>
      <c r="D24" s="117">
        <f t="shared" si="2"/>
        <v>0</v>
      </c>
      <c r="E24" s="113"/>
      <c r="F24" s="117">
        <f t="shared" si="2"/>
        <v>0</v>
      </c>
      <c r="G24" s="118"/>
      <c r="H24" s="118"/>
      <c r="I24" s="118"/>
      <c r="J24" s="118"/>
      <c r="K24" s="134">
        <f t="shared" si="0"/>
        <v>0</v>
      </c>
      <c r="L24" s="134"/>
      <c r="M24" s="113"/>
      <c r="N24" s="114">
        <f t="shared" si="3"/>
        <v>0</v>
      </c>
      <c r="O24" s="114">
        <f t="shared" si="4"/>
        <v>4662675</v>
      </c>
    </row>
    <row r="25" spans="1:17" ht="16.5" x14ac:dyDescent="0.25">
      <c r="A25" s="110">
        <f t="shared" si="5"/>
        <v>44121</v>
      </c>
      <c r="B25" s="117">
        <f t="shared" si="1"/>
        <v>0</v>
      </c>
      <c r="C25" s="86"/>
      <c r="D25" s="117">
        <f t="shared" si="2"/>
        <v>0</v>
      </c>
      <c r="E25" s="113"/>
      <c r="F25" s="117">
        <f t="shared" si="2"/>
        <v>0</v>
      </c>
      <c r="G25" s="118"/>
      <c r="H25" s="118"/>
      <c r="I25" s="118"/>
      <c r="J25" s="118"/>
      <c r="K25" s="134">
        <f t="shared" si="0"/>
        <v>0</v>
      </c>
      <c r="L25" s="134"/>
      <c r="M25" s="113"/>
      <c r="N25" s="114">
        <f t="shared" si="3"/>
        <v>0</v>
      </c>
      <c r="O25" s="114">
        <f t="shared" si="4"/>
        <v>4662675</v>
      </c>
    </row>
    <row r="26" spans="1:17" ht="16.5" x14ac:dyDescent="0.25">
      <c r="A26" s="110">
        <f t="shared" si="5"/>
        <v>44122</v>
      </c>
      <c r="B26" s="117">
        <f t="shared" si="1"/>
        <v>0</v>
      </c>
      <c r="C26" s="86"/>
      <c r="D26" s="117">
        <f t="shared" ref="D26:F39" si="6">+E26/D$7</f>
        <v>0</v>
      </c>
      <c r="E26" s="113"/>
      <c r="F26" s="117">
        <f t="shared" si="6"/>
        <v>0</v>
      </c>
      <c r="G26" s="118"/>
      <c r="H26" s="118"/>
      <c r="I26" s="118"/>
      <c r="J26" s="118"/>
      <c r="K26" s="134">
        <f t="shared" si="0"/>
        <v>0</v>
      </c>
      <c r="L26" s="134"/>
      <c r="M26" s="113"/>
      <c r="N26" s="114">
        <f t="shared" si="3"/>
        <v>0</v>
      </c>
      <c r="O26" s="114">
        <f t="shared" si="4"/>
        <v>4662675</v>
      </c>
    </row>
    <row r="27" spans="1:17" ht="16.5" x14ac:dyDescent="0.25">
      <c r="A27" s="110">
        <f t="shared" si="5"/>
        <v>44123</v>
      </c>
      <c r="B27" s="117">
        <f t="shared" si="1"/>
        <v>0</v>
      </c>
      <c r="C27" s="86"/>
      <c r="D27" s="117">
        <f t="shared" si="6"/>
        <v>0</v>
      </c>
      <c r="E27" s="113"/>
      <c r="F27" s="117">
        <f t="shared" si="6"/>
        <v>0</v>
      </c>
      <c r="G27" s="118"/>
      <c r="H27" s="118"/>
      <c r="I27" s="118"/>
      <c r="J27" s="118"/>
      <c r="K27" s="134">
        <f t="shared" si="0"/>
        <v>0</v>
      </c>
      <c r="L27" s="134"/>
      <c r="M27" s="113"/>
      <c r="N27" s="114">
        <f t="shared" si="3"/>
        <v>0</v>
      </c>
      <c r="O27" s="114">
        <f t="shared" si="4"/>
        <v>4662675</v>
      </c>
    </row>
    <row r="28" spans="1:17" ht="16.5" x14ac:dyDescent="0.25">
      <c r="A28" s="110">
        <f t="shared" si="5"/>
        <v>44124</v>
      </c>
      <c r="B28" s="117">
        <f t="shared" si="1"/>
        <v>0</v>
      </c>
      <c r="C28" s="86"/>
      <c r="D28" s="117">
        <f t="shared" si="6"/>
        <v>0</v>
      </c>
      <c r="E28" s="113"/>
      <c r="F28" s="117">
        <f t="shared" si="6"/>
        <v>0</v>
      </c>
      <c r="G28" s="118"/>
      <c r="H28" s="118"/>
      <c r="I28" s="118"/>
      <c r="J28" s="118"/>
      <c r="K28" s="134">
        <f t="shared" si="0"/>
        <v>0</v>
      </c>
      <c r="L28" s="134"/>
      <c r="M28" s="113"/>
      <c r="N28" s="114">
        <f t="shared" si="3"/>
        <v>0</v>
      </c>
      <c r="O28" s="114">
        <f t="shared" si="4"/>
        <v>4662675</v>
      </c>
    </row>
    <row r="29" spans="1:17" ht="16.5" x14ac:dyDescent="0.25">
      <c r="A29" s="110">
        <f t="shared" si="5"/>
        <v>44125</v>
      </c>
      <c r="B29" s="117">
        <f t="shared" si="1"/>
        <v>0</v>
      </c>
      <c r="C29" s="86"/>
      <c r="D29" s="117">
        <f t="shared" si="6"/>
        <v>0</v>
      </c>
      <c r="E29" s="113"/>
      <c r="F29" s="117">
        <f t="shared" si="6"/>
        <v>0</v>
      </c>
      <c r="G29" s="118"/>
      <c r="H29" s="118"/>
      <c r="I29" s="118"/>
      <c r="J29" s="118"/>
      <c r="K29" s="134">
        <f t="shared" si="0"/>
        <v>0</v>
      </c>
      <c r="L29" s="134"/>
      <c r="M29" s="113"/>
      <c r="N29" s="114">
        <f t="shared" si="3"/>
        <v>0</v>
      </c>
      <c r="O29" s="114">
        <f t="shared" si="4"/>
        <v>4662675</v>
      </c>
    </row>
    <row r="30" spans="1:17" ht="16.5" x14ac:dyDescent="0.25">
      <c r="A30" s="110">
        <f t="shared" si="5"/>
        <v>44126</v>
      </c>
      <c r="B30" s="117">
        <f t="shared" si="1"/>
        <v>0</v>
      </c>
      <c r="C30" s="86"/>
      <c r="D30" s="117">
        <f t="shared" si="6"/>
        <v>0</v>
      </c>
      <c r="E30" s="113"/>
      <c r="F30" s="117">
        <f t="shared" si="6"/>
        <v>0</v>
      </c>
      <c r="G30" s="118"/>
      <c r="H30" s="118"/>
      <c r="I30" s="118"/>
      <c r="J30" s="118"/>
      <c r="K30" s="134">
        <f t="shared" si="0"/>
        <v>0</v>
      </c>
      <c r="L30" s="134"/>
      <c r="M30" s="113"/>
      <c r="N30" s="114">
        <f t="shared" si="3"/>
        <v>0</v>
      </c>
      <c r="O30" s="114">
        <f t="shared" si="4"/>
        <v>4662675</v>
      </c>
    </row>
    <row r="31" spans="1:17" s="1555" customFormat="1" ht="16.5" x14ac:dyDescent="0.25">
      <c r="A31" s="1547">
        <f t="shared" si="5"/>
        <v>44127</v>
      </c>
      <c r="B31" s="1549">
        <f t="shared" si="1"/>
        <v>0</v>
      </c>
      <c r="C31" s="1532"/>
      <c r="D31" s="1549">
        <f t="shared" si="6"/>
        <v>0</v>
      </c>
      <c r="E31" s="1532"/>
      <c r="F31" s="1549">
        <f t="shared" si="6"/>
        <v>0</v>
      </c>
      <c r="G31" s="1548"/>
      <c r="H31" s="1548"/>
      <c r="I31" s="1548"/>
      <c r="J31" s="1548"/>
      <c r="K31" s="1550">
        <f t="shared" si="0"/>
        <v>0</v>
      </c>
      <c r="L31" s="1550"/>
      <c r="M31" s="1532"/>
      <c r="N31" s="1548">
        <f t="shared" si="3"/>
        <v>0</v>
      </c>
      <c r="O31" s="1548">
        <f t="shared" si="4"/>
        <v>4662675</v>
      </c>
    </row>
    <row r="32" spans="1:17" ht="16.5" x14ac:dyDescent="0.25">
      <c r="A32" s="110">
        <f t="shared" si="5"/>
        <v>44128</v>
      </c>
      <c r="B32" s="111">
        <f t="shared" si="1"/>
        <v>0</v>
      </c>
      <c r="C32" s="113"/>
      <c r="D32" s="111">
        <f t="shared" si="6"/>
        <v>0</v>
      </c>
      <c r="E32" s="113"/>
      <c r="F32" s="111">
        <f t="shared" si="6"/>
        <v>0</v>
      </c>
      <c r="G32" s="114"/>
      <c r="H32" s="114"/>
      <c r="I32" s="114"/>
      <c r="J32" s="114"/>
      <c r="K32" s="115">
        <f t="shared" si="0"/>
        <v>0</v>
      </c>
      <c r="L32" s="115"/>
      <c r="M32" s="113"/>
      <c r="N32" s="114">
        <f t="shared" si="3"/>
        <v>0</v>
      </c>
      <c r="O32" s="114">
        <f t="shared" si="4"/>
        <v>4662675</v>
      </c>
    </row>
    <row r="33" spans="1:15" ht="16.5" x14ac:dyDescent="0.25">
      <c r="A33" s="110">
        <f t="shared" si="5"/>
        <v>44129</v>
      </c>
      <c r="B33" s="111">
        <f t="shared" si="1"/>
        <v>0</v>
      </c>
      <c r="C33" s="113"/>
      <c r="D33" s="111">
        <f>+E33/D$7</f>
        <v>0</v>
      </c>
      <c r="E33" s="113"/>
      <c r="F33" s="111">
        <f t="shared" si="6"/>
        <v>0</v>
      </c>
      <c r="G33" s="114"/>
      <c r="H33" s="114"/>
      <c r="I33" s="114"/>
      <c r="J33" s="114"/>
      <c r="K33" s="115">
        <f t="shared" si="0"/>
        <v>0</v>
      </c>
      <c r="L33" s="115"/>
      <c r="M33" s="113"/>
      <c r="N33" s="114">
        <f t="shared" si="3"/>
        <v>0</v>
      </c>
      <c r="O33" s="114">
        <f t="shared" si="4"/>
        <v>4662675</v>
      </c>
    </row>
    <row r="34" spans="1:15" ht="16.5" x14ac:dyDescent="0.25">
      <c r="A34" s="110">
        <f t="shared" si="5"/>
        <v>44130</v>
      </c>
      <c r="B34" s="111">
        <f t="shared" si="1"/>
        <v>0</v>
      </c>
      <c r="C34" s="113"/>
      <c r="D34" s="111">
        <f t="shared" si="6"/>
        <v>0</v>
      </c>
      <c r="E34" s="113"/>
      <c r="F34" s="111">
        <f t="shared" si="6"/>
        <v>0</v>
      </c>
      <c r="G34" s="114"/>
      <c r="H34" s="114"/>
      <c r="I34" s="114"/>
      <c r="J34" s="114"/>
      <c r="K34" s="115">
        <f t="shared" si="0"/>
        <v>0</v>
      </c>
      <c r="L34" s="115"/>
      <c r="M34" s="113"/>
      <c r="N34" s="114">
        <f t="shared" si="3"/>
        <v>0</v>
      </c>
      <c r="O34" s="114">
        <f t="shared" si="4"/>
        <v>4662675</v>
      </c>
    </row>
    <row r="35" spans="1:15" ht="16.5" x14ac:dyDescent="0.25">
      <c r="A35" s="110">
        <f t="shared" si="5"/>
        <v>44131</v>
      </c>
      <c r="B35" s="111">
        <f t="shared" si="1"/>
        <v>0</v>
      </c>
      <c r="C35" s="113"/>
      <c r="D35" s="111">
        <f t="shared" si="6"/>
        <v>0</v>
      </c>
      <c r="E35" s="113"/>
      <c r="F35" s="111">
        <f t="shared" si="6"/>
        <v>0</v>
      </c>
      <c r="G35" s="114"/>
      <c r="H35" s="114"/>
      <c r="I35" s="114"/>
      <c r="J35" s="114"/>
      <c r="K35" s="115">
        <f t="shared" si="0"/>
        <v>0</v>
      </c>
      <c r="L35" s="115"/>
      <c r="M35" s="113"/>
      <c r="N35" s="114">
        <f t="shared" si="3"/>
        <v>0</v>
      </c>
      <c r="O35" s="114">
        <f t="shared" si="4"/>
        <v>4662675</v>
      </c>
    </row>
    <row r="36" spans="1:15" ht="16.5" x14ac:dyDescent="0.25">
      <c r="A36" s="110">
        <f t="shared" si="5"/>
        <v>44132</v>
      </c>
      <c r="B36" s="111">
        <f t="shared" si="1"/>
        <v>0</v>
      </c>
      <c r="C36" s="113"/>
      <c r="D36" s="111">
        <f t="shared" si="6"/>
        <v>0</v>
      </c>
      <c r="E36" s="113"/>
      <c r="F36" s="111">
        <f t="shared" si="6"/>
        <v>0</v>
      </c>
      <c r="G36" s="114"/>
      <c r="H36" s="114"/>
      <c r="I36" s="114"/>
      <c r="J36" s="114"/>
      <c r="K36" s="115">
        <f t="shared" si="0"/>
        <v>0</v>
      </c>
      <c r="L36" s="115"/>
      <c r="M36" s="113"/>
      <c r="N36" s="114">
        <f t="shared" si="3"/>
        <v>0</v>
      </c>
      <c r="O36" s="114">
        <f t="shared" si="4"/>
        <v>4662675</v>
      </c>
    </row>
    <row r="37" spans="1:15" ht="16.5" x14ac:dyDescent="0.25">
      <c r="A37" s="110">
        <f t="shared" si="5"/>
        <v>44133</v>
      </c>
      <c r="B37" s="111">
        <f t="shared" si="1"/>
        <v>0</v>
      </c>
      <c r="C37" s="113"/>
      <c r="D37" s="111">
        <f t="shared" si="6"/>
        <v>0</v>
      </c>
      <c r="E37" s="113"/>
      <c r="F37" s="111">
        <f t="shared" si="6"/>
        <v>0</v>
      </c>
      <c r="G37" s="114"/>
      <c r="H37" s="114"/>
      <c r="I37" s="114"/>
      <c r="J37" s="114"/>
      <c r="K37" s="115">
        <f t="shared" si="0"/>
        <v>0</v>
      </c>
      <c r="L37" s="115"/>
      <c r="M37" s="113"/>
      <c r="N37" s="114">
        <f t="shared" si="3"/>
        <v>0</v>
      </c>
      <c r="O37" s="114">
        <f t="shared" si="4"/>
        <v>4662675</v>
      </c>
    </row>
    <row r="38" spans="1:15" ht="16.5" x14ac:dyDescent="0.25">
      <c r="A38" s="110">
        <f t="shared" si="5"/>
        <v>44134</v>
      </c>
      <c r="B38" s="111">
        <f t="shared" si="1"/>
        <v>0</v>
      </c>
      <c r="C38" s="113"/>
      <c r="D38" s="111">
        <f t="shared" si="6"/>
        <v>0</v>
      </c>
      <c r="E38" s="113"/>
      <c r="F38" s="111">
        <f t="shared" si="6"/>
        <v>0</v>
      </c>
      <c r="G38" s="114"/>
      <c r="H38" s="114"/>
      <c r="I38" s="114"/>
      <c r="J38" s="114"/>
      <c r="K38" s="115">
        <f t="shared" si="0"/>
        <v>0</v>
      </c>
      <c r="L38" s="115"/>
      <c r="M38" s="113"/>
      <c r="N38" s="114">
        <f t="shared" si="3"/>
        <v>0</v>
      </c>
      <c r="O38" s="114">
        <f>+O37+K38-M38</f>
        <v>4662675</v>
      </c>
    </row>
    <row r="39" spans="1:15" ht="16.5" x14ac:dyDescent="0.25">
      <c r="A39" s="110">
        <f t="shared" si="5"/>
        <v>44135</v>
      </c>
      <c r="B39" s="111">
        <f t="shared" si="1"/>
        <v>0</v>
      </c>
      <c r="C39" s="113"/>
      <c r="D39" s="111">
        <f t="shared" si="6"/>
        <v>0</v>
      </c>
      <c r="E39" s="113"/>
      <c r="F39" s="111">
        <f t="shared" si="6"/>
        <v>0</v>
      </c>
      <c r="G39" s="114"/>
      <c r="H39" s="114"/>
      <c r="I39" s="114"/>
      <c r="J39" s="114"/>
      <c r="K39" s="115">
        <f t="shared" si="0"/>
        <v>0</v>
      </c>
      <c r="L39" s="115"/>
      <c r="M39" s="113"/>
      <c r="N39" s="114">
        <f t="shared" si="3"/>
        <v>0</v>
      </c>
      <c r="O39" s="120">
        <f>+O38+K39-M39</f>
        <v>4662675</v>
      </c>
    </row>
    <row r="40" spans="1:15" ht="16.5" x14ac:dyDescent="0.2">
      <c r="A40" s="121" t="s">
        <v>18</v>
      </c>
      <c r="B40" s="137">
        <f>SUM(B9:B39)</f>
        <v>0</v>
      </c>
      <c r="C40" s="115">
        <f>SUM(C9:C39)</f>
        <v>0</v>
      </c>
      <c r="D40" s="122">
        <f t="shared" ref="D40:M40" si="7">SUM(D9:D39)</f>
        <v>0</v>
      </c>
      <c r="E40" s="115">
        <f>SUM(E9:E39)</f>
        <v>0</v>
      </c>
      <c r="F40" s="115">
        <f t="shared" si="7"/>
        <v>0</v>
      </c>
      <c r="G40" s="115">
        <f t="shared" si="7"/>
        <v>0</v>
      </c>
      <c r="H40" s="115">
        <f t="shared" si="7"/>
        <v>0</v>
      </c>
      <c r="I40" s="115">
        <f t="shared" si="7"/>
        <v>0</v>
      </c>
      <c r="J40" s="115">
        <f t="shared" si="7"/>
        <v>0</v>
      </c>
      <c r="K40" s="115">
        <f t="shared" si="7"/>
        <v>0</v>
      </c>
      <c r="L40" s="115"/>
      <c r="M40" s="115">
        <f t="shared" si="7"/>
        <v>0</v>
      </c>
      <c r="N40" s="120">
        <f>SUM(N8:N39)</f>
        <v>4662675</v>
      </c>
      <c r="O40" s="123"/>
    </row>
  </sheetData>
  <mergeCells count="8">
    <mergeCell ref="O6:O7"/>
    <mergeCell ref="H6:H7"/>
    <mergeCell ref="I6:I7"/>
    <mergeCell ref="J6:J7"/>
    <mergeCell ref="K6:K7"/>
    <mergeCell ref="M6:M7"/>
    <mergeCell ref="N6:N7"/>
    <mergeCell ref="L6:L7"/>
  </mergeCells>
  <pageMargins left="0.39370078740157483" right="0.39370078740157483" top="0.74803149606299213" bottom="0.39370078740157483" header="0.31496062992125984" footer="0.31496062992125984"/>
  <pageSetup paperSize="9" scale="80" orientation="landscape"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theme="4" tint="-0.249977111117893"/>
    <pageSetUpPr fitToPage="1"/>
  </sheetPr>
  <dimension ref="A1:O47"/>
  <sheetViews>
    <sheetView topLeftCell="A13" zoomScaleNormal="100" workbookViewId="0">
      <selection activeCell="J18" sqref="J18"/>
    </sheetView>
  </sheetViews>
  <sheetFormatPr baseColWidth="10" defaultRowHeight="12.75" x14ac:dyDescent="0.2"/>
  <cols>
    <col min="1" max="2" width="11.42578125" style="39"/>
    <col min="3" max="3" width="13.42578125" style="39" customWidth="1"/>
    <col min="4" max="4" width="16" style="39" customWidth="1"/>
    <col min="5" max="5" width="13.85546875" style="39" bestFit="1" customWidth="1"/>
    <col min="6" max="10" width="11.42578125" style="39"/>
    <col min="11" max="11" width="13.85546875" style="39" bestFit="1" customWidth="1"/>
    <col min="12" max="12" width="15.5703125" style="39" customWidth="1"/>
    <col min="13" max="13" width="13.7109375" style="39" bestFit="1" customWidth="1"/>
    <col min="14" max="14" width="16.5703125" style="39" customWidth="1"/>
    <col min="15" max="15" width="15.7109375" style="39" bestFit="1" customWidth="1"/>
    <col min="16" max="16384" width="11.42578125" style="39"/>
  </cols>
  <sheetData>
    <row r="1" spans="1:15" ht="13.5" x14ac:dyDescent="0.25">
      <c r="A1" s="8" t="s">
        <v>118</v>
      </c>
      <c r="B1" s="8" t="s">
        <v>491</v>
      </c>
    </row>
    <row r="2" spans="1:15" ht="13.5" x14ac:dyDescent="0.25">
      <c r="C2" s="14"/>
    </row>
    <row r="3" spans="1:15" ht="18.75" x14ac:dyDescent="0.3">
      <c r="A3" s="1" t="s">
        <v>19</v>
      </c>
      <c r="B3" s="142">
        <v>42795</v>
      </c>
      <c r="C3" s="8"/>
      <c r="M3" s="37"/>
    </row>
    <row r="4" spans="1:15" ht="13.5" x14ac:dyDescent="0.25">
      <c r="A4" s="8"/>
      <c r="B4" s="8"/>
      <c r="C4" s="8"/>
    </row>
    <row r="5" spans="1:15" ht="19.5" customHeight="1" x14ac:dyDescent="0.25">
      <c r="A5" s="8"/>
      <c r="B5" s="8"/>
      <c r="C5" s="8"/>
      <c r="O5" s="388" t="s">
        <v>190</v>
      </c>
    </row>
    <row r="6" spans="1:15" ht="13.5" x14ac:dyDescent="0.25">
      <c r="A6" s="8"/>
      <c r="B6" s="8"/>
      <c r="C6" s="8"/>
      <c r="N6" s="39">
        <v>2987105</v>
      </c>
    </row>
    <row r="7" spans="1:15" ht="16.5" x14ac:dyDescent="0.2">
      <c r="A7" s="100" t="s">
        <v>3</v>
      </c>
      <c r="B7" s="101" t="s">
        <v>15</v>
      </c>
      <c r="C7" s="102"/>
      <c r="D7" s="101" t="s">
        <v>16</v>
      </c>
      <c r="E7" s="102"/>
      <c r="F7" s="101" t="s">
        <v>17</v>
      </c>
      <c r="G7" s="102"/>
      <c r="H7" s="2910" t="s">
        <v>52</v>
      </c>
      <c r="I7" s="2910" t="s">
        <v>53</v>
      </c>
      <c r="J7" s="2910" t="s">
        <v>119</v>
      </c>
      <c r="K7" s="2910" t="s">
        <v>18</v>
      </c>
      <c r="L7" s="3065" t="s">
        <v>231</v>
      </c>
      <c r="M7" s="3065" t="s">
        <v>223</v>
      </c>
      <c r="N7" s="2910" t="s">
        <v>55</v>
      </c>
      <c r="O7" s="2910" t="s">
        <v>120</v>
      </c>
    </row>
    <row r="8" spans="1:15" ht="14.25" customHeight="1" x14ac:dyDescent="0.2">
      <c r="A8" s="103"/>
      <c r="B8" s="915">
        <v>630</v>
      </c>
      <c r="C8" s="916"/>
      <c r="D8" s="915">
        <v>575</v>
      </c>
      <c r="E8" s="916"/>
      <c r="F8" s="915">
        <v>350</v>
      </c>
      <c r="G8" s="916"/>
      <c r="H8" s="3059"/>
      <c r="I8" s="3059"/>
      <c r="J8" s="3059"/>
      <c r="K8" s="3059"/>
      <c r="L8" s="3071"/>
      <c r="M8" s="3066"/>
      <c r="N8" s="2911"/>
      <c r="O8" s="2911"/>
    </row>
    <row r="9" spans="1:15" ht="16.5" x14ac:dyDescent="0.2">
      <c r="A9" s="105"/>
      <c r="B9" s="106" t="s">
        <v>56</v>
      </c>
      <c r="C9" s="106"/>
      <c r="D9" s="107" t="s">
        <v>56</v>
      </c>
      <c r="E9" s="106"/>
      <c r="F9" s="106" t="s">
        <v>56</v>
      </c>
      <c r="G9" s="106" t="s">
        <v>37</v>
      </c>
      <c r="H9" s="2911"/>
      <c r="I9" s="2911"/>
      <c r="J9" s="2911"/>
      <c r="K9" s="2911"/>
      <c r="L9" s="3066"/>
      <c r="M9" s="134"/>
      <c r="N9" s="276">
        <v>-12719</v>
      </c>
      <c r="O9" s="109">
        <f>N9</f>
        <v>-12719</v>
      </c>
    </row>
    <row r="10" spans="1:15" ht="16.5" x14ac:dyDescent="0.25">
      <c r="A10" s="110">
        <f>+KONGFU!A9</f>
        <v>44105</v>
      </c>
      <c r="B10" s="114">
        <f>+C10/B$8</f>
        <v>0</v>
      </c>
      <c r="C10" s="86"/>
      <c r="D10" s="114">
        <f t="shared" ref="D10:D40" si="0">+E10/520</f>
        <v>0</v>
      </c>
      <c r="E10" s="86"/>
      <c r="F10" s="111">
        <f>+G10/F$8</f>
        <v>0</v>
      </c>
      <c r="G10" s="114"/>
      <c r="H10" s="114"/>
      <c r="I10" s="114"/>
      <c r="J10" s="114"/>
      <c r="K10" s="115">
        <f>C10+E10+G10+H10+I10+J10</f>
        <v>0</v>
      </c>
      <c r="L10" s="115"/>
      <c r="M10" s="113"/>
      <c r="N10" s="114">
        <f>K10-M10</f>
        <v>0</v>
      </c>
      <c r="O10" s="114">
        <f>+O9+K10-M10</f>
        <v>-12719</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115"/>
      <c r="M11" s="86"/>
      <c r="N11" s="114">
        <f t="shared" ref="N11:N38" si="4">K11-M11</f>
        <v>0</v>
      </c>
      <c r="O11" s="114">
        <f t="shared" ref="O11:O38" si="5">+O10+K11-M11</f>
        <v>-12719</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115"/>
      <c r="M12" s="86"/>
      <c r="N12" s="114">
        <f>K12-M12</f>
        <v>0</v>
      </c>
      <c r="O12" s="114">
        <f>+O11+K12-M12</f>
        <v>-12719</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115"/>
      <c r="M13" s="86"/>
      <c r="N13" s="114">
        <f>K13-M13</f>
        <v>0</v>
      </c>
      <c r="O13" s="114">
        <f>+O12+K13-M13</f>
        <v>-12719</v>
      </c>
    </row>
    <row r="14" spans="1:15" ht="16.5" x14ac:dyDescent="0.25">
      <c r="A14" s="110">
        <f t="shared" si="6"/>
        <v>44109</v>
      </c>
      <c r="B14" s="114">
        <f t="shared" si="1"/>
        <v>0</v>
      </c>
      <c r="C14" s="86"/>
      <c r="D14" s="114">
        <f t="shared" si="0"/>
        <v>0</v>
      </c>
      <c r="E14" s="86"/>
      <c r="F14" s="111">
        <f t="shared" si="2"/>
        <v>0</v>
      </c>
      <c r="G14" s="114"/>
      <c r="H14" s="114"/>
      <c r="I14" s="114"/>
      <c r="J14" s="114"/>
      <c r="K14" s="115">
        <f t="shared" si="3"/>
        <v>0</v>
      </c>
      <c r="L14" s="115"/>
      <c r="M14" s="86"/>
      <c r="N14" s="114">
        <f>K14-M14</f>
        <v>0</v>
      </c>
      <c r="O14" s="114">
        <f>+O13+K14-M14</f>
        <v>-12719</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115"/>
      <c r="M15" s="86"/>
      <c r="N15" s="114">
        <f>K15-M15</f>
        <v>0</v>
      </c>
      <c r="O15" s="114">
        <f>+O14+K15-M15</f>
        <v>-12719</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115"/>
      <c r="M16" s="86"/>
      <c r="N16" s="114">
        <f t="shared" si="4"/>
        <v>0</v>
      </c>
      <c r="O16" s="114">
        <f t="shared" si="5"/>
        <v>-12719</v>
      </c>
    </row>
    <row r="17" spans="1:15" ht="16.5" x14ac:dyDescent="0.25">
      <c r="A17" s="110">
        <f t="shared" si="6"/>
        <v>44112</v>
      </c>
      <c r="B17" s="114">
        <f t="shared" si="1"/>
        <v>0</v>
      </c>
      <c r="C17" s="86"/>
      <c r="D17" s="114">
        <f t="shared" si="0"/>
        <v>0</v>
      </c>
      <c r="E17" s="86"/>
      <c r="F17" s="111">
        <f t="shared" si="2"/>
        <v>0</v>
      </c>
      <c r="G17" s="114"/>
      <c r="H17" s="114"/>
      <c r="I17" s="114"/>
      <c r="J17" s="114"/>
      <c r="K17" s="115">
        <f t="shared" si="3"/>
        <v>0</v>
      </c>
      <c r="L17" s="115"/>
      <c r="M17" s="86"/>
      <c r="N17" s="114">
        <f t="shared" si="4"/>
        <v>0</v>
      </c>
      <c r="O17" s="114">
        <f t="shared" si="5"/>
        <v>-12719</v>
      </c>
    </row>
    <row r="18" spans="1:15" ht="16.5" x14ac:dyDescent="0.25">
      <c r="A18" s="110">
        <f t="shared" si="6"/>
        <v>44113</v>
      </c>
      <c r="B18" s="114">
        <f t="shared" si="1"/>
        <v>0</v>
      </c>
      <c r="C18" s="86"/>
      <c r="D18" s="114">
        <f t="shared" si="0"/>
        <v>0</v>
      </c>
      <c r="E18" s="86"/>
      <c r="F18" s="111">
        <f t="shared" si="2"/>
        <v>0</v>
      </c>
      <c r="G18" s="118"/>
      <c r="H18" s="118"/>
      <c r="I18" s="118"/>
      <c r="J18" s="118"/>
      <c r="K18" s="115">
        <f t="shared" si="3"/>
        <v>0</v>
      </c>
      <c r="L18" s="115"/>
      <c r="M18" s="86"/>
      <c r="N18" s="114">
        <f t="shared" si="4"/>
        <v>0</v>
      </c>
      <c r="O18" s="118">
        <f t="shared" si="5"/>
        <v>-12719</v>
      </c>
    </row>
    <row r="19" spans="1:15" ht="16.5" x14ac:dyDescent="0.25">
      <c r="A19" s="110">
        <f t="shared" si="6"/>
        <v>44114</v>
      </c>
      <c r="B19" s="114">
        <f t="shared" si="1"/>
        <v>0</v>
      </c>
      <c r="C19" s="86"/>
      <c r="D19" s="114">
        <f t="shared" si="0"/>
        <v>0</v>
      </c>
      <c r="E19" s="86"/>
      <c r="F19" s="111">
        <f t="shared" si="2"/>
        <v>0</v>
      </c>
      <c r="G19" s="118"/>
      <c r="H19" s="118"/>
      <c r="I19" s="118"/>
      <c r="J19" s="118"/>
      <c r="K19" s="115">
        <f>C19+E19+G19+H19+I19+J19</f>
        <v>0</v>
      </c>
      <c r="L19" s="115"/>
      <c r="M19" s="86"/>
      <c r="N19" s="114">
        <f t="shared" si="4"/>
        <v>0</v>
      </c>
      <c r="O19" s="118">
        <f t="shared" si="5"/>
        <v>-12719</v>
      </c>
    </row>
    <row r="20" spans="1:15" ht="16.5" x14ac:dyDescent="0.25">
      <c r="A20" s="110">
        <f t="shared" si="6"/>
        <v>44115</v>
      </c>
      <c r="B20" s="114">
        <f t="shared" si="1"/>
        <v>0</v>
      </c>
      <c r="C20" s="86"/>
      <c r="D20" s="114">
        <f>+E20/520</f>
        <v>0</v>
      </c>
      <c r="E20" s="86"/>
      <c r="F20" s="111">
        <f t="shared" si="2"/>
        <v>0</v>
      </c>
      <c r="G20" s="118"/>
      <c r="H20" s="118"/>
      <c r="I20" s="118"/>
      <c r="J20" s="118"/>
      <c r="K20" s="115">
        <f t="shared" si="3"/>
        <v>0</v>
      </c>
      <c r="L20" s="115"/>
      <c r="M20" s="86"/>
      <c r="N20" s="114">
        <f t="shared" si="4"/>
        <v>0</v>
      </c>
      <c r="O20" s="118">
        <f t="shared" si="5"/>
        <v>-12719</v>
      </c>
    </row>
    <row r="21" spans="1:15" ht="16.5" x14ac:dyDescent="0.25">
      <c r="A21" s="110">
        <f t="shared" si="6"/>
        <v>44116</v>
      </c>
      <c r="B21" s="114">
        <f t="shared" si="1"/>
        <v>0</v>
      </c>
      <c r="C21" s="86"/>
      <c r="D21" s="111">
        <f t="shared" si="0"/>
        <v>0</v>
      </c>
      <c r="E21" s="86"/>
      <c r="F21" s="111">
        <f t="shared" si="2"/>
        <v>0</v>
      </c>
      <c r="G21" s="118"/>
      <c r="H21" s="118"/>
      <c r="I21" s="118"/>
      <c r="J21" s="118"/>
      <c r="K21" s="115">
        <f t="shared" si="3"/>
        <v>0</v>
      </c>
      <c r="L21" s="115"/>
      <c r="M21" s="86"/>
      <c r="N21" s="114">
        <f t="shared" si="4"/>
        <v>0</v>
      </c>
      <c r="O21" s="118">
        <f>+O20+K21-M21</f>
        <v>-12719</v>
      </c>
    </row>
    <row r="22" spans="1:15" ht="16.5" x14ac:dyDescent="0.25">
      <c r="A22" s="110">
        <f t="shared" si="6"/>
        <v>44117</v>
      </c>
      <c r="B22" s="114">
        <f t="shared" si="1"/>
        <v>0</v>
      </c>
      <c r="C22" s="86"/>
      <c r="D22" s="114">
        <f t="shared" si="0"/>
        <v>0</v>
      </c>
      <c r="E22" s="86"/>
      <c r="F22" s="111">
        <f t="shared" si="2"/>
        <v>0</v>
      </c>
      <c r="G22" s="118"/>
      <c r="H22" s="118"/>
      <c r="I22" s="118"/>
      <c r="J22" s="118"/>
      <c r="K22" s="115">
        <f t="shared" si="3"/>
        <v>0</v>
      </c>
      <c r="L22" s="115"/>
      <c r="M22" s="86"/>
      <c r="N22" s="114">
        <f t="shared" si="4"/>
        <v>0</v>
      </c>
      <c r="O22" s="118">
        <f t="shared" si="5"/>
        <v>-12719</v>
      </c>
    </row>
    <row r="23" spans="1:15" ht="16.5" x14ac:dyDescent="0.25">
      <c r="A23" s="110">
        <f t="shared" si="6"/>
        <v>44118</v>
      </c>
      <c r="B23" s="114">
        <f t="shared" si="1"/>
        <v>0</v>
      </c>
      <c r="C23" s="86"/>
      <c r="D23" s="114">
        <f t="shared" si="0"/>
        <v>0</v>
      </c>
      <c r="E23" s="86"/>
      <c r="F23" s="111">
        <f t="shared" si="2"/>
        <v>0</v>
      </c>
      <c r="G23" s="118"/>
      <c r="H23" s="118"/>
      <c r="I23" s="118"/>
      <c r="J23" s="118"/>
      <c r="K23" s="115">
        <f t="shared" si="3"/>
        <v>0</v>
      </c>
      <c r="L23" s="115"/>
      <c r="M23" s="86"/>
      <c r="N23" s="114">
        <f t="shared" si="4"/>
        <v>0</v>
      </c>
      <c r="O23" s="118">
        <f t="shared" si="5"/>
        <v>-12719</v>
      </c>
    </row>
    <row r="24" spans="1:15" ht="16.5" x14ac:dyDescent="0.25">
      <c r="A24" s="110">
        <f t="shared" si="6"/>
        <v>44119</v>
      </c>
      <c r="B24" s="114">
        <f t="shared" si="1"/>
        <v>0</v>
      </c>
      <c r="C24" s="86"/>
      <c r="D24" s="114">
        <f t="shared" si="0"/>
        <v>0</v>
      </c>
      <c r="E24" s="86"/>
      <c r="F24" s="111">
        <f t="shared" si="2"/>
        <v>0</v>
      </c>
      <c r="G24" s="118"/>
      <c r="H24" s="118"/>
      <c r="I24" s="118"/>
      <c r="J24" s="118"/>
      <c r="K24" s="115">
        <f t="shared" si="3"/>
        <v>0</v>
      </c>
      <c r="L24" s="115"/>
      <c r="M24" s="86"/>
      <c r="N24" s="114">
        <f t="shared" si="4"/>
        <v>0</v>
      </c>
      <c r="O24" s="118">
        <f t="shared" si="5"/>
        <v>-12719</v>
      </c>
    </row>
    <row r="25" spans="1:15" ht="16.5" x14ac:dyDescent="0.25">
      <c r="A25" s="110">
        <f t="shared" si="6"/>
        <v>44120</v>
      </c>
      <c r="B25" s="114">
        <f t="shared" si="1"/>
        <v>0</v>
      </c>
      <c r="C25" s="86"/>
      <c r="D25" s="114">
        <f t="shared" si="0"/>
        <v>0</v>
      </c>
      <c r="E25" s="86"/>
      <c r="F25" s="111">
        <f t="shared" si="2"/>
        <v>0</v>
      </c>
      <c r="G25" s="118"/>
      <c r="H25" s="118"/>
      <c r="I25" s="118"/>
      <c r="J25" s="118"/>
      <c r="K25" s="115">
        <f t="shared" si="3"/>
        <v>0</v>
      </c>
      <c r="L25" s="115"/>
      <c r="M25" s="86"/>
      <c r="N25" s="118">
        <f t="shared" si="4"/>
        <v>0</v>
      </c>
      <c r="O25" s="118">
        <f t="shared" si="5"/>
        <v>-12719</v>
      </c>
    </row>
    <row r="26" spans="1:15" ht="16.5" x14ac:dyDescent="0.25">
      <c r="A26" s="110">
        <f t="shared" si="6"/>
        <v>44121</v>
      </c>
      <c r="B26" s="114">
        <f t="shared" si="1"/>
        <v>0</v>
      </c>
      <c r="C26" s="86"/>
      <c r="D26" s="114">
        <f t="shared" si="0"/>
        <v>0</v>
      </c>
      <c r="E26" s="86"/>
      <c r="F26" s="111">
        <f t="shared" si="2"/>
        <v>0</v>
      </c>
      <c r="G26" s="118"/>
      <c r="H26" s="118"/>
      <c r="I26" s="118"/>
      <c r="J26" s="118"/>
      <c r="K26" s="115">
        <f t="shared" si="3"/>
        <v>0</v>
      </c>
      <c r="L26" s="115"/>
      <c r="M26" s="86"/>
      <c r="N26" s="118">
        <f t="shared" si="4"/>
        <v>0</v>
      </c>
      <c r="O26" s="118">
        <f t="shared" si="5"/>
        <v>-12719</v>
      </c>
    </row>
    <row r="27" spans="1:15" ht="16.5" x14ac:dyDescent="0.25">
      <c r="A27" s="110">
        <f t="shared" si="6"/>
        <v>44122</v>
      </c>
      <c r="B27" s="114">
        <f t="shared" si="1"/>
        <v>0</v>
      </c>
      <c r="C27" s="86"/>
      <c r="D27" s="114">
        <f t="shared" si="0"/>
        <v>0</v>
      </c>
      <c r="E27" s="86"/>
      <c r="F27" s="111">
        <f t="shared" si="2"/>
        <v>0</v>
      </c>
      <c r="G27" s="118"/>
      <c r="H27" s="118"/>
      <c r="I27" s="118"/>
      <c r="J27" s="118"/>
      <c r="K27" s="115">
        <f t="shared" si="3"/>
        <v>0</v>
      </c>
      <c r="L27" s="115"/>
      <c r="M27" s="86"/>
      <c r="N27" s="118">
        <f t="shared" si="4"/>
        <v>0</v>
      </c>
      <c r="O27" s="118">
        <f t="shared" si="5"/>
        <v>-12719</v>
      </c>
    </row>
    <row r="28" spans="1:15" ht="16.5" x14ac:dyDescent="0.25">
      <c r="A28" s="110">
        <f t="shared" si="6"/>
        <v>44123</v>
      </c>
      <c r="B28" s="114">
        <f t="shared" si="1"/>
        <v>0</v>
      </c>
      <c r="C28" s="86"/>
      <c r="D28" s="114">
        <f t="shared" si="0"/>
        <v>0</v>
      </c>
      <c r="E28" s="86"/>
      <c r="F28" s="111">
        <f t="shared" si="2"/>
        <v>0</v>
      </c>
      <c r="G28" s="118"/>
      <c r="H28" s="118"/>
      <c r="I28" s="118"/>
      <c r="J28" s="118"/>
      <c r="K28" s="115">
        <f t="shared" si="3"/>
        <v>0</v>
      </c>
      <c r="L28" s="115"/>
      <c r="M28" s="86"/>
      <c r="N28" s="118">
        <f t="shared" si="4"/>
        <v>0</v>
      </c>
      <c r="O28" s="118">
        <f t="shared" si="5"/>
        <v>-12719</v>
      </c>
    </row>
    <row r="29" spans="1:15" ht="16.5" x14ac:dyDescent="0.25">
      <c r="A29" s="110">
        <f t="shared" si="6"/>
        <v>44124</v>
      </c>
      <c r="B29" s="114">
        <f t="shared" si="1"/>
        <v>0</v>
      </c>
      <c r="C29" s="86"/>
      <c r="D29" s="114">
        <f t="shared" si="0"/>
        <v>0</v>
      </c>
      <c r="E29" s="86"/>
      <c r="F29" s="111">
        <f t="shared" si="2"/>
        <v>0</v>
      </c>
      <c r="G29" s="118"/>
      <c r="H29" s="118"/>
      <c r="I29" s="118"/>
      <c r="J29" s="118"/>
      <c r="K29" s="115">
        <f t="shared" si="3"/>
        <v>0</v>
      </c>
      <c r="L29" s="115"/>
      <c r="M29" s="86"/>
      <c r="N29" s="118">
        <f t="shared" si="4"/>
        <v>0</v>
      </c>
      <c r="O29" s="118">
        <f t="shared" si="5"/>
        <v>-12719</v>
      </c>
    </row>
    <row r="30" spans="1:15" ht="16.5" x14ac:dyDescent="0.25">
      <c r="A30" s="110">
        <f t="shared" si="6"/>
        <v>44125</v>
      </c>
      <c r="B30" s="114">
        <f t="shared" si="1"/>
        <v>0</v>
      </c>
      <c r="C30" s="86"/>
      <c r="D30" s="114">
        <f t="shared" si="0"/>
        <v>0</v>
      </c>
      <c r="E30" s="86"/>
      <c r="F30" s="111">
        <f t="shared" si="2"/>
        <v>0</v>
      </c>
      <c r="G30" s="118"/>
      <c r="H30" s="118"/>
      <c r="I30" s="118"/>
      <c r="J30" s="118"/>
      <c r="K30" s="115">
        <f t="shared" si="3"/>
        <v>0</v>
      </c>
      <c r="L30" s="115"/>
      <c r="M30" s="86"/>
      <c r="N30" s="118">
        <f t="shared" si="4"/>
        <v>0</v>
      </c>
      <c r="O30" s="118">
        <f t="shared" si="5"/>
        <v>-12719</v>
      </c>
    </row>
    <row r="31" spans="1:15" ht="16.5" x14ac:dyDescent="0.25">
      <c r="A31" s="110">
        <f t="shared" si="6"/>
        <v>44126</v>
      </c>
      <c r="B31" s="114">
        <f t="shared" si="1"/>
        <v>0</v>
      </c>
      <c r="C31" s="86"/>
      <c r="D31" s="114">
        <f t="shared" si="0"/>
        <v>0</v>
      </c>
      <c r="E31" s="86"/>
      <c r="F31" s="111">
        <f t="shared" si="2"/>
        <v>0</v>
      </c>
      <c r="G31" s="118"/>
      <c r="H31" s="118"/>
      <c r="I31" s="118"/>
      <c r="J31" s="118"/>
      <c r="K31" s="115">
        <f t="shared" si="3"/>
        <v>0</v>
      </c>
      <c r="L31" s="115"/>
      <c r="M31" s="86"/>
      <c r="N31" s="118">
        <f t="shared" si="4"/>
        <v>0</v>
      </c>
      <c r="O31" s="118">
        <f>+O30+K31-M31</f>
        <v>-12719</v>
      </c>
    </row>
    <row r="32" spans="1:15" ht="16.5" x14ac:dyDescent="0.25">
      <c r="A32" s="110">
        <f t="shared" si="6"/>
        <v>44127</v>
      </c>
      <c r="B32" s="114">
        <f t="shared" si="1"/>
        <v>0</v>
      </c>
      <c r="C32" s="86"/>
      <c r="D32" s="114">
        <f t="shared" si="0"/>
        <v>0</v>
      </c>
      <c r="E32" s="86"/>
      <c r="F32" s="111">
        <f t="shared" si="2"/>
        <v>0</v>
      </c>
      <c r="G32" s="118"/>
      <c r="H32" s="118"/>
      <c r="I32" s="118"/>
      <c r="J32" s="118"/>
      <c r="K32" s="115">
        <f t="shared" si="3"/>
        <v>0</v>
      </c>
      <c r="L32" s="115"/>
      <c r="M32" s="86"/>
      <c r="N32" s="118">
        <f t="shared" si="4"/>
        <v>0</v>
      </c>
      <c r="O32" s="118">
        <f t="shared" si="5"/>
        <v>-12719</v>
      </c>
    </row>
    <row r="33" spans="1:15" ht="16.5" x14ac:dyDescent="0.25">
      <c r="A33" s="110">
        <f t="shared" si="6"/>
        <v>44128</v>
      </c>
      <c r="B33" s="114">
        <f t="shared" si="1"/>
        <v>0</v>
      </c>
      <c r="C33" s="86"/>
      <c r="D33" s="114">
        <f t="shared" si="0"/>
        <v>0</v>
      </c>
      <c r="E33" s="86"/>
      <c r="F33" s="111">
        <f t="shared" si="2"/>
        <v>0</v>
      </c>
      <c r="G33" s="114"/>
      <c r="H33" s="114"/>
      <c r="I33" s="114"/>
      <c r="J33" s="114"/>
      <c r="K33" s="115">
        <f t="shared" si="3"/>
        <v>0</v>
      </c>
      <c r="L33" s="115"/>
      <c r="M33" s="86"/>
      <c r="N33" s="114">
        <f t="shared" si="4"/>
        <v>0</v>
      </c>
      <c r="O33" s="114">
        <f t="shared" si="5"/>
        <v>-12719</v>
      </c>
    </row>
    <row r="34" spans="1:15" ht="16.5" x14ac:dyDescent="0.25">
      <c r="A34" s="110">
        <f t="shared" si="6"/>
        <v>44129</v>
      </c>
      <c r="B34" s="114">
        <f t="shared" si="1"/>
        <v>0</v>
      </c>
      <c r="C34" s="86"/>
      <c r="D34" s="114">
        <f t="shared" si="0"/>
        <v>0</v>
      </c>
      <c r="E34" s="86"/>
      <c r="F34" s="111">
        <f t="shared" si="2"/>
        <v>0</v>
      </c>
      <c r="G34" s="114"/>
      <c r="H34" s="114"/>
      <c r="I34" s="114"/>
      <c r="J34" s="114"/>
      <c r="K34" s="115">
        <f t="shared" si="3"/>
        <v>0</v>
      </c>
      <c r="L34" s="115"/>
      <c r="M34" s="86"/>
      <c r="N34" s="114">
        <f t="shared" si="4"/>
        <v>0</v>
      </c>
      <c r="O34" s="114">
        <f t="shared" si="5"/>
        <v>-12719</v>
      </c>
    </row>
    <row r="35" spans="1:15" ht="16.5" x14ac:dyDescent="0.25">
      <c r="A35" s="110">
        <f t="shared" si="6"/>
        <v>44130</v>
      </c>
      <c r="B35" s="114">
        <f t="shared" si="1"/>
        <v>0</v>
      </c>
      <c r="C35" s="86"/>
      <c r="D35" s="114">
        <f t="shared" si="0"/>
        <v>0</v>
      </c>
      <c r="E35" s="86"/>
      <c r="F35" s="111">
        <f t="shared" si="2"/>
        <v>0</v>
      </c>
      <c r="G35" s="114"/>
      <c r="H35" s="114"/>
      <c r="I35" s="114"/>
      <c r="J35" s="114"/>
      <c r="K35" s="115">
        <f t="shared" si="3"/>
        <v>0</v>
      </c>
      <c r="L35" s="115"/>
      <c r="M35" s="86"/>
      <c r="N35" s="114">
        <f t="shared" si="4"/>
        <v>0</v>
      </c>
      <c r="O35" s="114">
        <f t="shared" si="5"/>
        <v>-12719</v>
      </c>
    </row>
    <row r="36" spans="1:15" ht="16.5" x14ac:dyDescent="0.25">
      <c r="A36" s="110">
        <f t="shared" si="6"/>
        <v>44131</v>
      </c>
      <c r="B36" s="114">
        <f t="shared" si="1"/>
        <v>0</v>
      </c>
      <c r="C36" s="86"/>
      <c r="D36" s="114">
        <f t="shared" si="0"/>
        <v>0</v>
      </c>
      <c r="E36" s="86"/>
      <c r="F36" s="111">
        <f t="shared" si="2"/>
        <v>0</v>
      </c>
      <c r="G36" s="114"/>
      <c r="H36" s="114"/>
      <c r="I36" s="114"/>
      <c r="J36" s="114"/>
      <c r="K36" s="115">
        <f t="shared" si="3"/>
        <v>0</v>
      </c>
      <c r="L36" s="115"/>
      <c r="M36" s="113"/>
      <c r="N36" s="114">
        <f t="shared" si="4"/>
        <v>0</v>
      </c>
      <c r="O36" s="114">
        <f t="shared" si="5"/>
        <v>-12719</v>
      </c>
    </row>
    <row r="37" spans="1:15" ht="16.5" x14ac:dyDescent="0.25">
      <c r="A37" s="110">
        <f t="shared" si="6"/>
        <v>44132</v>
      </c>
      <c r="B37" s="114">
        <f t="shared" si="1"/>
        <v>0</v>
      </c>
      <c r="C37" s="86"/>
      <c r="D37" s="114">
        <f t="shared" si="0"/>
        <v>0</v>
      </c>
      <c r="E37" s="86"/>
      <c r="F37" s="111">
        <f t="shared" si="2"/>
        <v>0</v>
      </c>
      <c r="G37" s="114"/>
      <c r="H37" s="114"/>
      <c r="I37" s="114"/>
      <c r="J37" s="114"/>
      <c r="K37" s="115">
        <f t="shared" si="3"/>
        <v>0</v>
      </c>
      <c r="L37" s="115"/>
      <c r="M37" s="113"/>
      <c r="N37" s="114">
        <f t="shared" si="4"/>
        <v>0</v>
      </c>
      <c r="O37" s="114">
        <f t="shared" si="5"/>
        <v>-12719</v>
      </c>
    </row>
    <row r="38" spans="1:15" ht="16.5" x14ac:dyDescent="0.25">
      <c r="A38" s="110">
        <f t="shared" si="6"/>
        <v>44133</v>
      </c>
      <c r="B38" s="114">
        <f t="shared" si="1"/>
        <v>0</v>
      </c>
      <c r="C38" s="113"/>
      <c r="D38" s="114">
        <f t="shared" si="0"/>
        <v>0</v>
      </c>
      <c r="E38" s="113"/>
      <c r="F38" s="111">
        <f t="shared" si="2"/>
        <v>0</v>
      </c>
      <c r="G38" s="114"/>
      <c r="H38" s="114"/>
      <c r="I38" s="114"/>
      <c r="J38" s="114"/>
      <c r="K38" s="115">
        <f t="shared" si="3"/>
        <v>0</v>
      </c>
      <c r="L38" s="115"/>
      <c r="M38" s="113"/>
      <c r="N38" s="114">
        <f t="shared" si="4"/>
        <v>0</v>
      </c>
      <c r="O38" s="114">
        <f t="shared" si="5"/>
        <v>-12719</v>
      </c>
    </row>
    <row r="39" spans="1:15" ht="16.5" x14ac:dyDescent="0.25">
      <c r="A39" s="110">
        <f t="shared" si="6"/>
        <v>44134</v>
      </c>
      <c r="B39" s="114">
        <f t="shared" si="1"/>
        <v>0</v>
      </c>
      <c r="C39" s="113"/>
      <c r="D39" s="114">
        <f t="shared" si="0"/>
        <v>0</v>
      </c>
      <c r="E39" s="113"/>
      <c r="F39" s="111">
        <f t="shared" si="2"/>
        <v>0</v>
      </c>
      <c r="G39" s="114"/>
      <c r="H39" s="114"/>
      <c r="I39" s="114"/>
      <c r="J39" s="114"/>
      <c r="K39" s="115">
        <f t="shared" si="3"/>
        <v>0</v>
      </c>
      <c r="L39" s="115"/>
      <c r="M39" s="113"/>
      <c r="N39" s="114">
        <f>K39-M39</f>
        <v>0</v>
      </c>
      <c r="O39" s="114">
        <f>+O38+K39-M39</f>
        <v>-12719</v>
      </c>
    </row>
    <row r="40" spans="1:15" ht="16.5" x14ac:dyDescent="0.25">
      <c r="A40" s="110">
        <f t="shared" si="6"/>
        <v>44135</v>
      </c>
      <c r="B40" s="114">
        <f t="shared" si="1"/>
        <v>0</v>
      </c>
      <c r="C40" s="113"/>
      <c r="D40" s="114">
        <f t="shared" si="0"/>
        <v>0</v>
      </c>
      <c r="E40" s="113"/>
      <c r="F40" s="111">
        <f t="shared" si="2"/>
        <v>0</v>
      </c>
      <c r="G40" s="114"/>
      <c r="H40" s="114"/>
      <c r="I40" s="114"/>
      <c r="J40" s="114"/>
      <c r="K40" s="115">
        <f t="shared" si="3"/>
        <v>0</v>
      </c>
      <c r="L40" s="115"/>
      <c r="M40" s="113"/>
      <c r="N40" s="114">
        <f>K40-M40</f>
        <v>0</v>
      </c>
      <c r="O40" s="120">
        <f>+O39+K40-M40</f>
        <v>-12719</v>
      </c>
    </row>
    <row r="41" spans="1:15" ht="16.5" x14ac:dyDescent="0.2">
      <c r="A41" s="121" t="s">
        <v>18</v>
      </c>
      <c r="B41" s="115">
        <f t="shared" ref="B41:M41" si="7">SUM(B10:B40)</f>
        <v>0</v>
      </c>
      <c r="C41" s="115">
        <f>SUM(C10:C40)</f>
        <v>0</v>
      </c>
      <c r="D41" s="122">
        <f t="shared" si="7"/>
        <v>0</v>
      </c>
      <c r="E41" s="115">
        <f>SUM(E10:E40)</f>
        <v>0</v>
      </c>
      <c r="F41" s="115">
        <f>SUM(F10:F40)</f>
        <v>0</v>
      </c>
      <c r="G41" s="115">
        <f t="shared" si="7"/>
        <v>0</v>
      </c>
      <c r="H41" s="115">
        <f t="shared" si="7"/>
        <v>0</v>
      </c>
      <c r="I41" s="115">
        <f t="shared" si="7"/>
        <v>0</v>
      </c>
      <c r="J41" s="115">
        <f t="shared" si="7"/>
        <v>0</v>
      </c>
      <c r="K41" s="115">
        <f>SUM(K10:K40)</f>
        <v>0</v>
      </c>
      <c r="L41" s="115"/>
      <c r="M41" s="115">
        <f t="shared" si="7"/>
        <v>0</v>
      </c>
      <c r="N41" s="120">
        <f>SUM(N9:N40)</f>
        <v>-12719</v>
      </c>
      <c r="O41" s="123"/>
    </row>
    <row r="42" spans="1:15" ht="13.5" x14ac:dyDescent="0.2">
      <c r="A42" s="26"/>
      <c r="B42" s="26"/>
      <c r="C42" s="26"/>
      <c r="D42" s="27"/>
      <c r="E42" s="26"/>
      <c r="F42" s="26"/>
      <c r="G42" s="26"/>
      <c r="H42" s="26"/>
      <c r="I42" s="26"/>
      <c r="J42" s="26"/>
      <c r="K42" s="26"/>
      <c r="L42" s="26"/>
      <c r="M42" s="26"/>
      <c r="N42" s="26"/>
      <c r="O42" s="26"/>
    </row>
    <row r="43" spans="1:15" ht="13.5" x14ac:dyDescent="0.25">
      <c r="A43" s="10" t="s">
        <v>121</v>
      </c>
      <c r="B43" s="10" t="s">
        <v>61</v>
      </c>
      <c r="C43" s="10" t="s">
        <v>122</v>
      </c>
      <c r="D43" s="28" t="s">
        <v>39</v>
      </c>
    </row>
    <row r="44" spans="1:15" ht="13.5" x14ac:dyDescent="0.25">
      <c r="A44" s="10" t="s">
        <v>15</v>
      </c>
      <c r="B44" s="24">
        <f>B41</f>
        <v>0</v>
      </c>
      <c r="C44" s="10"/>
      <c r="D44" s="28">
        <f>B44*C44</f>
        <v>0</v>
      </c>
    </row>
    <row r="45" spans="1:15" ht="13.5" x14ac:dyDescent="0.25">
      <c r="A45" s="10" t="s">
        <v>16</v>
      </c>
      <c r="B45" s="28">
        <f>D41</f>
        <v>0</v>
      </c>
      <c r="C45" s="10"/>
      <c r="D45" s="28">
        <f>B45*C45</f>
        <v>0</v>
      </c>
      <c r="H45" s="21"/>
      <c r="K45" s="21"/>
      <c r="L45" s="21"/>
      <c r="M45" s="21"/>
      <c r="N45" s="21"/>
    </row>
    <row r="46" spans="1:15" ht="13.5" x14ac:dyDescent="0.25">
      <c r="A46" s="10" t="s">
        <v>17</v>
      </c>
      <c r="B46" s="24">
        <f>F41</f>
        <v>0</v>
      </c>
      <c r="C46" s="10"/>
      <c r="D46" s="28">
        <f>B46*C46</f>
        <v>0</v>
      </c>
      <c r="E46" s="14"/>
      <c r="M46" s="39">
        <v>1862405</v>
      </c>
      <c r="O46" s="21"/>
    </row>
    <row r="47" spans="1:15" ht="13.5" x14ac:dyDescent="0.25">
      <c r="A47" s="33" t="s">
        <v>18</v>
      </c>
      <c r="B47" s="34"/>
      <c r="C47" s="35"/>
      <c r="D47" s="28">
        <f>SUM(D44:D46)</f>
        <v>0</v>
      </c>
      <c r="O47" s="21"/>
    </row>
  </sheetData>
  <mergeCells count="8">
    <mergeCell ref="O7:O8"/>
    <mergeCell ref="H7:H9"/>
    <mergeCell ref="I7:I9"/>
    <mergeCell ref="J7:J9"/>
    <mergeCell ref="K7:K9"/>
    <mergeCell ref="M7:M8"/>
    <mergeCell ref="N7:N8"/>
    <mergeCell ref="L7:L9"/>
  </mergeCells>
  <pageMargins left="0.70866141732283472" right="0.70866141732283472" top="0.74803149606299213" bottom="0.74803149606299213" header="0.31496062992125984" footer="0.31496062992125984"/>
  <pageSetup paperSize="9" scale="67" orientation="landscape"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2">
    <tabColor rgb="FFFF0000"/>
    <pageSetUpPr fitToPage="1"/>
  </sheetPr>
  <dimension ref="A1:R53"/>
  <sheetViews>
    <sheetView topLeftCell="A16" zoomScaleNormal="100" workbookViewId="0">
      <selection activeCell="J18" sqref="J18"/>
    </sheetView>
  </sheetViews>
  <sheetFormatPr baseColWidth="10" defaultRowHeight="18" x14ac:dyDescent="0.25"/>
  <cols>
    <col min="1" max="1" width="13.85546875" style="38" customWidth="1"/>
    <col min="2" max="3" width="11.42578125" style="38"/>
    <col min="4" max="4" width="16.5703125" style="38" customWidth="1"/>
    <col min="5" max="5" width="18.28515625" style="38" customWidth="1"/>
    <col min="6" max="6" width="19.140625" style="38" bestFit="1" customWidth="1"/>
    <col min="7" max="7" width="12.5703125" style="38" bestFit="1" customWidth="1"/>
    <col min="8" max="8" width="11.42578125" style="38"/>
    <col min="9" max="9" width="13.42578125" style="38" bestFit="1" customWidth="1"/>
    <col min="10" max="10" width="19" style="38" bestFit="1" customWidth="1"/>
    <col min="11" max="11" width="17.140625" style="38" customWidth="1"/>
    <col min="12" max="12" width="27.28515625" style="38" customWidth="1"/>
    <col min="13" max="14" width="19.7109375" style="38" customWidth="1"/>
    <col min="15" max="15" width="19.5703125" style="38" bestFit="1" customWidth="1"/>
    <col min="16" max="18" width="23.5703125" style="38" bestFit="1" customWidth="1"/>
    <col min="19" max="16384" width="11.42578125" style="38"/>
  </cols>
  <sheetData>
    <row r="1" spans="1:18" ht="20.100000000000001" customHeight="1" x14ac:dyDescent="0.35">
      <c r="A1" s="36" t="s">
        <v>118</v>
      </c>
      <c r="B1" s="52" t="s">
        <v>384</v>
      </c>
    </row>
    <row r="2" spans="1:18" ht="20.100000000000001" customHeight="1" x14ac:dyDescent="0.35">
      <c r="C2" s="159"/>
      <c r="K2" s="148"/>
      <c r="L2" s="148"/>
    </row>
    <row r="3" spans="1:18" ht="20.100000000000001" customHeight="1" x14ac:dyDescent="0.3">
      <c r="A3" s="36" t="s">
        <v>19</v>
      </c>
      <c r="B3" s="142">
        <f>+ACHOU!B3</f>
        <v>44075</v>
      </c>
      <c r="C3" s="36"/>
      <c r="N3" s="386"/>
    </row>
    <row r="4" spans="1:18" ht="20.100000000000001" customHeight="1" x14ac:dyDescent="0.3">
      <c r="A4" s="36"/>
      <c r="B4" s="36"/>
      <c r="C4" s="36"/>
      <c r="R4" s="634"/>
    </row>
    <row r="5" spans="1:18" ht="13.5" customHeight="1" x14ac:dyDescent="0.25">
      <c r="A5" s="706" t="s">
        <v>3</v>
      </c>
      <c r="B5" s="161" t="s">
        <v>15</v>
      </c>
      <c r="C5" s="162"/>
      <c r="D5" s="161" t="s">
        <v>16</v>
      </c>
      <c r="E5" s="162"/>
      <c r="F5" s="161" t="s">
        <v>17</v>
      </c>
      <c r="G5" s="162"/>
      <c r="H5" s="2901" t="s">
        <v>52</v>
      </c>
      <c r="I5" s="2901" t="s">
        <v>53</v>
      </c>
      <c r="J5" s="2901" t="s">
        <v>230</v>
      </c>
      <c r="K5" s="2901" t="s">
        <v>18</v>
      </c>
      <c r="L5" s="3067" t="s">
        <v>423</v>
      </c>
      <c r="M5" s="2901" t="s">
        <v>60</v>
      </c>
      <c r="N5" s="2901" t="s">
        <v>55</v>
      </c>
      <c r="O5" s="2901" t="s">
        <v>120</v>
      </c>
    </row>
    <row r="6" spans="1:18" ht="22.5" customHeight="1" x14ac:dyDescent="0.25">
      <c r="A6" s="163"/>
      <c r="B6" s="915">
        <v>630</v>
      </c>
      <c r="C6" s="916"/>
      <c r="D6" s="915">
        <v>575</v>
      </c>
      <c r="E6" s="916"/>
      <c r="F6" s="915">
        <v>350</v>
      </c>
      <c r="G6" s="916"/>
      <c r="H6" s="3070"/>
      <c r="I6" s="3070"/>
      <c r="J6" s="2902"/>
      <c r="K6" s="2902"/>
      <c r="L6" s="3069"/>
      <c r="M6" s="2902"/>
      <c r="N6" s="2902"/>
      <c r="O6" s="2902"/>
      <c r="R6" s="634"/>
    </row>
    <row r="7" spans="1:18" ht="18" customHeight="1" x14ac:dyDescent="0.35">
      <c r="A7" s="707"/>
      <c r="B7" s="166" t="s">
        <v>56</v>
      </c>
      <c r="C7" s="166" t="s">
        <v>37</v>
      </c>
      <c r="D7" s="167" t="s">
        <v>56</v>
      </c>
      <c r="E7" s="166" t="s">
        <v>37</v>
      </c>
      <c r="F7" s="166" t="s">
        <v>56</v>
      </c>
      <c r="G7" s="166" t="s">
        <v>37</v>
      </c>
      <c r="H7" s="705"/>
      <c r="I7" s="705"/>
      <c r="J7" s="181"/>
      <c r="K7" s="181"/>
      <c r="L7" s="181"/>
      <c r="M7" s="182"/>
      <c r="N7" s="183">
        <v>1621280</v>
      </c>
      <c r="O7" s="168">
        <f>N7</f>
        <v>1621280</v>
      </c>
      <c r="P7" s="218"/>
    </row>
    <row r="8" spans="1:18" ht="15" customHeight="1" x14ac:dyDescent="0.25">
      <c r="A8" s="110">
        <f>+CTC!A9</f>
        <v>44105</v>
      </c>
      <c r="B8" s="174">
        <f>+C8/B$6</f>
        <v>0</v>
      </c>
      <c r="C8" s="173"/>
      <c r="D8" s="174">
        <f>+E8/D$6</f>
        <v>0</v>
      </c>
      <c r="E8" s="172"/>
      <c r="F8" s="174">
        <f>+G8/F$6</f>
        <v>0</v>
      </c>
      <c r="G8" s="172"/>
      <c r="H8" s="172"/>
      <c r="I8" s="172"/>
      <c r="J8" s="172"/>
      <c r="K8" s="173">
        <f t="shared" ref="K8:K38" si="0">C8+E8+G8+H8+I8+J8</f>
        <v>0</v>
      </c>
      <c r="L8" s="173"/>
      <c r="M8" s="172"/>
      <c r="N8" s="172">
        <f t="shared" ref="N8:N38" si="1">K8-M8</f>
        <v>0</v>
      </c>
      <c r="O8" s="172">
        <f t="shared" ref="O8:O38" si="2">+O7+K8-M8</f>
        <v>1621280</v>
      </c>
      <c r="P8" s="1657"/>
    </row>
    <row r="9" spans="1:18" ht="15" customHeight="1" x14ac:dyDescent="0.25">
      <c r="A9" s="110">
        <f>+A8+1</f>
        <v>44106</v>
      </c>
      <c r="B9" s="174">
        <f t="shared" ref="B9:B38" si="3">+C9/B$6</f>
        <v>0</v>
      </c>
      <c r="C9" s="173"/>
      <c r="D9" s="174">
        <f>+E9/D$6</f>
        <v>0</v>
      </c>
      <c r="E9" s="172"/>
      <c r="F9" s="174">
        <f t="shared" ref="F9:F38" si="4">+G9/F$6</f>
        <v>0</v>
      </c>
      <c r="G9" s="172"/>
      <c r="H9" s="172"/>
      <c r="I9" s="172"/>
      <c r="J9" s="172"/>
      <c r="K9" s="173">
        <f t="shared" si="0"/>
        <v>0</v>
      </c>
      <c r="L9" s="173"/>
      <c r="M9" s="175"/>
      <c r="N9" s="172">
        <f t="shared" si="1"/>
        <v>0</v>
      </c>
      <c r="O9" s="172">
        <f t="shared" si="2"/>
        <v>1621280</v>
      </c>
      <c r="P9" s="1657"/>
      <c r="Q9" s="634"/>
    </row>
    <row r="10" spans="1:18" ht="15" customHeight="1" x14ac:dyDescent="0.25">
      <c r="A10" s="110">
        <f t="shared" ref="A10:A38" si="5">+A9+1</f>
        <v>44107</v>
      </c>
      <c r="B10" s="174">
        <f t="shared" si="3"/>
        <v>0</v>
      </c>
      <c r="C10" s="172"/>
      <c r="D10" s="174">
        <f>+E10/D$6</f>
        <v>0</v>
      </c>
      <c r="E10" s="172"/>
      <c r="F10" s="174">
        <f t="shared" si="4"/>
        <v>0</v>
      </c>
      <c r="G10" s="172"/>
      <c r="H10" s="172"/>
      <c r="I10" s="172"/>
      <c r="J10" s="172"/>
      <c r="K10" s="173">
        <f t="shared" si="0"/>
        <v>0</v>
      </c>
      <c r="L10" s="173"/>
      <c r="M10" s="175"/>
      <c r="N10" s="172">
        <f t="shared" si="1"/>
        <v>0</v>
      </c>
      <c r="O10" s="172">
        <f t="shared" si="2"/>
        <v>1621280</v>
      </c>
      <c r="P10" s="1657"/>
      <c r="Q10" s="1141"/>
      <c r="R10" s="634"/>
    </row>
    <row r="11" spans="1:18" ht="15" customHeight="1" x14ac:dyDescent="0.25">
      <c r="A11" s="110">
        <f t="shared" si="5"/>
        <v>44108</v>
      </c>
      <c r="B11" s="174">
        <f t="shared" si="3"/>
        <v>0</v>
      </c>
      <c r="C11" s="172"/>
      <c r="D11" s="174">
        <f>+E11/D$6</f>
        <v>0</v>
      </c>
      <c r="E11" s="172"/>
      <c r="F11" s="174">
        <f t="shared" si="4"/>
        <v>0</v>
      </c>
      <c r="G11" s="172"/>
      <c r="H11" s="172"/>
      <c r="I11" s="172"/>
      <c r="J11" s="172"/>
      <c r="K11" s="173">
        <f t="shared" si="0"/>
        <v>0</v>
      </c>
      <c r="L11" s="173"/>
      <c r="M11" s="175"/>
      <c r="N11" s="172">
        <f t="shared" si="1"/>
        <v>0</v>
      </c>
      <c r="O11" s="172">
        <f t="shared" si="2"/>
        <v>1621280</v>
      </c>
      <c r="P11" s="1657"/>
    </row>
    <row r="12" spans="1:18" ht="15" customHeight="1" x14ac:dyDescent="0.25">
      <c r="A12" s="110">
        <f t="shared" si="5"/>
        <v>44109</v>
      </c>
      <c r="B12" s="174">
        <f t="shared" si="3"/>
        <v>0</v>
      </c>
      <c r="C12" s="173"/>
      <c r="D12" s="174">
        <f t="shared" ref="D12:D38" si="6">+E12/D$6</f>
        <v>0</v>
      </c>
      <c r="E12" s="172"/>
      <c r="F12" s="174">
        <f t="shared" si="4"/>
        <v>0</v>
      </c>
      <c r="G12" s="172"/>
      <c r="H12" s="172"/>
      <c r="I12" s="172"/>
      <c r="J12" s="172"/>
      <c r="K12" s="173">
        <f t="shared" si="0"/>
        <v>0</v>
      </c>
      <c r="L12" s="173"/>
      <c r="M12" s="175"/>
      <c r="N12" s="172">
        <f t="shared" si="1"/>
        <v>0</v>
      </c>
      <c r="O12" s="172">
        <f t="shared" si="2"/>
        <v>1621280</v>
      </c>
      <c r="P12" s="1657"/>
    </row>
    <row r="13" spans="1:18" ht="15" customHeight="1" x14ac:dyDescent="0.25">
      <c r="A13" s="110">
        <f t="shared" si="5"/>
        <v>44110</v>
      </c>
      <c r="B13" s="174">
        <f t="shared" si="3"/>
        <v>0</v>
      </c>
      <c r="C13" s="173"/>
      <c r="D13" s="174">
        <f t="shared" si="6"/>
        <v>0</v>
      </c>
      <c r="E13" s="172"/>
      <c r="F13" s="174">
        <f t="shared" si="4"/>
        <v>0</v>
      </c>
      <c r="G13" s="172"/>
      <c r="H13" s="172"/>
      <c r="I13" s="172"/>
      <c r="J13" s="172"/>
      <c r="K13" s="173">
        <f t="shared" si="0"/>
        <v>0</v>
      </c>
      <c r="L13" s="173"/>
      <c r="M13" s="175"/>
      <c r="N13" s="172">
        <f t="shared" si="1"/>
        <v>0</v>
      </c>
      <c r="O13" s="172">
        <f t="shared" si="2"/>
        <v>1621280</v>
      </c>
      <c r="P13" s="1657"/>
    </row>
    <row r="14" spans="1:18" ht="15" customHeight="1" x14ac:dyDescent="0.25">
      <c r="A14" s="110">
        <f t="shared" si="5"/>
        <v>44111</v>
      </c>
      <c r="B14" s="174">
        <f t="shared" si="3"/>
        <v>0</v>
      </c>
      <c r="C14" s="172"/>
      <c r="D14" s="174">
        <f t="shared" si="6"/>
        <v>0</v>
      </c>
      <c r="E14" s="172"/>
      <c r="F14" s="174">
        <f t="shared" si="4"/>
        <v>0</v>
      </c>
      <c r="G14" s="172"/>
      <c r="H14" s="172"/>
      <c r="I14" s="172"/>
      <c r="J14" s="172"/>
      <c r="K14" s="173">
        <f t="shared" si="0"/>
        <v>0</v>
      </c>
      <c r="L14" s="804"/>
      <c r="M14" s="175"/>
      <c r="N14" s="172">
        <f t="shared" si="1"/>
        <v>0</v>
      </c>
      <c r="O14" s="172">
        <f t="shared" si="2"/>
        <v>1621280</v>
      </c>
      <c r="P14" s="1657"/>
    </row>
    <row r="15" spans="1:18" ht="15" customHeight="1" x14ac:dyDescent="0.25">
      <c r="A15" s="110">
        <f t="shared" si="5"/>
        <v>44112</v>
      </c>
      <c r="B15" s="174">
        <f t="shared" si="3"/>
        <v>0</v>
      </c>
      <c r="C15" s="172"/>
      <c r="D15" s="174">
        <f t="shared" si="6"/>
        <v>0</v>
      </c>
      <c r="E15" s="172"/>
      <c r="F15" s="174">
        <f t="shared" si="4"/>
        <v>0</v>
      </c>
      <c r="G15" s="172"/>
      <c r="H15" s="172"/>
      <c r="I15" s="172"/>
      <c r="J15" s="172"/>
      <c r="K15" s="173">
        <f t="shared" si="0"/>
        <v>0</v>
      </c>
      <c r="L15" s="115"/>
      <c r="M15" s="175"/>
      <c r="N15" s="172">
        <f t="shared" si="1"/>
        <v>0</v>
      </c>
      <c r="O15" s="172">
        <f t="shared" si="2"/>
        <v>1621280</v>
      </c>
      <c r="P15" s="1657"/>
    </row>
    <row r="16" spans="1:18" ht="15" customHeight="1" x14ac:dyDescent="0.25">
      <c r="A16" s="110">
        <f t="shared" si="5"/>
        <v>44113</v>
      </c>
      <c r="B16" s="174">
        <f t="shared" si="3"/>
        <v>0</v>
      </c>
      <c r="C16" s="175"/>
      <c r="D16" s="174">
        <f t="shared" si="6"/>
        <v>0</v>
      </c>
      <c r="E16" s="172"/>
      <c r="F16" s="174">
        <f t="shared" si="4"/>
        <v>0</v>
      </c>
      <c r="G16" s="175"/>
      <c r="H16" s="175"/>
      <c r="I16" s="175"/>
      <c r="J16" s="175"/>
      <c r="K16" s="184">
        <f t="shared" si="0"/>
        <v>0</v>
      </c>
      <c r="L16" s="804"/>
      <c r="M16" s="175"/>
      <c r="N16" s="172">
        <f t="shared" si="1"/>
        <v>0</v>
      </c>
      <c r="O16" s="172">
        <f t="shared" si="2"/>
        <v>1621280</v>
      </c>
      <c r="P16" s="1657"/>
    </row>
    <row r="17" spans="1:17" ht="15" customHeight="1" x14ac:dyDescent="0.25">
      <c r="A17" s="110">
        <f t="shared" si="5"/>
        <v>44114</v>
      </c>
      <c r="B17" s="174">
        <f t="shared" si="3"/>
        <v>0</v>
      </c>
      <c r="C17" s="175"/>
      <c r="D17" s="174">
        <f t="shared" si="6"/>
        <v>0</v>
      </c>
      <c r="E17" s="172"/>
      <c r="F17" s="174">
        <f t="shared" si="4"/>
        <v>0</v>
      </c>
      <c r="G17" s="175"/>
      <c r="H17" s="175"/>
      <c r="I17" s="175"/>
      <c r="J17" s="175"/>
      <c r="K17" s="184">
        <f t="shared" si="0"/>
        <v>0</v>
      </c>
      <c r="L17" s="173"/>
      <c r="M17" s="175"/>
      <c r="N17" s="172">
        <f t="shared" si="1"/>
        <v>0</v>
      </c>
      <c r="O17" s="172">
        <f t="shared" si="2"/>
        <v>1621280</v>
      </c>
      <c r="P17" s="1657"/>
    </row>
    <row r="18" spans="1:17" ht="15" customHeight="1" x14ac:dyDescent="0.25">
      <c r="A18" s="110">
        <f t="shared" si="5"/>
        <v>44115</v>
      </c>
      <c r="B18" s="174">
        <f t="shared" si="3"/>
        <v>0</v>
      </c>
      <c r="C18" s="175"/>
      <c r="D18" s="174">
        <f t="shared" si="6"/>
        <v>0</v>
      </c>
      <c r="E18" s="172"/>
      <c r="F18" s="174">
        <f t="shared" si="4"/>
        <v>0</v>
      </c>
      <c r="G18" s="175"/>
      <c r="H18" s="175"/>
      <c r="I18" s="175"/>
      <c r="J18" s="175"/>
      <c r="K18" s="184">
        <f>C18+E18+G18+H18+I18+J18</f>
        <v>0</v>
      </c>
      <c r="L18" s="173"/>
      <c r="M18" s="175"/>
      <c r="N18" s="172">
        <f t="shared" si="1"/>
        <v>0</v>
      </c>
      <c r="O18" s="172">
        <f t="shared" si="2"/>
        <v>1621280</v>
      </c>
      <c r="P18" s="1657"/>
    </row>
    <row r="19" spans="1:17" ht="15" customHeight="1" x14ac:dyDescent="0.25">
      <c r="A19" s="110">
        <f t="shared" si="5"/>
        <v>44116</v>
      </c>
      <c r="B19" s="174">
        <f t="shared" si="3"/>
        <v>0</v>
      </c>
      <c r="C19" s="175"/>
      <c r="D19" s="174">
        <f t="shared" si="6"/>
        <v>0</v>
      </c>
      <c r="E19" s="172"/>
      <c r="F19" s="174">
        <f t="shared" si="4"/>
        <v>0</v>
      </c>
      <c r="G19" s="175"/>
      <c r="H19" s="175"/>
      <c r="I19" s="175"/>
      <c r="J19" s="175"/>
      <c r="K19" s="184">
        <f t="shared" si="0"/>
        <v>0</v>
      </c>
      <c r="L19" s="184"/>
      <c r="M19" s="175"/>
      <c r="N19" s="172">
        <f t="shared" si="1"/>
        <v>0</v>
      </c>
      <c r="O19" s="172">
        <f t="shared" si="2"/>
        <v>1621280</v>
      </c>
      <c r="P19" s="1657"/>
    </row>
    <row r="20" spans="1:17" ht="15" customHeight="1" x14ac:dyDescent="0.25">
      <c r="A20" s="110">
        <f t="shared" si="5"/>
        <v>44117</v>
      </c>
      <c r="B20" s="174">
        <f t="shared" si="3"/>
        <v>0</v>
      </c>
      <c r="C20" s="175"/>
      <c r="D20" s="174">
        <f t="shared" si="6"/>
        <v>0</v>
      </c>
      <c r="E20" s="172"/>
      <c r="F20" s="174">
        <f t="shared" si="4"/>
        <v>0</v>
      </c>
      <c r="G20" s="175"/>
      <c r="H20" s="175"/>
      <c r="I20" s="175"/>
      <c r="J20" s="175"/>
      <c r="K20" s="184">
        <f t="shared" si="0"/>
        <v>0</v>
      </c>
      <c r="L20" s="184"/>
      <c r="M20" s="175"/>
      <c r="N20" s="172">
        <f t="shared" si="1"/>
        <v>0</v>
      </c>
      <c r="O20" s="172">
        <f t="shared" si="2"/>
        <v>1621280</v>
      </c>
      <c r="P20" s="1657"/>
    </row>
    <row r="21" spans="1:17" ht="15" customHeight="1" x14ac:dyDescent="0.25">
      <c r="A21" s="110">
        <f t="shared" si="5"/>
        <v>44118</v>
      </c>
      <c r="B21" s="174">
        <f t="shared" si="3"/>
        <v>0</v>
      </c>
      <c r="C21" s="175"/>
      <c r="D21" s="174">
        <f t="shared" si="6"/>
        <v>0</v>
      </c>
      <c r="E21" s="172"/>
      <c r="F21" s="174">
        <f t="shared" si="4"/>
        <v>0</v>
      </c>
      <c r="G21" s="175"/>
      <c r="H21" s="175"/>
      <c r="I21" s="175"/>
      <c r="J21" s="175"/>
      <c r="K21" s="184">
        <f t="shared" si="0"/>
        <v>0</v>
      </c>
      <c r="L21" s="184"/>
      <c r="M21" s="175"/>
      <c r="N21" s="172">
        <f t="shared" si="1"/>
        <v>0</v>
      </c>
      <c r="O21" s="172">
        <f t="shared" si="2"/>
        <v>1621280</v>
      </c>
      <c r="P21" s="1657"/>
    </row>
    <row r="22" spans="1:17" ht="15" customHeight="1" x14ac:dyDescent="0.25">
      <c r="A22" s="110">
        <f t="shared" si="5"/>
        <v>44119</v>
      </c>
      <c r="B22" s="174">
        <f t="shared" si="3"/>
        <v>0</v>
      </c>
      <c r="C22" s="175"/>
      <c r="D22" s="174">
        <f t="shared" si="6"/>
        <v>0</v>
      </c>
      <c r="E22" s="172"/>
      <c r="F22" s="174">
        <f t="shared" si="4"/>
        <v>0</v>
      </c>
      <c r="G22" s="175"/>
      <c r="H22" s="175"/>
      <c r="I22" s="175"/>
      <c r="J22" s="175"/>
      <c r="K22" s="184">
        <f t="shared" si="0"/>
        <v>0</v>
      </c>
      <c r="L22" s="184"/>
      <c r="M22" s="175"/>
      <c r="N22" s="172">
        <f t="shared" si="1"/>
        <v>0</v>
      </c>
      <c r="O22" s="172">
        <f t="shared" si="2"/>
        <v>1621280</v>
      </c>
      <c r="P22" s="1657"/>
    </row>
    <row r="23" spans="1:17" ht="15" customHeight="1" x14ac:dyDescent="0.25">
      <c r="A23" s="110">
        <f t="shared" si="5"/>
        <v>44120</v>
      </c>
      <c r="B23" s="174">
        <f t="shared" si="3"/>
        <v>0</v>
      </c>
      <c r="C23" s="175"/>
      <c r="D23" s="174">
        <f t="shared" si="6"/>
        <v>0</v>
      </c>
      <c r="E23" s="172"/>
      <c r="F23" s="174">
        <f t="shared" si="4"/>
        <v>0</v>
      </c>
      <c r="G23" s="175"/>
      <c r="H23" s="175"/>
      <c r="I23" s="175"/>
      <c r="J23" s="175"/>
      <c r="K23" s="184">
        <f t="shared" si="0"/>
        <v>0</v>
      </c>
      <c r="L23" s="184"/>
      <c r="M23" s="172"/>
      <c r="N23" s="172">
        <f t="shared" si="1"/>
        <v>0</v>
      </c>
      <c r="O23" s="172">
        <f t="shared" si="2"/>
        <v>1621280</v>
      </c>
      <c r="P23" s="1657"/>
    </row>
    <row r="24" spans="1:17" ht="15" customHeight="1" x14ac:dyDescent="0.25">
      <c r="A24" s="110">
        <f t="shared" si="5"/>
        <v>44121</v>
      </c>
      <c r="B24" s="174">
        <f t="shared" si="3"/>
        <v>0</v>
      </c>
      <c r="C24" s="175"/>
      <c r="D24" s="174">
        <f t="shared" si="6"/>
        <v>0</v>
      </c>
      <c r="E24" s="172"/>
      <c r="F24" s="174">
        <f t="shared" si="4"/>
        <v>0</v>
      </c>
      <c r="G24" s="175"/>
      <c r="H24" s="175"/>
      <c r="I24" s="175"/>
      <c r="J24" s="175"/>
      <c r="K24" s="184">
        <f t="shared" si="0"/>
        <v>0</v>
      </c>
      <c r="L24" s="804"/>
      <c r="M24" s="172"/>
      <c r="N24" s="172">
        <f t="shared" si="1"/>
        <v>0</v>
      </c>
      <c r="O24" s="172">
        <f t="shared" si="2"/>
        <v>1621280</v>
      </c>
      <c r="P24" s="1657"/>
    </row>
    <row r="25" spans="1:17" ht="15" customHeight="1" x14ac:dyDescent="0.25">
      <c r="A25" s="110">
        <f t="shared" si="5"/>
        <v>44122</v>
      </c>
      <c r="B25" s="174">
        <f t="shared" si="3"/>
        <v>0</v>
      </c>
      <c r="C25" s="175"/>
      <c r="D25" s="174">
        <f t="shared" si="6"/>
        <v>0</v>
      </c>
      <c r="E25" s="172"/>
      <c r="F25" s="174">
        <f t="shared" si="4"/>
        <v>0</v>
      </c>
      <c r="G25" s="175"/>
      <c r="H25" s="175"/>
      <c r="I25" s="175"/>
      <c r="J25" s="175"/>
      <c r="K25" s="184">
        <f t="shared" si="0"/>
        <v>0</v>
      </c>
      <c r="L25" s="134"/>
      <c r="M25" s="172"/>
      <c r="N25" s="172">
        <f t="shared" si="1"/>
        <v>0</v>
      </c>
      <c r="O25" s="172">
        <f t="shared" si="2"/>
        <v>1621280</v>
      </c>
      <c r="P25" s="1657"/>
      <c r="Q25" s="1141"/>
    </row>
    <row r="26" spans="1:17" ht="15" customHeight="1" x14ac:dyDescent="0.25">
      <c r="A26" s="110">
        <f t="shared" si="5"/>
        <v>44123</v>
      </c>
      <c r="B26" s="174">
        <f t="shared" si="3"/>
        <v>0</v>
      </c>
      <c r="C26" s="175"/>
      <c r="D26" s="174">
        <f t="shared" si="6"/>
        <v>0</v>
      </c>
      <c r="E26" s="172"/>
      <c r="F26" s="174">
        <f t="shared" si="4"/>
        <v>0</v>
      </c>
      <c r="G26" s="175"/>
      <c r="H26" s="175"/>
      <c r="I26" s="175"/>
      <c r="J26" s="175"/>
      <c r="K26" s="184">
        <f t="shared" si="0"/>
        <v>0</v>
      </c>
      <c r="L26" s="184"/>
      <c r="M26" s="172"/>
      <c r="N26" s="172">
        <f t="shared" si="1"/>
        <v>0</v>
      </c>
      <c r="O26" s="172">
        <f t="shared" si="2"/>
        <v>1621280</v>
      </c>
      <c r="P26" s="1657"/>
      <c r="Q26" s="1141"/>
    </row>
    <row r="27" spans="1:17" ht="15" customHeight="1" x14ac:dyDescent="0.25">
      <c r="A27" s="110">
        <f t="shared" si="5"/>
        <v>44124</v>
      </c>
      <c r="B27" s="174">
        <f t="shared" si="3"/>
        <v>0</v>
      </c>
      <c r="C27" s="175"/>
      <c r="D27" s="174">
        <f t="shared" si="6"/>
        <v>0</v>
      </c>
      <c r="E27" s="172"/>
      <c r="F27" s="174">
        <f t="shared" si="4"/>
        <v>0</v>
      </c>
      <c r="G27" s="175"/>
      <c r="H27" s="175"/>
      <c r="I27" s="175"/>
      <c r="J27" s="175"/>
      <c r="K27" s="184">
        <f t="shared" si="0"/>
        <v>0</v>
      </c>
      <c r="L27" s="184"/>
      <c r="M27" s="172"/>
      <c r="N27" s="172">
        <f t="shared" si="1"/>
        <v>0</v>
      </c>
      <c r="O27" s="172">
        <f t="shared" si="2"/>
        <v>1621280</v>
      </c>
      <c r="P27" s="1657"/>
      <c r="Q27" s="1141"/>
    </row>
    <row r="28" spans="1:17" ht="15" customHeight="1" x14ac:dyDescent="0.25">
      <c r="A28" s="110">
        <f t="shared" si="5"/>
        <v>44125</v>
      </c>
      <c r="B28" s="174">
        <f t="shared" si="3"/>
        <v>0</v>
      </c>
      <c r="C28" s="175"/>
      <c r="D28" s="174">
        <f t="shared" si="6"/>
        <v>0</v>
      </c>
      <c r="E28" s="172"/>
      <c r="F28" s="174">
        <f t="shared" si="4"/>
        <v>0</v>
      </c>
      <c r="G28" s="175"/>
      <c r="H28" s="175"/>
      <c r="I28" s="175"/>
      <c r="J28" s="175"/>
      <c r="K28" s="184">
        <f t="shared" si="0"/>
        <v>0</v>
      </c>
      <c r="L28" s="184"/>
      <c r="M28" s="172"/>
      <c r="N28" s="172">
        <f t="shared" si="1"/>
        <v>0</v>
      </c>
      <c r="O28" s="172">
        <f t="shared" si="2"/>
        <v>1621280</v>
      </c>
      <c r="P28" s="1657"/>
      <c r="Q28" s="1141"/>
    </row>
    <row r="29" spans="1:17" ht="15" customHeight="1" x14ac:dyDescent="0.25">
      <c r="A29" s="110">
        <f t="shared" si="5"/>
        <v>44126</v>
      </c>
      <c r="B29" s="174">
        <f t="shared" si="3"/>
        <v>0</v>
      </c>
      <c r="C29" s="175"/>
      <c r="D29" s="174">
        <f t="shared" si="6"/>
        <v>0</v>
      </c>
      <c r="E29" s="172"/>
      <c r="F29" s="174">
        <f t="shared" si="4"/>
        <v>0</v>
      </c>
      <c r="G29" s="175"/>
      <c r="H29" s="175"/>
      <c r="I29" s="175"/>
      <c r="J29" s="175"/>
      <c r="K29" s="184">
        <f t="shared" si="0"/>
        <v>0</v>
      </c>
      <c r="L29" s="184"/>
      <c r="M29" s="172"/>
      <c r="N29" s="172">
        <f t="shared" si="1"/>
        <v>0</v>
      </c>
      <c r="O29" s="172">
        <f t="shared" si="2"/>
        <v>1621280</v>
      </c>
      <c r="P29" s="1657"/>
      <c r="Q29" s="1141"/>
    </row>
    <row r="30" spans="1:17" ht="15" customHeight="1" x14ac:dyDescent="0.25">
      <c r="A30" s="110">
        <f t="shared" si="5"/>
        <v>44127</v>
      </c>
      <c r="B30" s="174">
        <f t="shared" si="3"/>
        <v>0</v>
      </c>
      <c r="C30" s="175"/>
      <c r="D30" s="174">
        <f t="shared" si="6"/>
        <v>0</v>
      </c>
      <c r="E30" s="172"/>
      <c r="F30" s="174">
        <f t="shared" si="4"/>
        <v>0</v>
      </c>
      <c r="G30" s="175"/>
      <c r="H30" s="175"/>
      <c r="I30" s="175"/>
      <c r="J30" s="175"/>
      <c r="K30" s="184">
        <f t="shared" si="0"/>
        <v>0</v>
      </c>
      <c r="L30" s="184"/>
      <c r="M30" s="172"/>
      <c r="N30" s="172">
        <f t="shared" si="1"/>
        <v>0</v>
      </c>
      <c r="O30" s="172">
        <f t="shared" si="2"/>
        <v>1621280</v>
      </c>
      <c r="P30" s="1657"/>
      <c r="Q30" s="1141"/>
    </row>
    <row r="31" spans="1:17" s="139" customFormat="1" ht="15" customHeight="1" x14ac:dyDescent="0.25">
      <c r="A31" s="827">
        <f t="shared" si="5"/>
        <v>44128</v>
      </c>
      <c r="B31" s="174">
        <f t="shared" si="3"/>
        <v>0</v>
      </c>
      <c r="C31" s="175"/>
      <c r="D31" s="174">
        <f t="shared" si="6"/>
        <v>0</v>
      </c>
      <c r="E31" s="175"/>
      <c r="F31" s="174">
        <f t="shared" si="4"/>
        <v>0</v>
      </c>
      <c r="G31" s="175"/>
      <c r="H31" s="175"/>
      <c r="I31" s="175"/>
      <c r="J31" s="175"/>
      <c r="K31" s="184">
        <f t="shared" si="0"/>
        <v>0</v>
      </c>
      <c r="L31" s="184"/>
      <c r="M31" s="184"/>
      <c r="N31" s="175">
        <f t="shared" si="1"/>
        <v>0</v>
      </c>
      <c r="O31" s="175">
        <f t="shared" si="2"/>
        <v>1621280</v>
      </c>
      <c r="P31" s="1657"/>
      <c r="Q31" s="1141"/>
    </row>
    <row r="32" spans="1:17" ht="15" customHeight="1" x14ac:dyDescent="0.25">
      <c r="A32" s="1547">
        <f t="shared" si="5"/>
        <v>44129</v>
      </c>
      <c r="B32" s="1551">
        <f t="shared" si="3"/>
        <v>0</v>
      </c>
      <c r="C32" s="1552"/>
      <c r="D32" s="174">
        <f t="shared" si="6"/>
        <v>0</v>
      </c>
      <c r="E32" s="1552"/>
      <c r="F32" s="1551">
        <f t="shared" si="4"/>
        <v>0</v>
      </c>
      <c r="G32" s="1552"/>
      <c r="H32" s="1552"/>
      <c r="I32" s="1552"/>
      <c r="J32" s="1552"/>
      <c r="K32" s="1553">
        <f t="shared" si="0"/>
        <v>0</v>
      </c>
      <c r="L32" s="1553"/>
      <c r="M32" s="1552"/>
      <c r="N32" s="1552">
        <f t="shared" si="1"/>
        <v>0</v>
      </c>
      <c r="O32" s="1552">
        <f t="shared" si="2"/>
        <v>1621280</v>
      </c>
      <c r="P32" s="1657"/>
      <c r="Q32" s="1141"/>
    </row>
    <row r="33" spans="1:17" ht="19.5" x14ac:dyDescent="0.25">
      <c r="A33" s="110">
        <f t="shared" si="5"/>
        <v>44130</v>
      </c>
      <c r="B33" s="174">
        <f t="shared" si="3"/>
        <v>0</v>
      </c>
      <c r="C33" s="172"/>
      <c r="D33" s="174">
        <f>+E33/D$6</f>
        <v>0</v>
      </c>
      <c r="E33" s="172"/>
      <c r="F33" s="174">
        <f t="shared" si="4"/>
        <v>0</v>
      </c>
      <c r="G33" s="172"/>
      <c r="H33" s="172"/>
      <c r="I33" s="172"/>
      <c r="J33" s="172"/>
      <c r="K33" s="173">
        <f>C33+E33+G33+H33+I33+J33</f>
        <v>0</v>
      </c>
      <c r="L33" s="173"/>
      <c r="M33" s="172"/>
      <c r="N33" s="172">
        <f t="shared" si="1"/>
        <v>0</v>
      </c>
      <c r="O33" s="172">
        <f t="shared" si="2"/>
        <v>1621280</v>
      </c>
      <c r="P33" s="1657">
        <f>Q33-E33</f>
        <v>3878160</v>
      </c>
      <c r="Q33" s="1141">
        <v>3878160</v>
      </c>
    </row>
    <row r="34" spans="1:17" ht="19.5" x14ac:dyDescent="0.25">
      <c r="A34" s="110">
        <f t="shared" si="5"/>
        <v>44131</v>
      </c>
      <c r="B34" s="174">
        <f t="shared" si="3"/>
        <v>0</v>
      </c>
      <c r="C34" s="172"/>
      <c r="D34" s="174">
        <f t="shared" si="6"/>
        <v>0</v>
      </c>
      <c r="E34" s="172"/>
      <c r="F34" s="174">
        <f>+G34/F$6</f>
        <v>0</v>
      </c>
      <c r="G34" s="172"/>
      <c r="H34" s="172"/>
      <c r="I34" s="172"/>
      <c r="J34" s="172"/>
      <c r="K34" s="173">
        <f t="shared" si="0"/>
        <v>0</v>
      </c>
      <c r="L34" s="173"/>
      <c r="M34" s="172"/>
      <c r="N34" s="172">
        <f t="shared" si="1"/>
        <v>0</v>
      </c>
      <c r="O34" s="172">
        <f t="shared" si="2"/>
        <v>1621280</v>
      </c>
      <c r="P34" s="1657">
        <f>Q34-E34</f>
        <v>0</v>
      </c>
      <c r="Q34" s="1141"/>
    </row>
    <row r="35" spans="1:17" ht="19.5" x14ac:dyDescent="0.25">
      <c r="A35" s="110">
        <f t="shared" si="5"/>
        <v>44132</v>
      </c>
      <c r="B35" s="174">
        <f t="shared" si="3"/>
        <v>0</v>
      </c>
      <c r="C35" s="172"/>
      <c r="D35" s="174">
        <f t="shared" si="6"/>
        <v>0</v>
      </c>
      <c r="E35" s="172"/>
      <c r="F35" s="174">
        <f t="shared" si="4"/>
        <v>0</v>
      </c>
      <c r="G35" s="172"/>
      <c r="H35" s="172"/>
      <c r="I35" s="172"/>
      <c r="J35" s="172"/>
      <c r="K35" s="173">
        <f t="shared" si="0"/>
        <v>0</v>
      </c>
      <c r="L35" s="173"/>
      <c r="M35" s="172"/>
      <c r="N35" s="172">
        <f t="shared" si="1"/>
        <v>0</v>
      </c>
      <c r="O35" s="172">
        <f t="shared" si="2"/>
        <v>1621280</v>
      </c>
      <c r="P35" s="1657">
        <f>Q35-E35</f>
        <v>0</v>
      </c>
      <c r="Q35" s="1141"/>
    </row>
    <row r="36" spans="1:17" ht="19.5" x14ac:dyDescent="0.25">
      <c r="A36" s="110">
        <f t="shared" si="5"/>
        <v>44133</v>
      </c>
      <c r="B36" s="174">
        <f t="shared" si="3"/>
        <v>0</v>
      </c>
      <c r="C36" s="172"/>
      <c r="D36" s="174">
        <f t="shared" si="6"/>
        <v>0</v>
      </c>
      <c r="E36" s="172"/>
      <c r="F36" s="174">
        <f t="shared" si="4"/>
        <v>0</v>
      </c>
      <c r="G36" s="172"/>
      <c r="H36" s="172"/>
      <c r="I36" s="172"/>
      <c r="J36" s="172"/>
      <c r="K36" s="173">
        <f t="shared" si="0"/>
        <v>0</v>
      </c>
      <c r="L36" s="173"/>
      <c r="M36" s="172"/>
      <c r="N36" s="172">
        <f t="shared" si="1"/>
        <v>0</v>
      </c>
      <c r="O36" s="172">
        <f t="shared" si="2"/>
        <v>1621280</v>
      </c>
      <c r="P36" s="1657">
        <f>Q36-E36</f>
        <v>0</v>
      </c>
      <c r="Q36" s="1141"/>
    </row>
    <row r="37" spans="1:17" ht="19.5" x14ac:dyDescent="0.25">
      <c r="A37" s="110">
        <f t="shared" si="5"/>
        <v>44134</v>
      </c>
      <c r="B37" s="174">
        <f t="shared" si="3"/>
        <v>0</v>
      </c>
      <c r="C37" s="172"/>
      <c r="D37" s="174">
        <f t="shared" si="6"/>
        <v>0</v>
      </c>
      <c r="E37" s="172"/>
      <c r="F37" s="174">
        <f t="shared" si="4"/>
        <v>0</v>
      </c>
      <c r="G37" s="172"/>
      <c r="H37" s="172"/>
      <c r="I37" s="172"/>
      <c r="J37" s="172"/>
      <c r="K37" s="173">
        <f t="shared" si="0"/>
        <v>0</v>
      </c>
      <c r="L37" s="173"/>
      <c r="M37" s="172"/>
      <c r="N37" s="172">
        <f t="shared" si="1"/>
        <v>0</v>
      </c>
      <c r="O37" s="172">
        <f t="shared" si="2"/>
        <v>1621280</v>
      </c>
      <c r="P37" s="1657">
        <f>Q37-E37</f>
        <v>0</v>
      </c>
      <c r="Q37" s="1141"/>
    </row>
    <row r="38" spans="1:17" ht="19.5" x14ac:dyDescent="0.25">
      <c r="A38" s="110">
        <f t="shared" si="5"/>
        <v>44135</v>
      </c>
      <c r="B38" s="174">
        <f t="shared" si="3"/>
        <v>0</v>
      </c>
      <c r="C38" s="172"/>
      <c r="D38" s="174">
        <f t="shared" si="6"/>
        <v>0</v>
      </c>
      <c r="E38" s="172"/>
      <c r="F38" s="174">
        <f t="shared" si="4"/>
        <v>0</v>
      </c>
      <c r="G38" s="172"/>
      <c r="H38" s="172"/>
      <c r="I38" s="172"/>
      <c r="J38" s="172"/>
      <c r="K38" s="173">
        <f t="shared" si="0"/>
        <v>0</v>
      </c>
      <c r="L38" s="173"/>
      <c r="M38" s="172"/>
      <c r="N38" s="172">
        <f t="shared" si="1"/>
        <v>0</v>
      </c>
      <c r="O38" s="177">
        <f t="shared" si="2"/>
        <v>1621280</v>
      </c>
      <c r="P38" s="1657">
        <f>SUM(P33:P37)</f>
        <v>3878160</v>
      </c>
      <c r="Q38" s="1141"/>
    </row>
    <row r="39" spans="1:17" ht="19.5" x14ac:dyDescent="0.25">
      <c r="A39" s="178" t="s">
        <v>18</v>
      </c>
      <c r="B39" s="185">
        <f t="shared" ref="B39:K39" si="7">SUM(B8:B38)</f>
        <v>0</v>
      </c>
      <c r="C39" s="173">
        <f t="shared" si="7"/>
        <v>0</v>
      </c>
      <c r="D39" s="179">
        <f t="shared" si="7"/>
        <v>0</v>
      </c>
      <c r="E39" s="173">
        <f t="shared" si="7"/>
        <v>0</v>
      </c>
      <c r="F39" s="173">
        <f t="shared" si="7"/>
        <v>0</v>
      </c>
      <c r="G39" s="173">
        <f t="shared" si="7"/>
        <v>0</v>
      </c>
      <c r="H39" s="173">
        <f t="shared" si="7"/>
        <v>0</v>
      </c>
      <c r="I39" s="173">
        <f t="shared" si="7"/>
        <v>0</v>
      </c>
      <c r="J39" s="173">
        <f t="shared" si="7"/>
        <v>0</v>
      </c>
      <c r="K39" s="173">
        <f t="shared" si="7"/>
        <v>0</v>
      </c>
      <c r="L39" s="173"/>
      <c r="M39" s="173">
        <f>SUM(M8:M38)</f>
        <v>0</v>
      </c>
      <c r="N39" s="177">
        <f>SUM(N7:N38)</f>
        <v>1621280</v>
      </c>
      <c r="O39" s="180"/>
      <c r="P39" s="634"/>
      <c r="Q39" s="634"/>
    </row>
    <row r="40" spans="1:17" x14ac:dyDescent="0.25">
      <c r="F40" s="218"/>
      <c r="P40" s="634"/>
      <c r="Q40" s="634"/>
    </row>
    <row r="41" spans="1:17" x14ac:dyDescent="0.25">
      <c r="D41" s="634"/>
      <c r="E41" s="218"/>
      <c r="L41" s="634"/>
      <c r="M41" s="634"/>
      <c r="N41" s="634"/>
      <c r="O41" s="634"/>
    </row>
    <row r="42" spans="1:17" x14ac:dyDescent="0.25">
      <c r="A42" s="38" t="s">
        <v>931</v>
      </c>
      <c r="F42" s="218"/>
      <c r="G42" s="218"/>
      <c r="L42" s="634"/>
      <c r="M42" s="634"/>
      <c r="N42" s="634"/>
      <c r="O42" s="634"/>
      <c r="P42" s="218"/>
      <c r="Q42" s="218"/>
    </row>
    <row r="43" spans="1:17" x14ac:dyDescent="0.25">
      <c r="E43" s="1141"/>
      <c r="G43" s="218"/>
      <c r="L43" s="634"/>
      <c r="M43" s="634"/>
      <c r="N43" s="634"/>
      <c r="O43" s="634"/>
      <c r="P43" s="218"/>
      <c r="Q43" s="218"/>
    </row>
    <row r="44" spans="1:17" x14ac:dyDescent="0.25">
      <c r="D44" s="1141"/>
      <c r="E44" s="667"/>
      <c r="L44" s="634"/>
      <c r="M44" s="634"/>
      <c r="N44" s="634"/>
      <c r="O44" s="634"/>
      <c r="P44" s="218"/>
      <c r="Q44" s="218"/>
    </row>
    <row r="45" spans="1:17" x14ac:dyDescent="0.25">
      <c r="L45" s="634"/>
      <c r="M45" s="634"/>
      <c r="N45" s="634"/>
      <c r="O45" s="634"/>
      <c r="P45" s="218"/>
      <c r="Q45" s="218"/>
    </row>
    <row r="46" spans="1:17" x14ac:dyDescent="0.25">
      <c r="D46" s="1323"/>
      <c r="E46" s="1141"/>
      <c r="L46" s="634"/>
      <c r="M46" s="634"/>
      <c r="N46" s="634"/>
      <c r="O46" s="634"/>
      <c r="P46" s="218"/>
      <c r="Q46" s="218"/>
    </row>
    <row r="47" spans="1:17" s="74" customFormat="1" x14ac:dyDescent="0.25">
      <c r="L47" s="1733"/>
      <c r="M47" s="1733"/>
      <c r="N47" s="1733"/>
      <c r="O47" s="1733"/>
      <c r="P47" s="1733"/>
      <c r="Q47" s="1733"/>
    </row>
    <row r="53" spans="17:17" x14ac:dyDescent="0.25">
      <c r="Q53" s="1657"/>
    </row>
  </sheetData>
  <mergeCells count="8">
    <mergeCell ref="O5:O6"/>
    <mergeCell ref="H5:H6"/>
    <mergeCell ref="I5:I6"/>
    <mergeCell ref="J5:J6"/>
    <mergeCell ref="K5:K6"/>
    <mergeCell ref="M5:M6"/>
    <mergeCell ref="N5:N6"/>
    <mergeCell ref="L5:L6"/>
  </mergeCells>
  <printOptions horizontalCentered="1"/>
  <pageMargins left="0.39370078740157483" right="0.39370078740157483" top="0.74803149606299213" bottom="0.39370078740157483" header="0.31496062992125984" footer="0.31496062992125984"/>
  <pageSetup paperSize="9" scale="47" orientation="landscape"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7">
    <tabColor theme="4" tint="-0.249977111117893"/>
    <pageSetUpPr fitToPage="1"/>
  </sheetPr>
  <dimension ref="A2:S48"/>
  <sheetViews>
    <sheetView topLeftCell="A10" zoomScaleNormal="100" workbookViewId="0">
      <selection activeCell="J18" sqref="J18"/>
    </sheetView>
  </sheetViews>
  <sheetFormatPr baseColWidth="10" defaultColWidth="14" defaultRowHeight="15" x14ac:dyDescent="0.2"/>
  <cols>
    <col min="1" max="4" width="14" style="37"/>
    <col min="5" max="5" width="17" style="37" customWidth="1"/>
    <col min="6" max="10" width="14" style="37"/>
    <col min="11" max="11" width="17.42578125" style="37" customWidth="1"/>
    <col min="12" max="12" width="18.28515625" style="37" customWidth="1"/>
    <col min="13" max="13" width="16.7109375" style="37" customWidth="1"/>
    <col min="14" max="14" width="15.5703125" style="37" customWidth="1"/>
    <col min="15" max="15" width="16.5703125" style="37" customWidth="1"/>
    <col min="16" max="16" width="19.28515625" style="37" customWidth="1"/>
    <col min="17" max="16384" width="14" style="37"/>
  </cols>
  <sheetData>
    <row r="2" spans="1:16" ht="21" x14ac:dyDescent="0.35">
      <c r="A2" s="1" t="s">
        <v>118</v>
      </c>
      <c r="B2" s="52" t="s">
        <v>1824</v>
      </c>
    </row>
    <row r="3" spans="1:16" ht="15.75" x14ac:dyDescent="0.25">
      <c r="C3" s="99"/>
    </row>
    <row r="4" spans="1:16" ht="16.5" x14ac:dyDescent="0.3">
      <c r="A4" s="1" t="s">
        <v>19</v>
      </c>
      <c r="B4" s="2">
        <f>+HERAKLESS!C3</f>
        <v>43160</v>
      </c>
      <c r="C4" s="1"/>
    </row>
    <row r="5" spans="1:16" ht="16.5" x14ac:dyDescent="0.3">
      <c r="A5" s="1"/>
      <c r="B5" s="1"/>
      <c r="C5" s="1"/>
    </row>
    <row r="6" spans="1:16" ht="16.5" x14ac:dyDescent="0.2">
      <c r="A6" s="100" t="s">
        <v>3</v>
      </c>
      <c r="B6" s="1773" t="s">
        <v>15</v>
      </c>
      <c r="C6" s="1774"/>
      <c r="D6" s="1773" t="s">
        <v>16</v>
      </c>
      <c r="E6" s="1774"/>
      <c r="F6" s="1773" t="s">
        <v>17</v>
      </c>
      <c r="G6" s="1774"/>
      <c r="H6" s="2910" t="s">
        <v>52</v>
      </c>
      <c r="I6" s="2910" t="s">
        <v>53</v>
      </c>
      <c r="J6" s="2910" t="s">
        <v>119</v>
      </c>
      <c r="K6" s="2910" t="s">
        <v>18</v>
      </c>
      <c r="L6" s="3062" t="s">
        <v>416</v>
      </c>
      <c r="M6" s="2910" t="s">
        <v>60</v>
      </c>
      <c r="N6" s="2910" t="s">
        <v>55</v>
      </c>
      <c r="O6" s="2910" t="s">
        <v>120</v>
      </c>
    </row>
    <row r="7" spans="1:16" ht="21" x14ac:dyDescent="0.2">
      <c r="A7" s="103"/>
      <c r="B7" s="915">
        <v>630</v>
      </c>
      <c r="C7" s="916"/>
      <c r="D7" s="915">
        <v>575</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v>1894514</v>
      </c>
      <c r="O8" s="118">
        <f>N8</f>
        <v>1894514</v>
      </c>
      <c r="P8" s="1731"/>
    </row>
    <row r="9" spans="1:16" s="94" customFormat="1" ht="16.5" x14ac:dyDescent="0.3">
      <c r="A9" s="110">
        <f>+HERAKLESS!A8</f>
        <v>44105</v>
      </c>
      <c r="B9" s="118">
        <f>C9/B$7</f>
        <v>0</v>
      </c>
      <c r="C9" s="189"/>
      <c r="D9" s="117">
        <f>+E9/D$7</f>
        <v>0</v>
      </c>
      <c r="E9" s="1732"/>
      <c r="F9" s="117">
        <f>+G9/F$7</f>
        <v>0</v>
      </c>
      <c r="G9" s="118"/>
      <c r="H9" s="118"/>
      <c r="I9" s="118"/>
      <c r="J9" s="118"/>
      <c r="K9" s="134">
        <f>C9+E9+G9+H9+I9+J9</f>
        <v>0</v>
      </c>
      <c r="L9" s="134"/>
      <c r="M9" s="86"/>
      <c r="N9" s="118">
        <f>K9-M9</f>
        <v>0</v>
      </c>
      <c r="O9" s="118">
        <f>+O8+K9-M9</f>
        <v>1894514</v>
      </c>
      <c r="P9" s="1558"/>
    </row>
    <row r="10" spans="1:16" s="94" customFormat="1" ht="16.5" x14ac:dyDescent="0.3">
      <c r="A10" s="110">
        <f>+A9+1</f>
        <v>44106</v>
      </c>
      <c r="B10" s="118">
        <f t="shared" ref="B10:B39" si="0">C10/B$7</f>
        <v>0</v>
      </c>
      <c r="C10" s="189"/>
      <c r="D10" s="117">
        <f t="shared" ref="D10:D39" si="1">+E10/D$7</f>
        <v>0</v>
      </c>
      <c r="E10" s="1732"/>
      <c r="F10" s="117">
        <f>+G10/F$7</f>
        <v>0</v>
      </c>
      <c r="G10" s="118"/>
      <c r="H10" s="118"/>
      <c r="I10" s="118"/>
      <c r="J10" s="118"/>
      <c r="K10" s="134">
        <f t="shared" ref="K10:K39" si="2">C10+E10+G10+H10+I10+J10</f>
        <v>0</v>
      </c>
      <c r="L10" s="134"/>
      <c r="M10" s="86"/>
      <c r="N10" s="118">
        <f t="shared" ref="N10:N37" si="3">K10-M10</f>
        <v>0</v>
      </c>
      <c r="O10" s="118">
        <f t="shared" ref="O10:O37" si="4">+O9+K10-M10</f>
        <v>1894514</v>
      </c>
      <c r="P10" s="1558"/>
    </row>
    <row r="11" spans="1:16" s="94" customFormat="1" ht="16.5" x14ac:dyDescent="0.3">
      <c r="A11" s="110">
        <f t="shared" ref="A11:A39" si="5">+A10+1</f>
        <v>44107</v>
      </c>
      <c r="B11" s="118">
        <f t="shared" si="0"/>
        <v>0</v>
      </c>
      <c r="C11" s="86"/>
      <c r="D11" s="117">
        <f t="shared" si="1"/>
        <v>0</v>
      </c>
      <c r="E11" s="1732"/>
      <c r="F11" s="117">
        <f t="shared" ref="F11:F39" si="6">+G11/F$7</f>
        <v>0</v>
      </c>
      <c r="G11" s="118"/>
      <c r="H11" s="118"/>
      <c r="I11" s="118"/>
      <c r="J11" s="118"/>
      <c r="K11" s="134">
        <f t="shared" si="2"/>
        <v>0</v>
      </c>
      <c r="L11" s="831"/>
      <c r="M11" s="86"/>
      <c r="N11" s="118">
        <f t="shared" si="3"/>
        <v>0</v>
      </c>
      <c r="O11" s="118">
        <f t="shared" si="4"/>
        <v>1894514</v>
      </c>
      <c r="P11" s="1558"/>
    </row>
    <row r="12" spans="1:16" s="94" customFormat="1" ht="16.5" x14ac:dyDescent="0.3">
      <c r="A12" s="110">
        <f t="shared" si="5"/>
        <v>44108</v>
      </c>
      <c r="B12" s="118">
        <f t="shared" si="0"/>
        <v>0</v>
      </c>
      <c r="C12" s="86"/>
      <c r="D12" s="117">
        <f t="shared" si="1"/>
        <v>0</v>
      </c>
      <c r="E12" s="1732"/>
      <c r="F12" s="117">
        <f t="shared" si="6"/>
        <v>0</v>
      </c>
      <c r="G12" s="118"/>
      <c r="H12" s="118"/>
      <c r="I12" s="118"/>
      <c r="J12" s="118"/>
      <c r="K12" s="134">
        <f t="shared" si="2"/>
        <v>0</v>
      </c>
      <c r="L12" s="134"/>
      <c r="M12" s="86"/>
      <c r="N12" s="118">
        <f t="shared" si="3"/>
        <v>0</v>
      </c>
      <c r="O12" s="118">
        <f t="shared" si="4"/>
        <v>1894514</v>
      </c>
      <c r="P12" s="1558"/>
    </row>
    <row r="13" spans="1:16" s="94" customFormat="1" ht="16.5" x14ac:dyDescent="0.3">
      <c r="A13" s="110">
        <f t="shared" si="5"/>
        <v>44109</v>
      </c>
      <c r="B13" s="118">
        <f t="shared" si="0"/>
        <v>0</v>
      </c>
      <c r="C13" s="189"/>
      <c r="D13" s="117">
        <f t="shared" si="1"/>
        <v>0</v>
      </c>
      <c r="E13" s="1732"/>
      <c r="F13" s="117">
        <f t="shared" si="6"/>
        <v>0</v>
      </c>
      <c r="G13" s="118"/>
      <c r="H13" s="118"/>
      <c r="I13" s="118"/>
      <c r="J13" s="118"/>
      <c r="K13" s="134">
        <f t="shared" si="2"/>
        <v>0</v>
      </c>
      <c r="L13" s="134"/>
      <c r="M13" s="86"/>
      <c r="N13" s="118">
        <f t="shared" si="3"/>
        <v>0</v>
      </c>
      <c r="O13" s="118">
        <f t="shared" si="4"/>
        <v>1894514</v>
      </c>
      <c r="P13" s="1558"/>
    </row>
    <row r="14" spans="1:16" s="94" customFormat="1" ht="16.5" x14ac:dyDescent="0.3">
      <c r="A14" s="110">
        <f t="shared" si="5"/>
        <v>44110</v>
      </c>
      <c r="B14" s="118">
        <f t="shared" si="0"/>
        <v>0</v>
      </c>
      <c r="C14" s="86"/>
      <c r="D14" s="117">
        <f t="shared" si="1"/>
        <v>0</v>
      </c>
      <c r="E14" s="1732"/>
      <c r="F14" s="117">
        <f t="shared" si="6"/>
        <v>0</v>
      </c>
      <c r="G14" s="118"/>
      <c r="H14" s="118"/>
      <c r="I14" s="118"/>
      <c r="J14" s="118"/>
      <c r="K14" s="134">
        <f t="shared" si="2"/>
        <v>0</v>
      </c>
      <c r="L14" s="134"/>
      <c r="M14" s="86"/>
      <c r="N14" s="118">
        <f t="shared" si="3"/>
        <v>0</v>
      </c>
      <c r="O14" s="118">
        <f t="shared" si="4"/>
        <v>1894514</v>
      </c>
      <c r="P14" s="1558"/>
    </row>
    <row r="15" spans="1:16" s="94" customFormat="1" ht="16.5" x14ac:dyDescent="0.3">
      <c r="A15" s="110">
        <f t="shared" si="5"/>
        <v>44111</v>
      </c>
      <c r="B15" s="118">
        <f t="shared" si="0"/>
        <v>0</v>
      </c>
      <c r="C15" s="86"/>
      <c r="D15" s="117">
        <f t="shared" si="1"/>
        <v>0</v>
      </c>
      <c r="E15" s="1732"/>
      <c r="F15" s="117">
        <f t="shared" si="6"/>
        <v>0</v>
      </c>
      <c r="G15" s="118"/>
      <c r="H15" s="118"/>
      <c r="I15" s="118"/>
      <c r="J15" s="118"/>
      <c r="K15" s="134">
        <f t="shared" si="2"/>
        <v>0</v>
      </c>
      <c r="L15" s="134"/>
      <c r="M15" s="86"/>
      <c r="N15" s="118">
        <f t="shared" si="3"/>
        <v>0</v>
      </c>
      <c r="O15" s="118">
        <f t="shared" si="4"/>
        <v>1894514</v>
      </c>
      <c r="P15" s="1558"/>
    </row>
    <row r="16" spans="1:16" s="94" customFormat="1" ht="16.5" x14ac:dyDescent="0.3">
      <c r="A16" s="110">
        <f t="shared" si="5"/>
        <v>44112</v>
      </c>
      <c r="B16" s="118">
        <f t="shared" si="0"/>
        <v>0</v>
      </c>
      <c r="C16" s="86"/>
      <c r="D16" s="118">
        <f t="shared" si="1"/>
        <v>0</v>
      </c>
      <c r="E16" s="1732"/>
      <c r="F16" s="117">
        <f t="shared" si="6"/>
        <v>0</v>
      </c>
      <c r="G16" s="118"/>
      <c r="H16" s="118"/>
      <c r="I16" s="118"/>
      <c r="J16" s="118"/>
      <c r="K16" s="134">
        <f t="shared" si="2"/>
        <v>0</v>
      </c>
      <c r="L16" s="134"/>
      <c r="M16" s="86"/>
      <c r="N16" s="118">
        <f t="shared" si="3"/>
        <v>0</v>
      </c>
      <c r="O16" s="118">
        <f t="shared" si="4"/>
        <v>1894514</v>
      </c>
      <c r="P16" s="1558"/>
    </row>
    <row r="17" spans="1:17" s="94" customFormat="1" ht="16.5" x14ac:dyDescent="0.3">
      <c r="A17" s="110">
        <f t="shared" si="5"/>
        <v>44113</v>
      </c>
      <c r="B17" s="118">
        <f t="shared" si="0"/>
        <v>0</v>
      </c>
      <c r="C17" s="86"/>
      <c r="D17" s="118">
        <f t="shared" si="1"/>
        <v>0</v>
      </c>
      <c r="E17" s="1732"/>
      <c r="F17" s="117">
        <f t="shared" si="6"/>
        <v>0</v>
      </c>
      <c r="G17" s="118"/>
      <c r="H17" s="118"/>
      <c r="I17" s="118"/>
      <c r="J17" s="118"/>
      <c r="K17" s="134">
        <f t="shared" si="2"/>
        <v>0</v>
      </c>
      <c r="L17" s="134"/>
      <c r="M17" s="86"/>
      <c r="N17" s="118">
        <f t="shared" si="3"/>
        <v>0</v>
      </c>
      <c r="O17" s="118">
        <f t="shared" si="4"/>
        <v>1894514</v>
      </c>
      <c r="P17" s="1558"/>
    </row>
    <row r="18" spans="1:17" s="94" customFormat="1" ht="16.5" x14ac:dyDescent="0.3">
      <c r="A18" s="110">
        <f t="shared" si="5"/>
        <v>44114</v>
      </c>
      <c r="B18" s="118">
        <f t="shared" si="0"/>
        <v>0</v>
      </c>
      <c r="C18" s="86"/>
      <c r="D18" s="118">
        <f t="shared" si="1"/>
        <v>0</v>
      </c>
      <c r="E18" s="1732"/>
      <c r="F18" s="117">
        <f t="shared" si="6"/>
        <v>0</v>
      </c>
      <c r="G18" s="118"/>
      <c r="H18" s="118"/>
      <c r="I18" s="118"/>
      <c r="J18" s="118"/>
      <c r="K18" s="134">
        <f>C18+E18+G18+H18+I18+J18</f>
        <v>0</v>
      </c>
      <c r="L18" s="134"/>
      <c r="M18" s="86"/>
      <c r="N18" s="118">
        <f t="shared" si="3"/>
        <v>0</v>
      </c>
      <c r="O18" s="118">
        <f t="shared" si="4"/>
        <v>1894514</v>
      </c>
      <c r="P18" s="1558"/>
    </row>
    <row r="19" spans="1:17" s="94" customFormat="1" ht="16.5" x14ac:dyDescent="0.3">
      <c r="A19" s="110">
        <f t="shared" si="5"/>
        <v>44115</v>
      </c>
      <c r="B19" s="118">
        <f t="shared" si="0"/>
        <v>0</v>
      </c>
      <c r="C19" s="86"/>
      <c r="D19" s="118">
        <f t="shared" si="1"/>
        <v>0</v>
      </c>
      <c r="E19" s="1732"/>
      <c r="F19" s="117">
        <f t="shared" si="6"/>
        <v>0</v>
      </c>
      <c r="G19" s="118"/>
      <c r="H19" s="118"/>
      <c r="I19" s="118"/>
      <c r="J19" s="118"/>
      <c r="K19" s="134">
        <f t="shared" si="2"/>
        <v>0</v>
      </c>
      <c r="L19" s="134"/>
      <c r="M19" s="86"/>
      <c r="N19" s="118">
        <f t="shared" si="3"/>
        <v>0</v>
      </c>
      <c r="O19" s="118">
        <f t="shared" si="4"/>
        <v>1894514</v>
      </c>
      <c r="P19" s="1558"/>
    </row>
    <row r="20" spans="1:17" s="94" customFormat="1" ht="16.5" x14ac:dyDescent="0.3">
      <c r="A20" s="110">
        <f t="shared" si="5"/>
        <v>44116</v>
      </c>
      <c r="B20" s="118">
        <f t="shared" si="0"/>
        <v>0</v>
      </c>
      <c r="C20" s="86"/>
      <c r="D20" s="118">
        <f t="shared" si="1"/>
        <v>0</v>
      </c>
      <c r="E20" s="1732"/>
      <c r="F20" s="117">
        <f t="shared" si="6"/>
        <v>0</v>
      </c>
      <c r="G20" s="118"/>
      <c r="H20" s="118"/>
      <c r="I20" s="118"/>
      <c r="J20" s="118"/>
      <c r="K20" s="134">
        <f t="shared" si="2"/>
        <v>0</v>
      </c>
      <c r="L20" s="134"/>
      <c r="M20" s="86"/>
      <c r="N20" s="118">
        <f t="shared" si="3"/>
        <v>0</v>
      </c>
      <c r="O20" s="118">
        <f>+O19+K20-M20</f>
        <v>1894514</v>
      </c>
      <c r="P20" s="1558">
        <f>Q20-D20</f>
        <v>6550</v>
      </c>
      <c r="Q20" s="94">
        <f>2280+1900+2370</f>
        <v>6550</v>
      </c>
    </row>
    <row r="21" spans="1:17" s="94" customFormat="1" ht="16.5" x14ac:dyDescent="0.3">
      <c r="A21" s="110">
        <f t="shared" si="5"/>
        <v>44117</v>
      </c>
      <c r="B21" s="118">
        <f t="shared" si="0"/>
        <v>0</v>
      </c>
      <c r="C21" s="86"/>
      <c r="D21" s="118">
        <f t="shared" si="1"/>
        <v>0</v>
      </c>
      <c r="E21" s="1732"/>
      <c r="F21" s="117">
        <f t="shared" si="6"/>
        <v>0</v>
      </c>
      <c r="G21" s="118"/>
      <c r="H21" s="118"/>
      <c r="I21" s="118"/>
      <c r="J21" s="118"/>
      <c r="K21" s="134">
        <f t="shared" si="2"/>
        <v>0</v>
      </c>
      <c r="L21" s="134"/>
      <c r="M21" s="86"/>
      <c r="N21" s="118">
        <f t="shared" si="3"/>
        <v>0</v>
      </c>
      <c r="O21" s="118">
        <f t="shared" si="4"/>
        <v>1894514</v>
      </c>
      <c r="P21" s="1558">
        <f t="shared" ref="P21:P38" si="7">Q21-D21</f>
        <v>0</v>
      </c>
    </row>
    <row r="22" spans="1:17" s="94" customFormat="1" ht="16.5" x14ac:dyDescent="0.3">
      <c r="A22" s="110">
        <f t="shared" si="5"/>
        <v>44118</v>
      </c>
      <c r="B22" s="118">
        <f t="shared" si="0"/>
        <v>0</v>
      </c>
      <c r="C22" s="86"/>
      <c r="D22" s="118">
        <f t="shared" si="1"/>
        <v>0</v>
      </c>
      <c r="E22" s="1732"/>
      <c r="F22" s="117">
        <f t="shared" si="6"/>
        <v>0</v>
      </c>
      <c r="G22" s="118"/>
      <c r="H22" s="118"/>
      <c r="I22" s="118"/>
      <c r="J22" s="118"/>
      <c r="K22" s="134">
        <f t="shared" si="2"/>
        <v>0</v>
      </c>
      <c r="L22" s="134"/>
      <c r="M22" s="86"/>
      <c r="N22" s="118">
        <f t="shared" si="3"/>
        <v>0</v>
      </c>
      <c r="O22" s="118">
        <f t="shared" si="4"/>
        <v>1894514</v>
      </c>
      <c r="P22" s="1558">
        <f t="shared" si="7"/>
        <v>0</v>
      </c>
    </row>
    <row r="23" spans="1:17" s="94" customFormat="1" ht="16.5" x14ac:dyDescent="0.3">
      <c r="A23" s="110">
        <f t="shared" si="5"/>
        <v>44119</v>
      </c>
      <c r="B23" s="118">
        <f t="shared" si="0"/>
        <v>0</v>
      </c>
      <c r="C23" s="86"/>
      <c r="D23" s="118">
        <f t="shared" si="1"/>
        <v>0</v>
      </c>
      <c r="E23" s="1732"/>
      <c r="F23" s="117">
        <f t="shared" si="6"/>
        <v>0</v>
      </c>
      <c r="G23" s="118"/>
      <c r="H23" s="118"/>
      <c r="I23" s="118"/>
      <c r="J23" s="118"/>
      <c r="K23" s="134">
        <f t="shared" si="2"/>
        <v>0</v>
      </c>
      <c r="L23" s="134"/>
      <c r="M23" s="86"/>
      <c r="N23" s="118">
        <f t="shared" si="3"/>
        <v>0</v>
      </c>
      <c r="O23" s="118">
        <f t="shared" si="4"/>
        <v>1894514</v>
      </c>
      <c r="P23" s="1558">
        <f t="shared" si="7"/>
        <v>0</v>
      </c>
    </row>
    <row r="24" spans="1:17" s="94" customFormat="1" ht="16.5" x14ac:dyDescent="0.3">
      <c r="A24" s="110">
        <f t="shared" si="5"/>
        <v>44120</v>
      </c>
      <c r="B24" s="118">
        <f t="shared" si="0"/>
        <v>0</v>
      </c>
      <c r="C24" s="86"/>
      <c r="D24" s="1775">
        <f t="shared" si="1"/>
        <v>0</v>
      </c>
      <c r="E24" s="1732"/>
      <c r="F24" s="117">
        <f t="shared" si="6"/>
        <v>0</v>
      </c>
      <c r="G24" s="118"/>
      <c r="H24" s="118"/>
      <c r="I24" s="118"/>
      <c r="J24" s="118"/>
      <c r="K24" s="134">
        <f t="shared" si="2"/>
        <v>0</v>
      </c>
      <c r="L24" s="134"/>
      <c r="M24" s="86"/>
      <c r="N24" s="118">
        <f t="shared" si="3"/>
        <v>0</v>
      </c>
      <c r="O24" s="118">
        <f t="shared" si="4"/>
        <v>1894514</v>
      </c>
      <c r="P24" s="1558">
        <f t="shared" si="7"/>
        <v>0</v>
      </c>
    </row>
    <row r="25" spans="1:17" s="94" customFormat="1" ht="16.5" x14ac:dyDescent="0.3">
      <c r="A25" s="110">
        <f t="shared" si="5"/>
        <v>44121</v>
      </c>
      <c r="B25" s="118">
        <f t="shared" si="0"/>
        <v>0</v>
      </c>
      <c r="C25" s="86"/>
      <c r="D25" s="118">
        <f t="shared" si="1"/>
        <v>0</v>
      </c>
      <c r="E25" s="1732"/>
      <c r="F25" s="117">
        <f t="shared" si="6"/>
        <v>0</v>
      </c>
      <c r="G25" s="118"/>
      <c r="H25" s="118"/>
      <c r="I25" s="118"/>
      <c r="J25" s="118"/>
      <c r="K25" s="134">
        <f t="shared" si="2"/>
        <v>0</v>
      </c>
      <c r="L25" s="134"/>
      <c r="M25" s="86"/>
      <c r="N25" s="118">
        <f t="shared" si="3"/>
        <v>0</v>
      </c>
      <c r="O25" s="118">
        <f t="shared" si="4"/>
        <v>1894514</v>
      </c>
      <c r="P25" s="1558">
        <f t="shared" si="7"/>
        <v>0</v>
      </c>
    </row>
    <row r="26" spans="1:17" s="94" customFormat="1" ht="16.5" x14ac:dyDescent="0.3">
      <c r="A26" s="110">
        <f t="shared" si="5"/>
        <v>44122</v>
      </c>
      <c r="B26" s="118">
        <f t="shared" si="0"/>
        <v>0</v>
      </c>
      <c r="C26" s="86"/>
      <c r="D26" s="118">
        <f t="shared" si="1"/>
        <v>0</v>
      </c>
      <c r="E26" s="1732"/>
      <c r="F26" s="117">
        <f t="shared" si="6"/>
        <v>0</v>
      </c>
      <c r="G26" s="118"/>
      <c r="H26" s="118"/>
      <c r="I26" s="118"/>
      <c r="J26" s="118"/>
      <c r="K26" s="134">
        <f t="shared" si="2"/>
        <v>0</v>
      </c>
      <c r="L26" s="134"/>
      <c r="M26" s="86"/>
      <c r="N26" s="118">
        <f t="shared" si="3"/>
        <v>0</v>
      </c>
      <c r="O26" s="118">
        <f t="shared" si="4"/>
        <v>1894514</v>
      </c>
      <c r="P26" s="1558">
        <f t="shared" si="7"/>
        <v>0</v>
      </c>
    </row>
    <row r="27" spans="1:17" ht="16.5" x14ac:dyDescent="0.3">
      <c r="A27" s="110">
        <f t="shared" si="5"/>
        <v>44123</v>
      </c>
      <c r="B27" s="118">
        <f t="shared" si="0"/>
        <v>0</v>
      </c>
      <c r="C27" s="86"/>
      <c r="D27" s="114">
        <f t="shared" si="1"/>
        <v>0</v>
      </c>
      <c r="E27" s="1732"/>
      <c r="F27" s="117">
        <f t="shared" si="6"/>
        <v>0</v>
      </c>
      <c r="G27" s="118"/>
      <c r="H27" s="118"/>
      <c r="I27" s="118"/>
      <c r="J27" s="118"/>
      <c r="K27" s="115">
        <f t="shared" si="2"/>
        <v>0</v>
      </c>
      <c r="L27" s="115"/>
      <c r="M27" s="86"/>
      <c r="N27" s="118">
        <f t="shared" si="3"/>
        <v>0</v>
      </c>
      <c r="O27" s="118">
        <f t="shared" si="4"/>
        <v>1894514</v>
      </c>
      <c r="P27" s="1558">
        <f t="shared" si="7"/>
        <v>0</v>
      </c>
    </row>
    <row r="28" spans="1:17" ht="16.5" x14ac:dyDescent="0.3">
      <c r="A28" s="110">
        <f t="shared" si="5"/>
        <v>44124</v>
      </c>
      <c r="B28" s="118">
        <f t="shared" si="0"/>
        <v>0</v>
      </c>
      <c r="C28" s="86"/>
      <c r="D28" s="114">
        <f t="shared" si="1"/>
        <v>0</v>
      </c>
      <c r="E28" s="1732"/>
      <c r="F28" s="117">
        <f t="shared" si="6"/>
        <v>0</v>
      </c>
      <c r="G28" s="118"/>
      <c r="H28" s="118"/>
      <c r="I28" s="118"/>
      <c r="J28" s="118"/>
      <c r="K28" s="115">
        <f t="shared" si="2"/>
        <v>0</v>
      </c>
      <c r="L28" s="115"/>
      <c r="M28" s="86"/>
      <c r="N28" s="118">
        <f t="shared" si="3"/>
        <v>0</v>
      </c>
      <c r="O28" s="118">
        <f t="shared" si="4"/>
        <v>1894514</v>
      </c>
      <c r="P28" s="1558">
        <f t="shared" si="7"/>
        <v>0</v>
      </c>
    </row>
    <row r="29" spans="1:17" ht="16.5" x14ac:dyDescent="0.3">
      <c r="A29" s="110">
        <f t="shared" si="5"/>
        <v>44125</v>
      </c>
      <c r="B29" s="118">
        <f t="shared" si="0"/>
        <v>0</v>
      </c>
      <c r="C29" s="86"/>
      <c r="D29" s="111">
        <f t="shared" si="1"/>
        <v>0</v>
      </c>
      <c r="E29" s="1732"/>
      <c r="F29" s="117">
        <f t="shared" si="6"/>
        <v>0</v>
      </c>
      <c r="G29" s="118"/>
      <c r="H29" s="118"/>
      <c r="I29" s="118"/>
      <c r="J29" s="118"/>
      <c r="K29" s="115">
        <f t="shared" si="2"/>
        <v>0</v>
      </c>
      <c r="L29" s="115"/>
      <c r="M29" s="86"/>
      <c r="N29" s="118">
        <f t="shared" si="3"/>
        <v>0</v>
      </c>
      <c r="O29" s="118">
        <f t="shared" si="4"/>
        <v>1894514</v>
      </c>
      <c r="P29" s="1558">
        <f t="shared" si="7"/>
        <v>0</v>
      </c>
    </row>
    <row r="30" spans="1:17" ht="16.5" x14ac:dyDescent="0.3">
      <c r="A30" s="110">
        <f t="shared" si="5"/>
        <v>44126</v>
      </c>
      <c r="B30" s="118">
        <f t="shared" si="0"/>
        <v>0</v>
      </c>
      <c r="C30" s="86"/>
      <c r="D30" s="111">
        <f t="shared" si="1"/>
        <v>0</v>
      </c>
      <c r="E30" s="1732"/>
      <c r="F30" s="117">
        <f t="shared" si="6"/>
        <v>0</v>
      </c>
      <c r="G30" s="118"/>
      <c r="H30" s="118"/>
      <c r="I30" s="118"/>
      <c r="J30" s="118"/>
      <c r="K30" s="115">
        <f t="shared" si="2"/>
        <v>0</v>
      </c>
      <c r="L30" s="115"/>
      <c r="M30" s="86"/>
      <c r="N30" s="118">
        <f t="shared" si="3"/>
        <v>0</v>
      </c>
      <c r="O30" s="118">
        <f>+O29+K30-M30</f>
        <v>1894514</v>
      </c>
      <c r="P30" s="1558">
        <f t="shared" si="7"/>
        <v>0</v>
      </c>
    </row>
    <row r="31" spans="1:17" ht="16.5" x14ac:dyDescent="0.3">
      <c r="A31" s="110">
        <f t="shared" si="5"/>
        <v>44127</v>
      </c>
      <c r="B31" s="118">
        <f t="shared" si="0"/>
        <v>0</v>
      </c>
      <c r="C31" s="86"/>
      <c r="D31" s="111">
        <f t="shared" si="1"/>
        <v>0</v>
      </c>
      <c r="E31" s="1732"/>
      <c r="F31" s="117">
        <f t="shared" si="6"/>
        <v>0</v>
      </c>
      <c r="G31" s="118"/>
      <c r="H31" s="118"/>
      <c r="I31" s="118"/>
      <c r="J31" s="118"/>
      <c r="K31" s="115">
        <f t="shared" si="2"/>
        <v>0</v>
      </c>
      <c r="L31" s="115"/>
      <c r="M31" s="86"/>
      <c r="N31" s="118">
        <f t="shared" si="3"/>
        <v>0</v>
      </c>
      <c r="O31" s="118">
        <f t="shared" si="4"/>
        <v>1894514</v>
      </c>
      <c r="P31" s="1558">
        <f t="shared" si="7"/>
        <v>0</v>
      </c>
    </row>
    <row r="32" spans="1:17" ht="16.5" x14ac:dyDescent="0.3">
      <c r="A32" s="110">
        <f t="shared" si="5"/>
        <v>44128</v>
      </c>
      <c r="B32" s="114">
        <f t="shared" si="0"/>
        <v>0</v>
      </c>
      <c r="C32" s="113"/>
      <c r="D32" s="111">
        <f t="shared" si="1"/>
        <v>0</v>
      </c>
      <c r="E32" s="1732"/>
      <c r="F32" s="111">
        <f t="shared" si="6"/>
        <v>0</v>
      </c>
      <c r="G32" s="114"/>
      <c r="H32" s="114"/>
      <c r="I32" s="114"/>
      <c r="J32" s="114"/>
      <c r="K32" s="115">
        <f t="shared" si="2"/>
        <v>0</v>
      </c>
      <c r="L32" s="115"/>
      <c r="M32" s="1696"/>
      <c r="N32" s="114">
        <f t="shared" si="3"/>
        <v>0</v>
      </c>
      <c r="O32" s="114">
        <f t="shared" si="4"/>
        <v>1894514</v>
      </c>
      <c r="P32" s="1558">
        <f t="shared" si="7"/>
        <v>0</v>
      </c>
    </row>
    <row r="33" spans="1:19" ht="16.5" x14ac:dyDescent="0.3">
      <c r="A33" s="110">
        <f t="shared" si="5"/>
        <v>44129</v>
      </c>
      <c r="B33" s="114">
        <f t="shared" si="0"/>
        <v>0</v>
      </c>
      <c r="C33" s="113"/>
      <c r="D33" s="111">
        <f t="shared" si="1"/>
        <v>0</v>
      </c>
      <c r="E33" s="1732"/>
      <c r="F33" s="111">
        <f t="shared" si="6"/>
        <v>0</v>
      </c>
      <c r="G33" s="114"/>
      <c r="H33" s="114"/>
      <c r="I33" s="114"/>
      <c r="J33" s="114"/>
      <c r="K33" s="115">
        <f t="shared" si="2"/>
        <v>0</v>
      </c>
      <c r="L33" s="115"/>
      <c r="M33" s="1696"/>
      <c r="N33" s="114">
        <f t="shared" si="3"/>
        <v>0</v>
      </c>
      <c r="O33" s="114">
        <f t="shared" si="4"/>
        <v>1894514</v>
      </c>
      <c r="P33" s="1558">
        <f t="shared" si="7"/>
        <v>0</v>
      </c>
    </row>
    <row r="34" spans="1:19" ht="16.5" x14ac:dyDescent="0.3">
      <c r="A34" s="110">
        <f t="shared" si="5"/>
        <v>44130</v>
      </c>
      <c r="B34" s="114">
        <f t="shared" si="0"/>
        <v>0</v>
      </c>
      <c r="C34" s="113"/>
      <c r="D34" s="111">
        <f t="shared" si="1"/>
        <v>0</v>
      </c>
      <c r="E34" s="1732"/>
      <c r="F34" s="111">
        <f t="shared" si="6"/>
        <v>0</v>
      </c>
      <c r="G34" s="114"/>
      <c r="H34" s="114"/>
      <c r="I34" s="114"/>
      <c r="J34" s="114"/>
      <c r="K34" s="115">
        <f t="shared" si="2"/>
        <v>0</v>
      </c>
      <c r="L34" s="115"/>
      <c r="M34" s="1696"/>
      <c r="N34" s="114">
        <f t="shared" si="3"/>
        <v>0</v>
      </c>
      <c r="O34" s="114">
        <f t="shared" si="4"/>
        <v>1894514</v>
      </c>
      <c r="P34" s="1558">
        <f t="shared" si="7"/>
        <v>0</v>
      </c>
    </row>
    <row r="35" spans="1:19" ht="16.5" x14ac:dyDescent="0.3">
      <c r="A35" s="110">
        <f t="shared" si="5"/>
        <v>44131</v>
      </c>
      <c r="B35" s="114">
        <f t="shared" si="0"/>
        <v>0</v>
      </c>
      <c r="C35" s="113"/>
      <c r="D35" s="111">
        <f t="shared" si="1"/>
        <v>0</v>
      </c>
      <c r="E35" s="1732"/>
      <c r="F35" s="111">
        <f t="shared" si="6"/>
        <v>0</v>
      </c>
      <c r="G35" s="114"/>
      <c r="H35" s="114"/>
      <c r="I35" s="114"/>
      <c r="J35" s="114"/>
      <c r="K35" s="115">
        <f t="shared" si="2"/>
        <v>0</v>
      </c>
      <c r="L35" s="115"/>
      <c r="M35" s="1696"/>
      <c r="N35" s="114">
        <f t="shared" si="3"/>
        <v>0</v>
      </c>
      <c r="O35" s="114">
        <f t="shared" si="4"/>
        <v>1894514</v>
      </c>
      <c r="P35" s="1558">
        <f t="shared" si="7"/>
        <v>0</v>
      </c>
      <c r="S35" s="386"/>
    </row>
    <row r="36" spans="1:19" ht="16.5" x14ac:dyDescent="0.3">
      <c r="A36" s="110">
        <f t="shared" si="5"/>
        <v>44132</v>
      </c>
      <c r="B36" s="114">
        <f t="shared" si="0"/>
        <v>0</v>
      </c>
      <c r="C36" s="113"/>
      <c r="D36" s="111">
        <f t="shared" si="1"/>
        <v>0</v>
      </c>
      <c r="E36" s="1732"/>
      <c r="F36" s="111">
        <f t="shared" si="6"/>
        <v>0</v>
      </c>
      <c r="G36" s="114"/>
      <c r="H36" s="114"/>
      <c r="I36" s="114"/>
      <c r="J36" s="114"/>
      <c r="K36" s="115">
        <f t="shared" si="2"/>
        <v>0</v>
      </c>
      <c r="L36" s="115"/>
      <c r="M36" s="1696"/>
      <c r="N36" s="114">
        <f t="shared" si="3"/>
        <v>0</v>
      </c>
      <c r="O36" s="114">
        <f t="shared" si="4"/>
        <v>1894514</v>
      </c>
      <c r="P36" s="1558">
        <f t="shared" si="7"/>
        <v>0</v>
      </c>
      <c r="Q36" s="386"/>
    </row>
    <row r="37" spans="1:19" ht="16.5" x14ac:dyDescent="0.3">
      <c r="A37" s="110">
        <f t="shared" si="5"/>
        <v>44133</v>
      </c>
      <c r="B37" s="114">
        <f t="shared" si="0"/>
        <v>0</v>
      </c>
      <c r="C37" s="113"/>
      <c r="D37" s="111">
        <f t="shared" si="1"/>
        <v>0</v>
      </c>
      <c r="E37" s="1732"/>
      <c r="F37" s="111">
        <f t="shared" si="6"/>
        <v>0</v>
      </c>
      <c r="G37" s="114"/>
      <c r="H37" s="114"/>
      <c r="I37" s="114"/>
      <c r="J37" s="114"/>
      <c r="K37" s="115">
        <f t="shared" si="2"/>
        <v>0</v>
      </c>
      <c r="L37" s="115"/>
      <c r="M37" s="1696"/>
      <c r="N37" s="114">
        <f t="shared" si="3"/>
        <v>0</v>
      </c>
      <c r="O37" s="114">
        <f t="shared" si="4"/>
        <v>1894514</v>
      </c>
      <c r="P37" s="1558">
        <f t="shared" si="7"/>
        <v>0</v>
      </c>
    </row>
    <row r="38" spans="1:19" ht="16.5" x14ac:dyDescent="0.3">
      <c r="A38" s="110">
        <f t="shared" si="5"/>
        <v>44134</v>
      </c>
      <c r="B38" s="114">
        <f t="shared" si="0"/>
        <v>0</v>
      </c>
      <c r="C38" s="113"/>
      <c r="D38" s="111">
        <f t="shared" si="1"/>
        <v>0</v>
      </c>
      <c r="E38" s="1732"/>
      <c r="F38" s="111">
        <f t="shared" si="6"/>
        <v>0</v>
      </c>
      <c r="G38" s="114"/>
      <c r="H38" s="114"/>
      <c r="I38" s="114"/>
      <c r="J38" s="114"/>
      <c r="K38" s="115">
        <f t="shared" si="2"/>
        <v>0</v>
      </c>
      <c r="L38" s="115"/>
      <c r="M38" s="113"/>
      <c r="N38" s="114">
        <f>K38-M38</f>
        <v>0</v>
      </c>
      <c r="O38" s="114">
        <f>+O37+K38-M38</f>
        <v>1894514</v>
      </c>
      <c r="P38" s="1558">
        <f t="shared" si="7"/>
        <v>0</v>
      </c>
    </row>
    <row r="39" spans="1:19" ht="16.5" x14ac:dyDescent="0.3">
      <c r="A39" s="110">
        <f t="shared" si="5"/>
        <v>44135</v>
      </c>
      <c r="B39" s="111">
        <f t="shared" si="0"/>
        <v>0</v>
      </c>
      <c r="C39" s="113"/>
      <c r="D39" s="111">
        <f t="shared" si="1"/>
        <v>0</v>
      </c>
      <c r="E39" s="1732"/>
      <c r="F39" s="111">
        <f t="shared" si="6"/>
        <v>0</v>
      </c>
      <c r="G39" s="114"/>
      <c r="H39" s="114"/>
      <c r="I39" s="114"/>
      <c r="J39" s="114"/>
      <c r="K39" s="115">
        <f t="shared" si="2"/>
        <v>0</v>
      </c>
      <c r="L39" s="115"/>
      <c r="M39" s="113"/>
      <c r="N39" s="114">
        <f>K39-M39</f>
        <v>0</v>
      </c>
      <c r="O39" s="120">
        <f>+O38+K39-M39</f>
        <v>1894514</v>
      </c>
      <c r="P39" s="1558">
        <f>SUM(P20:P38)</f>
        <v>6550</v>
      </c>
    </row>
    <row r="40" spans="1:19" ht="16.5" x14ac:dyDescent="0.2">
      <c r="A40" s="121" t="s">
        <v>18</v>
      </c>
      <c r="B40" s="115">
        <f t="shared" ref="B40:M40" si="8">SUM(B9:B39)</f>
        <v>0</v>
      </c>
      <c r="C40" s="115">
        <f>SUM(C9:C39)</f>
        <v>0</v>
      </c>
      <c r="D40" s="122">
        <f t="shared" si="8"/>
        <v>0</v>
      </c>
      <c r="E40" s="115">
        <f>SUM(E9:E39)</f>
        <v>0</v>
      </c>
      <c r="F40" s="115">
        <f t="shared" si="8"/>
        <v>0</v>
      </c>
      <c r="G40" s="115">
        <f t="shared" si="8"/>
        <v>0</v>
      </c>
      <c r="H40" s="115">
        <f t="shared" si="8"/>
        <v>0</v>
      </c>
      <c r="I40" s="115">
        <f t="shared" si="8"/>
        <v>0</v>
      </c>
      <c r="J40" s="115">
        <f t="shared" si="8"/>
        <v>0</v>
      </c>
      <c r="K40" s="115">
        <f>SUM(K9:K39)</f>
        <v>0</v>
      </c>
      <c r="L40" s="115"/>
      <c r="M40" s="115">
        <f t="shared" si="8"/>
        <v>0</v>
      </c>
      <c r="N40" s="120">
        <f>SUM(N8:N39)</f>
        <v>1894514</v>
      </c>
      <c r="O40" s="123"/>
    </row>
    <row r="41" spans="1:19" ht="15.75" x14ac:dyDescent="0.2">
      <c r="A41" s="124"/>
      <c r="B41" s="124"/>
      <c r="C41" s="124"/>
      <c r="D41" s="125"/>
      <c r="E41" s="124"/>
      <c r="F41" s="124"/>
      <c r="G41" s="124"/>
      <c r="H41" s="124"/>
      <c r="I41" s="124"/>
      <c r="J41" s="124"/>
      <c r="K41" s="124"/>
      <c r="L41" s="124"/>
      <c r="M41" s="124"/>
      <c r="N41" s="124"/>
      <c r="O41" s="124"/>
    </row>
    <row r="42" spans="1:19" ht="15.75" x14ac:dyDescent="0.25">
      <c r="A42" s="57" t="s">
        <v>121</v>
      </c>
      <c r="B42" s="57" t="s">
        <v>61</v>
      </c>
      <c r="C42" s="57" t="s">
        <v>122</v>
      </c>
      <c r="D42" s="126" t="s">
        <v>39</v>
      </c>
      <c r="E42" s="386">
        <f>+E40-4000000</f>
        <v>-4000000</v>
      </c>
      <c r="F42" s="37">
        <f>+E42/600</f>
        <v>-6666.666666666667</v>
      </c>
    </row>
    <row r="43" spans="1:19" ht="15.75" x14ac:dyDescent="0.25">
      <c r="A43" s="57" t="s">
        <v>15</v>
      </c>
      <c r="B43" s="127">
        <f>B40</f>
        <v>0</v>
      </c>
      <c r="C43" s="57"/>
      <c r="D43" s="126">
        <f>B43*C43</f>
        <v>0</v>
      </c>
      <c r="H43" s="37">
        <f>1500000-1006250</f>
        <v>493750</v>
      </c>
    </row>
    <row r="44" spans="1:19" ht="15.75" x14ac:dyDescent="0.25">
      <c r="A44" s="57" t="s">
        <v>16</v>
      </c>
      <c r="B44" s="126">
        <f>D40</f>
        <v>0</v>
      </c>
      <c r="C44" s="57"/>
      <c r="D44" s="126">
        <f>B44*C44</f>
        <v>0</v>
      </c>
      <c r="H44" s="116"/>
      <c r="K44" s="116"/>
      <c r="L44" s="116"/>
      <c r="M44" s="116"/>
      <c r="N44" s="116"/>
    </row>
    <row r="45" spans="1:19" ht="15.75" x14ac:dyDescent="0.25">
      <c r="A45" s="57" t="s">
        <v>17</v>
      </c>
      <c r="B45" s="127">
        <f>F40</f>
        <v>0</v>
      </c>
      <c r="C45" s="57"/>
      <c r="D45" s="126">
        <f>B45*C45</f>
        <v>0</v>
      </c>
      <c r="E45" s="99"/>
      <c r="O45" s="116"/>
    </row>
    <row r="46" spans="1:19" ht="15.75" x14ac:dyDescent="0.25">
      <c r="A46" s="128" t="s">
        <v>18</v>
      </c>
      <c r="B46" s="129"/>
      <c r="C46" s="130"/>
      <c r="D46" s="126">
        <f>SUM(D43:D45)</f>
        <v>0</v>
      </c>
      <c r="O46" s="116"/>
    </row>
    <row r="48" spans="1:19" ht="16.5" x14ac:dyDescent="0.3">
      <c r="C48" s="1" t="s">
        <v>174</v>
      </c>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54" orientation="landscape"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tabColor theme="4" tint="-0.249977111117893"/>
    <pageSetUpPr fitToPage="1"/>
  </sheetPr>
  <dimension ref="A2:Q50"/>
  <sheetViews>
    <sheetView zoomScaleNormal="100" workbookViewId="0">
      <selection activeCell="H12" sqref="H12"/>
    </sheetView>
  </sheetViews>
  <sheetFormatPr baseColWidth="10" defaultRowHeight="15" x14ac:dyDescent="0.2"/>
  <cols>
    <col min="1" max="1" width="11.42578125" style="37"/>
    <col min="2" max="2" width="14.140625" style="37" bestFit="1" customWidth="1"/>
    <col min="3" max="3" width="13" style="37" customWidth="1"/>
    <col min="4" max="5" width="15.7109375" style="37" customWidth="1"/>
    <col min="6" max="7" width="11.42578125" style="37"/>
    <col min="8" max="8" width="17.85546875" style="37" customWidth="1"/>
    <col min="9" max="9" width="14.5703125" style="37" customWidth="1"/>
    <col min="10" max="10" width="16.140625" style="37" bestFit="1" customWidth="1"/>
    <col min="11" max="11" width="15.42578125" style="37" customWidth="1"/>
    <col min="12" max="12" width="22.28515625" style="37" customWidth="1"/>
    <col min="13" max="13" width="15.5703125" style="37" customWidth="1"/>
    <col min="14" max="14" width="14.85546875" style="37" bestFit="1" customWidth="1"/>
    <col min="15" max="15" width="16.140625" style="37" bestFit="1" customWidth="1"/>
    <col min="16" max="16" width="11.42578125" style="37"/>
    <col min="17" max="17" width="14.85546875" style="37" bestFit="1" customWidth="1"/>
    <col min="18" max="16384" width="11.42578125" style="37"/>
  </cols>
  <sheetData>
    <row r="2" spans="1:16" ht="16.5" x14ac:dyDescent="0.3">
      <c r="A2" s="1" t="s">
        <v>118</v>
      </c>
      <c r="B2" s="1" t="s">
        <v>213</v>
      </c>
    </row>
    <row r="3" spans="1:16" ht="15.75" x14ac:dyDescent="0.25">
      <c r="C3" s="99"/>
      <c r="H3" s="37">
        <f>400+370+370+370+400+400</f>
        <v>2310</v>
      </c>
    </row>
    <row r="4" spans="1:16" ht="18.75" x14ac:dyDescent="0.3">
      <c r="A4" s="1" t="s">
        <v>19</v>
      </c>
      <c r="B4" s="902">
        <v>44075</v>
      </c>
      <c r="C4" s="1"/>
      <c r="E4" s="386"/>
      <c r="J4" s="386"/>
      <c r="N4" s="386"/>
    </row>
    <row r="5" spans="1:16" ht="16.5" x14ac:dyDescent="0.3">
      <c r="A5" s="1"/>
      <c r="B5" s="1"/>
      <c r="C5" s="1"/>
    </row>
    <row r="6" spans="1:16" ht="16.5" x14ac:dyDescent="0.2">
      <c r="A6" s="100" t="s">
        <v>3</v>
      </c>
      <c r="B6" s="101" t="s">
        <v>15</v>
      </c>
      <c r="C6" s="102"/>
      <c r="D6" s="101" t="s">
        <v>16</v>
      </c>
      <c r="E6" s="102"/>
      <c r="F6" s="101" t="s">
        <v>17</v>
      </c>
      <c r="G6" s="102"/>
      <c r="H6" s="2910" t="s">
        <v>52</v>
      </c>
      <c r="I6" s="2910" t="s">
        <v>53</v>
      </c>
      <c r="J6" s="2910" t="s">
        <v>119</v>
      </c>
      <c r="K6" s="2910" t="s">
        <v>18</v>
      </c>
      <c r="L6" s="3062" t="s">
        <v>422</v>
      </c>
      <c r="M6" s="2910" t="s">
        <v>60</v>
      </c>
      <c r="N6" s="2910" t="s">
        <v>55</v>
      </c>
      <c r="O6" s="2910" t="s">
        <v>120</v>
      </c>
    </row>
    <row r="7" spans="1:16" ht="16.5" x14ac:dyDescent="0.2">
      <c r="A7" s="103"/>
      <c r="B7" s="913">
        <v>630</v>
      </c>
      <c r="C7" s="914"/>
      <c r="D7" s="913">
        <v>575</v>
      </c>
      <c r="E7" s="914"/>
      <c r="F7" s="913">
        <v>350</v>
      </c>
      <c r="G7" s="914"/>
      <c r="H7" s="3059"/>
      <c r="I7" s="3059"/>
      <c r="J7" s="3059"/>
      <c r="K7" s="3059"/>
      <c r="L7" s="3063"/>
      <c r="M7" s="2911"/>
      <c r="N7" s="2911"/>
      <c r="O7" s="2911"/>
    </row>
    <row r="8" spans="1:16" ht="16.5" x14ac:dyDescent="0.2">
      <c r="A8" s="105"/>
      <c r="B8" s="106" t="s">
        <v>56</v>
      </c>
      <c r="C8" s="106" t="s">
        <v>37</v>
      </c>
      <c r="D8" s="107" t="s">
        <v>56</v>
      </c>
      <c r="E8" s="106" t="s">
        <v>37</v>
      </c>
      <c r="F8" s="106" t="s">
        <v>56</v>
      </c>
      <c r="G8" s="106" t="s">
        <v>37</v>
      </c>
      <c r="H8" s="2911"/>
      <c r="I8" s="2911"/>
      <c r="J8" s="2911"/>
      <c r="K8" s="2911"/>
      <c r="L8" s="3064"/>
      <c r="M8" s="133"/>
      <c r="N8" s="258">
        <v>-1622049</v>
      </c>
      <c r="O8" s="259">
        <f>N8</f>
        <v>-1622049</v>
      </c>
    </row>
    <row r="9" spans="1:16" ht="16.5" x14ac:dyDescent="0.3">
      <c r="A9" s="110">
        <v>44105</v>
      </c>
      <c r="B9" s="111">
        <f>C9/B$7</f>
        <v>0</v>
      </c>
      <c r="C9" s="112"/>
      <c r="D9" s="111">
        <f>+E9/D$7</f>
        <v>0</v>
      </c>
      <c r="E9" s="86"/>
      <c r="F9" s="111">
        <f>+G9/F$7</f>
        <v>0</v>
      </c>
      <c r="G9" s="114"/>
      <c r="H9" s="114"/>
      <c r="I9" s="114"/>
      <c r="J9" s="114"/>
      <c r="K9" s="115">
        <f>C9+E9+G9+H9+I9+J9</f>
        <v>0</v>
      </c>
      <c r="L9" s="115"/>
      <c r="M9" s="113"/>
      <c r="N9" s="114">
        <f>K9-M9</f>
        <v>0</v>
      </c>
      <c r="O9" s="114">
        <f>+O8+K9-M9</f>
        <v>-1622049</v>
      </c>
    </row>
    <row r="10" spans="1:16" ht="16.5" x14ac:dyDescent="0.3">
      <c r="A10" s="110">
        <f>+A9+1</f>
        <v>44106</v>
      </c>
      <c r="B10" s="111" t="s">
        <v>62</v>
      </c>
      <c r="C10" s="112"/>
      <c r="D10" s="111">
        <f t="shared" ref="D10:D39" si="0">+E10/D$7</f>
        <v>0</v>
      </c>
      <c r="E10" s="86"/>
      <c r="F10" s="111">
        <f>+G10/F$7</f>
        <v>0</v>
      </c>
      <c r="G10" s="114"/>
      <c r="H10" s="114"/>
      <c r="I10" s="114"/>
      <c r="J10" s="114"/>
      <c r="K10" s="115">
        <f t="shared" ref="K10:K39" si="1">C10+E10+G10+H10+I10+J10</f>
        <v>0</v>
      </c>
      <c r="L10" s="115"/>
      <c r="M10" s="86"/>
      <c r="N10" s="114">
        <f t="shared" ref="N10:N39" si="2">K10-M10</f>
        <v>0</v>
      </c>
      <c r="O10" s="114">
        <f t="shared" ref="O10:O38" si="3">+O9+K10-M10</f>
        <v>-1622049</v>
      </c>
    </row>
    <row r="11" spans="1:16" ht="16.5" x14ac:dyDescent="0.3">
      <c r="A11" s="110">
        <f t="shared" ref="A11:A39" si="4">+A10+1</f>
        <v>44107</v>
      </c>
      <c r="B11" s="117">
        <f t="shared" ref="B11:B37" si="5">C11/B$7</f>
        <v>0</v>
      </c>
      <c r="C11" s="86"/>
      <c r="D11" s="114">
        <f>+E11/D$7</f>
        <v>0</v>
      </c>
      <c r="E11" s="86"/>
      <c r="F11" s="117">
        <f t="shared" ref="F11:F39" si="6">+G11/F$7</f>
        <v>0</v>
      </c>
      <c r="G11" s="118"/>
      <c r="H11" s="118"/>
      <c r="I11" s="118"/>
      <c r="J11" s="118"/>
      <c r="K11" s="115">
        <f t="shared" si="1"/>
        <v>0</v>
      </c>
      <c r="L11" s="115"/>
      <c r="M11" s="1352"/>
      <c r="N11" s="118">
        <f t="shared" si="2"/>
        <v>0</v>
      </c>
      <c r="O11" s="114">
        <f t="shared" si="3"/>
        <v>-1622049</v>
      </c>
      <c r="P11" s="119"/>
    </row>
    <row r="12" spans="1:16" ht="16.5" x14ac:dyDescent="0.25">
      <c r="A12" s="110">
        <f t="shared" si="4"/>
        <v>44108</v>
      </c>
      <c r="B12" s="117">
        <f t="shared" si="5"/>
        <v>0</v>
      </c>
      <c r="C12" s="86"/>
      <c r="D12" s="114">
        <f t="shared" si="0"/>
        <v>0</v>
      </c>
      <c r="E12" s="86"/>
      <c r="F12" s="117">
        <f t="shared" si="6"/>
        <v>0</v>
      </c>
      <c r="G12" s="118"/>
      <c r="H12" s="118"/>
      <c r="I12" s="118"/>
      <c r="J12" s="118"/>
      <c r="K12" s="115">
        <f t="shared" si="1"/>
        <v>0</v>
      </c>
      <c r="L12" s="115"/>
      <c r="M12" s="1352"/>
      <c r="N12" s="118">
        <f t="shared" si="2"/>
        <v>0</v>
      </c>
      <c r="O12" s="114">
        <f t="shared" si="3"/>
        <v>-1622049</v>
      </c>
    </row>
    <row r="13" spans="1:16" ht="16.5" x14ac:dyDescent="0.25">
      <c r="A13" s="110">
        <f t="shared" si="4"/>
        <v>44109</v>
      </c>
      <c r="B13" s="117">
        <f t="shared" si="5"/>
        <v>0</v>
      </c>
      <c r="C13" s="86"/>
      <c r="D13" s="114">
        <f t="shared" si="0"/>
        <v>0</v>
      </c>
      <c r="E13" s="86"/>
      <c r="F13" s="117">
        <f t="shared" si="6"/>
        <v>0</v>
      </c>
      <c r="G13" s="118"/>
      <c r="H13" s="118"/>
      <c r="I13" s="118"/>
      <c r="J13" s="118"/>
      <c r="K13" s="115">
        <f t="shared" si="1"/>
        <v>0</v>
      </c>
      <c r="L13" s="115"/>
      <c r="M13" s="1090"/>
      <c r="N13" s="118">
        <f t="shared" si="2"/>
        <v>0</v>
      </c>
      <c r="O13" s="114">
        <f t="shared" si="3"/>
        <v>-1622049</v>
      </c>
    </row>
    <row r="14" spans="1:16" ht="16.5" x14ac:dyDescent="0.25">
      <c r="A14" s="110">
        <f t="shared" si="4"/>
        <v>44110</v>
      </c>
      <c r="B14" s="117">
        <f t="shared" si="5"/>
        <v>0</v>
      </c>
      <c r="C14" s="86"/>
      <c r="D14" s="114">
        <f t="shared" si="0"/>
        <v>0</v>
      </c>
      <c r="E14" s="86"/>
      <c r="F14" s="117">
        <f t="shared" si="6"/>
        <v>0</v>
      </c>
      <c r="G14" s="118"/>
      <c r="H14" s="118"/>
      <c r="I14" s="118"/>
      <c r="J14" s="118"/>
      <c r="K14" s="115">
        <f t="shared" si="1"/>
        <v>0</v>
      </c>
      <c r="L14" s="115"/>
      <c r="M14" s="1090"/>
      <c r="N14" s="118">
        <f t="shared" si="2"/>
        <v>0</v>
      </c>
      <c r="O14" s="114">
        <f t="shared" si="3"/>
        <v>-1622049</v>
      </c>
    </row>
    <row r="15" spans="1:16" ht="16.5" x14ac:dyDescent="0.25">
      <c r="A15" s="110">
        <f t="shared" si="4"/>
        <v>44111</v>
      </c>
      <c r="B15" s="117">
        <f t="shared" si="5"/>
        <v>0</v>
      </c>
      <c r="C15" s="86"/>
      <c r="D15" s="114">
        <f t="shared" si="0"/>
        <v>0</v>
      </c>
      <c r="E15" s="86"/>
      <c r="F15" s="117">
        <f t="shared" si="6"/>
        <v>0</v>
      </c>
      <c r="G15" s="118"/>
      <c r="H15" s="118"/>
      <c r="I15" s="118"/>
      <c r="J15" s="118"/>
      <c r="K15" s="115">
        <f t="shared" si="1"/>
        <v>0</v>
      </c>
      <c r="L15" s="115"/>
      <c r="M15" s="86"/>
      <c r="N15" s="118">
        <f t="shared" si="2"/>
        <v>0</v>
      </c>
      <c r="O15" s="114">
        <f t="shared" si="3"/>
        <v>-1622049</v>
      </c>
    </row>
    <row r="16" spans="1:16" ht="16.5" x14ac:dyDescent="0.25">
      <c r="A16" s="110">
        <f t="shared" si="4"/>
        <v>44112</v>
      </c>
      <c r="B16" s="117">
        <f t="shared" si="5"/>
        <v>0</v>
      </c>
      <c r="C16" s="86"/>
      <c r="D16" s="114">
        <f t="shared" si="0"/>
        <v>0</v>
      </c>
      <c r="E16" s="86"/>
      <c r="F16" s="117">
        <f t="shared" si="6"/>
        <v>0</v>
      </c>
      <c r="G16" s="118"/>
      <c r="H16" s="118"/>
      <c r="I16" s="118"/>
      <c r="J16" s="118"/>
      <c r="K16" s="115">
        <f t="shared" si="1"/>
        <v>0</v>
      </c>
      <c r="L16" s="115"/>
      <c r="M16" s="86"/>
      <c r="N16" s="118">
        <f t="shared" si="2"/>
        <v>0</v>
      </c>
      <c r="O16" s="114">
        <f t="shared" si="3"/>
        <v>-1622049</v>
      </c>
    </row>
    <row r="17" spans="1:17" ht="16.5" x14ac:dyDescent="0.25">
      <c r="A17" s="110">
        <f t="shared" si="4"/>
        <v>44113</v>
      </c>
      <c r="B17" s="111">
        <f t="shared" si="5"/>
        <v>0</v>
      </c>
      <c r="C17" s="113"/>
      <c r="D17" s="114">
        <f t="shared" si="0"/>
        <v>0</v>
      </c>
      <c r="E17" s="86"/>
      <c r="F17" s="111">
        <f t="shared" si="6"/>
        <v>0</v>
      </c>
      <c r="G17" s="114"/>
      <c r="H17" s="114"/>
      <c r="I17" s="114"/>
      <c r="J17" s="114"/>
      <c r="K17" s="115">
        <f t="shared" si="1"/>
        <v>0</v>
      </c>
      <c r="L17" s="115"/>
      <c r="M17" s="86"/>
      <c r="N17" s="114">
        <f t="shared" si="2"/>
        <v>0</v>
      </c>
      <c r="O17" s="114">
        <f t="shared" si="3"/>
        <v>-1622049</v>
      </c>
      <c r="P17" s="3" t="s">
        <v>62</v>
      </c>
    </row>
    <row r="18" spans="1:17" ht="16.5" x14ac:dyDescent="0.25">
      <c r="A18" s="110">
        <f t="shared" si="4"/>
        <v>44114</v>
      </c>
      <c r="B18" s="111">
        <f t="shared" si="5"/>
        <v>0</v>
      </c>
      <c r="C18" s="113"/>
      <c r="D18" s="114">
        <f t="shared" si="0"/>
        <v>0</v>
      </c>
      <c r="E18" s="86"/>
      <c r="F18" s="111">
        <f t="shared" si="6"/>
        <v>0</v>
      </c>
      <c r="G18" s="114"/>
      <c r="H18" s="114"/>
      <c r="I18" s="114"/>
      <c r="J18" s="114"/>
      <c r="K18" s="115">
        <f t="shared" si="1"/>
        <v>0</v>
      </c>
      <c r="L18" s="115"/>
      <c r="M18" s="86"/>
      <c r="N18" s="114">
        <f t="shared" si="2"/>
        <v>0</v>
      </c>
      <c r="O18" s="114">
        <f t="shared" si="3"/>
        <v>-1622049</v>
      </c>
    </row>
    <row r="19" spans="1:17" ht="15.75" x14ac:dyDescent="0.25">
      <c r="A19" s="110">
        <f t="shared" si="4"/>
        <v>44115</v>
      </c>
      <c r="B19" s="111">
        <f t="shared" si="5"/>
        <v>0</v>
      </c>
      <c r="C19" s="113"/>
      <c r="D19" s="114">
        <f t="shared" si="0"/>
        <v>0</v>
      </c>
      <c r="E19" s="86"/>
      <c r="F19" s="111">
        <f t="shared" si="6"/>
        <v>0</v>
      </c>
      <c r="G19" s="114"/>
      <c r="H19" s="114"/>
      <c r="I19" s="114"/>
      <c r="J19" s="114"/>
      <c r="K19" s="113">
        <f>+C19+E19+G19+H19+I19+J19</f>
        <v>0</v>
      </c>
      <c r="L19" s="113"/>
      <c r="M19" s="86"/>
      <c r="N19" s="114">
        <f t="shared" si="2"/>
        <v>0</v>
      </c>
      <c r="O19" s="114">
        <f t="shared" si="3"/>
        <v>-1622049</v>
      </c>
    </row>
    <row r="20" spans="1:17" ht="16.5" x14ac:dyDescent="0.25">
      <c r="A20" s="110">
        <f t="shared" si="4"/>
        <v>44116</v>
      </c>
      <c r="B20" s="111">
        <f t="shared" si="5"/>
        <v>0</v>
      </c>
      <c r="C20" s="113"/>
      <c r="D20" s="114">
        <f t="shared" si="0"/>
        <v>0</v>
      </c>
      <c r="E20" s="86"/>
      <c r="F20" s="111">
        <f t="shared" si="6"/>
        <v>0</v>
      </c>
      <c r="G20" s="114"/>
      <c r="H20" s="114"/>
      <c r="I20" s="114"/>
      <c r="J20" s="114"/>
      <c r="K20" s="115">
        <f t="shared" si="1"/>
        <v>0</v>
      </c>
      <c r="L20" s="115"/>
      <c r="M20" s="113"/>
      <c r="N20" s="114">
        <f t="shared" si="2"/>
        <v>0</v>
      </c>
      <c r="O20" s="114">
        <f t="shared" si="3"/>
        <v>-1622049</v>
      </c>
    </row>
    <row r="21" spans="1:17" ht="16.5" x14ac:dyDescent="0.25">
      <c r="A21" s="110">
        <f t="shared" si="4"/>
        <v>44117</v>
      </c>
      <c r="B21" s="111">
        <f t="shared" si="5"/>
        <v>0</v>
      </c>
      <c r="C21" s="113"/>
      <c r="D21" s="114">
        <f t="shared" si="0"/>
        <v>0</v>
      </c>
      <c r="E21" s="86"/>
      <c r="F21" s="111">
        <f t="shared" si="6"/>
        <v>0</v>
      </c>
      <c r="G21" s="114"/>
      <c r="H21" s="114"/>
      <c r="I21" s="114"/>
      <c r="J21" s="114"/>
      <c r="K21" s="115">
        <f t="shared" si="1"/>
        <v>0</v>
      </c>
      <c r="L21" s="115"/>
      <c r="M21" s="113"/>
      <c r="N21" s="114">
        <f t="shared" si="2"/>
        <v>0</v>
      </c>
      <c r="O21" s="114">
        <f t="shared" si="3"/>
        <v>-1622049</v>
      </c>
    </row>
    <row r="22" spans="1:17" ht="16.5" x14ac:dyDescent="0.25">
      <c r="A22" s="110">
        <f t="shared" si="4"/>
        <v>44118</v>
      </c>
      <c r="B22" s="111">
        <f t="shared" si="5"/>
        <v>0</v>
      </c>
      <c r="C22" s="113"/>
      <c r="D22" s="114">
        <f t="shared" si="0"/>
        <v>0</v>
      </c>
      <c r="E22" s="86"/>
      <c r="F22" s="111">
        <f t="shared" si="6"/>
        <v>0</v>
      </c>
      <c r="G22" s="114"/>
      <c r="H22" s="114"/>
      <c r="I22" s="114"/>
      <c r="J22" s="114"/>
      <c r="K22" s="115">
        <f t="shared" si="1"/>
        <v>0</v>
      </c>
      <c r="L22" s="115"/>
      <c r="M22" s="113"/>
      <c r="N22" s="114">
        <f t="shared" si="2"/>
        <v>0</v>
      </c>
      <c r="O22" s="114">
        <f t="shared" si="3"/>
        <v>-1622049</v>
      </c>
    </row>
    <row r="23" spans="1:17" ht="16.5" x14ac:dyDescent="0.25">
      <c r="A23" s="110">
        <f t="shared" si="4"/>
        <v>44119</v>
      </c>
      <c r="B23" s="111">
        <f t="shared" si="5"/>
        <v>0</v>
      </c>
      <c r="C23" s="113"/>
      <c r="D23" s="114">
        <f t="shared" si="0"/>
        <v>0</v>
      </c>
      <c r="E23" s="86"/>
      <c r="F23" s="111">
        <f t="shared" si="6"/>
        <v>0</v>
      </c>
      <c r="G23" s="114"/>
      <c r="H23" s="114"/>
      <c r="I23" s="114"/>
      <c r="J23" s="114"/>
      <c r="K23" s="115">
        <f t="shared" si="1"/>
        <v>0</v>
      </c>
      <c r="L23" s="115"/>
      <c r="M23" s="113"/>
      <c r="N23" s="114">
        <f t="shared" si="2"/>
        <v>0</v>
      </c>
      <c r="O23" s="114">
        <f t="shared" si="3"/>
        <v>-1622049</v>
      </c>
    </row>
    <row r="24" spans="1:17" ht="16.5" x14ac:dyDescent="0.25">
      <c r="A24" s="110">
        <f t="shared" si="4"/>
        <v>44120</v>
      </c>
      <c r="B24" s="111">
        <f t="shared" si="5"/>
        <v>0</v>
      </c>
      <c r="C24" s="113"/>
      <c r="D24" s="114">
        <f t="shared" si="0"/>
        <v>0</v>
      </c>
      <c r="E24" s="86"/>
      <c r="F24" s="111">
        <f t="shared" si="6"/>
        <v>0</v>
      </c>
      <c r="G24" s="114"/>
      <c r="H24" s="114"/>
      <c r="I24" s="114"/>
      <c r="J24" s="114"/>
      <c r="K24" s="115">
        <f t="shared" si="1"/>
        <v>0</v>
      </c>
      <c r="L24" s="115"/>
      <c r="M24" s="113"/>
      <c r="N24" s="114">
        <f t="shared" si="2"/>
        <v>0</v>
      </c>
      <c r="O24" s="114">
        <f t="shared" si="3"/>
        <v>-1622049</v>
      </c>
    </row>
    <row r="25" spans="1:17" ht="16.5" x14ac:dyDescent="0.25">
      <c r="A25" s="110">
        <f t="shared" si="4"/>
        <v>44121</v>
      </c>
      <c r="B25" s="111">
        <f t="shared" si="5"/>
        <v>0</v>
      </c>
      <c r="C25" s="113"/>
      <c r="D25" s="114">
        <f t="shared" si="0"/>
        <v>0</v>
      </c>
      <c r="E25" s="86"/>
      <c r="F25" s="111">
        <f t="shared" si="6"/>
        <v>0</v>
      </c>
      <c r="G25" s="114"/>
      <c r="H25" s="114"/>
      <c r="I25" s="114"/>
      <c r="J25" s="114"/>
      <c r="K25" s="115">
        <f t="shared" si="1"/>
        <v>0</v>
      </c>
      <c r="L25" s="115"/>
      <c r="M25" s="113"/>
      <c r="N25" s="114">
        <f t="shared" si="2"/>
        <v>0</v>
      </c>
      <c r="O25" s="114">
        <f t="shared" si="3"/>
        <v>-1622049</v>
      </c>
    </row>
    <row r="26" spans="1:17" ht="16.5" x14ac:dyDescent="0.25">
      <c r="A26" s="110">
        <f t="shared" si="4"/>
        <v>44122</v>
      </c>
      <c r="B26" s="111">
        <f t="shared" si="5"/>
        <v>0</v>
      </c>
      <c r="C26" s="113"/>
      <c r="D26" s="114">
        <f t="shared" si="0"/>
        <v>0</v>
      </c>
      <c r="E26" s="86"/>
      <c r="F26" s="111">
        <f t="shared" si="6"/>
        <v>0</v>
      </c>
      <c r="G26" s="114"/>
      <c r="H26" s="114"/>
      <c r="I26" s="114"/>
      <c r="J26" s="114"/>
      <c r="K26" s="115">
        <f t="shared" si="1"/>
        <v>0</v>
      </c>
      <c r="L26" s="950"/>
      <c r="M26" s="113"/>
      <c r="N26" s="114">
        <f t="shared" si="2"/>
        <v>0</v>
      </c>
      <c r="O26" s="114">
        <f t="shared" si="3"/>
        <v>-1622049</v>
      </c>
    </row>
    <row r="27" spans="1:17" ht="16.5" x14ac:dyDescent="0.25">
      <c r="A27" s="110">
        <f t="shared" si="4"/>
        <v>44123</v>
      </c>
      <c r="B27" s="111">
        <f t="shared" si="5"/>
        <v>0</v>
      </c>
      <c r="C27" s="113"/>
      <c r="D27" s="114">
        <f t="shared" si="0"/>
        <v>0</v>
      </c>
      <c r="E27" s="86"/>
      <c r="F27" s="111">
        <f t="shared" si="6"/>
        <v>0</v>
      </c>
      <c r="G27" s="114"/>
      <c r="H27" s="114"/>
      <c r="I27" s="114"/>
      <c r="J27" s="114"/>
      <c r="K27" s="115">
        <f t="shared" si="1"/>
        <v>0</v>
      </c>
      <c r="L27" s="115"/>
      <c r="M27" s="113"/>
      <c r="N27" s="114">
        <f t="shared" si="2"/>
        <v>0</v>
      </c>
      <c r="O27" s="114">
        <f t="shared" si="3"/>
        <v>-1622049</v>
      </c>
    </row>
    <row r="28" spans="1:17" ht="16.5" x14ac:dyDescent="0.25">
      <c r="A28" s="110">
        <f t="shared" si="4"/>
        <v>44124</v>
      </c>
      <c r="B28" s="111">
        <f t="shared" si="5"/>
        <v>0</v>
      </c>
      <c r="C28" s="113"/>
      <c r="D28" s="114">
        <f t="shared" si="0"/>
        <v>0</v>
      </c>
      <c r="E28" s="86"/>
      <c r="F28" s="111">
        <f t="shared" si="6"/>
        <v>0</v>
      </c>
      <c r="G28" s="114"/>
      <c r="H28" s="114"/>
      <c r="I28" s="114"/>
      <c r="J28" s="114"/>
      <c r="K28" s="115">
        <f t="shared" si="1"/>
        <v>0</v>
      </c>
      <c r="L28" s="115"/>
      <c r="M28" s="113"/>
      <c r="N28" s="114">
        <f t="shared" si="2"/>
        <v>0</v>
      </c>
      <c r="O28" s="114">
        <f t="shared" si="3"/>
        <v>-1622049</v>
      </c>
    </row>
    <row r="29" spans="1:17" ht="16.5" x14ac:dyDescent="0.25">
      <c r="A29" s="110">
        <f t="shared" si="4"/>
        <v>44125</v>
      </c>
      <c r="B29" s="111">
        <f t="shared" si="5"/>
        <v>0</v>
      </c>
      <c r="C29" s="113"/>
      <c r="D29" s="114">
        <f t="shared" si="0"/>
        <v>0</v>
      </c>
      <c r="E29" s="86"/>
      <c r="F29" s="111">
        <f t="shared" si="6"/>
        <v>0</v>
      </c>
      <c r="G29" s="114"/>
      <c r="H29" s="114"/>
      <c r="I29" s="114"/>
      <c r="J29" s="114"/>
      <c r="K29" s="115">
        <f t="shared" si="1"/>
        <v>0</v>
      </c>
      <c r="L29" s="115"/>
      <c r="M29" s="113"/>
      <c r="N29" s="114">
        <f t="shared" si="2"/>
        <v>0</v>
      </c>
      <c r="O29" s="114">
        <f t="shared" si="3"/>
        <v>-1622049</v>
      </c>
      <c r="Q29" s="386"/>
    </row>
    <row r="30" spans="1:17" ht="16.5" x14ac:dyDescent="0.25">
      <c r="A30" s="110">
        <f t="shared" si="4"/>
        <v>44126</v>
      </c>
      <c r="B30" s="111">
        <f t="shared" si="5"/>
        <v>0</v>
      </c>
      <c r="C30" s="113"/>
      <c r="D30" s="114">
        <f t="shared" si="0"/>
        <v>0</v>
      </c>
      <c r="E30" s="86"/>
      <c r="F30" s="111">
        <f t="shared" si="6"/>
        <v>0</v>
      </c>
      <c r="G30" s="114"/>
      <c r="H30" s="114"/>
      <c r="I30" s="114"/>
      <c r="J30" s="114"/>
      <c r="K30" s="115">
        <f t="shared" si="1"/>
        <v>0</v>
      </c>
      <c r="L30" s="115"/>
      <c r="M30" s="113"/>
      <c r="N30" s="114">
        <f t="shared" si="2"/>
        <v>0</v>
      </c>
      <c r="O30" s="114">
        <f t="shared" si="3"/>
        <v>-1622049</v>
      </c>
    </row>
    <row r="31" spans="1:17" s="1555" customFormat="1" ht="16.5" x14ac:dyDescent="0.25">
      <c r="A31" s="1547">
        <f t="shared" si="4"/>
        <v>44127</v>
      </c>
      <c r="B31" s="1549">
        <f t="shared" si="5"/>
        <v>0</v>
      </c>
      <c r="C31" s="1532"/>
      <c r="D31" s="1548">
        <f>+E31/D$7</f>
        <v>0</v>
      </c>
      <c r="E31" s="1532"/>
      <c r="F31" s="1549">
        <f t="shared" si="6"/>
        <v>0</v>
      </c>
      <c r="G31" s="1548"/>
      <c r="H31" s="1548"/>
      <c r="I31" s="1548"/>
      <c r="J31" s="1548"/>
      <c r="K31" s="1550">
        <f>C31+E31+G31+H31+I31+J31</f>
        <v>0</v>
      </c>
      <c r="L31" s="1550"/>
      <c r="M31" s="1532"/>
      <c r="N31" s="1548">
        <f t="shared" si="2"/>
        <v>0</v>
      </c>
      <c r="O31" s="1548">
        <f t="shared" si="3"/>
        <v>-1622049</v>
      </c>
    </row>
    <row r="32" spans="1:17" ht="16.5" x14ac:dyDescent="0.25">
      <c r="A32" s="110">
        <f t="shared" si="4"/>
        <v>44128</v>
      </c>
      <c r="B32" s="111">
        <f t="shared" si="5"/>
        <v>0</v>
      </c>
      <c r="C32" s="113"/>
      <c r="D32" s="114">
        <f>+E32/D$7</f>
        <v>0</v>
      </c>
      <c r="E32" s="86"/>
      <c r="F32" s="111">
        <f t="shared" si="6"/>
        <v>0</v>
      </c>
      <c r="G32" s="114"/>
      <c r="H32" s="114"/>
      <c r="I32" s="114"/>
      <c r="J32" s="114"/>
      <c r="K32" s="115">
        <f>C32+E32+G32+H32+I32+J32</f>
        <v>0</v>
      </c>
      <c r="L32" s="115"/>
      <c r="M32" s="113"/>
      <c r="N32" s="114">
        <f t="shared" si="2"/>
        <v>0</v>
      </c>
      <c r="O32" s="114">
        <f t="shared" si="3"/>
        <v>-1622049</v>
      </c>
    </row>
    <row r="33" spans="1:16" ht="16.5" x14ac:dyDescent="0.25">
      <c r="A33" s="110">
        <f t="shared" si="4"/>
        <v>44129</v>
      </c>
      <c r="B33" s="111">
        <f t="shared" si="5"/>
        <v>0</v>
      </c>
      <c r="C33" s="113"/>
      <c r="D33" s="114">
        <f>+E33/D$7</f>
        <v>0</v>
      </c>
      <c r="E33" s="86"/>
      <c r="F33" s="111">
        <f t="shared" si="6"/>
        <v>0</v>
      </c>
      <c r="G33" s="114"/>
      <c r="H33" s="114"/>
      <c r="I33" s="114"/>
      <c r="J33" s="114"/>
      <c r="K33" s="115">
        <f>C33+E33+G33+H33+I33+J33</f>
        <v>0</v>
      </c>
      <c r="L33" s="115"/>
      <c r="M33" s="113"/>
      <c r="N33" s="114">
        <f t="shared" si="2"/>
        <v>0</v>
      </c>
      <c r="O33" s="114">
        <f t="shared" si="3"/>
        <v>-1622049</v>
      </c>
    </row>
    <row r="34" spans="1:16" ht="16.5" x14ac:dyDescent="0.25">
      <c r="A34" s="110">
        <f t="shared" si="4"/>
        <v>44130</v>
      </c>
      <c r="B34" s="111">
        <f t="shared" si="5"/>
        <v>0</v>
      </c>
      <c r="C34" s="113"/>
      <c r="D34" s="114">
        <f t="shared" si="0"/>
        <v>0</v>
      </c>
      <c r="E34" s="86"/>
      <c r="F34" s="111">
        <f t="shared" si="6"/>
        <v>0</v>
      </c>
      <c r="G34" s="114"/>
      <c r="H34" s="114"/>
      <c r="I34" s="114"/>
      <c r="J34" s="114"/>
      <c r="K34" s="115">
        <f t="shared" si="1"/>
        <v>0</v>
      </c>
      <c r="L34" s="115"/>
      <c r="M34" s="113"/>
      <c r="N34" s="114">
        <f t="shared" si="2"/>
        <v>0</v>
      </c>
      <c r="O34" s="114">
        <f t="shared" si="3"/>
        <v>-1622049</v>
      </c>
      <c r="P34" s="386"/>
    </row>
    <row r="35" spans="1:16" ht="16.5" x14ac:dyDescent="0.25">
      <c r="A35" s="110">
        <f t="shared" si="4"/>
        <v>44131</v>
      </c>
      <c r="B35" s="111">
        <f t="shared" si="5"/>
        <v>0</v>
      </c>
      <c r="C35" s="113"/>
      <c r="D35" s="114">
        <f t="shared" si="0"/>
        <v>0</v>
      </c>
      <c r="E35" s="86"/>
      <c r="F35" s="111">
        <f t="shared" si="6"/>
        <v>0</v>
      </c>
      <c r="G35" s="114"/>
      <c r="H35" s="114"/>
      <c r="I35" s="114"/>
      <c r="J35" s="114"/>
      <c r="K35" s="115">
        <f t="shared" si="1"/>
        <v>0</v>
      </c>
      <c r="L35" s="115"/>
      <c r="M35" s="113"/>
      <c r="N35" s="114">
        <f t="shared" si="2"/>
        <v>0</v>
      </c>
      <c r="O35" s="114">
        <f>+O34+K35-M35</f>
        <v>-1622049</v>
      </c>
    </row>
    <row r="36" spans="1:16" ht="16.5" x14ac:dyDescent="0.25">
      <c r="A36" s="110">
        <f t="shared" si="4"/>
        <v>44132</v>
      </c>
      <c r="B36" s="111">
        <f t="shared" si="5"/>
        <v>0</v>
      </c>
      <c r="C36" s="113"/>
      <c r="D36" s="114">
        <f t="shared" si="0"/>
        <v>0</v>
      </c>
      <c r="E36" s="86"/>
      <c r="F36" s="111">
        <f t="shared" si="6"/>
        <v>0</v>
      </c>
      <c r="G36" s="114"/>
      <c r="H36" s="114"/>
      <c r="I36" s="114"/>
      <c r="J36" s="114"/>
      <c r="K36" s="115">
        <f t="shared" si="1"/>
        <v>0</v>
      </c>
      <c r="L36" s="115"/>
      <c r="M36" s="113"/>
      <c r="N36" s="114">
        <f t="shared" si="2"/>
        <v>0</v>
      </c>
      <c r="O36" s="114">
        <f t="shared" si="3"/>
        <v>-1622049</v>
      </c>
    </row>
    <row r="37" spans="1:16" ht="16.5" x14ac:dyDescent="0.25">
      <c r="A37" s="110">
        <f t="shared" si="4"/>
        <v>44133</v>
      </c>
      <c r="B37" s="111">
        <f t="shared" si="5"/>
        <v>0</v>
      </c>
      <c r="C37" s="113"/>
      <c r="D37" s="114">
        <f t="shared" si="0"/>
        <v>0</v>
      </c>
      <c r="E37" s="86"/>
      <c r="F37" s="111">
        <f t="shared" si="6"/>
        <v>0</v>
      </c>
      <c r="G37" s="114"/>
      <c r="H37" s="114"/>
      <c r="I37" s="114"/>
      <c r="J37" s="114"/>
      <c r="K37" s="115">
        <f t="shared" si="1"/>
        <v>0</v>
      </c>
      <c r="L37" s="115"/>
      <c r="M37" s="113"/>
      <c r="N37" s="114">
        <f t="shared" si="2"/>
        <v>0</v>
      </c>
      <c r="O37" s="114">
        <f t="shared" si="3"/>
        <v>-1622049</v>
      </c>
    </row>
    <row r="38" spans="1:16" ht="16.5" x14ac:dyDescent="0.25">
      <c r="A38" s="110">
        <f t="shared" si="4"/>
        <v>44134</v>
      </c>
      <c r="B38" s="111"/>
      <c r="C38" s="113"/>
      <c r="D38" s="114">
        <f t="shared" si="0"/>
        <v>0</v>
      </c>
      <c r="E38" s="86"/>
      <c r="F38" s="111">
        <f t="shared" si="6"/>
        <v>0</v>
      </c>
      <c r="G38" s="114"/>
      <c r="H38" s="114"/>
      <c r="I38" s="114"/>
      <c r="J38" s="114"/>
      <c r="K38" s="115">
        <f t="shared" si="1"/>
        <v>0</v>
      </c>
      <c r="L38" s="115"/>
      <c r="M38" s="113"/>
      <c r="N38" s="114">
        <f t="shared" si="2"/>
        <v>0</v>
      </c>
      <c r="O38" s="114">
        <f t="shared" si="3"/>
        <v>-1622049</v>
      </c>
    </row>
    <row r="39" spans="1:16" ht="16.5" x14ac:dyDescent="0.25">
      <c r="A39" s="110">
        <f t="shared" si="4"/>
        <v>44135</v>
      </c>
      <c r="B39" s="111"/>
      <c r="C39" s="113"/>
      <c r="D39" s="114">
        <f t="shared" si="0"/>
        <v>0</v>
      </c>
      <c r="E39" s="86"/>
      <c r="F39" s="111">
        <f t="shared" si="6"/>
        <v>0</v>
      </c>
      <c r="G39" s="114"/>
      <c r="H39" s="114"/>
      <c r="I39" s="114"/>
      <c r="J39" s="114"/>
      <c r="K39" s="115">
        <f t="shared" si="1"/>
        <v>0</v>
      </c>
      <c r="L39" s="115"/>
      <c r="M39" s="113"/>
      <c r="N39" s="114">
        <f t="shared" si="2"/>
        <v>0</v>
      </c>
      <c r="O39" s="114">
        <f>+O38+K39-M39</f>
        <v>-1622049</v>
      </c>
    </row>
    <row r="40" spans="1:16" ht="16.5" x14ac:dyDescent="0.2">
      <c r="A40" s="121" t="s">
        <v>18</v>
      </c>
      <c r="B40" s="115">
        <f t="shared" ref="B40:M40" si="7">SUM(B9:B39)</f>
        <v>0</v>
      </c>
      <c r="C40" s="115">
        <f t="shared" si="7"/>
        <v>0</v>
      </c>
      <c r="D40" s="115">
        <f t="shared" si="7"/>
        <v>0</v>
      </c>
      <c r="E40" s="115">
        <f>SUM(E9:E39)</f>
        <v>0</v>
      </c>
      <c r="F40" s="115">
        <f t="shared" si="7"/>
        <v>0</v>
      </c>
      <c r="G40" s="115">
        <f t="shared" si="7"/>
        <v>0</v>
      </c>
      <c r="H40" s="115">
        <f t="shared" si="7"/>
        <v>0</v>
      </c>
      <c r="I40" s="115">
        <f t="shared" si="7"/>
        <v>0</v>
      </c>
      <c r="J40" s="115">
        <f t="shared" si="7"/>
        <v>0</v>
      </c>
      <c r="K40" s="115">
        <f t="shared" si="7"/>
        <v>0</v>
      </c>
      <c r="L40" s="115"/>
      <c r="M40" s="115">
        <f t="shared" si="7"/>
        <v>0</v>
      </c>
      <c r="N40" s="120">
        <f>SUM(N8:N39)</f>
        <v>-1622049</v>
      </c>
      <c r="O40" s="123"/>
    </row>
    <row r="41" spans="1:16" ht="15.75" x14ac:dyDescent="0.2">
      <c r="A41" s="124"/>
      <c r="B41" s="124"/>
      <c r="C41" s="124"/>
      <c r="D41" s="125"/>
      <c r="E41" s="124"/>
      <c r="F41" s="124"/>
      <c r="G41" s="124"/>
      <c r="H41" s="124"/>
      <c r="I41" s="124"/>
      <c r="J41" s="124"/>
      <c r="K41" s="124"/>
      <c r="L41" s="124"/>
      <c r="M41" s="124"/>
      <c r="N41" s="124"/>
      <c r="O41" s="124"/>
    </row>
    <row r="42" spans="1:16" ht="15.75" x14ac:dyDescent="0.25">
      <c r="A42" s="57" t="s">
        <v>121</v>
      </c>
      <c r="B42" s="57" t="s">
        <v>61</v>
      </c>
      <c r="C42" s="57" t="s">
        <v>122</v>
      </c>
      <c r="D42" s="126" t="s">
        <v>39</v>
      </c>
      <c r="H42" s="386"/>
      <c r="I42" s="386"/>
      <c r="O42" s="386"/>
    </row>
    <row r="43" spans="1:16" ht="15.75" x14ac:dyDescent="0.25">
      <c r="A43" s="57" t="s">
        <v>15</v>
      </c>
      <c r="B43" s="127">
        <f>B40</f>
        <v>0</v>
      </c>
      <c r="C43" s="57"/>
      <c r="D43" s="126">
        <f>B43*C43</f>
        <v>0</v>
      </c>
    </row>
    <row r="44" spans="1:16" ht="15.75" x14ac:dyDescent="0.25">
      <c r="A44" s="57" t="s">
        <v>16</v>
      </c>
      <c r="B44" s="126">
        <f>D40</f>
        <v>0</v>
      </c>
      <c r="C44" s="57">
        <v>7</v>
      </c>
      <c r="D44" s="126">
        <f>B44*C44</f>
        <v>0</v>
      </c>
      <c r="H44" s="116"/>
      <c r="K44" s="116"/>
      <c r="L44" s="116"/>
      <c r="M44" s="116"/>
      <c r="N44" s="116"/>
    </row>
    <row r="45" spans="1:16" ht="15.75" x14ac:dyDescent="0.25">
      <c r="A45" s="57" t="s">
        <v>17</v>
      </c>
      <c r="B45" s="127">
        <f>F40</f>
        <v>0</v>
      </c>
      <c r="C45" s="57"/>
      <c r="D45" s="126">
        <f>B45*C45</f>
        <v>0</v>
      </c>
      <c r="E45" s="99"/>
      <c r="H45" s="386"/>
      <c r="O45" s="116"/>
    </row>
    <row r="46" spans="1:16" ht="15.75" x14ac:dyDescent="0.25">
      <c r="A46" s="128" t="s">
        <v>18</v>
      </c>
      <c r="B46" s="129"/>
      <c r="C46" s="130"/>
      <c r="D46" s="126">
        <f>SUM(D43:D45)</f>
        <v>0</v>
      </c>
      <c r="O46" s="116"/>
    </row>
    <row r="47" spans="1:16" ht="13.5" customHeight="1" x14ac:dyDescent="0.2"/>
    <row r="48" spans="1:16" ht="16.5" x14ac:dyDescent="0.3">
      <c r="C48" s="1" t="s">
        <v>173</v>
      </c>
    </row>
    <row r="50" spans="2:14" s="1510" customFormat="1" ht="15.75" x14ac:dyDescent="0.2">
      <c r="B50" s="1510" t="s">
        <v>864</v>
      </c>
      <c r="C50" s="1510" t="s">
        <v>141</v>
      </c>
      <c r="M50" s="1511"/>
      <c r="N50" s="1511">
        <f>SUM(N18:N49)</f>
        <v>-1622049</v>
      </c>
    </row>
  </sheetData>
  <mergeCells count="8">
    <mergeCell ref="O6:O7"/>
    <mergeCell ref="H6:H8"/>
    <mergeCell ref="I6:I8"/>
    <mergeCell ref="J6:J8"/>
    <mergeCell ref="K6:K8"/>
    <mergeCell ref="M6:M7"/>
    <mergeCell ref="N6:N7"/>
    <mergeCell ref="L6:L8"/>
  </mergeCells>
  <printOptions horizontalCentered="1"/>
  <pageMargins left="0.39370078740157483" right="0.39370078740157483" top="0.74803149606299213" bottom="0.39370078740157483" header="0.31496062992125984" footer="0.31496062992125984"/>
  <pageSetup paperSize="9" scale="62" orientation="landscape"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5">
    <tabColor rgb="FFFF0000"/>
    <pageSetUpPr fitToPage="1"/>
  </sheetPr>
  <dimension ref="A2:O67"/>
  <sheetViews>
    <sheetView topLeftCell="A16" zoomScaleNormal="100" workbookViewId="0">
      <selection activeCell="J18" sqref="J18"/>
    </sheetView>
  </sheetViews>
  <sheetFormatPr baseColWidth="10" defaultRowHeight="15" x14ac:dyDescent="0.2"/>
  <cols>
    <col min="1" max="1" width="10.5703125" style="37" bestFit="1" customWidth="1"/>
    <col min="2" max="2" width="11.28515625" style="37" bestFit="1" customWidth="1"/>
    <col min="3" max="3" width="12.140625" style="37" bestFit="1" customWidth="1"/>
    <col min="4" max="4" width="15.42578125" style="37" customWidth="1"/>
    <col min="5" max="5" width="13.5703125" style="37" bestFit="1" customWidth="1"/>
    <col min="6" max="6" width="14.85546875" style="37" bestFit="1" customWidth="1"/>
    <col min="7" max="7" width="10.85546875" style="37" bestFit="1" customWidth="1"/>
    <col min="8" max="8" width="14.5703125" style="37" bestFit="1" customWidth="1"/>
    <col min="9" max="9" width="10.7109375" style="37" bestFit="1" customWidth="1"/>
    <col min="10" max="10" width="16.42578125" style="37" customWidth="1"/>
    <col min="11" max="12" width="14" style="37" customWidth="1"/>
    <col min="13" max="13" width="14.140625" style="37" bestFit="1" customWidth="1"/>
    <col min="14" max="14" width="15.85546875" style="37" customWidth="1"/>
    <col min="15" max="15" width="15.7109375" style="37" bestFit="1" customWidth="1"/>
    <col min="16" max="16384" width="11.42578125" style="37"/>
  </cols>
  <sheetData>
    <row r="2" spans="1:15" ht="16.5" x14ac:dyDescent="0.3">
      <c r="A2" s="1" t="s">
        <v>118</v>
      </c>
      <c r="B2" s="1" t="s">
        <v>483</v>
      </c>
    </row>
    <row r="3" spans="1:15" ht="15.75" x14ac:dyDescent="0.25">
      <c r="C3" s="99"/>
      <c r="K3" s="116"/>
      <c r="L3" s="116"/>
    </row>
    <row r="4" spans="1:15" ht="16.5" x14ac:dyDescent="0.3">
      <c r="A4" s="1" t="s">
        <v>19</v>
      </c>
      <c r="B4" s="2">
        <f>+BLESSING!B4</f>
        <v>44105</v>
      </c>
      <c r="C4" s="1"/>
      <c r="H4" s="37">
        <f>12200/4</f>
        <v>3050</v>
      </c>
    </row>
    <row r="5" spans="1:15" ht="16.5" x14ac:dyDescent="0.3">
      <c r="A5" s="1"/>
      <c r="B5" s="1"/>
      <c r="C5" s="1"/>
    </row>
    <row r="6" spans="1:15" ht="16.5" x14ac:dyDescent="0.2">
      <c r="A6" s="100" t="s">
        <v>3</v>
      </c>
      <c r="B6" s="943" t="s">
        <v>15</v>
      </c>
      <c r="C6" s="944"/>
      <c r="D6" s="943" t="s">
        <v>16</v>
      </c>
      <c r="E6" s="944"/>
      <c r="F6" s="943" t="s">
        <v>17</v>
      </c>
      <c r="G6" s="944"/>
      <c r="H6" s="2910" t="s">
        <v>52</v>
      </c>
      <c r="I6" s="2910" t="s">
        <v>53</v>
      </c>
      <c r="J6" s="2910" t="s">
        <v>119</v>
      </c>
      <c r="K6" s="2910" t="s">
        <v>18</v>
      </c>
      <c r="L6" s="3062" t="s">
        <v>416</v>
      </c>
      <c r="M6" s="2910" t="s">
        <v>60</v>
      </c>
      <c r="N6" s="2910" t="s">
        <v>55</v>
      </c>
      <c r="O6" s="2910" t="s">
        <v>120</v>
      </c>
    </row>
    <row r="7" spans="1:15" ht="21" x14ac:dyDescent="0.2">
      <c r="A7" s="103"/>
      <c r="B7" s="915">
        <v>650</v>
      </c>
      <c r="C7" s="916"/>
      <c r="D7" s="915">
        <v>600</v>
      </c>
      <c r="E7" s="916"/>
      <c r="F7" s="915">
        <v>350</v>
      </c>
      <c r="G7" s="916"/>
      <c r="H7" s="3059"/>
      <c r="I7" s="3059"/>
      <c r="J7" s="2911"/>
      <c r="K7" s="2911"/>
      <c r="L7" s="3064"/>
      <c r="M7" s="2911"/>
      <c r="N7" s="2911"/>
      <c r="O7" s="2911"/>
    </row>
    <row r="8" spans="1:15" ht="16.5" x14ac:dyDescent="0.25">
      <c r="A8" s="105"/>
      <c r="B8" s="106" t="s">
        <v>56</v>
      </c>
      <c r="C8" s="106" t="s">
        <v>37</v>
      </c>
      <c r="D8" s="107" t="s">
        <v>56</v>
      </c>
      <c r="E8" s="106" t="s">
        <v>37</v>
      </c>
      <c r="F8" s="106" t="s">
        <v>56</v>
      </c>
      <c r="G8" s="106" t="s">
        <v>37</v>
      </c>
      <c r="H8" s="941"/>
      <c r="I8" s="941"/>
      <c r="J8" s="942"/>
      <c r="K8" s="942"/>
      <c r="L8" s="942"/>
      <c r="M8" s="133"/>
      <c r="N8" s="136">
        <v>14908500</v>
      </c>
      <c r="O8" s="109">
        <f>N8</f>
        <v>14908500</v>
      </c>
    </row>
    <row r="9" spans="1:15" ht="16.5" x14ac:dyDescent="0.3">
      <c r="A9" s="110">
        <f>+COMCO!A10</f>
        <v>44105</v>
      </c>
      <c r="B9" s="111">
        <f>C9/B$7</f>
        <v>0</v>
      </c>
      <c r="C9" s="112"/>
      <c r="D9" s="111">
        <f>+E9/D$7</f>
        <v>0</v>
      </c>
      <c r="E9" s="113"/>
      <c r="F9" s="111">
        <f>+G9/F$7</f>
        <v>0</v>
      </c>
      <c r="G9" s="114"/>
      <c r="H9" s="114"/>
      <c r="I9" s="114"/>
      <c r="J9" s="114"/>
      <c r="K9" s="115">
        <f t="shared" ref="K9:K39" si="0">C9+E9+G9+H9+I9+J9</f>
        <v>0</v>
      </c>
      <c r="L9" s="115"/>
      <c r="M9" s="113"/>
      <c r="N9" s="114">
        <f>K9-M9</f>
        <v>0</v>
      </c>
      <c r="O9" s="114">
        <f>+O8+K9-M9</f>
        <v>14908500</v>
      </c>
    </row>
    <row r="10" spans="1:15"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115"/>
      <c r="M10" s="86"/>
      <c r="N10" s="114">
        <f t="shared" ref="N10:N39" si="3">K10-M10</f>
        <v>0</v>
      </c>
      <c r="O10" s="114">
        <f t="shared" ref="O10:O37" si="4">+O9+K10-M10</f>
        <v>14908500</v>
      </c>
    </row>
    <row r="11" spans="1:15" ht="16.5" x14ac:dyDescent="0.25">
      <c r="A11" s="110">
        <f t="shared" ref="A11:A38" si="5">+A10+1</f>
        <v>44107</v>
      </c>
      <c r="B11" s="111">
        <f t="shared" si="1"/>
        <v>0</v>
      </c>
      <c r="C11" s="113"/>
      <c r="D11" s="111">
        <f t="shared" si="2"/>
        <v>0</v>
      </c>
      <c r="E11" s="113"/>
      <c r="F11" s="111">
        <f t="shared" si="2"/>
        <v>0</v>
      </c>
      <c r="G11" s="114"/>
      <c r="H11" s="114"/>
      <c r="I11" s="114"/>
      <c r="J11" s="114"/>
      <c r="K11" s="115">
        <f t="shared" si="0"/>
        <v>0</v>
      </c>
      <c r="L11" s="115"/>
      <c r="M11" s="86"/>
      <c r="N11" s="114">
        <f t="shared" si="3"/>
        <v>0</v>
      </c>
      <c r="O11" s="114">
        <f t="shared" si="4"/>
        <v>14908500</v>
      </c>
    </row>
    <row r="12" spans="1:15" ht="16.5" x14ac:dyDescent="0.25">
      <c r="A12" s="110">
        <f t="shared" si="5"/>
        <v>44108</v>
      </c>
      <c r="B12" s="111">
        <f t="shared" si="1"/>
        <v>0</v>
      </c>
      <c r="C12" s="113"/>
      <c r="D12" s="111">
        <f t="shared" si="2"/>
        <v>0</v>
      </c>
      <c r="E12" s="113"/>
      <c r="F12" s="111">
        <f t="shared" si="2"/>
        <v>0</v>
      </c>
      <c r="G12" s="114"/>
      <c r="H12" s="114"/>
      <c r="I12" s="114"/>
      <c r="J12" s="114"/>
      <c r="K12" s="115">
        <f t="shared" si="0"/>
        <v>0</v>
      </c>
      <c r="L12" s="115"/>
      <c r="M12" s="86"/>
      <c r="N12" s="114">
        <f t="shared" si="3"/>
        <v>0</v>
      </c>
      <c r="O12" s="114">
        <f t="shared" si="4"/>
        <v>14908500</v>
      </c>
    </row>
    <row r="13" spans="1:15" ht="16.5" x14ac:dyDescent="0.3">
      <c r="A13" s="110">
        <f t="shared" si="5"/>
        <v>44109</v>
      </c>
      <c r="B13" s="111">
        <f t="shared" si="1"/>
        <v>0</v>
      </c>
      <c r="C13" s="112"/>
      <c r="D13" s="111">
        <f t="shared" si="2"/>
        <v>0</v>
      </c>
      <c r="E13" s="113"/>
      <c r="F13" s="111">
        <f t="shared" si="2"/>
        <v>0</v>
      </c>
      <c r="G13" s="114"/>
      <c r="H13" s="114"/>
      <c r="I13" s="114"/>
      <c r="J13" s="114"/>
      <c r="K13" s="115">
        <f t="shared" si="0"/>
        <v>0</v>
      </c>
      <c r="L13" s="115"/>
      <c r="M13" s="86"/>
      <c r="N13" s="114">
        <f t="shared" si="3"/>
        <v>0</v>
      </c>
      <c r="O13" s="114">
        <f t="shared" si="4"/>
        <v>14908500</v>
      </c>
    </row>
    <row r="14" spans="1:15" ht="16.5" x14ac:dyDescent="0.3">
      <c r="A14" s="110">
        <f t="shared" si="5"/>
        <v>44110</v>
      </c>
      <c r="B14" s="111">
        <f t="shared" si="1"/>
        <v>0</v>
      </c>
      <c r="C14" s="112"/>
      <c r="D14" s="111">
        <f t="shared" si="2"/>
        <v>0</v>
      </c>
      <c r="E14" s="113"/>
      <c r="F14" s="111">
        <f t="shared" si="2"/>
        <v>0</v>
      </c>
      <c r="G14" s="114"/>
      <c r="H14" s="114"/>
      <c r="I14" s="114"/>
      <c r="J14" s="114"/>
      <c r="K14" s="115">
        <f t="shared" si="0"/>
        <v>0</v>
      </c>
      <c r="L14" s="115"/>
      <c r="M14" s="86"/>
      <c r="N14" s="114">
        <f t="shared" si="3"/>
        <v>0</v>
      </c>
      <c r="O14" s="114">
        <f t="shared" si="4"/>
        <v>14908500</v>
      </c>
    </row>
    <row r="15" spans="1:15"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si="4"/>
        <v>14908500</v>
      </c>
    </row>
    <row r="16" spans="1:15" ht="16.5" x14ac:dyDescent="0.25">
      <c r="A16" s="110">
        <f t="shared" si="5"/>
        <v>44112</v>
      </c>
      <c r="B16" s="111">
        <f t="shared" si="1"/>
        <v>0</v>
      </c>
      <c r="C16" s="113"/>
      <c r="D16" s="111">
        <f t="shared" si="2"/>
        <v>0</v>
      </c>
      <c r="E16" s="113"/>
      <c r="F16" s="111">
        <f t="shared" si="2"/>
        <v>0</v>
      </c>
      <c r="G16" s="114"/>
      <c r="H16" s="114"/>
      <c r="I16" s="114"/>
      <c r="J16" s="114"/>
      <c r="K16" s="115">
        <f t="shared" si="0"/>
        <v>0</v>
      </c>
      <c r="L16" s="115"/>
      <c r="M16" s="86"/>
      <c r="N16" s="114">
        <f t="shared" si="3"/>
        <v>0</v>
      </c>
      <c r="O16" s="114">
        <f t="shared" si="4"/>
        <v>14908500</v>
      </c>
    </row>
    <row r="17" spans="1:15"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f t="shared" si="3"/>
        <v>0</v>
      </c>
      <c r="O17" s="114">
        <f t="shared" si="4"/>
        <v>14908500</v>
      </c>
    </row>
    <row r="18" spans="1:15" ht="16.5" x14ac:dyDescent="0.25">
      <c r="A18" s="110">
        <f t="shared" si="5"/>
        <v>44114</v>
      </c>
      <c r="B18" s="117">
        <f t="shared" si="1"/>
        <v>0</v>
      </c>
      <c r="C18" s="86"/>
      <c r="D18" s="117">
        <f t="shared" si="2"/>
        <v>0</v>
      </c>
      <c r="E18" s="113"/>
      <c r="F18" s="111">
        <f t="shared" si="2"/>
        <v>0</v>
      </c>
      <c r="G18" s="118"/>
      <c r="H18" s="118"/>
      <c r="I18" s="118"/>
      <c r="J18" s="118"/>
      <c r="K18" s="134">
        <f t="shared" si="0"/>
        <v>0</v>
      </c>
      <c r="L18" s="134"/>
      <c r="M18" s="86"/>
      <c r="N18" s="114">
        <f t="shared" si="3"/>
        <v>0</v>
      </c>
      <c r="O18" s="114">
        <f t="shared" si="4"/>
        <v>14908500</v>
      </c>
    </row>
    <row r="19" spans="1:15" ht="16.5" x14ac:dyDescent="0.25">
      <c r="A19" s="110">
        <f t="shared" si="5"/>
        <v>44115</v>
      </c>
      <c r="B19" s="117">
        <f t="shared" si="1"/>
        <v>0</v>
      </c>
      <c r="C19" s="86"/>
      <c r="D19" s="117">
        <f t="shared" si="2"/>
        <v>0</v>
      </c>
      <c r="E19" s="113"/>
      <c r="F19" s="111">
        <f t="shared" si="2"/>
        <v>0</v>
      </c>
      <c r="G19" s="118"/>
      <c r="H19" s="118"/>
      <c r="I19" s="118"/>
      <c r="J19" s="118"/>
      <c r="K19" s="134">
        <f>C19+E19+G19+H19+I19+J19</f>
        <v>0</v>
      </c>
      <c r="L19" s="134"/>
      <c r="M19" s="86"/>
      <c r="N19" s="114">
        <f t="shared" si="3"/>
        <v>0</v>
      </c>
      <c r="O19" s="114">
        <f>+O18+K19-M19</f>
        <v>14908500</v>
      </c>
    </row>
    <row r="20" spans="1:15" ht="16.5" x14ac:dyDescent="0.25">
      <c r="A20" s="110">
        <f t="shared" si="5"/>
        <v>44116</v>
      </c>
      <c r="B20" s="117">
        <f t="shared" si="1"/>
        <v>0</v>
      </c>
      <c r="C20" s="86"/>
      <c r="D20" s="117">
        <f t="shared" si="2"/>
        <v>0</v>
      </c>
      <c r="E20" s="113"/>
      <c r="F20" s="111">
        <f t="shared" si="2"/>
        <v>0</v>
      </c>
      <c r="G20" s="118"/>
      <c r="H20" s="118"/>
      <c r="I20" s="118"/>
      <c r="J20" s="118"/>
      <c r="K20" s="134">
        <f t="shared" si="0"/>
        <v>0</v>
      </c>
      <c r="L20" s="134"/>
      <c r="M20" s="86"/>
      <c r="N20" s="114">
        <f t="shared" si="3"/>
        <v>0</v>
      </c>
      <c r="O20" s="114">
        <f t="shared" si="4"/>
        <v>14908500</v>
      </c>
    </row>
    <row r="21" spans="1:15" ht="16.5" x14ac:dyDescent="0.25">
      <c r="A21" s="110">
        <f t="shared" si="5"/>
        <v>44117</v>
      </c>
      <c r="B21" s="117">
        <f t="shared" si="1"/>
        <v>0</v>
      </c>
      <c r="C21" s="86"/>
      <c r="D21" s="117">
        <f t="shared" si="2"/>
        <v>0</v>
      </c>
      <c r="E21" s="113"/>
      <c r="F21" s="111">
        <f t="shared" si="2"/>
        <v>0</v>
      </c>
      <c r="G21" s="118"/>
      <c r="H21" s="118"/>
      <c r="I21" s="118"/>
      <c r="J21" s="118"/>
      <c r="K21" s="134">
        <f t="shared" si="0"/>
        <v>0</v>
      </c>
      <c r="L21" s="134"/>
      <c r="M21" s="86"/>
      <c r="N21" s="114">
        <f t="shared" si="3"/>
        <v>0</v>
      </c>
      <c r="O21" s="114">
        <f t="shared" si="4"/>
        <v>14908500</v>
      </c>
    </row>
    <row r="22" spans="1:15" ht="16.5" x14ac:dyDescent="0.25">
      <c r="A22" s="110">
        <f t="shared" si="5"/>
        <v>44118</v>
      </c>
      <c r="B22" s="117">
        <f t="shared" si="1"/>
        <v>0</v>
      </c>
      <c r="C22" s="86"/>
      <c r="D22" s="117">
        <f t="shared" si="2"/>
        <v>0</v>
      </c>
      <c r="E22" s="86"/>
      <c r="F22" s="111">
        <f t="shared" si="2"/>
        <v>0</v>
      </c>
      <c r="G22" s="118"/>
      <c r="H22" s="118"/>
      <c r="I22" s="118"/>
      <c r="J22" s="118"/>
      <c r="K22" s="134">
        <f t="shared" si="0"/>
        <v>0</v>
      </c>
      <c r="L22" s="134"/>
      <c r="M22" s="86"/>
      <c r="N22" s="114">
        <f t="shared" si="3"/>
        <v>0</v>
      </c>
      <c r="O22" s="114">
        <f t="shared" si="4"/>
        <v>14908500</v>
      </c>
    </row>
    <row r="23" spans="1:15" ht="16.5" x14ac:dyDescent="0.25">
      <c r="A23" s="110">
        <f t="shared" si="5"/>
        <v>44119</v>
      </c>
      <c r="B23" s="117">
        <f t="shared" si="1"/>
        <v>0</v>
      </c>
      <c r="C23" s="86"/>
      <c r="D23" s="117">
        <f t="shared" si="2"/>
        <v>0</v>
      </c>
      <c r="E23" s="113"/>
      <c r="F23" s="117">
        <f t="shared" si="2"/>
        <v>0</v>
      </c>
      <c r="G23" s="118"/>
      <c r="H23" s="118"/>
      <c r="I23" s="118"/>
      <c r="J23" s="118"/>
      <c r="K23" s="134">
        <f t="shared" si="0"/>
        <v>0</v>
      </c>
      <c r="L23" s="134"/>
      <c r="M23" s="86"/>
      <c r="N23" s="114">
        <f t="shared" si="3"/>
        <v>0</v>
      </c>
      <c r="O23" s="114">
        <f t="shared" si="4"/>
        <v>14908500</v>
      </c>
    </row>
    <row r="24" spans="1:15" ht="16.5" x14ac:dyDescent="0.25">
      <c r="A24" s="110">
        <f t="shared" si="5"/>
        <v>44120</v>
      </c>
      <c r="B24" s="117">
        <f t="shared" si="1"/>
        <v>0</v>
      </c>
      <c r="C24" s="86"/>
      <c r="D24" s="117">
        <f t="shared" si="2"/>
        <v>0</v>
      </c>
      <c r="E24" s="113"/>
      <c r="F24" s="117">
        <f>+G24/F$7</f>
        <v>0</v>
      </c>
      <c r="G24" s="118"/>
      <c r="H24" s="118"/>
      <c r="I24" s="118"/>
      <c r="J24" s="118"/>
      <c r="K24" s="134">
        <f t="shared" si="0"/>
        <v>0</v>
      </c>
      <c r="L24" s="134"/>
      <c r="M24" s="113"/>
      <c r="N24" s="114">
        <f t="shared" si="3"/>
        <v>0</v>
      </c>
      <c r="O24" s="114">
        <f t="shared" si="4"/>
        <v>14908500</v>
      </c>
    </row>
    <row r="25" spans="1:15" ht="16.5" x14ac:dyDescent="0.25">
      <c r="A25" s="110">
        <f t="shared" si="5"/>
        <v>44121</v>
      </c>
      <c r="B25" s="117">
        <f t="shared" si="1"/>
        <v>0</v>
      </c>
      <c r="C25" s="86"/>
      <c r="D25" s="117">
        <f t="shared" si="2"/>
        <v>0</v>
      </c>
      <c r="E25" s="113"/>
      <c r="F25" s="117">
        <f t="shared" si="2"/>
        <v>0</v>
      </c>
      <c r="G25" s="118"/>
      <c r="H25" s="118"/>
      <c r="I25" s="118"/>
      <c r="J25" s="118"/>
      <c r="K25" s="134">
        <f t="shared" si="0"/>
        <v>0</v>
      </c>
      <c r="L25" s="134"/>
      <c r="M25" s="113"/>
      <c r="N25" s="114">
        <f t="shared" si="3"/>
        <v>0</v>
      </c>
      <c r="O25" s="114">
        <f t="shared" si="4"/>
        <v>14908500</v>
      </c>
    </row>
    <row r="26" spans="1:15" ht="16.5" x14ac:dyDescent="0.25">
      <c r="A26" s="110">
        <f t="shared" si="5"/>
        <v>44122</v>
      </c>
      <c r="B26" s="117">
        <f t="shared" si="1"/>
        <v>0</v>
      </c>
      <c r="C26" s="86"/>
      <c r="D26" s="117">
        <f t="shared" ref="D26:F39" si="6">+E26/D$7</f>
        <v>0</v>
      </c>
      <c r="E26" s="113"/>
      <c r="F26" s="117">
        <f t="shared" si="6"/>
        <v>0</v>
      </c>
      <c r="G26" s="118"/>
      <c r="H26" s="118"/>
      <c r="I26" s="118"/>
      <c r="J26" s="118"/>
      <c r="K26" s="134">
        <f t="shared" si="0"/>
        <v>0</v>
      </c>
      <c r="L26" s="134"/>
      <c r="M26" s="113"/>
      <c r="N26" s="114">
        <f t="shared" si="3"/>
        <v>0</v>
      </c>
      <c r="O26" s="114">
        <f t="shared" si="4"/>
        <v>14908500</v>
      </c>
    </row>
    <row r="27" spans="1:15" ht="16.5" x14ac:dyDescent="0.25">
      <c r="A27" s="110">
        <f t="shared" si="5"/>
        <v>44123</v>
      </c>
      <c r="B27" s="117">
        <f t="shared" si="1"/>
        <v>0</v>
      </c>
      <c r="C27" s="86"/>
      <c r="D27" s="117">
        <f t="shared" si="6"/>
        <v>0</v>
      </c>
      <c r="E27" s="113"/>
      <c r="F27" s="117">
        <f t="shared" si="6"/>
        <v>0</v>
      </c>
      <c r="G27" s="118"/>
      <c r="H27" s="118"/>
      <c r="I27" s="118"/>
      <c r="J27" s="118"/>
      <c r="K27" s="134">
        <f t="shared" si="0"/>
        <v>0</v>
      </c>
      <c r="L27" s="134"/>
      <c r="M27" s="113"/>
      <c r="N27" s="114">
        <f t="shared" si="3"/>
        <v>0</v>
      </c>
      <c r="O27" s="114">
        <f t="shared" si="4"/>
        <v>14908500</v>
      </c>
    </row>
    <row r="28" spans="1:15" ht="16.5" x14ac:dyDescent="0.25">
      <c r="A28" s="110">
        <f t="shared" si="5"/>
        <v>44124</v>
      </c>
      <c r="B28" s="117">
        <f t="shared" si="1"/>
        <v>0</v>
      </c>
      <c r="C28" s="86"/>
      <c r="D28" s="117">
        <f t="shared" si="6"/>
        <v>0</v>
      </c>
      <c r="E28" s="113"/>
      <c r="F28" s="117">
        <f t="shared" si="6"/>
        <v>0</v>
      </c>
      <c r="G28" s="118"/>
      <c r="H28" s="118"/>
      <c r="I28" s="118"/>
      <c r="J28" s="118"/>
      <c r="K28" s="134">
        <f t="shared" si="0"/>
        <v>0</v>
      </c>
      <c r="L28" s="134"/>
      <c r="M28" s="113"/>
      <c r="N28" s="114">
        <f t="shared" si="3"/>
        <v>0</v>
      </c>
      <c r="O28" s="114">
        <f t="shared" si="4"/>
        <v>14908500</v>
      </c>
    </row>
    <row r="29" spans="1:15" ht="16.5" x14ac:dyDescent="0.25">
      <c r="A29" s="110">
        <f t="shared" si="5"/>
        <v>44125</v>
      </c>
      <c r="B29" s="117">
        <f t="shared" si="1"/>
        <v>0</v>
      </c>
      <c r="C29" s="86"/>
      <c r="D29" s="117">
        <f t="shared" si="6"/>
        <v>0</v>
      </c>
      <c r="E29" s="113"/>
      <c r="F29" s="117">
        <f t="shared" si="6"/>
        <v>0</v>
      </c>
      <c r="G29" s="118"/>
      <c r="H29" s="118"/>
      <c r="I29" s="118"/>
      <c r="J29" s="118"/>
      <c r="K29" s="134">
        <f t="shared" si="0"/>
        <v>0</v>
      </c>
      <c r="L29" s="134"/>
      <c r="M29" s="113"/>
      <c r="N29" s="114">
        <f t="shared" si="3"/>
        <v>0</v>
      </c>
      <c r="O29" s="114">
        <f t="shared" si="4"/>
        <v>14908500</v>
      </c>
    </row>
    <row r="30" spans="1:15" ht="16.5" x14ac:dyDescent="0.25">
      <c r="A30" s="110">
        <f t="shared" si="5"/>
        <v>44126</v>
      </c>
      <c r="B30" s="117">
        <f t="shared" si="1"/>
        <v>0</v>
      </c>
      <c r="C30" s="86"/>
      <c r="D30" s="117">
        <f t="shared" si="6"/>
        <v>0</v>
      </c>
      <c r="E30" s="113"/>
      <c r="F30" s="117">
        <f t="shared" si="6"/>
        <v>0</v>
      </c>
      <c r="G30" s="118"/>
      <c r="H30" s="118"/>
      <c r="I30" s="118"/>
      <c r="J30" s="118"/>
      <c r="K30" s="134">
        <f t="shared" si="0"/>
        <v>0</v>
      </c>
      <c r="L30" s="134"/>
      <c r="M30" s="113"/>
      <c r="N30" s="114">
        <f t="shared" si="3"/>
        <v>0</v>
      </c>
      <c r="O30" s="114">
        <f t="shared" si="4"/>
        <v>14908500</v>
      </c>
    </row>
    <row r="31" spans="1:15" s="1555" customFormat="1" ht="16.5" x14ac:dyDescent="0.25">
      <c r="A31" s="1547">
        <f t="shared" si="5"/>
        <v>44127</v>
      </c>
      <c r="B31" s="1549">
        <f t="shared" si="1"/>
        <v>0</v>
      </c>
      <c r="C31" s="1532"/>
      <c r="D31" s="1549">
        <f t="shared" si="6"/>
        <v>0</v>
      </c>
      <c r="E31" s="1532"/>
      <c r="F31" s="1549">
        <f t="shared" si="6"/>
        <v>0</v>
      </c>
      <c r="G31" s="1548"/>
      <c r="H31" s="1548"/>
      <c r="I31" s="1548"/>
      <c r="J31" s="1548"/>
      <c r="K31" s="1550">
        <f t="shared" si="0"/>
        <v>0</v>
      </c>
      <c r="L31" s="1550"/>
      <c r="M31" s="1532"/>
      <c r="N31" s="1548">
        <f t="shared" si="3"/>
        <v>0</v>
      </c>
      <c r="O31" s="1548">
        <f t="shared" si="4"/>
        <v>14908500</v>
      </c>
    </row>
    <row r="32" spans="1:15" ht="16.5" x14ac:dyDescent="0.25">
      <c r="A32" s="110">
        <f t="shared" si="5"/>
        <v>44128</v>
      </c>
      <c r="B32" s="111">
        <f t="shared" si="1"/>
        <v>0</v>
      </c>
      <c r="C32" s="113"/>
      <c r="D32" s="111">
        <f t="shared" si="6"/>
        <v>0</v>
      </c>
      <c r="E32" s="113"/>
      <c r="F32" s="111">
        <f t="shared" si="6"/>
        <v>0</v>
      </c>
      <c r="G32" s="114"/>
      <c r="H32" s="114"/>
      <c r="I32" s="114"/>
      <c r="J32" s="114"/>
      <c r="K32" s="115">
        <f t="shared" si="0"/>
        <v>0</v>
      </c>
      <c r="L32" s="115"/>
      <c r="M32" s="113"/>
      <c r="N32" s="114">
        <f t="shared" si="3"/>
        <v>0</v>
      </c>
      <c r="O32" s="114">
        <f t="shared" si="4"/>
        <v>14908500</v>
      </c>
    </row>
    <row r="33" spans="1:15" ht="16.5" x14ac:dyDescent="0.25">
      <c r="A33" s="110">
        <f t="shared" si="5"/>
        <v>44129</v>
      </c>
      <c r="B33" s="111">
        <f t="shared" si="1"/>
        <v>0</v>
      </c>
      <c r="C33" s="113"/>
      <c r="D33" s="111">
        <f>+E33/D$7</f>
        <v>0</v>
      </c>
      <c r="E33" s="113"/>
      <c r="F33" s="111">
        <f t="shared" si="6"/>
        <v>0</v>
      </c>
      <c r="G33" s="114"/>
      <c r="H33" s="114"/>
      <c r="I33" s="114"/>
      <c r="J33" s="114"/>
      <c r="K33" s="115">
        <f t="shared" si="0"/>
        <v>0</v>
      </c>
      <c r="L33" s="115"/>
      <c r="M33" s="113"/>
      <c r="N33" s="114">
        <f t="shared" si="3"/>
        <v>0</v>
      </c>
      <c r="O33" s="114">
        <f t="shared" si="4"/>
        <v>14908500</v>
      </c>
    </row>
    <row r="34" spans="1:15" ht="16.5" x14ac:dyDescent="0.25">
      <c r="A34" s="110">
        <f t="shared" si="5"/>
        <v>44130</v>
      </c>
      <c r="B34" s="111">
        <f t="shared" si="1"/>
        <v>0</v>
      </c>
      <c r="C34" s="113"/>
      <c r="D34" s="111">
        <f t="shared" si="6"/>
        <v>0</v>
      </c>
      <c r="E34" s="113"/>
      <c r="F34" s="111">
        <f t="shared" si="6"/>
        <v>0</v>
      </c>
      <c r="G34" s="114"/>
      <c r="H34" s="114"/>
      <c r="I34" s="114"/>
      <c r="J34" s="114"/>
      <c r="K34" s="115">
        <f t="shared" si="0"/>
        <v>0</v>
      </c>
      <c r="L34" s="115"/>
      <c r="M34" s="113"/>
      <c r="N34" s="114">
        <f t="shared" si="3"/>
        <v>0</v>
      </c>
      <c r="O34" s="114">
        <f t="shared" si="4"/>
        <v>14908500</v>
      </c>
    </row>
    <row r="35" spans="1:15" ht="16.5" x14ac:dyDescent="0.25">
      <c r="A35" s="110">
        <f t="shared" si="5"/>
        <v>44131</v>
      </c>
      <c r="B35" s="111">
        <f t="shared" si="1"/>
        <v>0</v>
      </c>
      <c r="C35" s="113"/>
      <c r="D35" s="111">
        <f t="shared" si="6"/>
        <v>0</v>
      </c>
      <c r="E35" s="113"/>
      <c r="F35" s="111">
        <f t="shared" si="6"/>
        <v>0</v>
      </c>
      <c r="G35" s="114"/>
      <c r="H35" s="114"/>
      <c r="I35" s="114"/>
      <c r="J35" s="114"/>
      <c r="K35" s="115">
        <f t="shared" si="0"/>
        <v>0</v>
      </c>
      <c r="L35" s="115"/>
      <c r="M35" s="113"/>
      <c r="N35" s="114">
        <f t="shared" si="3"/>
        <v>0</v>
      </c>
      <c r="O35" s="114">
        <f t="shared" si="4"/>
        <v>14908500</v>
      </c>
    </row>
    <row r="36" spans="1:15" ht="16.5" x14ac:dyDescent="0.25">
      <c r="A36" s="110">
        <f t="shared" si="5"/>
        <v>44132</v>
      </c>
      <c r="B36" s="111">
        <f t="shared" si="1"/>
        <v>0</v>
      </c>
      <c r="C36" s="113"/>
      <c r="D36" s="111">
        <f t="shared" si="6"/>
        <v>0</v>
      </c>
      <c r="E36" s="113"/>
      <c r="F36" s="111">
        <f t="shared" si="6"/>
        <v>0</v>
      </c>
      <c r="G36" s="114"/>
      <c r="H36" s="114"/>
      <c r="I36" s="114"/>
      <c r="J36" s="114"/>
      <c r="K36" s="115">
        <f t="shared" si="0"/>
        <v>0</v>
      </c>
      <c r="L36" s="115"/>
      <c r="M36" s="113"/>
      <c r="N36" s="114">
        <f t="shared" si="3"/>
        <v>0</v>
      </c>
      <c r="O36" s="114">
        <f t="shared" si="4"/>
        <v>14908500</v>
      </c>
    </row>
    <row r="37" spans="1:15" ht="16.5" x14ac:dyDescent="0.25">
      <c r="A37" s="110">
        <f t="shared" si="5"/>
        <v>44133</v>
      </c>
      <c r="B37" s="111">
        <f t="shared" si="1"/>
        <v>0</v>
      </c>
      <c r="C37" s="113"/>
      <c r="D37" s="111">
        <f t="shared" si="6"/>
        <v>0</v>
      </c>
      <c r="E37" s="113"/>
      <c r="F37" s="111">
        <f t="shared" si="6"/>
        <v>0</v>
      </c>
      <c r="G37" s="114"/>
      <c r="H37" s="114"/>
      <c r="I37" s="114"/>
      <c r="J37" s="114"/>
      <c r="K37" s="115">
        <f t="shared" si="0"/>
        <v>0</v>
      </c>
      <c r="L37" s="115"/>
      <c r="M37" s="113"/>
      <c r="N37" s="114">
        <f t="shared" si="3"/>
        <v>0</v>
      </c>
      <c r="O37" s="114">
        <f t="shared" si="4"/>
        <v>14908500</v>
      </c>
    </row>
    <row r="38" spans="1:15" ht="16.5" x14ac:dyDescent="0.25">
      <c r="A38" s="110">
        <f t="shared" si="5"/>
        <v>44134</v>
      </c>
      <c r="B38" s="111">
        <f t="shared" si="1"/>
        <v>0</v>
      </c>
      <c r="C38" s="113"/>
      <c r="D38" s="111">
        <f t="shared" si="6"/>
        <v>0</v>
      </c>
      <c r="E38" s="113"/>
      <c r="F38" s="111">
        <f t="shared" si="6"/>
        <v>0</v>
      </c>
      <c r="G38" s="114"/>
      <c r="H38" s="114"/>
      <c r="I38" s="114"/>
      <c r="J38" s="114"/>
      <c r="K38" s="115">
        <f t="shared" si="0"/>
        <v>0</v>
      </c>
      <c r="L38" s="950"/>
      <c r="M38" s="113"/>
      <c r="N38" s="114">
        <f t="shared" si="3"/>
        <v>0</v>
      </c>
      <c r="O38" s="114">
        <f>+O37+K38-M38</f>
        <v>14908500</v>
      </c>
    </row>
    <row r="39" spans="1:15" ht="16.5" x14ac:dyDescent="0.25">
      <c r="A39" s="110">
        <v>41851</v>
      </c>
      <c r="B39" s="111">
        <f t="shared" si="1"/>
        <v>0</v>
      </c>
      <c r="C39" s="113"/>
      <c r="D39" s="111">
        <f t="shared" si="6"/>
        <v>0</v>
      </c>
      <c r="E39" s="113"/>
      <c r="F39" s="111">
        <f t="shared" si="6"/>
        <v>0</v>
      </c>
      <c r="G39" s="114"/>
      <c r="H39" s="114"/>
      <c r="I39" s="114"/>
      <c r="J39" s="114"/>
      <c r="K39" s="115">
        <f t="shared" si="0"/>
        <v>0</v>
      </c>
      <c r="L39" s="115"/>
      <c r="M39" s="113"/>
      <c r="N39" s="114">
        <f t="shared" si="3"/>
        <v>0</v>
      </c>
      <c r="O39" s="120">
        <f>+O38+K39-M39</f>
        <v>14908500</v>
      </c>
    </row>
    <row r="40" spans="1:15" ht="16.5" x14ac:dyDescent="0.2">
      <c r="A40" s="121" t="s">
        <v>18</v>
      </c>
      <c r="B40" s="137">
        <f>SUM(B9:B39)</f>
        <v>0</v>
      </c>
      <c r="C40" s="115">
        <f>SUM(C9:C39)</f>
        <v>0</v>
      </c>
      <c r="D40" s="122">
        <f t="shared" ref="D40:M40" si="7">SUM(D9:D39)</f>
        <v>0</v>
      </c>
      <c r="E40" s="115">
        <f>SUM(E9:E39)</f>
        <v>0</v>
      </c>
      <c r="F40" s="115">
        <f t="shared" si="7"/>
        <v>0</v>
      </c>
      <c r="G40" s="115">
        <f t="shared" si="7"/>
        <v>0</v>
      </c>
      <c r="H40" s="115">
        <f t="shared" si="7"/>
        <v>0</v>
      </c>
      <c r="I40" s="115">
        <f t="shared" si="7"/>
        <v>0</v>
      </c>
      <c r="J40" s="115">
        <f t="shared" si="7"/>
        <v>0</v>
      </c>
      <c r="K40" s="115">
        <f t="shared" si="7"/>
        <v>0</v>
      </c>
      <c r="L40" s="115"/>
      <c r="M40" s="115">
        <f t="shared" si="7"/>
        <v>0</v>
      </c>
      <c r="N40" s="120">
        <f>SUM(N8:N39)</f>
        <v>14908500</v>
      </c>
      <c r="O40" s="123"/>
    </row>
    <row r="44" spans="1:15" x14ac:dyDescent="0.2">
      <c r="F44" s="1129"/>
    </row>
    <row r="45" spans="1:15" x14ac:dyDescent="0.2">
      <c r="J45" s="1129"/>
    </row>
    <row r="49" spans="8:8" x14ac:dyDescent="0.2">
      <c r="H49" s="37">
        <v>1470000</v>
      </c>
    </row>
    <row r="51" spans="8:8" x14ac:dyDescent="0.2">
      <c r="H51" s="37">
        <v>1080000</v>
      </c>
    </row>
    <row r="53" spans="8:8" x14ac:dyDescent="0.2">
      <c r="H53" s="37">
        <v>1650000</v>
      </c>
    </row>
    <row r="55" spans="8:8" x14ac:dyDescent="0.2">
      <c r="H55" s="37">
        <v>720000</v>
      </c>
    </row>
    <row r="56" spans="8:8" x14ac:dyDescent="0.2">
      <c r="H56" s="37">
        <v>360000</v>
      </c>
    </row>
    <row r="58" spans="8:8" x14ac:dyDescent="0.2">
      <c r="H58" s="37">
        <v>300000</v>
      </c>
    </row>
    <row r="60" spans="8:8" ht="15.75" x14ac:dyDescent="0.25">
      <c r="H60" s="113">
        <v>1110000</v>
      </c>
    </row>
    <row r="61" spans="8:8" ht="15.75" x14ac:dyDescent="0.25">
      <c r="H61" s="113"/>
    </row>
    <row r="62" spans="8:8" ht="15.75" x14ac:dyDescent="0.25">
      <c r="H62" s="113"/>
    </row>
    <row r="63" spans="8:8" ht="15.75" x14ac:dyDescent="0.25">
      <c r="H63" s="113">
        <v>1110000</v>
      </c>
    </row>
    <row r="64" spans="8:8" ht="15.75" x14ac:dyDescent="0.25">
      <c r="H64" s="113"/>
    </row>
    <row r="65" spans="8:11" ht="15.75" x14ac:dyDescent="0.25">
      <c r="H65" s="113">
        <v>2160000</v>
      </c>
    </row>
    <row r="66" spans="8:11" x14ac:dyDescent="0.2">
      <c r="J66" s="37">
        <f>+H67/600</f>
        <v>16600</v>
      </c>
      <c r="K66" s="37">
        <v>18500</v>
      </c>
    </row>
    <row r="67" spans="8:11" x14ac:dyDescent="0.2">
      <c r="H67" s="37">
        <f>SUM(H44:H65)</f>
        <v>9960000</v>
      </c>
    </row>
  </sheetData>
  <mergeCells count="8">
    <mergeCell ref="N6:N7"/>
    <mergeCell ref="O6:O7"/>
    <mergeCell ref="H6:H7"/>
    <mergeCell ref="I6:I7"/>
    <mergeCell ref="J6:J7"/>
    <mergeCell ref="K6:K7"/>
    <mergeCell ref="L6:L7"/>
    <mergeCell ref="M6:M7"/>
  </mergeCells>
  <pageMargins left="0.39370078740157483" right="0.39370078740157483" top="0.74803149606299213" bottom="0.39370078740157483" header="0.31496062992125984" footer="0.31496062992125984"/>
  <pageSetup paperSize="9" scale="49" orientation="landscape"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9">
    <tabColor theme="4" tint="-0.249977111117893"/>
    <pageSetUpPr fitToPage="1"/>
  </sheetPr>
  <dimension ref="A1:U47"/>
  <sheetViews>
    <sheetView topLeftCell="A14" zoomScaleNormal="100" workbookViewId="0">
      <selection activeCell="J18" sqref="J18"/>
    </sheetView>
  </sheetViews>
  <sheetFormatPr baseColWidth="10" defaultRowHeight="12.75" x14ac:dyDescent="0.2"/>
  <cols>
    <col min="1" max="1" width="11.42578125" style="39"/>
    <col min="2" max="2" width="11.42578125" style="39" customWidth="1"/>
    <col min="3" max="3" width="13.42578125" style="39" customWidth="1"/>
    <col min="4" max="4" width="12.7109375" style="39" bestFit="1" customWidth="1"/>
    <col min="5" max="5" width="13.85546875" style="39" bestFit="1" customWidth="1"/>
    <col min="6" max="10" width="11.42578125" style="39" customWidth="1"/>
    <col min="11" max="11" width="15.140625" style="39" customWidth="1"/>
    <col min="12" max="12" width="13.85546875" style="39" customWidth="1"/>
    <col min="13" max="13" width="13.7109375" style="39" customWidth="1"/>
    <col min="14" max="14" width="13.7109375" style="39" bestFit="1" customWidth="1"/>
    <col min="15" max="15" width="15.7109375" style="39" bestFit="1" customWidth="1"/>
    <col min="16" max="16" width="11.42578125" style="39"/>
    <col min="17" max="17" width="12" style="39" bestFit="1" customWidth="1"/>
    <col min="18" max="16384" width="11.42578125" style="39"/>
  </cols>
  <sheetData>
    <row r="1" spans="1:17" ht="15" x14ac:dyDescent="0.25">
      <c r="A1" s="238" t="s">
        <v>118</v>
      </c>
      <c r="D1" s="238" t="s">
        <v>962</v>
      </c>
    </row>
    <row r="2" spans="1:17" ht="13.5" x14ac:dyDescent="0.25">
      <c r="C2" s="14"/>
    </row>
    <row r="3" spans="1:17" ht="18.75" x14ac:dyDescent="0.3">
      <c r="A3" s="1" t="s">
        <v>19</v>
      </c>
      <c r="D3" s="142">
        <v>42614</v>
      </c>
      <c r="M3" s="37"/>
    </row>
    <row r="4" spans="1:17" ht="15" x14ac:dyDescent="0.25">
      <c r="A4" s="8"/>
      <c r="B4" s="8"/>
      <c r="C4" s="8"/>
      <c r="K4" s="1586"/>
      <c r="L4" s="1587"/>
    </row>
    <row r="5" spans="1:17" ht="19.5" customHeight="1" x14ac:dyDescent="0.25">
      <c r="A5" s="8"/>
      <c r="B5" s="8"/>
      <c r="C5" s="8"/>
      <c r="O5" s="388" t="s">
        <v>190</v>
      </c>
    </row>
    <row r="6" spans="1:17" ht="13.5" x14ac:dyDescent="0.25">
      <c r="A6" s="8"/>
      <c r="B6" s="8"/>
      <c r="C6" s="8"/>
    </row>
    <row r="7" spans="1:17" ht="16.5" customHeight="1" x14ac:dyDescent="0.2">
      <c r="A7" s="100" t="s">
        <v>3</v>
      </c>
      <c r="B7" s="1786" t="s">
        <v>15</v>
      </c>
      <c r="C7" s="1787"/>
      <c r="D7" s="1786" t="s">
        <v>16</v>
      </c>
      <c r="E7" s="1787"/>
      <c r="F7" s="1786" t="s">
        <v>17</v>
      </c>
      <c r="G7" s="1787"/>
      <c r="H7" s="2910" t="s">
        <v>52</v>
      </c>
      <c r="I7" s="2910" t="s">
        <v>53</v>
      </c>
      <c r="J7" s="2910" t="s">
        <v>119</v>
      </c>
      <c r="K7" s="2910" t="s">
        <v>18</v>
      </c>
      <c r="L7" s="3062" t="s">
        <v>416</v>
      </c>
      <c r="M7" s="3065" t="s">
        <v>223</v>
      </c>
      <c r="N7" s="2910" t="s">
        <v>55</v>
      </c>
      <c r="O7" s="2910" t="s">
        <v>120</v>
      </c>
    </row>
    <row r="8" spans="1:17" ht="25.5" customHeight="1" x14ac:dyDescent="0.2">
      <c r="A8" s="103"/>
      <c r="B8" s="915">
        <v>630</v>
      </c>
      <c r="C8" s="916"/>
      <c r="D8" s="915">
        <v>575</v>
      </c>
      <c r="E8" s="916"/>
      <c r="F8" s="915">
        <v>350</v>
      </c>
      <c r="G8" s="916"/>
      <c r="H8" s="3059"/>
      <c r="I8" s="3059"/>
      <c r="J8" s="3059"/>
      <c r="K8" s="3059"/>
      <c r="L8" s="3063"/>
      <c r="M8" s="3066"/>
      <c r="N8" s="2911"/>
      <c r="O8" s="2911"/>
    </row>
    <row r="9" spans="1:17" ht="16.5" x14ac:dyDescent="0.2">
      <c r="A9" s="105"/>
      <c r="B9" s="106" t="s">
        <v>56</v>
      </c>
      <c r="C9" s="106"/>
      <c r="D9" s="107" t="s">
        <v>56</v>
      </c>
      <c r="E9" s="106"/>
      <c r="F9" s="106" t="s">
        <v>56</v>
      </c>
      <c r="G9" s="106" t="s">
        <v>37</v>
      </c>
      <c r="H9" s="2911"/>
      <c r="I9" s="2911"/>
      <c r="J9" s="2911"/>
      <c r="K9" s="2911"/>
      <c r="L9" s="3064"/>
      <c r="M9" s="108"/>
      <c r="N9" s="276">
        <f>-176-15</f>
        <v>-191</v>
      </c>
      <c r="O9" s="109">
        <f>N9</f>
        <v>-191</v>
      </c>
    </row>
    <row r="10" spans="1:17" ht="16.5" x14ac:dyDescent="0.25">
      <c r="A10" s="110">
        <f>+KONGFU!A9</f>
        <v>44105</v>
      </c>
      <c r="B10" s="114">
        <f>+C10/B$8</f>
        <v>0</v>
      </c>
      <c r="C10" s="86"/>
      <c r="D10" s="114">
        <f>+E10/575</f>
        <v>0</v>
      </c>
      <c r="E10" s="86"/>
      <c r="F10" s="111">
        <f>+G10/F$8</f>
        <v>0</v>
      </c>
      <c r="G10" s="114"/>
      <c r="H10" s="114"/>
      <c r="I10" s="114"/>
      <c r="J10" s="114"/>
      <c r="K10" s="115">
        <f>C10+E10+G10+H10+I10+J10</f>
        <v>0</v>
      </c>
      <c r="L10" s="115"/>
      <c r="M10" s="113"/>
      <c r="N10" s="114">
        <f>K10-M10</f>
        <v>0</v>
      </c>
      <c r="O10" s="114">
        <f>+O9+K10-M10</f>
        <v>-191</v>
      </c>
    </row>
    <row r="11" spans="1:17" ht="16.5" x14ac:dyDescent="0.25">
      <c r="A11" s="110">
        <f>+A10+1</f>
        <v>44106</v>
      </c>
      <c r="B11" s="114">
        <f t="shared" ref="B11:B40" si="0">+C11/B$8</f>
        <v>0</v>
      </c>
      <c r="C11" s="86"/>
      <c r="D11" s="114">
        <f>+E11/575</f>
        <v>0</v>
      </c>
      <c r="E11" s="86"/>
      <c r="F11" s="111">
        <f t="shared" ref="F11:F40" si="1">+G11/F$8</f>
        <v>0</v>
      </c>
      <c r="G11" s="114"/>
      <c r="H11" s="114"/>
      <c r="I11" s="114"/>
      <c r="J11" s="114"/>
      <c r="K11" s="115">
        <f t="shared" ref="K11:K40" si="2">C11+E11+G11+H11+I11+J11</f>
        <v>0</v>
      </c>
      <c r="L11" s="115"/>
      <c r="M11" s="86"/>
      <c r="N11" s="114">
        <f t="shared" ref="N11:N38" si="3">K11-M11</f>
        <v>0</v>
      </c>
      <c r="O11" s="114">
        <f t="shared" ref="O11:O38" si="4">+O10+K11-M11</f>
        <v>-191</v>
      </c>
    </row>
    <row r="12" spans="1:17" ht="16.5" x14ac:dyDescent="0.25">
      <c r="A12" s="110">
        <f t="shared" ref="A12:A40" si="5">+A11+1</f>
        <v>44107</v>
      </c>
      <c r="B12" s="114">
        <f t="shared" si="0"/>
        <v>0</v>
      </c>
      <c r="C12" s="86"/>
      <c r="D12" s="114">
        <f>+E12/575</f>
        <v>0</v>
      </c>
      <c r="E12" s="86"/>
      <c r="F12" s="111">
        <f t="shared" si="1"/>
        <v>0</v>
      </c>
      <c r="G12" s="114"/>
      <c r="H12" s="114"/>
      <c r="I12" s="114"/>
      <c r="J12" s="114"/>
      <c r="K12" s="115">
        <f t="shared" si="2"/>
        <v>0</v>
      </c>
      <c r="L12" s="804"/>
      <c r="M12" s="86"/>
      <c r="N12" s="114">
        <f t="shared" si="3"/>
        <v>0</v>
      </c>
      <c r="O12" s="114">
        <f t="shared" si="4"/>
        <v>-191</v>
      </c>
    </row>
    <row r="13" spans="1:17" ht="16.5" x14ac:dyDescent="0.25">
      <c r="A13" s="110">
        <f t="shared" si="5"/>
        <v>44108</v>
      </c>
      <c r="B13" s="114">
        <f t="shared" si="0"/>
        <v>0</v>
      </c>
      <c r="C13" s="86"/>
      <c r="D13" s="114">
        <f>+E13/575</f>
        <v>0</v>
      </c>
      <c r="E13" s="86"/>
      <c r="F13" s="111">
        <f t="shared" si="1"/>
        <v>0</v>
      </c>
      <c r="G13" s="114"/>
      <c r="H13" s="114"/>
      <c r="I13" s="114"/>
      <c r="J13" s="114"/>
      <c r="K13" s="115">
        <f t="shared" si="2"/>
        <v>0</v>
      </c>
      <c r="L13" s="115"/>
      <c r="M13" s="86"/>
      <c r="N13" s="114">
        <f t="shared" si="3"/>
        <v>0</v>
      </c>
      <c r="O13" s="114">
        <f t="shared" si="4"/>
        <v>-191</v>
      </c>
      <c r="P13" s="39">
        <f>900000-9285</f>
        <v>890715</v>
      </c>
    </row>
    <row r="14" spans="1:17" ht="16.5" x14ac:dyDescent="0.25">
      <c r="A14" s="110">
        <f t="shared" si="5"/>
        <v>44109</v>
      </c>
      <c r="B14" s="114">
        <f t="shared" si="0"/>
        <v>0</v>
      </c>
      <c r="C14" s="86"/>
      <c r="D14" s="114">
        <f t="shared" ref="D14:D39" si="6">+E14/575</f>
        <v>0</v>
      </c>
      <c r="E14" s="86"/>
      <c r="F14" s="111">
        <f t="shared" si="1"/>
        <v>0</v>
      </c>
      <c r="G14" s="114"/>
      <c r="H14" s="114"/>
      <c r="I14" s="114"/>
      <c r="J14" s="114"/>
      <c r="K14" s="115">
        <f t="shared" si="2"/>
        <v>0</v>
      </c>
      <c r="L14" s="115"/>
      <c r="M14" s="86"/>
      <c r="N14" s="114">
        <f t="shared" si="3"/>
        <v>0</v>
      </c>
      <c r="O14" s="114">
        <f t="shared" si="4"/>
        <v>-191</v>
      </c>
    </row>
    <row r="15" spans="1:17" ht="16.5" x14ac:dyDescent="0.25">
      <c r="A15" s="110">
        <f t="shared" si="5"/>
        <v>44110</v>
      </c>
      <c r="B15" s="114">
        <f t="shared" si="0"/>
        <v>0</v>
      </c>
      <c r="C15" s="86"/>
      <c r="D15" s="114">
        <f t="shared" si="6"/>
        <v>0</v>
      </c>
      <c r="E15" s="86"/>
      <c r="F15" s="111">
        <f t="shared" si="1"/>
        <v>0</v>
      </c>
      <c r="G15" s="114"/>
      <c r="H15" s="114"/>
      <c r="I15" s="114"/>
      <c r="J15" s="114"/>
      <c r="K15" s="115">
        <f t="shared" si="2"/>
        <v>0</v>
      </c>
      <c r="L15" s="115"/>
      <c r="M15" s="86"/>
      <c r="N15" s="114">
        <f t="shared" si="3"/>
        <v>0</v>
      </c>
      <c r="O15" s="114">
        <f t="shared" si="4"/>
        <v>-191</v>
      </c>
      <c r="Q15" s="281"/>
    </row>
    <row r="16" spans="1:17" ht="16.5" x14ac:dyDescent="0.25">
      <c r="A16" s="110">
        <f t="shared" si="5"/>
        <v>44111</v>
      </c>
      <c r="B16" s="114">
        <f t="shared" si="0"/>
        <v>0</v>
      </c>
      <c r="C16" s="86"/>
      <c r="D16" s="114">
        <f t="shared" si="6"/>
        <v>0</v>
      </c>
      <c r="E16" s="86"/>
      <c r="F16" s="111">
        <f t="shared" si="1"/>
        <v>0</v>
      </c>
      <c r="G16" s="114"/>
      <c r="H16" s="114"/>
      <c r="I16" s="114"/>
      <c r="J16" s="114"/>
      <c r="K16" s="115">
        <f t="shared" si="2"/>
        <v>0</v>
      </c>
      <c r="L16" s="115"/>
      <c r="M16" s="86"/>
      <c r="N16" s="114">
        <f t="shared" si="3"/>
        <v>0</v>
      </c>
      <c r="O16" s="114">
        <f t="shared" si="4"/>
        <v>-191</v>
      </c>
      <c r="Q16" s="281"/>
    </row>
    <row r="17" spans="1:21" ht="16.5" x14ac:dyDescent="0.25">
      <c r="A17" s="110">
        <f t="shared" si="5"/>
        <v>44112</v>
      </c>
      <c r="B17" s="114">
        <f t="shared" si="0"/>
        <v>0</v>
      </c>
      <c r="C17" s="86"/>
      <c r="D17" s="114">
        <f t="shared" si="6"/>
        <v>0</v>
      </c>
      <c r="E17" s="86"/>
      <c r="F17" s="111">
        <f t="shared" si="1"/>
        <v>0</v>
      </c>
      <c r="G17" s="114"/>
      <c r="H17" s="114"/>
      <c r="I17" s="114"/>
      <c r="J17" s="114"/>
      <c r="K17" s="115">
        <f t="shared" si="2"/>
        <v>0</v>
      </c>
      <c r="L17" s="115"/>
      <c r="M17" s="86"/>
      <c r="N17" s="114">
        <f t="shared" si="3"/>
        <v>0</v>
      </c>
      <c r="O17" s="114">
        <f t="shared" si="4"/>
        <v>-191</v>
      </c>
      <c r="Q17" s="281"/>
    </row>
    <row r="18" spans="1:21" ht="16.5" x14ac:dyDescent="0.25">
      <c r="A18" s="110">
        <f t="shared" si="5"/>
        <v>44113</v>
      </c>
      <c r="B18" s="114">
        <f t="shared" si="0"/>
        <v>0</v>
      </c>
      <c r="C18" s="86"/>
      <c r="D18" s="114">
        <f t="shared" si="6"/>
        <v>0</v>
      </c>
      <c r="E18" s="86"/>
      <c r="F18" s="111">
        <f t="shared" si="1"/>
        <v>0</v>
      </c>
      <c r="G18" s="118"/>
      <c r="H18" s="118"/>
      <c r="I18" s="118"/>
      <c r="J18" s="118"/>
      <c r="K18" s="115">
        <f t="shared" si="2"/>
        <v>0</v>
      </c>
      <c r="L18" s="115"/>
      <c r="M18" s="86"/>
      <c r="N18" s="114">
        <f t="shared" si="3"/>
        <v>0</v>
      </c>
      <c r="O18" s="118">
        <f t="shared" si="4"/>
        <v>-191</v>
      </c>
      <c r="Q18" s="281"/>
    </row>
    <row r="19" spans="1:21" ht="16.5" x14ac:dyDescent="0.25">
      <c r="A19" s="110">
        <f t="shared" si="5"/>
        <v>44114</v>
      </c>
      <c r="B19" s="114">
        <f t="shared" si="0"/>
        <v>0</v>
      </c>
      <c r="C19" s="86"/>
      <c r="D19" s="114">
        <f t="shared" si="6"/>
        <v>0</v>
      </c>
      <c r="E19" s="86"/>
      <c r="F19" s="111">
        <f t="shared" si="1"/>
        <v>0</v>
      </c>
      <c r="G19" s="118"/>
      <c r="H19" s="118"/>
      <c r="I19" s="118"/>
      <c r="J19" s="118"/>
      <c r="K19" s="115">
        <f>C19+E19+G19+H19+I19+J19</f>
        <v>0</v>
      </c>
      <c r="L19" s="115"/>
      <c r="M19" s="86"/>
      <c r="N19" s="114">
        <f t="shared" si="3"/>
        <v>0</v>
      </c>
      <c r="O19" s="118">
        <f t="shared" si="4"/>
        <v>-191</v>
      </c>
      <c r="Q19" s="281"/>
    </row>
    <row r="20" spans="1:21" ht="16.5" x14ac:dyDescent="0.25">
      <c r="A20" s="110">
        <f t="shared" si="5"/>
        <v>44115</v>
      </c>
      <c r="B20" s="114">
        <f t="shared" si="0"/>
        <v>0</v>
      </c>
      <c r="C20" s="86"/>
      <c r="D20" s="114">
        <f t="shared" si="6"/>
        <v>0</v>
      </c>
      <c r="E20" s="86"/>
      <c r="F20" s="111">
        <f t="shared" si="1"/>
        <v>0</v>
      </c>
      <c r="G20" s="118"/>
      <c r="H20" s="118"/>
      <c r="I20" s="118"/>
      <c r="J20" s="118"/>
      <c r="K20" s="115">
        <f t="shared" si="2"/>
        <v>0</v>
      </c>
      <c r="L20" s="115"/>
      <c r="M20" s="86"/>
      <c r="N20" s="114">
        <f t="shared" si="3"/>
        <v>0</v>
      </c>
      <c r="O20" s="118">
        <f t="shared" si="4"/>
        <v>-191</v>
      </c>
      <c r="Q20" s="281"/>
    </row>
    <row r="21" spans="1:21" ht="16.5" x14ac:dyDescent="0.25">
      <c r="A21" s="110">
        <f t="shared" si="5"/>
        <v>44116</v>
      </c>
      <c r="B21" s="114">
        <f t="shared" si="0"/>
        <v>0</v>
      </c>
      <c r="C21" s="86"/>
      <c r="D21" s="114">
        <f t="shared" si="6"/>
        <v>0</v>
      </c>
      <c r="E21" s="86"/>
      <c r="F21" s="111">
        <f t="shared" si="1"/>
        <v>0</v>
      </c>
      <c r="G21" s="118"/>
      <c r="H21" s="118"/>
      <c r="I21" s="118"/>
      <c r="J21" s="118"/>
      <c r="K21" s="115">
        <f t="shared" si="2"/>
        <v>0</v>
      </c>
      <c r="L21" s="115"/>
      <c r="M21" s="86"/>
      <c r="N21" s="114">
        <f t="shared" si="3"/>
        <v>0</v>
      </c>
      <c r="O21" s="118">
        <f>+O20+K21-M21</f>
        <v>-191</v>
      </c>
      <c r="Q21" s="281"/>
    </row>
    <row r="22" spans="1:21" ht="16.5" x14ac:dyDescent="0.25">
      <c r="A22" s="110">
        <f t="shared" si="5"/>
        <v>44117</v>
      </c>
      <c r="B22" s="114">
        <f t="shared" si="0"/>
        <v>0</v>
      </c>
      <c r="C22" s="86"/>
      <c r="D22" s="114">
        <f t="shared" si="6"/>
        <v>0</v>
      </c>
      <c r="E22" s="86"/>
      <c r="F22" s="111">
        <f t="shared" si="1"/>
        <v>0</v>
      </c>
      <c r="G22" s="118"/>
      <c r="H22" s="118"/>
      <c r="I22" s="118"/>
      <c r="J22" s="118"/>
      <c r="K22" s="115">
        <f t="shared" si="2"/>
        <v>0</v>
      </c>
      <c r="L22" s="115"/>
      <c r="M22" s="86"/>
      <c r="N22" s="114">
        <f t="shared" si="3"/>
        <v>0</v>
      </c>
      <c r="O22" s="118">
        <f t="shared" si="4"/>
        <v>-191</v>
      </c>
      <c r="Q22" s="281"/>
    </row>
    <row r="23" spans="1:21" ht="16.5" x14ac:dyDescent="0.25">
      <c r="A23" s="110">
        <f>+A22+1</f>
        <v>44118</v>
      </c>
      <c r="B23" s="114">
        <f t="shared" si="0"/>
        <v>0</v>
      </c>
      <c r="C23" s="86"/>
      <c r="D23" s="114">
        <f t="shared" si="6"/>
        <v>0</v>
      </c>
      <c r="E23" s="86"/>
      <c r="F23" s="111">
        <f t="shared" si="1"/>
        <v>0</v>
      </c>
      <c r="G23" s="118"/>
      <c r="H23" s="118"/>
      <c r="I23" s="118"/>
      <c r="J23" s="118"/>
      <c r="K23" s="115">
        <f t="shared" si="2"/>
        <v>0</v>
      </c>
      <c r="L23" s="115"/>
      <c r="M23" s="86"/>
      <c r="N23" s="114">
        <f t="shared" si="3"/>
        <v>0</v>
      </c>
      <c r="O23" s="118">
        <f t="shared" si="4"/>
        <v>-191</v>
      </c>
      <c r="Q23" s="281"/>
    </row>
    <row r="24" spans="1:21" ht="16.5" x14ac:dyDescent="0.25">
      <c r="A24" s="110">
        <f t="shared" si="5"/>
        <v>44119</v>
      </c>
      <c r="B24" s="114">
        <f t="shared" si="0"/>
        <v>0</v>
      </c>
      <c r="C24" s="86"/>
      <c r="D24" s="114">
        <f t="shared" si="6"/>
        <v>0</v>
      </c>
      <c r="E24" s="86"/>
      <c r="F24" s="111">
        <f t="shared" si="1"/>
        <v>0</v>
      </c>
      <c r="G24" s="118"/>
      <c r="H24" s="118"/>
      <c r="I24" s="118"/>
      <c r="J24" s="118"/>
      <c r="K24" s="115">
        <f t="shared" si="2"/>
        <v>0</v>
      </c>
      <c r="L24" s="115"/>
      <c r="M24" s="86"/>
      <c r="N24" s="114">
        <f t="shared" si="3"/>
        <v>0</v>
      </c>
      <c r="O24" s="118">
        <f t="shared" si="4"/>
        <v>-191</v>
      </c>
      <c r="Q24" s="281"/>
      <c r="R24" s="39" t="s">
        <v>62</v>
      </c>
      <c r="S24" s="39" t="s">
        <v>62</v>
      </c>
      <c r="T24" s="39" t="s">
        <v>62</v>
      </c>
      <c r="U24" s="39" t="s">
        <v>62</v>
      </c>
    </row>
    <row r="25" spans="1:21" ht="16.5" x14ac:dyDescent="0.25">
      <c r="A25" s="110">
        <f t="shared" si="5"/>
        <v>44120</v>
      </c>
      <c r="B25" s="114">
        <f t="shared" si="0"/>
        <v>0</v>
      </c>
      <c r="C25" s="86"/>
      <c r="D25" s="114">
        <f t="shared" si="6"/>
        <v>0</v>
      </c>
      <c r="E25" s="86"/>
      <c r="F25" s="111">
        <f t="shared" si="1"/>
        <v>0</v>
      </c>
      <c r="G25" s="118"/>
      <c r="H25" s="118"/>
      <c r="I25" s="118"/>
      <c r="J25" s="118"/>
      <c r="K25" s="115">
        <f t="shared" si="2"/>
        <v>0</v>
      </c>
      <c r="L25" s="115"/>
      <c r="M25" s="86"/>
      <c r="N25" s="118">
        <f t="shared" si="3"/>
        <v>0</v>
      </c>
      <c r="O25" s="118">
        <f t="shared" si="4"/>
        <v>-191</v>
      </c>
      <c r="Q25" s="281"/>
    </row>
    <row r="26" spans="1:21" ht="16.5" x14ac:dyDescent="0.25">
      <c r="A26" s="110">
        <f t="shared" si="5"/>
        <v>44121</v>
      </c>
      <c r="B26" s="114">
        <f t="shared" si="0"/>
        <v>0</v>
      </c>
      <c r="C26" s="86"/>
      <c r="D26" s="114">
        <f t="shared" si="6"/>
        <v>0</v>
      </c>
      <c r="E26" s="86"/>
      <c r="F26" s="111">
        <f t="shared" si="1"/>
        <v>0</v>
      </c>
      <c r="G26" s="118"/>
      <c r="H26" s="118"/>
      <c r="I26" s="118"/>
      <c r="J26" s="118"/>
      <c r="K26" s="115">
        <f t="shared" si="2"/>
        <v>0</v>
      </c>
      <c r="L26" s="115"/>
      <c r="M26" s="86"/>
      <c r="N26" s="118">
        <f t="shared" si="3"/>
        <v>0</v>
      </c>
      <c r="O26" s="118">
        <f t="shared" si="4"/>
        <v>-191</v>
      </c>
      <c r="Q26" s="281"/>
    </row>
    <row r="27" spans="1:21" ht="16.5" x14ac:dyDescent="0.25">
      <c r="A27" s="110">
        <f t="shared" si="5"/>
        <v>44122</v>
      </c>
      <c r="B27" s="114">
        <f t="shared" si="0"/>
        <v>0</v>
      </c>
      <c r="C27" s="86"/>
      <c r="D27" s="114">
        <f t="shared" si="6"/>
        <v>0</v>
      </c>
      <c r="E27" s="86"/>
      <c r="F27" s="111">
        <f t="shared" si="1"/>
        <v>0</v>
      </c>
      <c r="G27" s="118"/>
      <c r="H27" s="118"/>
      <c r="I27" s="118"/>
      <c r="J27" s="118"/>
      <c r="K27" s="115">
        <f t="shared" si="2"/>
        <v>0</v>
      </c>
      <c r="L27" s="115"/>
      <c r="M27" s="86"/>
      <c r="N27" s="118">
        <f t="shared" si="3"/>
        <v>0</v>
      </c>
      <c r="O27" s="118">
        <f t="shared" si="4"/>
        <v>-191</v>
      </c>
      <c r="Q27" s="281"/>
    </row>
    <row r="28" spans="1:21" ht="16.5" x14ac:dyDescent="0.25">
      <c r="A28" s="110">
        <f t="shared" si="5"/>
        <v>44123</v>
      </c>
      <c r="B28" s="114">
        <f t="shared" si="0"/>
        <v>0</v>
      </c>
      <c r="C28" s="86"/>
      <c r="D28" s="114">
        <f t="shared" si="6"/>
        <v>0</v>
      </c>
      <c r="E28" s="86"/>
      <c r="F28" s="111">
        <f t="shared" si="1"/>
        <v>0</v>
      </c>
      <c r="G28" s="118"/>
      <c r="H28" s="118"/>
      <c r="I28" s="118"/>
      <c r="J28" s="118"/>
      <c r="K28" s="115">
        <f t="shared" si="2"/>
        <v>0</v>
      </c>
      <c r="L28" s="115"/>
      <c r="M28" s="1716"/>
      <c r="N28" s="118">
        <f t="shared" si="3"/>
        <v>0</v>
      </c>
      <c r="O28" s="118">
        <f t="shared" si="4"/>
        <v>-191</v>
      </c>
      <c r="Q28" s="281"/>
    </row>
    <row r="29" spans="1:21" ht="16.5" x14ac:dyDescent="0.25">
      <c r="A29" s="110">
        <f t="shared" si="5"/>
        <v>44124</v>
      </c>
      <c r="B29" s="114">
        <f t="shared" si="0"/>
        <v>0</v>
      </c>
      <c r="C29" s="86"/>
      <c r="D29" s="114">
        <f t="shared" si="6"/>
        <v>0</v>
      </c>
      <c r="E29" s="86"/>
      <c r="F29" s="111">
        <f t="shared" si="1"/>
        <v>0</v>
      </c>
      <c r="G29" s="118"/>
      <c r="H29" s="118"/>
      <c r="I29" s="118"/>
      <c r="J29" s="118"/>
      <c r="K29" s="115">
        <f t="shared" si="2"/>
        <v>0</v>
      </c>
      <c r="L29" s="115"/>
      <c r="M29" s="86"/>
      <c r="N29" s="118">
        <f t="shared" si="3"/>
        <v>0</v>
      </c>
      <c r="O29" s="118">
        <f t="shared" si="4"/>
        <v>-191</v>
      </c>
      <c r="Q29" s="281"/>
    </row>
    <row r="30" spans="1:21" ht="16.5" x14ac:dyDescent="0.25">
      <c r="A30" s="110">
        <f t="shared" si="5"/>
        <v>44125</v>
      </c>
      <c r="B30" s="114">
        <f t="shared" si="0"/>
        <v>0</v>
      </c>
      <c r="C30" s="86"/>
      <c r="D30" s="114">
        <f t="shared" si="6"/>
        <v>0</v>
      </c>
      <c r="E30" s="86"/>
      <c r="F30" s="111">
        <f t="shared" si="1"/>
        <v>0</v>
      </c>
      <c r="G30" s="118"/>
      <c r="H30" s="118"/>
      <c r="I30" s="118"/>
      <c r="J30" s="118"/>
      <c r="K30" s="115">
        <f t="shared" si="2"/>
        <v>0</v>
      </c>
      <c r="L30" s="115"/>
      <c r="M30" s="86"/>
      <c r="N30" s="118">
        <f t="shared" si="3"/>
        <v>0</v>
      </c>
      <c r="O30" s="118">
        <f t="shared" si="4"/>
        <v>-191</v>
      </c>
      <c r="Q30" s="281"/>
    </row>
    <row r="31" spans="1:21" s="250" customFormat="1" ht="16.5" x14ac:dyDescent="0.25">
      <c r="A31" s="827">
        <f t="shared" si="5"/>
        <v>44126</v>
      </c>
      <c r="B31" s="118">
        <f t="shared" si="0"/>
        <v>0</v>
      </c>
      <c r="C31" s="86"/>
      <c r="D31" s="114">
        <f t="shared" si="6"/>
        <v>0</v>
      </c>
      <c r="E31" s="86"/>
      <c r="F31" s="117">
        <f t="shared" si="1"/>
        <v>0</v>
      </c>
      <c r="G31" s="118"/>
      <c r="H31" s="118"/>
      <c r="I31" s="118"/>
      <c r="J31" s="118"/>
      <c r="K31" s="134">
        <f t="shared" si="2"/>
        <v>0</v>
      </c>
      <c r="L31" s="134"/>
      <c r="M31" s="86"/>
      <c r="N31" s="118">
        <f t="shared" si="3"/>
        <v>0</v>
      </c>
      <c r="O31" s="118">
        <f>+O30+K31-M31</f>
        <v>-191</v>
      </c>
      <c r="Q31" s="281"/>
    </row>
    <row r="32" spans="1:21" ht="16.5" x14ac:dyDescent="0.25">
      <c r="A32" s="110">
        <f t="shared" si="5"/>
        <v>44127</v>
      </c>
      <c r="B32" s="114">
        <f t="shared" si="0"/>
        <v>0</v>
      </c>
      <c r="C32" s="86"/>
      <c r="D32" s="114">
        <f t="shared" si="6"/>
        <v>0</v>
      </c>
      <c r="E32" s="86"/>
      <c r="F32" s="111">
        <f t="shared" si="1"/>
        <v>0</v>
      </c>
      <c r="G32" s="118"/>
      <c r="H32" s="118"/>
      <c r="I32" s="118"/>
      <c r="J32" s="118"/>
      <c r="K32" s="115">
        <f t="shared" si="2"/>
        <v>0</v>
      </c>
      <c r="L32" s="115"/>
      <c r="M32" s="86"/>
      <c r="N32" s="118">
        <f t="shared" si="3"/>
        <v>0</v>
      </c>
      <c r="O32" s="118">
        <f t="shared" si="4"/>
        <v>-191</v>
      </c>
      <c r="Q32" s="281"/>
    </row>
    <row r="33" spans="1:17" ht="16.5" x14ac:dyDescent="0.25">
      <c r="A33" s="110">
        <f t="shared" si="5"/>
        <v>44128</v>
      </c>
      <c r="B33" s="114">
        <f t="shared" si="0"/>
        <v>0</v>
      </c>
      <c r="C33" s="86"/>
      <c r="D33" s="114">
        <f t="shared" si="6"/>
        <v>0</v>
      </c>
      <c r="E33" s="86"/>
      <c r="F33" s="111">
        <f t="shared" si="1"/>
        <v>0</v>
      </c>
      <c r="G33" s="114"/>
      <c r="H33" s="114"/>
      <c r="I33" s="114"/>
      <c r="J33" s="114"/>
      <c r="K33" s="115">
        <f t="shared" si="2"/>
        <v>0</v>
      </c>
      <c r="L33" s="115"/>
      <c r="M33" s="86"/>
      <c r="N33" s="114">
        <f t="shared" si="3"/>
        <v>0</v>
      </c>
      <c r="O33" s="114">
        <f t="shared" si="4"/>
        <v>-191</v>
      </c>
      <c r="Q33" s="281"/>
    </row>
    <row r="34" spans="1:17" ht="16.5" x14ac:dyDescent="0.25">
      <c r="A34" s="110">
        <f t="shared" si="5"/>
        <v>44129</v>
      </c>
      <c r="B34" s="114">
        <f t="shared" si="0"/>
        <v>0</v>
      </c>
      <c r="C34" s="86"/>
      <c r="D34" s="114">
        <f t="shared" si="6"/>
        <v>0</v>
      </c>
      <c r="E34" s="86"/>
      <c r="F34" s="111">
        <f t="shared" si="1"/>
        <v>0</v>
      </c>
      <c r="G34" s="114"/>
      <c r="H34" s="114"/>
      <c r="I34" s="114"/>
      <c r="J34" s="114"/>
      <c r="K34" s="115">
        <f t="shared" si="2"/>
        <v>0</v>
      </c>
      <c r="L34" s="115"/>
      <c r="M34" s="86"/>
      <c r="N34" s="114">
        <f t="shared" si="3"/>
        <v>0</v>
      </c>
      <c r="O34" s="114">
        <f t="shared" si="4"/>
        <v>-191</v>
      </c>
      <c r="Q34" s="281"/>
    </row>
    <row r="35" spans="1:17" ht="16.5" x14ac:dyDescent="0.25">
      <c r="A35" s="110">
        <f t="shared" si="5"/>
        <v>44130</v>
      </c>
      <c r="B35" s="114">
        <f t="shared" si="0"/>
        <v>0</v>
      </c>
      <c r="C35" s="86"/>
      <c r="D35" s="114">
        <f t="shared" si="6"/>
        <v>0</v>
      </c>
      <c r="E35" s="86"/>
      <c r="F35" s="111">
        <f t="shared" si="1"/>
        <v>0</v>
      </c>
      <c r="G35" s="114"/>
      <c r="H35" s="114"/>
      <c r="I35" s="114"/>
      <c r="J35" s="114"/>
      <c r="K35" s="115">
        <f t="shared" si="2"/>
        <v>0</v>
      </c>
      <c r="L35" s="115"/>
      <c r="M35" s="86"/>
      <c r="N35" s="114">
        <f t="shared" si="3"/>
        <v>0</v>
      </c>
      <c r="O35" s="114">
        <f t="shared" si="4"/>
        <v>-191</v>
      </c>
      <c r="Q35" s="281"/>
    </row>
    <row r="36" spans="1:17" ht="16.5" x14ac:dyDescent="0.25">
      <c r="A36" s="110">
        <f t="shared" si="5"/>
        <v>44131</v>
      </c>
      <c r="B36" s="114">
        <f t="shared" si="0"/>
        <v>0</v>
      </c>
      <c r="C36" s="86"/>
      <c r="D36" s="114">
        <f t="shared" si="6"/>
        <v>0</v>
      </c>
      <c r="E36" s="86"/>
      <c r="F36" s="111">
        <f t="shared" si="1"/>
        <v>0</v>
      </c>
      <c r="G36" s="114"/>
      <c r="H36" s="114"/>
      <c r="I36" s="114"/>
      <c r="J36" s="114"/>
      <c r="K36" s="115">
        <f t="shared" si="2"/>
        <v>0</v>
      </c>
      <c r="L36" s="115"/>
      <c r="M36" s="113"/>
      <c r="N36" s="114">
        <f t="shared" si="3"/>
        <v>0</v>
      </c>
      <c r="O36" s="114">
        <f t="shared" si="4"/>
        <v>-191</v>
      </c>
      <c r="Q36" s="281"/>
    </row>
    <row r="37" spans="1:17" ht="16.5" x14ac:dyDescent="0.25">
      <c r="A37" s="110">
        <f t="shared" si="5"/>
        <v>44132</v>
      </c>
      <c r="B37" s="114">
        <f t="shared" si="0"/>
        <v>0</v>
      </c>
      <c r="C37" s="86"/>
      <c r="D37" s="114">
        <f t="shared" si="6"/>
        <v>0</v>
      </c>
      <c r="E37" s="86"/>
      <c r="F37" s="111">
        <f t="shared" si="1"/>
        <v>0</v>
      </c>
      <c r="G37" s="114"/>
      <c r="H37" s="114"/>
      <c r="I37" s="114"/>
      <c r="J37" s="114"/>
      <c r="K37" s="115">
        <f t="shared" si="2"/>
        <v>0</v>
      </c>
      <c r="L37" s="115"/>
      <c r="M37" s="113"/>
      <c r="N37" s="114">
        <f t="shared" si="3"/>
        <v>0</v>
      </c>
      <c r="O37" s="114">
        <f t="shared" si="4"/>
        <v>-191</v>
      </c>
      <c r="Q37" s="281"/>
    </row>
    <row r="38" spans="1:17" ht="16.5" x14ac:dyDescent="0.25">
      <c r="A38" s="110">
        <f t="shared" si="5"/>
        <v>44133</v>
      </c>
      <c r="B38" s="114">
        <f t="shared" si="0"/>
        <v>0</v>
      </c>
      <c r="C38" s="113"/>
      <c r="D38" s="114">
        <f t="shared" si="6"/>
        <v>0</v>
      </c>
      <c r="E38" s="113"/>
      <c r="F38" s="111">
        <f t="shared" si="1"/>
        <v>0</v>
      </c>
      <c r="G38" s="114"/>
      <c r="H38" s="114"/>
      <c r="I38" s="114"/>
      <c r="J38" s="114"/>
      <c r="K38" s="115">
        <f t="shared" si="2"/>
        <v>0</v>
      </c>
      <c r="L38" s="115"/>
      <c r="M38" s="113"/>
      <c r="N38" s="114">
        <f t="shared" si="3"/>
        <v>0</v>
      </c>
      <c r="O38" s="114">
        <f t="shared" si="4"/>
        <v>-191</v>
      </c>
      <c r="Q38" s="281"/>
    </row>
    <row r="39" spans="1:17" ht="16.5" x14ac:dyDescent="0.25">
      <c r="A39" s="110">
        <f t="shared" si="5"/>
        <v>44134</v>
      </c>
      <c r="B39" s="114">
        <f t="shared" si="0"/>
        <v>0</v>
      </c>
      <c r="C39" s="113"/>
      <c r="D39" s="114">
        <f t="shared" si="6"/>
        <v>0</v>
      </c>
      <c r="E39" s="113"/>
      <c r="F39" s="111">
        <f t="shared" si="1"/>
        <v>0</v>
      </c>
      <c r="G39" s="114"/>
      <c r="H39" s="114"/>
      <c r="I39" s="114"/>
      <c r="J39" s="114"/>
      <c r="K39" s="115">
        <f t="shared" si="2"/>
        <v>0</v>
      </c>
      <c r="L39" s="115"/>
      <c r="M39" s="113"/>
      <c r="N39" s="114">
        <f>K39-M39</f>
        <v>0</v>
      </c>
      <c r="O39" s="114">
        <f>+O38+K39-M39</f>
        <v>-191</v>
      </c>
      <c r="Q39" s="281"/>
    </row>
    <row r="40" spans="1:17" ht="16.5" x14ac:dyDescent="0.25">
      <c r="A40" s="110">
        <f t="shared" si="5"/>
        <v>44135</v>
      </c>
      <c r="B40" s="114">
        <f t="shared" si="0"/>
        <v>0</v>
      </c>
      <c r="C40" s="113"/>
      <c r="D40" s="114">
        <f>+E40/520</f>
        <v>0</v>
      </c>
      <c r="E40" s="113"/>
      <c r="F40" s="111">
        <f t="shared" si="1"/>
        <v>0</v>
      </c>
      <c r="G40" s="114"/>
      <c r="H40" s="114"/>
      <c r="I40" s="114"/>
      <c r="J40" s="114"/>
      <c r="K40" s="115">
        <f t="shared" si="2"/>
        <v>0</v>
      </c>
      <c r="L40" s="115"/>
      <c r="M40" s="113"/>
      <c r="N40" s="114">
        <f>K40-M40</f>
        <v>0</v>
      </c>
      <c r="O40" s="120">
        <f>+O39+K40-M40</f>
        <v>-191</v>
      </c>
      <c r="Q40" s="281"/>
    </row>
    <row r="41" spans="1:17" ht="16.5" x14ac:dyDescent="0.2">
      <c r="A41" s="121" t="s">
        <v>18</v>
      </c>
      <c r="B41" s="115">
        <f t="shared" ref="B41:M41" si="7">SUM(B10:B40)</f>
        <v>0</v>
      </c>
      <c r="C41" s="115">
        <f>SUM(C10:C40)</f>
        <v>0</v>
      </c>
      <c r="D41" s="122">
        <f t="shared" si="7"/>
        <v>0</v>
      </c>
      <c r="E41" s="115">
        <f>SUM(E10:E40)</f>
        <v>0</v>
      </c>
      <c r="F41" s="115">
        <f>SUM(F10:F40)</f>
        <v>0</v>
      </c>
      <c r="G41" s="115">
        <f t="shared" si="7"/>
        <v>0</v>
      </c>
      <c r="H41" s="115">
        <f t="shared" si="7"/>
        <v>0</v>
      </c>
      <c r="I41" s="115">
        <f t="shared" si="7"/>
        <v>0</v>
      </c>
      <c r="J41" s="115">
        <f t="shared" si="7"/>
        <v>0</v>
      </c>
      <c r="K41" s="115">
        <f>SUM(K10:K40)</f>
        <v>0</v>
      </c>
      <c r="L41" s="115"/>
      <c r="M41" s="115">
        <f t="shared" si="7"/>
        <v>0</v>
      </c>
      <c r="N41" s="120">
        <f>SUM(N9:N40)</f>
        <v>-191</v>
      </c>
      <c r="O41" s="123"/>
    </row>
    <row r="42" spans="1:17" ht="13.5" x14ac:dyDescent="0.2">
      <c r="A42" s="26"/>
      <c r="B42" s="26"/>
      <c r="C42" s="26"/>
      <c r="D42" s="27"/>
      <c r="E42" s="26"/>
      <c r="F42" s="26"/>
      <c r="G42" s="26"/>
      <c r="H42" s="26"/>
      <c r="I42" s="26"/>
      <c r="J42" s="26"/>
      <c r="K42" s="26"/>
      <c r="L42" s="26"/>
      <c r="M42" s="26"/>
      <c r="N42" s="26"/>
      <c r="O42" s="26"/>
    </row>
    <row r="43" spans="1:17" ht="13.5" x14ac:dyDescent="0.25">
      <c r="A43" s="10" t="s">
        <v>121</v>
      </c>
      <c r="B43" s="10" t="s">
        <v>61</v>
      </c>
      <c r="C43" s="10" t="s">
        <v>122</v>
      </c>
      <c r="D43" s="28" t="s">
        <v>39</v>
      </c>
    </row>
    <row r="44" spans="1:17" ht="13.5" x14ac:dyDescent="0.25">
      <c r="A44" s="10" t="s">
        <v>15</v>
      </c>
      <c r="B44" s="24">
        <f>B41</f>
        <v>0</v>
      </c>
      <c r="C44" s="10"/>
      <c r="D44" s="28">
        <f>B44*C44</f>
        <v>0</v>
      </c>
    </row>
    <row r="45" spans="1:17" ht="13.5" x14ac:dyDescent="0.25">
      <c r="A45" s="10" t="s">
        <v>16</v>
      </c>
      <c r="B45" s="28">
        <f>D41</f>
        <v>0</v>
      </c>
      <c r="C45" s="10"/>
      <c r="D45" s="28">
        <f>B45*C45</f>
        <v>0</v>
      </c>
      <c r="H45" s="21"/>
      <c r="K45" s="21"/>
      <c r="L45" s="21"/>
      <c r="M45" s="21"/>
      <c r="N45" s="21"/>
    </row>
    <row r="46" spans="1:17" ht="13.5" x14ac:dyDescent="0.25">
      <c r="A46" s="10" t="s">
        <v>17</v>
      </c>
      <c r="B46" s="24">
        <f>F41</f>
        <v>0</v>
      </c>
      <c r="C46" s="10"/>
      <c r="D46" s="28">
        <f>B46*C46</f>
        <v>0</v>
      </c>
      <c r="E46" s="14"/>
      <c r="O46" s="21"/>
    </row>
    <row r="47" spans="1:17" ht="13.5" x14ac:dyDescent="0.25">
      <c r="A47" s="33" t="s">
        <v>18</v>
      </c>
      <c r="B47" s="34"/>
      <c r="C47" s="35"/>
      <c r="D47" s="28">
        <f>SUM(D44:D46)</f>
        <v>0</v>
      </c>
      <c r="O47" s="21"/>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34" orientation="portrait"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0">
    <tabColor theme="4" tint="-0.249977111117893"/>
    <pageSetUpPr fitToPage="1"/>
  </sheetPr>
  <dimension ref="A2:P50"/>
  <sheetViews>
    <sheetView topLeftCell="A13" zoomScaleNormal="100" workbookViewId="0">
      <selection activeCell="J18" sqref="J18"/>
    </sheetView>
  </sheetViews>
  <sheetFormatPr baseColWidth="10" defaultColWidth="14" defaultRowHeight="15" x14ac:dyDescent="0.2"/>
  <cols>
    <col min="1" max="5" width="14" style="37"/>
    <col min="6" max="6" width="18.140625" style="37" customWidth="1"/>
    <col min="7" max="11" width="14" style="37"/>
    <col min="12" max="12" width="18.28515625" style="37" customWidth="1"/>
    <col min="13" max="13" width="19.42578125" style="37" bestFit="1" customWidth="1"/>
    <col min="14" max="14" width="16.140625" style="37" bestFit="1" customWidth="1"/>
    <col min="15" max="16384" width="14" style="37"/>
  </cols>
  <sheetData>
    <row r="2" spans="1:16" ht="16.5" x14ac:dyDescent="0.3">
      <c r="A2" s="1" t="s">
        <v>118</v>
      </c>
      <c r="B2" s="1" t="s">
        <v>818</v>
      </c>
    </row>
    <row r="3" spans="1:16" ht="15.75" x14ac:dyDescent="0.25">
      <c r="C3" s="99"/>
    </row>
    <row r="4" spans="1:16" ht="16.5" x14ac:dyDescent="0.3">
      <c r="A4" s="1" t="s">
        <v>19</v>
      </c>
      <c r="B4" s="2">
        <f>+HERAKLESS!C3</f>
        <v>43160</v>
      </c>
      <c r="C4" s="1"/>
    </row>
    <row r="5" spans="1:16" ht="16.5" x14ac:dyDescent="0.3">
      <c r="A5" s="1"/>
      <c r="B5" s="1"/>
      <c r="C5" s="1"/>
    </row>
    <row r="6" spans="1:16" ht="16.5" x14ac:dyDescent="0.2">
      <c r="A6" s="100" t="s">
        <v>3</v>
      </c>
      <c r="B6" s="1256" t="s">
        <v>15</v>
      </c>
      <c r="C6" s="1257"/>
      <c r="D6" s="1256" t="s">
        <v>16</v>
      </c>
      <c r="E6" s="1257"/>
      <c r="F6" s="1256" t="s">
        <v>17</v>
      </c>
      <c r="G6" s="1257"/>
      <c r="H6" s="2910" t="s">
        <v>52</v>
      </c>
      <c r="I6" s="2910" t="s">
        <v>53</v>
      </c>
      <c r="J6" s="2910" t="s">
        <v>119</v>
      </c>
      <c r="K6" s="2910" t="s">
        <v>18</v>
      </c>
      <c r="L6" s="3062" t="s">
        <v>416</v>
      </c>
      <c r="M6" s="2910" t="s">
        <v>60</v>
      </c>
      <c r="N6" s="2910" t="s">
        <v>55</v>
      </c>
      <c r="O6" s="2910" t="s">
        <v>120</v>
      </c>
    </row>
    <row r="7" spans="1:16" ht="21" x14ac:dyDescent="0.2">
      <c r="A7" s="103"/>
      <c r="B7" s="915">
        <v>630</v>
      </c>
      <c r="C7" s="916"/>
      <c r="D7" s="915">
        <v>575</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v>-5</v>
      </c>
      <c r="O8" s="118">
        <f>N8</f>
        <v>-5</v>
      </c>
    </row>
    <row r="9" spans="1:16" s="94" customFormat="1" ht="16.5" x14ac:dyDescent="0.3">
      <c r="A9" s="110">
        <f>+HERAKLESS!A8</f>
        <v>44105</v>
      </c>
      <c r="B9" s="118">
        <f>C9/B$7</f>
        <v>0</v>
      </c>
      <c r="C9" s="189"/>
      <c r="D9" s="117">
        <f>+E9/D$7</f>
        <v>0</v>
      </c>
      <c r="E9" s="279"/>
      <c r="F9" s="117">
        <f>+G9/F$7</f>
        <v>0</v>
      </c>
      <c r="G9" s="118"/>
      <c r="H9" s="118"/>
      <c r="I9" s="118"/>
      <c r="J9" s="118"/>
      <c r="K9" s="134">
        <f>C9+E9+G9+H9+I9+J9</f>
        <v>0</v>
      </c>
      <c r="L9" s="134"/>
      <c r="M9" s="86"/>
      <c r="N9" s="118">
        <f>K9-M9</f>
        <v>0</v>
      </c>
      <c r="O9" s="118">
        <f>+O8+K9-M9</f>
        <v>-5</v>
      </c>
    </row>
    <row r="10" spans="1:16" s="94" customFormat="1" ht="16.5" x14ac:dyDescent="0.3">
      <c r="A10" s="110">
        <f>+A9+1</f>
        <v>44106</v>
      </c>
      <c r="B10" s="118">
        <f t="shared" ref="B10:B39" si="0">C10/B$7</f>
        <v>0</v>
      </c>
      <c r="C10" s="189"/>
      <c r="D10" s="117">
        <f t="shared" ref="D10:D39" si="1">+E10/D$7</f>
        <v>0</v>
      </c>
      <c r="E10" s="275"/>
      <c r="F10" s="117">
        <f>+G10/F$7</f>
        <v>0</v>
      </c>
      <c r="G10" s="118"/>
      <c r="H10" s="118"/>
      <c r="I10" s="118"/>
      <c r="J10" s="118"/>
      <c r="K10" s="134">
        <f t="shared" ref="K10:K39" si="2">C10+E10+G10+H10+I10+J10</f>
        <v>0</v>
      </c>
      <c r="L10" s="134"/>
      <c r="M10" s="86"/>
      <c r="N10" s="118">
        <f t="shared" ref="N10:N39" si="3">K10-M10</f>
        <v>0</v>
      </c>
      <c r="O10" s="118">
        <f t="shared" ref="O10:O37" si="4">+O9+K10-M10</f>
        <v>-5</v>
      </c>
    </row>
    <row r="11" spans="1:16" s="94" customFormat="1" ht="16.5" x14ac:dyDescent="0.25">
      <c r="A11" s="110">
        <f t="shared" ref="A11:A39" si="5">+A10+1</f>
        <v>44107</v>
      </c>
      <c r="B11" s="118">
        <f t="shared" si="0"/>
        <v>0</v>
      </c>
      <c r="C11" s="86"/>
      <c r="D11" s="117">
        <f t="shared" si="1"/>
        <v>0</v>
      </c>
      <c r="E11" s="275"/>
      <c r="F11" s="117">
        <f t="shared" ref="F11:F39" si="6">+G11/F$7</f>
        <v>0</v>
      </c>
      <c r="G11" s="118"/>
      <c r="H11" s="118"/>
      <c r="I11" s="118"/>
      <c r="J11" s="118"/>
      <c r="K11" s="134">
        <f t="shared" si="2"/>
        <v>0</v>
      </c>
      <c r="L11" s="831"/>
      <c r="M11" s="86"/>
      <c r="N11" s="118">
        <f t="shared" si="3"/>
        <v>0</v>
      </c>
      <c r="O11" s="118">
        <f t="shared" si="4"/>
        <v>-5</v>
      </c>
    </row>
    <row r="12" spans="1:16" s="94" customFormat="1" ht="16.5" x14ac:dyDescent="0.25">
      <c r="A12" s="110">
        <f t="shared" si="5"/>
        <v>44108</v>
      </c>
      <c r="B12" s="118">
        <f t="shared" si="0"/>
        <v>0</v>
      </c>
      <c r="C12" s="86"/>
      <c r="D12" s="117">
        <f t="shared" si="1"/>
        <v>0</v>
      </c>
      <c r="E12" s="279"/>
      <c r="F12" s="117">
        <f t="shared" si="6"/>
        <v>0</v>
      </c>
      <c r="G12" s="118"/>
      <c r="H12" s="118"/>
      <c r="I12" s="118"/>
      <c r="J12" s="118"/>
      <c r="K12" s="134">
        <f t="shared" si="2"/>
        <v>0</v>
      </c>
      <c r="L12" s="134"/>
      <c r="M12" s="86"/>
      <c r="N12" s="118">
        <f t="shared" si="3"/>
        <v>0</v>
      </c>
      <c r="O12" s="118">
        <f t="shared" si="4"/>
        <v>-5</v>
      </c>
      <c r="P12" s="190"/>
    </row>
    <row r="13" spans="1:16" s="94" customFormat="1" ht="16.5" x14ac:dyDescent="0.3">
      <c r="A13" s="110">
        <f t="shared" si="5"/>
        <v>44109</v>
      </c>
      <c r="B13" s="118">
        <f t="shared" si="0"/>
        <v>0</v>
      </c>
      <c r="C13" s="189"/>
      <c r="D13" s="117">
        <f t="shared" si="1"/>
        <v>0</v>
      </c>
      <c r="E13" s="279"/>
      <c r="F13" s="117">
        <f t="shared" si="6"/>
        <v>0</v>
      </c>
      <c r="G13" s="118"/>
      <c r="H13" s="118"/>
      <c r="I13" s="118"/>
      <c r="J13" s="118"/>
      <c r="K13" s="134">
        <f t="shared" si="2"/>
        <v>0</v>
      </c>
      <c r="L13" s="134"/>
      <c r="M13" s="86"/>
      <c r="N13" s="118">
        <f t="shared" si="3"/>
        <v>0</v>
      </c>
      <c r="O13" s="118">
        <f t="shared" si="4"/>
        <v>-5</v>
      </c>
    </row>
    <row r="14" spans="1:16" s="94" customFormat="1" ht="16.5" x14ac:dyDescent="0.25">
      <c r="A14" s="110">
        <f t="shared" si="5"/>
        <v>44110</v>
      </c>
      <c r="B14" s="118">
        <f t="shared" si="0"/>
        <v>0</v>
      </c>
      <c r="C14" s="86"/>
      <c r="D14" s="117">
        <f t="shared" si="1"/>
        <v>0</v>
      </c>
      <c r="E14" s="279"/>
      <c r="F14" s="117">
        <f t="shared" si="6"/>
        <v>0</v>
      </c>
      <c r="G14" s="118"/>
      <c r="H14" s="118"/>
      <c r="I14" s="118"/>
      <c r="J14" s="118"/>
      <c r="K14" s="134">
        <f t="shared" si="2"/>
        <v>0</v>
      </c>
      <c r="L14" s="134"/>
      <c r="M14" s="86"/>
      <c r="N14" s="118">
        <f t="shared" si="3"/>
        <v>0</v>
      </c>
      <c r="O14" s="118">
        <f t="shared" si="4"/>
        <v>-5</v>
      </c>
    </row>
    <row r="15" spans="1:16" s="94" customFormat="1" ht="16.5" x14ac:dyDescent="0.25">
      <c r="A15" s="110">
        <f t="shared" si="5"/>
        <v>44111</v>
      </c>
      <c r="B15" s="118">
        <f t="shared" si="0"/>
        <v>0</v>
      </c>
      <c r="C15" s="86"/>
      <c r="D15" s="117">
        <f t="shared" si="1"/>
        <v>0</v>
      </c>
      <c r="E15" s="279"/>
      <c r="F15" s="117">
        <f t="shared" si="6"/>
        <v>0</v>
      </c>
      <c r="G15" s="118"/>
      <c r="H15" s="118"/>
      <c r="I15" s="118"/>
      <c r="J15" s="118"/>
      <c r="K15" s="134">
        <f t="shared" si="2"/>
        <v>0</v>
      </c>
      <c r="L15" s="134"/>
      <c r="M15" s="86"/>
      <c r="N15" s="118">
        <f t="shared" si="3"/>
        <v>0</v>
      </c>
      <c r="O15" s="118">
        <f t="shared" si="4"/>
        <v>-5</v>
      </c>
    </row>
    <row r="16" spans="1:16" s="94" customFormat="1" ht="16.5" x14ac:dyDescent="0.25">
      <c r="A16" s="110">
        <f t="shared" si="5"/>
        <v>44112</v>
      </c>
      <c r="B16" s="118">
        <f t="shared" si="0"/>
        <v>0</v>
      </c>
      <c r="C16" s="86"/>
      <c r="D16" s="118">
        <f t="shared" si="1"/>
        <v>0</v>
      </c>
      <c r="E16" s="279"/>
      <c r="F16" s="117">
        <f t="shared" si="6"/>
        <v>0</v>
      </c>
      <c r="G16" s="118"/>
      <c r="H16" s="118"/>
      <c r="I16" s="118"/>
      <c r="J16" s="118"/>
      <c r="K16" s="134">
        <f t="shared" si="2"/>
        <v>0</v>
      </c>
      <c r="L16" s="134"/>
      <c r="M16" s="86"/>
      <c r="N16" s="118">
        <f t="shared" si="3"/>
        <v>0</v>
      </c>
      <c r="O16" s="118">
        <f t="shared" si="4"/>
        <v>-5</v>
      </c>
    </row>
    <row r="17" spans="1:16" s="94" customFormat="1" ht="16.5" x14ac:dyDescent="0.25">
      <c r="A17" s="110">
        <f t="shared" si="5"/>
        <v>44113</v>
      </c>
      <c r="B17" s="118">
        <f t="shared" si="0"/>
        <v>0</v>
      </c>
      <c r="C17" s="86"/>
      <c r="D17" s="118">
        <f t="shared" si="1"/>
        <v>0</v>
      </c>
      <c r="E17" s="279"/>
      <c r="F17" s="117">
        <f t="shared" si="6"/>
        <v>0</v>
      </c>
      <c r="G17" s="118"/>
      <c r="H17" s="118"/>
      <c r="I17" s="118"/>
      <c r="J17" s="118"/>
      <c r="K17" s="134">
        <f t="shared" si="2"/>
        <v>0</v>
      </c>
      <c r="L17" s="134"/>
      <c r="M17" s="86"/>
      <c r="N17" s="118">
        <f t="shared" si="3"/>
        <v>0</v>
      </c>
      <c r="O17" s="118">
        <f t="shared" si="4"/>
        <v>-5</v>
      </c>
    </row>
    <row r="18" spans="1:16" s="94" customFormat="1" ht="16.5" x14ac:dyDescent="0.25">
      <c r="A18" s="110">
        <f t="shared" si="5"/>
        <v>44114</v>
      </c>
      <c r="B18" s="118">
        <f t="shared" si="0"/>
        <v>0</v>
      </c>
      <c r="C18" s="86"/>
      <c r="D18" s="118">
        <f t="shared" si="1"/>
        <v>0</v>
      </c>
      <c r="E18" s="279"/>
      <c r="F18" s="117">
        <f t="shared" si="6"/>
        <v>0</v>
      </c>
      <c r="G18" s="118"/>
      <c r="H18" s="118"/>
      <c r="I18" s="118"/>
      <c r="J18" s="118"/>
      <c r="K18" s="134">
        <f>C18+E18+G18+H18+I18+J18</f>
        <v>0</v>
      </c>
      <c r="L18" s="134"/>
      <c r="M18" s="86"/>
      <c r="N18" s="118">
        <f t="shared" si="3"/>
        <v>0</v>
      </c>
      <c r="O18" s="118">
        <f t="shared" si="4"/>
        <v>-5</v>
      </c>
    </row>
    <row r="19" spans="1:16" s="94" customFormat="1" ht="16.5" x14ac:dyDescent="0.25">
      <c r="A19" s="110">
        <f t="shared" si="5"/>
        <v>44115</v>
      </c>
      <c r="B19" s="118">
        <f t="shared" si="0"/>
        <v>0</v>
      </c>
      <c r="C19" s="86"/>
      <c r="D19" s="118">
        <f t="shared" si="1"/>
        <v>0</v>
      </c>
      <c r="E19" s="279"/>
      <c r="F19" s="117">
        <f t="shared" si="6"/>
        <v>0</v>
      </c>
      <c r="G19" s="118"/>
      <c r="H19" s="118"/>
      <c r="I19" s="118"/>
      <c r="J19" s="118"/>
      <c r="K19" s="134">
        <f t="shared" si="2"/>
        <v>0</v>
      </c>
      <c r="L19" s="134"/>
      <c r="M19" s="86"/>
      <c r="N19" s="118">
        <f t="shared" si="3"/>
        <v>0</v>
      </c>
      <c r="O19" s="118">
        <f t="shared" si="4"/>
        <v>-5</v>
      </c>
    </row>
    <row r="20" spans="1:16" s="94" customFormat="1" ht="16.5" x14ac:dyDescent="0.25">
      <c r="A20" s="110">
        <f t="shared" si="5"/>
        <v>44116</v>
      </c>
      <c r="B20" s="118">
        <f t="shared" si="0"/>
        <v>0</v>
      </c>
      <c r="C20" s="86"/>
      <c r="D20" s="118">
        <f t="shared" si="1"/>
        <v>0</v>
      </c>
      <c r="E20" s="279"/>
      <c r="F20" s="117">
        <f t="shared" si="6"/>
        <v>0</v>
      </c>
      <c r="G20" s="118"/>
      <c r="H20" s="118"/>
      <c r="I20" s="118"/>
      <c r="J20" s="118"/>
      <c r="K20" s="134">
        <f t="shared" si="2"/>
        <v>0</v>
      </c>
      <c r="L20" s="134"/>
      <c r="M20" s="86"/>
      <c r="N20" s="118">
        <f t="shared" si="3"/>
        <v>0</v>
      </c>
      <c r="O20" s="118">
        <f>+O19+K20-M20</f>
        <v>-5</v>
      </c>
    </row>
    <row r="21" spans="1:16" s="94" customFormat="1" ht="16.5" x14ac:dyDescent="0.25">
      <c r="A21" s="110">
        <f t="shared" si="5"/>
        <v>44117</v>
      </c>
      <c r="B21" s="118">
        <f t="shared" si="0"/>
        <v>0</v>
      </c>
      <c r="C21" s="86"/>
      <c r="D21" s="118">
        <f t="shared" si="1"/>
        <v>0</v>
      </c>
      <c r="E21" s="279"/>
      <c r="F21" s="117">
        <f t="shared" si="6"/>
        <v>0</v>
      </c>
      <c r="G21" s="118"/>
      <c r="H21" s="118"/>
      <c r="I21" s="118"/>
      <c r="J21" s="118"/>
      <c r="K21" s="134">
        <f t="shared" si="2"/>
        <v>0</v>
      </c>
      <c r="L21" s="134"/>
      <c r="M21" s="86"/>
      <c r="N21" s="118">
        <f t="shared" si="3"/>
        <v>0</v>
      </c>
      <c r="O21" s="118">
        <f t="shared" si="4"/>
        <v>-5</v>
      </c>
    </row>
    <row r="22" spans="1:16" s="94" customFormat="1" ht="16.5" x14ac:dyDescent="0.25">
      <c r="A22" s="110">
        <f t="shared" si="5"/>
        <v>44118</v>
      </c>
      <c r="B22" s="118">
        <f t="shared" si="0"/>
        <v>0</v>
      </c>
      <c r="C22" s="86"/>
      <c r="D22" s="118">
        <f t="shared" si="1"/>
        <v>0</v>
      </c>
      <c r="E22" s="279"/>
      <c r="F22" s="117">
        <f t="shared" si="6"/>
        <v>0</v>
      </c>
      <c r="G22" s="118"/>
      <c r="H22" s="118"/>
      <c r="I22" s="118"/>
      <c r="J22" s="118"/>
      <c r="K22" s="134">
        <f t="shared" si="2"/>
        <v>0</v>
      </c>
      <c r="L22" s="134"/>
      <c r="M22" s="86"/>
      <c r="N22" s="118">
        <f t="shared" si="3"/>
        <v>0</v>
      </c>
      <c r="O22" s="118">
        <f t="shared" si="4"/>
        <v>-5</v>
      </c>
    </row>
    <row r="23" spans="1:16" s="94" customFormat="1" ht="16.5" x14ac:dyDescent="0.25">
      <c r="A23" s="110">
        <f t="shared" si="5"/>
        <v>44119</v>
      </c>
      <c r="B23" s="118">
        <f t="shared" si="0"/>
        <v>0</v>
      </c>
      <c r="C23" s="86"/>
      <c r="D23" s="118">
        <f t="shared" si="1"/>
        <v>0</v>
      </c>
      <c r="E23" s="279"/>
      <c r="F23" s="117">
        <f t="shared" si="6"/>
        <v>0</v>
      </c>
      <c r="G23" s="118"/>
      <c r="H23" s="118"/>
      <c r="I23" s="118"/>
      <c r="J23" s="118"/>
      <c r="K23" s="134">
        <f t="shared" si="2"/>
        <v>0</v>
      </c>
      <c r="L23" s="134"/>
      <c r="M23" s="86"/>
      <c r="N23" s="118">
        <f t="shared" si="3"/>
        <v>0</v>
      </c>
      <c r="O23" s="118">
        <f t="shared" si="4"/>
        <v>-5</v>
      </c>
    </row>
    <row r="24" spans="1:16" s="94" customFormat="1" ht="16.5" x14ac:dyDescent="0.25">
      <c r="A24" s="110">
        <f t="shared" si="5"/>
        <v>44120</v>
      </c>
      <c r="B24" s="118">
        <f t="shared" si="0"/>
        <v>0</v>
      </c>
      <c r="C24" s="86"/>
      <c r="D24" s="118">
        <f t="shared" si="1"/>
        <v>0</v>
      </c>
      <c r="E24" s="279"/>
      <c r="F24" s="117">
        <f t="shared" si="6"/>
        <v>0</v>
      </c>
      <c r="G24" s="118"/>
      <c r="H24" s="118"/>
      <c r="I24" s="118"/>
      <c r="J24" s="118"/>
      <c r="K24" s="134">
        <f t="shared" si="2"/>
        <v>0</v>
      </c>
      <c r="L24" s="134"/>
      <c r="M24" s="86"/>
      <c r="N24" s="118">
        <f t="shared" si="3"/>
        <v>0</v>
      </c>
      <c r="O24" s="118">
        <f t="shared" si="4"/>
        <v>-5</v>
      </c>
    </row>
    <row r="25" spans="1:16" s="94" customFormat="1" ht="16.5" x14ac:dyDescent="0.25">
      <c r="A25" s="110">
        <f t="shared" si="5"/>
        <v>44121</v>
      </c>
      <c r="B25" s="118">
        <f t="shared" si="0"/>
        <v>0</v>
      </c>
      <c r="C25" s="86"/>
      <c r="D25" s="118">
        <f t="shared" si="1"/>
        <v>0</v>
      </c>
      <c r="E25" s="279"/>
      <c r="F25" s="117">
        <f t="shared" si="6"/>
        <v>0</v>
      </c>
      <c r="G25" s="118"/>
      <c r="H25" s="118"/>
      <c r="I25" s="118"/>
      <c r="J25" s="118"/>
      <c r="K25" s="134">
        <f t="shared" si="2"/>
        <v>0</v>
      </c>
      <c r="L25" s="134"/>
      <c r="M25" s="86"/>
      <c r="N25" s="118">
        <f t="shared" si="3"/>
        <v>0</v>
      </c>
      <c r="O25" s="118">
        <f t="shared" si="4"/>
        <v>-5</v>
      </c>
    </row>
    <row r="26" spans="1:16" s="94" customFormat="1" ht="16.5" x14ac:dyDescent="0.3">
      <c r="A26" s="110">
        <f t="shared" si="5"/>
        <v>44122</v>
      </c>
      <c r="B26" s="118">
        <f t="shared" si="0"/>
        <v>0</v>
      </c>
      <c r="C26" s="86"/>
      <c r="D26" s="118">
        <f t="shared" si="1"/>
        <v>0</v>
      </c>
      <c r="E26" s="279"/>
      <c r="F26" s="117">
        <f t="shared" si="6"/>
        <v>0</v>
      </c>
      <c r="G26" s="118"/>
      <c r="H26" s="118"/>
      <c r="I26" s="118"/>
      <c r="J26" s="118"/>
      <c r="K26" s="134">
        <f t="shared" si="2"/>
        <v>0</v>
      </c>
      <c r="L26" s="134"/>
      <c r="M26" s="86"/>
      <c r="N26" s="118">
        <f t="shared" si="3"/>
        <v>0</v>
      </c>
      <c r="O26" s="118">
        <f t="shared" si="4"/>
        <v>-5</v>
      </c>
      <c r="P26" s="119"/>
    </row>
    <row r="27" spans="1:16" ht="16.5" x14ac:dyDescent="0.25">
      <c r="A27" s="110">
        <f t="shared" si="5"/>
        <v>44123</v>
      </c>
      <c r="B27" s="118">
        <f t="shared" si="0"/>
        <v>0</v>
      </c>
      <c r="C27" s="86"/>
      <c r="D27" s="114">
        <f t="shared" si="1"/>
        <v>0</v>
      </c>
      <c r="E27" s="279"/>
      <c r="F27" s="117">
        <f t="shared" si="6"/>
        <v>0</v>
      </c>
      <c r="G27" s="118"/>
      <c r="H27" s="118"/>
      <c r="I27" s="118"/>
      <c r="J27" s="118"/>
      <c r="K27" s="115">
        <f t="shared" si="2"/>
        <v>0</v>
      </c>
      <c r="L27" s="115"/>
      <c r="M27" s="86"/>
      <c r="N27" s="118">
        <f t="shared" si="3"/>
        <v>0</v>
      </c>
      <c r="O27" s="118">
        <f t="shared" si="4"/>
        <v>-5</v>
      </c>
    </row>
    <row r="28" spans="1:16" ht="16.5" x14ac:dyDescent="0.25">
      <c r="A28" s="110">
        <f t="shared" si="5"/>
        <v>44124</v>
      </c>
      <c r="B28" s="118">
        <f t="shared" si="0"/>
        <v>0</v>
      </c>
      <c r="C28" s="86"/>
      <c r="D28" s="114">
        <f t="shared" si="1"/>
        <v>0</v>
      </c>
      <c r="E28" s="279"/>
      <c r="F28" s="117">
        <f t="shared" si="6"/>
        <v>0</v>
      </c>
      <c r="G28" s="118"/>
      <c r="H28" s="118"/>
      <c r="I28" s="118"/>
      <c r="J28" s="118"/>
      <c r="K28" s="115">
        <f t="shared" si="2"/>
        <v>0</v>
      </c>
      <c r="L28" s="115"/>
      <c r="M28" s="86"/>
      <c r="N28" s="118">
        <f t="shared" si="3"/>
        <v>0</v>
      </c>
      <c r="O28" s="118">
        <f t="shared" si="4"/>
        <v>-5</v>
      </c>
    </row>
    <row r="29" spans="1:16" ht="16.5" x14ac:dyDescent="0.25">
      <c r="A29" s="110">
        <f t="shared" si="5"/>
        <v>44125</v>
      </c>
      <c r="B29" s="118">
        <f t="shared" si="0"/>
        <v>0</v>
      </c>
      <c r="C29" s="86"/>
      <c r="D29" s="111">
        <f t="shared" si="1"/>
        <v>0</v>
      </c>
      <c r="E29" s="279"/>
      <c r="F29" s="117">
        <f t="shared" si="6"/>
        <v>0</v>
      </c>
      <c r="G29" s="118"/>
      <c r="H29" s="118"/>
      <c r="I29" s="118"/>
      <c r="J29" s="118"/>
      <c r="K29" s="115">
        <f t="shared" si="2"/>
        <v>0</v>
      </c>
      <c r="L29" s="115"/>
      <c r="M29" s="86"/>
      <c r="N29" s="118">
        <f t="shared" si="3"/>
        <v>0</v>
      </c>
      <c r="O29" s="118">
        <f t="shared" si="4"/>
        <v>-5</v>
      </c>
    </row>
    <row r="30" spans="1:16" ht="16.5" x14ac:dyDescent="0.25">
      <c r="A30" s="110">
        <f t="shared" si="5"/>
        <v>44126</v>
      </c>
      <c r="B30" s="118">
        <f t="shared" si="0"/>
        <v>0</v>
      </c>
      <c r="C30" s="86"/>
      <c r="D30" s="111">
        <f t="shared" si="1"/>
        <v>0</v>
      </c>
      <c r="E30" s="279"/>
      <c r="F30" s="117">
        <f t="shared" si="6"/>
        <v>0</v>
      </c>
      <c r="G30" s="118"/>
      <c r="H30" s="118"/>
      <c r="I30" s="118"/>
      <c r="J30" s="118"/>
      <c r="K30" s="115">
        <f t="shared" si="2"/>
        <v>0</v>
      </c>
      <c r="L30" s="115"/>
      <c r="M30" s="86"/>
      <c r="N30" s="118">
        <f t="shared" si="3"/>
        <v>0</v>
      </c>
      <c r="O30" s="118">
        <f>+O29+K30-M30</f>
        <v>-5</v>
      </c>
    </row>
    <row r="31" spans="1:16" ht="16.5" x14ac:dyDescent="0.25">
      <c r="A31" s="110">
        <f t="shared" si="5"/>
        <v>44127</v>
      </c>
      <c r="B31" s="118">
        <f t="shared" si="0"/>
        <v>0</v>
      </c>
      <c r="C31" s="86"/>
      <c r="D31" s="111">
        <f t="shared" si="1"/>
        <v>0</v>
      </c>
      <c r="E31" s="279"/>
      <c r="F31" s="117">
        <f t="shared" si="6"/>
        <v>0</v>
      </c>
      <c r="G31" s="118"/>
      <c r="H31" s="118"/>
      <c r="I31" s="118"/>
      <c r="J31" s="118"/>
      <c r="K31" s="115">
        <f t="shared" si="2"/>
        <v>0</v>
      </c>
      <c r="L31" s="115"/>
      <c r="M31" s="86"/>
      <c r="N31" s="118">
        <f t="shared" si="3"/>
        <v>0</v>
      </c>
      <c r="O31" s="118">
        <f t="shared" si="4"/>
        <v>-5</v>
      </c>
    </row>
    <row r="32" spans="1:16" ht="16.5" x14ac:dyDescent="0.25">
      <c r="A32" s="110">
        <f t="shared" si="5"/>
        <v>44128</v>
      </c>
      <c r="B32" s="114">
        <f t="shared" si="0"/>
        <v>0</v>
      </c>
      <c r="C32" s="113"/>
      <c r="D32" s="111">
        <f t="shared" si="1"/>
        <v>0</v>
      </c>
      <c r="E32" s="279"/>
      <c r="F32" s="111">
        <f t="shared" si="6"/>
        <v>0</v>
      </c>
      <c r="G32" s="114"/>
      <c r="H32" s="114"/>
      <c r="I32" s="114"/>
      <c r="J32" s="114"/>
      <c r="K32" s="115">
        <f t="shared" si="2"/>
        <v>0</v>
      </c>
      <c r="L32" s="115"/>
      <c r="M32" s="86"/>
      <c r="N32" s="118">
        <f t="shared" si="3"/>
        <v>0</v>
      </c>
      <c r="O32" s="114">
        <f t="shared" si="4"/>
        <v>-5</v>
      </c>
      <c r="P32" s="3" t="s">
        <v>62</v>
      </c>
    </row>
    <row r="33" spans="1:15" ht="16.5" x14ac:dyDescent="0.25">
      <c r="A33" s="110">
        <f t="shared" si="5"/>
        <v>44129</v>
      </c>
      <c r="B33" s="114">
        <f t="shared" si="0"/>
        <v>0</v>
      </c>
      <c r="C33" s="113"/>
      <c r="D33" s="111">
        <f t="shared" si="1"/>
        <v>0</v>
      </c>
      <c r="E33" s="279"/>
      <c r="F33" s="111">
        <f t="shared" si="6"/>
        <v>0</v>
      </c>
      <c r="G33" s="114"/>
      <c r="H33" s="114"/>
      <c r="I33" s="114"/>
      <c r="J33" s="114"/>
      <c r="K33" s="115">
        <f t="shared" si="2"/>
        <v>0</v>
      </c>
      <c r="L33" s="115"/>
      <c r="M33" s="86"/>
      <c r="N33" s="118">
        <f t="shared" si="3"/>
        <v>0</v>
      </c>
      <c r="O33" s="114">
        <f t="shared" si="4"/>
        <v>-5</v>
      </c>
    </row>
    <row r="34" spans="1:15" ht="16.5" x14ac:dyDescent="0.25">
      <c r="A34" s="110">
        <f t="shared" si="5"/>
        <v>44130</v>
      </c>
      <c r="B34" s="114">
        <f t="shared" si="0"/>
        <v>0</v>
      </c>
      <c r="C34" s="113"/>
      <c r="D34" s="111">
        <f t="shared" si="1"/>
        <v>0</v>
      </c>
      <c r="E34" s="113"/>
      <c r="F34" s="111">
        <f t="shared" si="6"/>
        <v>0</v>
      </c>
      <c r="G34" s="114"/>
      <c r="H34" s="114"/>
      <c r="I34" s="114"/>
      <c r="J34" s="114"/>
      <c r="K34" s="115">
        <f t="shared" si="2"/>
        <v>0</v>
      </c>
      <c r="L34" s="115"/>
      <c r="M34" s="86"/>
      <c r="N34" s="118">
        <f t="shared" si="3"/>
        <v>0</v>
      </c>
      <c r="O34" s="114">
        <f t="shared" si="4"/>
        <v>-5</v>
      </c>
    </row>
    <row r="35" spans="1:15" ht="16.5" x14ac:dyDescent="0.25">
      <c r="A35" s="110">
        <f t="shared" si="5"/>
        <v>44131</v>
      </c>
      <c r="B35" s="114">
        <f t="shared" si="0"/>
        <v>0</v>
      </c>
      <c r="C35" s="113"/>
      <c r="D35" s="111">
        <f t="shared" si="1"/>
        <v>0</v>
      </c>
      <c r="E35" s="113"/>
      <c r="F35" s="111">
        <f t="shared" si="6"/>
        <v>0</v>
      </c>
      <c r="G35" s="114"/>
      <c r="H35" s="114"/>
      <c r="I35" s="114"/>
      <c r="J35" s="114"/>
      <c r="K35" s="115">
        <f t="shared" si="2"/>
        <v>0</v>
      </c>
      <c r="L35" s="115"/>
      <c r="M35" s="113"/>
      <c r="N35" s="118">
        <f t="shared" si="3"/>
        <v>0</v>
      </c>
      <c r="O35" s="114">
        <f t="shared" si="4"/>
        <v>-5</v>
      </c>
    </row>
    <row r="36" spans="1:15" ht="16.5" x14ac:dyDescent="0.25">
      <c r="A36" s="110">
        <f t="shared" si="5"/>
        <v>44132</v>
      </c>
      <c r="B36" s="114">
        <f t="shared" si="0"/>
        <v>0</v>
      </c>
      <c r="C36" s="113"/>
      <c r="D36" s="111">
        <f t="shared" si="1"/>
        <v>0</v>
      </c>
      <c r="E36" s="113"/>
      <c r="F36" s="111">
        <f t="shared" si="6"/>
        <v>0</v>
      </c>
      <c r="G36" s="114"/>
      <c r="H36" s="114"/>
      <c r="I36" s="114"/>
      <c r="J36" s="114"/>
      <c r="K36" s="115">
        <f t="shared" si="2"/>
        <v>0</v>
      </c>
      <c r="L36" s="115"/>
      <c r="M36" s="113"/>
      <c r="N36" s="118">
        <f t="shared" si="3"/>
        <v>0</v>
      </c>
      <c r="O36" s="114">
        <f t="shared" si="4"/>
        <v>-5</v>
      </c>
    </row>
    <row r="37" spans="1:15" ht="16.5" x14ac:dyDescent="0.25">
      <c r="A37" s="110">
        <f t="shared" si="5"/>
        <v>44133</v>
      </c>
      <c r="B37" s="114">
        <f t="shared" si="0"/>
        <v>0</v>
      </c>
      <c r="C37" s="113"/>
      <c r="D37" s="111">
        <f t="shared" si="1"/>
        <v>0</v>
      </c>
      <c r="E37" s="113"/>
      <c r="F37" s="111">
        <f t="shared" si="6"/>
        <v>0</v>
      </c>
      <c r="G37" s="114"/>
      <c r="H37" s="114"/>
      <c r="I37" s="114"/>
      <c r="J37" s="114"/>
      <c r="K37" s="115">
        <f t="shared" si="2"/>
        <v>0</v>
      </c>
      <c r="L37" s="115"/>
      <c r="M37" s="113"/>
      <c r="N37" s="118">
        <f t="shared" si="3"/>
        <v>0</v>
      </c>
      <c r="O37" s="114">
        <f t="shared" si="4"/>
        <v>-5</v>
      </c>
    </row>
    <row r="38" spans="1:15" ht="16.5" x14ac:dyDescent="0.25">
      <c r="A38" s="110">
        <f t="shared" si="5"/>
        <v>44134</v>
      </c>
      <c r="B38" s="114">
        <f t="shared" si="0"/>
        <v>0</v>
      </c>
      <c r="C38" s="113"/>
      <c r="D38" s="111">
        <f t="shared" si="1"/>
        <v>0</v>
      </c>
      <c r="E38" s="113"/>
      <c r="F38" s="111">
        <f t="shared" si="6"/>
        <v>0</v>
      </c>
      <c r="G38" s="114"/>
      <c r="H38" s="114"/>
      <c r="I38" s="114"/>
      <c r="J38" s="114"/>
      <c r="K38" s="115">
        <f t="shared" si="2"/>
        <v>0</v>
      </c>
      <c r="L38" s="115"/>
      <c r="M38" s="113"/>
      <c r="N38" s="118">
        <f t="shared" si="3"/>
        <v>0</v>
      </c>
      <c r="O38" s="114">
        <f>+O37+K38-M38</f>
        <v>-5</v>
      </c>
    </row>
    <row r="39" spans="1:15" ht="16.5" x14ac:dyDescent="0.25">
      <c r="A39" s="110">
        <f t="shared" si="5"/>
        <v>44135</v>
      </c>
      <c r="B39" s="111">
        <f t="shared" si="0"/>
        <v>0</v>
      </c>
      <c r="C39" s="113"/>
      <c r="D39" s="111">
        <f t="shared" si="1"/>
        <v>0</v>
      </c>
      <c r="E39" s="113"/>
      <c r="F39" s="111">
        <f t="shared" si="6"/>
        <v>0</v>
      </c>
      <c r="G39" s="114"/>
      <c r="H39" s="114"/>
      <c r="I39" s="114"/>
      <c r="J39" s="114"/>
      <c r="K39" s="115">
        <f t="shared" si="2"/>
        <v>0</v>
      </c>
      <c r="L39" s="115"/>
      <c r="M39" s="113"/>
      <c r="N39" s="118">
        <f t="shared" si="3"/>
        <v>0</v>
      </c>
      <c r="O39" s="120">
        <f>+O38+K39-M39</f>
        <v>-5</v>
      </c>
    </row>
    <row r="40" spans="1:15" ht="16.5" x14ac:dyDescent="0.2">
      <c r="A40" s="121" t="s">
        <v>18</v>
      </c>
      <c r="B40" s="115">
        <f t="shared" ref="B40:M40" si="7">SUM(B9:B39)</f>
        <v>0</v>
      </c>
      <c r="C40" s="115">
        <f>SUM(C9:C39)</f>
        <v>0</v>
      </c>
      <c r="D40" s="122">
        <f t="shared" si="7"/>
        <v>0</v>
      </c>
      <c r="E40" s="115">
        <f>SUM(E9:E39)</f>
        <v>0</v>
      </c>
      <c r="F40" s="115">
        <f t="shared" si="7"/>
        <v>0</v>
      </c>
      <c r="G40" s="115">
        <f t="shared" si="7"/>
        <v>0</v>
      </c>
      <c r="H40" s="115">
        <f t="shared" si="7"/>
        <v>0</v>
      </c>
      <c r="I40" s="115">
        <f t="shared" si="7"/>
        <v>0</v>
      </c>
      <c r="J40" s="115">
        <f t="shared" si="7"/>
        <v>0</v>
      </c>
      <c r="K40" s="115">
        <f>SUM(K9:K39)</f>
        <v>0</v>
      </c>
      <c r="L40" s="115"/>
      <c r="M40" s="115">
        <f t="shared" si="7"/>
        <v>0</v>
      </c>
      <c r="N40" s="120">
        <f>SUM(N8:N39)</f>
        <v>-5</v>
      </c>
      <c r="O40" s="123"/>
    </row>
    <row r="41" spans="1:15" ht="15.75" x14ac:dyDescent="0.2">
      <c r="A41" s="124"/>
      <c r="B41" s="124"/>
      <c r="C41" s="124"/>
      <c r="D41" s="125"/>
      <c r="E41" s="124"/>
      <c r="F41" s="124"/>
      <c r="G41" s="124"/>
      <c r="H41" s="124"/>
      <c r="I41" s="124"/>
      <c r="J41" s="124"/>
      <c r="K41" s="124"/>
      <c r="L41" s="124"/>
      <c r="M41" s="124"/>
      <c r="N41" s="124"/>
      <c r="O41" s="124"/>
    </row>
    <row r="42" spans="1:15" ht="15.75" x14ac:dyDescent="0.25">
      <c r="A42" s="57" t="s">
        <v>121</v>
      </c>
      <c r="B42" s="57" t="s">
        <v>61</v>
      </c>
      <c r="C42" s="57" t="s">
        <v>122</v>
      </c>
      <c r="D42" s="126" t="s">
        <v>39</v>
      </c>
      <c r="M42" s="487">
        <v>9846000</v>
      </c>
    </row>
    <row r="43" spans="1:15" ht="15.75" x14ac:dyDescent="0.25">
      <c r="A43" s="57" t="s">
        <v>15</v>
      </c>
      <c r="B43" s="127">
        <f>B40</f>
        <v>0</v>
      </c>
      <c r="C43" s="57"/>
      <c r="D43" s="126">
        <f>B43*C43</f>
        <v>0</v>
      </c>
      <c r="M43" s="487"/>
    </row>
    <row r="44" spans="1:15" ht="15.75" x14ac:dyDescent="0.25">
      <c r="A44" s="57" t="s">
        <v>16</v>
      </c>
      <c r="B44" s="126">
        <f>D40</f>
        <v>0</v>
      </c>
      <c r="C44" s="57"/>
      <c r="D44" s="126">
        <f>B44*C44</f>
        <v>0</v>
      </c>
      <c r="F44" s="386">
        <f>+O31+1500000</f>
        <v>1499995</v>
      </c>
      <c r="H44" s="116"/>
      <c r="K44" s="116" t="s">
        <v>877</v>
      </c>
      <c r="M44" s="1565">
        <f>+O39-M42+190200</f>
        <v>-9655805</v>
      </c>
      <c r="N44" s="1601">
        <f>+M44/600</f>
        <v>-16093.008333333333</v>
      </c>
      <c r="O44" s="37">
        <f>205+133.93</f>
        <v>338.93</v>
      </c>
    </row>
    <row r="45" spans="1:15" ht="15.75" x14ac:dyDescent="0.25">
      <c r="A45" s="57" t="s">
        <v>17</v>
      </c>
      <c r="B45" s="127">
        <f>F40</f>
        <v>0</v>
      </c>
      <c r="C45" s="57"/>
      <c r="D45" s="126">
        <f>B45*C45</f>
        <v>0</v>
      </c>
      <c r="E45" s="99"/>
      <c r="M45" s="487"/>
      <c r="N45" s="116"/>
      <c r="O45" s="116"/>
    </row>
    <row r="46" spans="1:15" ht="15.75" x14ac:dyDescent="0.25">
      <c r="A46" s="128" t="s">
        <v>18</v>
      </c>
      <c r="B46" s="129"/>
      <c r="C46" s="130"/>
      <c r="D46" s="126">
        <f>SUM(D43:D45)</f>
        <v>0</v>
      </c>
      <c r="M46" s="716"/>
      <c r="N46" s="386"/>
      <c r="O46" s="116"/>
    </row>
    <row r="47" spans="1:15" x14ac:dyDescent="0.2">
      <c r="M47" s="487"/>
      <c r="N47" s="386"/>
    </row>
    <row r="48" spans="1:15" ht="16.5" x14ac:dyDescent="0.3">
      <c r="C48" s="1" t="s">
        <v>174</v>
      </c>
      <c r="N48" s="386"/>
    </row>
    <row r="50" spans="15:15" x14ac:dyDescent="0.2">
      <c r="O50" s="1567"/>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59" orientation="landscape"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1">
    <tabColor theme="6" tint="-0.249977111117893"/>
    <pageSetUpPr fitToPage="1"/>
  </sheetPr>
  <dimension ref="A1:R51"/>
  <sheetViews>
    <sheetView topLeftCell="A16" zoomScaleNormal="100" workbookViewId="0">
      <selection activeCell="J18" sqref="J18"/>
    </sheetView>
  </sheetViews>
  <sheetFormatPr baseColWidth="10" defaultRowHeight="12.75" x14ac:dyDescent="0.2"/>
  <cols>
    <col min="1" max="2" width="11.42578125" style="39"/>
    <col min="3" max="3" width="13.42578125" style="39" customWidth="1"/>
    <col min="4" max="4" width="13.7109375" style="39" customWidth="1"/>
    <col min="5" max="5" width="15.28515625" style="39" customWidth="1"/>
    <col min="6" max="6" width="14.7109375" style="39" customWidth="1"/>
    <col min="7" max="7" width="12" style="39" bestFit="1" customWidth="1"/>
    <col min="8" max="8" width="11.42578125" style="39" customWidth="1"/>
    <col min="9" max="9" width="13.5703125" style="39" customWidth="1"/>
    <col min="10" max="10" width="11.42578125" style="39" customWidth="1"/>
    <col min="11" max="12" width="15.140625" style="39" customWidth="1"/>
    <col min="13" max="13" width="15.42578125" style="39" customWidth="1"/>
    <col min="14" max="14" width="14.42578125" style="39" customWidth="1"/>
    <col min="15" max="15" width="15.7109375" style="39" bestFit="1" customWidth="1"/>
    <col min="16" max="18" width="12" style="39" bestFit="1" customWidth="1"/>
    <col min="19" max="16384" width="11.42578125" style="39"/>
  </cols>
  <sheetData>
    <row r="1" spans="1:15" ht="13.5" x14ac:dyDescent="0.25">
      <c r="A1" s="8" t="s">
        <v>118</v>
      </c>
      <c r="B1" s="8" t="s">
        <v>929</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O5" s="388" t="s">
        <v>190</v>
      </c>
    </row>
    <row r="6" spans="1:15" ht="13.5" x14ac:dyDescent="0.25">
      <c r="A6" s="8"/>
      <c r="B6" s="8"/>
      <c r="C6" s="8"/>
    </row>
    <row r="7" spans="1:15" ht="16.5" x14ac:dyDescent="0.2">
      <c r="A7" s="100" t="s">
        <v>3</v>
      </c>
      <c r="B7" s="1648" t="s">
        <v>15</v>
      </c>
      <c r="C7" s="1649"/>
      <c r="D7" s="1648" t="s">
        <v>16</v>
      </c>
      <c r="E7" s="1649"/>
      <c r="F7" s="1648" t="s">
        <v>17</v>
      </c>
      <c r="G7" s="1649"/>
      <c r="H7" s="2910" t="s">
        <v>52</v>
      </c>
      <c r="I7" s="2910" t="s">
        <v>53</v>
      </c>
      <c r="J7" s="2910" t="s">
        <v>119</v>
      </c>
      <c r="K7" s="2910" t="s">
        <v>18</v>
      </c>
      <c r="L7" s="3067" t="s">
        <v>704</v>
      </c>
      <c r="M7" s="3065" t="s">
        <v>223</v>
      </c>
      <c r="N7" s="2910" t="s">
        <v>55</v>
      </c>
      <c r="O7" s="2910" t="s">
        <v>120</v>
      </c>
    </row>
    <row r="8" spans="1:15" ht="21" x14ac:dyDescent="0.2">
      <c r="A8" s="103"/>
      <c r="B8" s="915">
        <v>630</v>
      </c>
      <c r="C8" s="916"/>
      <c r="D8" s="915">
        <v>575</v>
      </c>
      <c r="E8" s="916"/>
      <c r="F8" s="915">
        <v>350</v>
      </c>
      <c r="G8" s="916"/>
      <c r="H8" s="3059"/>
      <c r="I8" s="3059"/>
      <c r="J8" s="3059"/>
      <c r="K8" s="3059"/>
      <c r="L8" s="3068"/>
      <c r="M8" s="3066"/>
      <c r="N8" s="2911"/>
      <c r="O8" s="2911"/>
    </row>
    <row r="9" spans="1:15" ht="16.5" x14ac:dyDescent="0.2">
      <c r="A9" s="105"/>
      <c r="B9" s="106" t="s">
        <v>56</v>
      </c>
      <c r="C9" s="106"/>
      <c r="D9" s="107" t="s">
        <v>56</v>
      </c>
      <c r="E9" s="106"/>
      <c r="F9" s="106" t="s">
        <v>56</v>
      </c>
      <c r="G9" s="106" t="s">
        <v>37</v>
      </c>
      <c r="H9" s="2911"/>
      <c r="I9" s="2911"/>
      <c r="J9" s="2911"/>
      <c r="K9" s="2911"/>
      <c r="L9" s="3069"/>
      <c r="M9" s="108"/>
      <c r="N9" s="276">
        <v>0</v>
      </c>
      <c r="O9" s="109">
        <f>+N9-M9</f>
        <v>0</v>
      </c>
    </row>
    <row r="10" spans="1:15" ht="16.5" x14ac:dyDescent="0.25">
      <c r="A10" s="110">
        <f>+KONGFU!A9</f>
        <v>44105</v>
      </c>
      <c r="B10" s="114">
        <f>+C10/B$8</f>
        <v>0</v>
      </c>
      <c r="C10" s="86"/>
      <c r="D10" s="114">
        <f t="shared" ref="D10:D41" si="0">+E10/520</f>
        <v>0</v>
      </c>
      <c r="E10" s="86"/>
      <c r="F10" s="111">
        <f>+G10/F$8</f>
        <v>0</v>
      </c>
      <c r="G10" s="114"/>
      <c r="H10" s="114"/>
      <c r="I10" s="114"/>
      <c r="J10" s="114"/>
      <c r="K10" s="115">
        <f>C10+E10+G10+H10+I10+J10</f>
        <v>0</v>
      </c>
      <c r="L10" s="115"/>
      <c r="M10" s="113"/>
      <c r="N10" s="114">
        <f>K10-M10</f>
        <v>0</v>
      </c>
      <c r="O10" s="114">
        <f>+O9+K10-M10</f>
        <v>0</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115"/>
      <c r="M11" s="86"/>
      <c r="N11" s="114">
        <f t="shared" ref="N11:N38" si="4">K11-M11</f>
        <v>0</v>
      </c>
      <c r="O11" s="114">
        <f t="shared" ref="O11:O38" si="5">+O10+K11-M11</f>
        <v>0</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115"/>
      <c r="M12" s="86"/>
      <c r="N12" s="114">
        <f t="shared" si="4"/>
        <v>0</v>
      </c>
      <c r="O12" s="114">
        <f t="shared" si="5"/>
        <v>0</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115"/>
      <c r="M13" s="86"/>
      <c r="N13" s="114">
        <f t="shared" si="4"/>
        <v>0</v>
      </c>
      <c r="O13" s="114">
        <f t="shared" si="5"/>
        <v>0</v>
      </c>
    </row>
    <row r="14" spans="1:15" ht="16.5" x14ac:dyDescent="0.25">
      <c r="A14" s="110">
        <f>+A13+1</f>
        <v>44109</v>
      </c>
      <c r="B14" s="114">
        <f t="shared" si="1"/>
        <v>0</v>
      </c>
      <c r="C14" s="86"/>
      <c r="D14" s="114">
        <f t="shared" si="0"/>
        <v>0</v>
      </c>
      <c r="E14" s="86"/>
      <c r="F14" s="111">
        <f t="shared" si="2"/>
        <v>0</v>
      </c>
      <c r="G14" s="114"/>
      <c r="H14" s="114"/>
      <c r="I14" s="114"/>
      <c r="J14" s="114"/>
      <c r="K14" s="115">
        <f t="shared" si="3"/>
        <v>0</v>
      </c>
      <c r="L14" s="115"/>
      <c r="M14" s="86"/>
      <c r="N14" s="114">
        <f t="shared" si="4"/>
        <v>0</v>
      </c>
      <c r="O14" s="114">
        <f t="shared" si="5"/>
        <v>0</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115"/>
      <c r="M15" s="86"/>
      <c r="N15" s="114">
        <f t="shared" si="4"/>
        <v>0</v>
      </c>
      <c r="O15" s="114">
        <f t="shared" si="5"/>
        <v>0</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115"/>
      <c r="M16" s="86"/>
      <c r="N16" s="114">
        <f t="shared" si="4"/>
        <v>0</v>
      </c>
      <c r="O16" s="114">
        <f t="shared" si="5"/>
        <v>0</v>
      </c>
    </row>
    <row r="17" spans="1:17" ht="14.25" customHeight="1" x14ac:dyDescent="0.25">
      <c r="A17" s="110">
        <f t="shared" si="6"/>
        <v>44112</v>
      </c>
      <c r="B17" s="114">
        <f t="shared" si="1"/>
        <v>0</v>
      </c>
      <c r="C17" s="86"/>
      <c r="D17" s="114">
        <f t="shared" si="0"/>
        <v>0</v>
      </c>
      <c r="E17" s="86"/>
      <c r="F17" s="111">
        <f t="shared" si="2"/>
        <v>0</v>
      </c>
      <c r="G17" s="114"/>
      <c r="H17" s="114"/>
      <c r="I17" s="114"/>
      <c r="J17" s="114"/>
      <c r="K17" s="115">
        <f t="shared" si="3"/>
        <v>0</v>
      </c>
      <c r="L17" s="115"/>
      <c r="M17" s="86"/>
      <c r="N17" s="114">
        <f t="shared" si="4"/>
        <v>0</v>
      </c>
      <c r="O17" s="114">
        <f t="shared" si="5"/>
        <v>0</v>
      </c>
    </row>
    <row r="18" spans="1:17" ht="16.5" x14ac:dyDescent="0.25">
      <c r="A18" s="110">
        <f t="shared" si="6"/>
        <v>44113</v>
      </c>
      <c r="B18" s="114">
        <f t="shared" si="1"/>
        <v>0</v>
      </c>
      <c r="C18" s="86"/>
      <c r="D18" s="114">
        <f t="shared" si="0"/>
        <v>0</v>
      </c>
      <c r="E18" s="86"/>
      <c r="F18" s="111">
        <f t="shared" si="2"/>
        <v>0</v>
      </c>
      <c r="G18" s="118"/>
      <c r="H18" s="118"/>
      <c r="I18" s="118"/>
      <c r="J18" s="118"/>
      <c r="K18" s="115">
        <f t="shared" si="3"/>
        <v>0</v>
      </c>
      <c r="L18" s="115"/>
      <c r="M18" s="86"/>
      <c r="N18" s="114">
        <f t="shared" si="4"/>
        <v>0</v>
      </c>
      <c r="O18" s="118">
        <f t="shared" si="5"/>
        <v>0</v>
      </c>
    </row>
    <row r="19" spans="1:17" ht="16.5" x14ac:dyDescent="0.25">
      <c r="A19" s="110">
        <f t="shared" si="6"/>
        <v>44114</v>
      </c>
      <c r="B19" s="114">
        <f t="shared" si="1"/>
        <v>0</v>
      </c>
      <c r="C19" s="86"/>
      <c r="D19" s="114">
        <f t="shared" si="0"/>
        <v>0</v>
      </c>
      <c r="E19" s="86"/>
      <c r="F19" s="111">
        <f t="shared" si="2"/>
        <v>0</v>
      </c>
      <c r="G19" s="118"/>
      <c r="H19" s="118"/>
      <c r="I19" s="118"/>
      <c r="J19" s="118"/>
      <c r="K19" s="115">
        <f>C19+E19+G19+H19+I19+J19</f>
        <v>0</v>
      </c>
      <c r="L19" s="115"/>
      <c r="M19" s="86"/>
      <c r="N19" s="114">
        <f t="shared" si="4"/>
        <v>0</v>
      </c>
      <c r="O19" s="118">
        <f t="shared" si="5"/>
        <v>0</v>
      </c>
    </row>
    <row r="20" spans="1:17" ht="16.5" x14ac:dyDescent="0.25">
      <c r="A20" s="110">
        <f t="shared" si="6"/>
        <v>44115</v>
      </c>
      <c r="B20" s="114">
        <f t="shared" si="1"/>
        <v>0</v>
      </c>
      <c r="C20" s="86"/>
      <c r="D20" s="114">
        <f>+E20/520</f>
        <v>0</v>
      </c>
      <c r="E20" s="86"/>
      <c r="F20" s="111">
        <f t="shared" si="2"/>
        <v>0</v>
      </c>
      <c r="G20" s="118"/>
      <c r="H20" s="118"/>
      <c r="I20" s="118"/>
      <c r="J20" s="118"/>
      <c r="K20" s="115">
        <f t="shared" si="3"/>
        <v>0</v>
      </c>
      <c r="L20" s="115"/>
      <c r="M20" s="86"/>
      <c r="N20" s="114">
        <f t="shared" si="4"/>
        <v>0</v>
      </c>
      <c r="O20" s="118">
        <f t="shared" si="5"/>
        <v>0</v>
      </c>
    </row>
    <row r="21" spans="1:17" ht="16.5" x14ac:dyDescent="0.25">
      <c r="A21" s="110">
        <f t="shared" si="6"/>
        <v>44116</v>
      </c>
      <c r="B21" s="114">
        <f t="shared" si="1"/>
        <v>0</v>
      </c>
      <c r="C21" s="86"/>
      <c r="D21" s="114">
        <f t="shared" si="0"/>
        <v>0</v>
      </c>
      <c r="E21" s="86"/>
      <c r="F21" s="111">
        <f t="shared" si="2"/>
        <v>0</v>
      </c>
      <c r="G21" s="118"/>
      <c r="H21" s="118"/>
      <c r="I21" s="118"/>
      <c r="J21" s="118"/>
      <c r="K21" s="115">
        <f t="shared" si="3"/>
        <v>0</v>
      </c>
      <c r="L21" s="115"/>
      <c r="M21" s="86"/>
      <c r="N21" s="114">
        <f t="shared" si="4"/>
        <v>0</v>
      </c>
      <c r="O21" s="118">
        <f>+O20+K21-M21</f>
        <v>0</v>
      </c>
    </row>
    <row r="22" spans="1:17" ht="16.5" x14ac:dyDescent="0.25">
      <c r="A22" s="110">
        <f t="shared" si="6"/>
        <v>44117</v>
      </c>
      <c r="B22" s="114">
        <f t="shared" si="1"/>
        <v>0</v>
      </c>
      <c r="C22" s="86"/>
      <c r="D22" s="114">
        <f t="shared" si="0"/>
        <v>0</v>
      </c>
      <c r="E22" s="86"/>
      <c r="F22" s="111">
        <f t="shared" si="2"/>
        <v>0</v>
      </c>
      <c r="G22" s="118"/>
      <c r="H22" s="118"/>
      <c r="I22" s="118"/>
      <c r="J22" s="118"/>
      <c r="K22" s="115">
        <f t="shared" si="3"/>
        <v>0</v>
      </c>
      <c r="L22" s="115"/>
      <c r="M22" s="86"/>
      <c r="N22" s="114">
        <f t="shared" si="4"/>
        <v>0</v>
      </c>
      <c r="O22" s="118">
        <f t="shared" si="5"/>
        <v>0</v>
      </c>
    </row>
    <row r="23" spans="1:17" ht="16.5" x14ac:dyDescent="0.25">
      <c r="A23" s="110">
        <f t="shared" si="6"/>
        <v>44118</v>
      </c>
      <c r="B23" s="114">
        <f t="shared" si="1"/>
        <v>0</v>
      </c>
      <c r="C23" s="86"/>
      <c r="D23" s="114">
        <f t="shared" si="0"/>
        <v>0</v>
      </c>
      <c r="E23" s="86"/>
      <c r="F23" s="111">
        <f t="shared" si="2"/>
        <v>0</v>
      </c>
      <c r="G23" s="118"/>
      <c r="H23" s="118"/>
      <c r="I23" s="118"/>
      <c r="J23" s="118"/>
      <c r="K23" s="115">
        <f t="shared" si="3"/>
        <v>0</v>
      </c>
      <c r="L23" s="115"/>
      <c r="M23" s="86"/>
      <c r="N23" s="114">
        <f t="shared" si="4"/>
        <v>0</v>
      </c>
      <c r="O23" s="118">
        <f t="shared" si="5"/>
        <v>0</v>
      </c>
      <c r="Q23" s="281"/>
    </row>
    <row r="24" spans="1:17" ht="16.5" x14ac:dyDescent="0.25">
      <c r="A24" s="110">
        <f t="shared" si="6"/>
        <v>44119</v>
      </c>
      <c r="B24" s="114">
        <f t="shared" si="1"/>
        <v>0</v>
      </c>
      <c r="C24" s="86"/>
      <c r="D24" s="114">
        <f t="shared" si="0"/>
        <v>0</v>
      </c>
      <c r="E24" s="86"/>
      <c r="F24" s="111">
        <f t="shared" si="2"/>
        <v>0</v>
      </c>
      <c r="G24" s="118"/>
      <c r="H24" s="118"/>
      <c r="I24" s="118"/>
      <c r="J24" s="118"/>
      <c r="K24" s="115">
        <f t="shared" si="3"/>
        <v>0</v>
      </c>
      <c r="L24" s="115"/>
      <c r="M24" s="86"/>
      <c r="N24" s="114">
        <f t="shared" si="4"/>
        <v>0</v>
      </c>
      <c r="O24" s="118">
        <f t="shared" si="5"/>
        <v>0</v>
      </c>
      <c r="Q24" s="281"/>
    </row>
    <row r="25" spans="1:17" ht="16.5" x14ac:dyDescent="0.25">
      <c r="A25" s="110">
        <f t="shared" si="6"/>
        <v>44120</v>
      </c>
      <c r="B25" s="114">
        <f t="shared" si="1"/>
        <v>0</v>
      </c>
      <c r="C25" s="86"/>
      <c r="D25" s="114">
        <f t="shared" si="0"/>
        <v>0</v>
      </c>
      <c r="E25" s="86"/>
      <c r="F25" s="111">
        <f t="shared" si="2"/>
        <v>0</v>
      </c>
      <c r="G25" s="118"/>
      <c r="H25" s="118"/>
      <c r="I25" s="118"/>
      <c r="J25" s="118"/>
      <c r="K25" s="115">
        <f t="shared" si="3"/>
        <v>0</v>
      </c>
      <c r="L25" s="115"/>
      <c r="M25" s="86"/>
      <c r="N25" s="118">
        <f t="shared" si="4"/>
        <v>0</v>
      </c>
      <c r="O25" s="118">
        <f t="shared" si="5"/>
        <v>0</v>
      </c>
    </row>
    <row r="26" spans="1:17" ht="16.5" x14ac:dyDescent="0.25">
      <c r="A26" s="110">
        <f t="shared" si="6"/>
        <v>44121</v>
      </c>
      <c r="B26" s="114">
        <f t="shared" si="1"/>
        <v>0</v>
      </c>
      <c r="C26" s="86"/>
      <c r="D26" s="114">
        <f t="shared" si="0"/>
        <v>0</v>
      </c>
      <c r="E26" s="86"/>
      <c r="F26" s="111">
        <f t="shared" si="2"/>
        <v>0</v>
      </c>
      <c r="G26" s="118"/>
      <c r="H26" s="118"/>
      <c r="I26" s="118"/>
      <c r="J26" s="118"/>
      <c r="K26" s="115">
        <f t="shared" si="3"/>
        <v>0</v>
      </c>
      <c r="L26" s="115"/>
      <c r="M26" s="86"/>
      <c r="N26" s="118">
        <f t="shared" si="4"/>
        <v>0</v>
      </c>
      <c r="O26" s="118">
        <f t="shared" si="5"/>
        <v>0</v>
      </c>
    </row>
    <row r="27" spans="1:17" ht="16.5" x14ac:dyDescent="0.25">
      <c r="A27" s="110">
        <f t="shared" si="6"/>
        <v>44122</v>
      </c>
      <c r="B27" s="114">
        <f t="shared" si="1"/>
        <v>0</v>
      </c>
      <c r="C27" s="86"/>
      <c r="D27" s="114">
        <f t="shared" si="0"/>
        <v>0</v>
      </c>
      <c r="E27" s="86"/>
      <c r="F27" s="111">
        <f t="shared" si="2"/>
        <v>0</v>
      </c>
      <c r="G27" s="118"/>
      <c r="H27" s="118"/>
      <c r="I27" s="118"/>
      <c r="J27" s="118"/>
      <c r="K27" s="115">
        <f t="shared" si="3"/>
        <v>0</v>
      </c>
      <c r="L27" s="115"/>
      <c r="M27" s="86"/>
      <c r="N27" s="118">
        <f t="shared" si="4"/>
        <v>0</v>
      </c>
      <c r="O27" s="118">
        <f t="shared" si="5"/>
        <v>0</v>
      </c>
      <c r="P27" s="281">
        <f>255644+E42</f>
        <v>255644</v>
      </c>
    </row>
    <row r="28" spans="1:17" ht="16.5" x14ac:dyDescent="0.25">
      <c r="A28" s="110">
        <f t="shared" si="6"/>
        <v>44123</v>
      </c>
      <c r="B28" s="114">
        <f t="shared" si="1"/>
        <v>0</v>
      </c>
      <c r="C28" s="86"/>
      <c r="D28" s="114">
        <f t="shared" si="0"/>
        <v>0</v>
      </c>
      <c r="E28" s="86"/>
      <c r="F28" s="111">
        <f t="shared" si="2"/>
        <v>0</v>
      </c>
      <c r="G28" s="118"/>
      <c r="H28" s="118"/>
      <c r="I28" s="118"/>
      <c r="J28" s="118"/>
      <c r="K28" s="115">
        <f t="shared" si="3"/>
        <v>0</v>
      </c>
      <c r="L28" s="115"/>
      <c r="M28" s="86"/>
      <c r="N28" s="118">
        <f t="shared" si="4"/>
        <v>0</v>
      </c>
      <c r="O28" s="118">
        <f t="shared" si="5"/>
        <v>0</v>
      </c>
    </row>
    <row r="29" spans="1:17" ht="16.5" x14ac:dyDescent="0.25">
      <c r="A29" s="110">
        <f t="shared" si="6"/>
        <v>44124</v>
      </c>
      <c r="B29" s="114">
        <f t="shared" si="1"/>
        <v>0</v>
      </c>
      <c r="C29" s="86"/>
      <c r="D29" s="114">
        <f t="shared" si="0"/>
        <v>0</v>
      </c>
      <c r="E29" s="86"/>
      <c r="F29" s="111">
        <f t="shared" si="2"/>
        <v>0</v>
      </c>
      <c r="G29" s="118"/>
      <c r="H29" s="118"/>
      <c r="I29" s="118"/>
      <c r="J29" s="118"/>
      <c r="K29" s="115">
        <f t="shared" si="3"/>
        <v>0</v>
      </c>
      <c r="L29" s="115"/>
      <c r="M29" s="86"/>
      <c r="N29" s="118">
        <f t="shared" si="4"/>
        <v>0</v>
      </c>
      <c r="O29" s="118">
        <f t="shared" si="5"/>
        <v>0</v>
      </c>
      <c r="Q29" s="281"/>
    </row>
    <row r="30" spans="1:17" ht="16.5" x14ac:dyDescent="0.25">
      <c r="A30" s="110">
        <f t="shared" si="6"/>
        <v>44125</v>
      </c>
      <c r="B30" s="114">
        <f t="shared" si="1"/>
        <v>0</v>
      </c>
      <c r="C30" s="86"/>
      <c r="D30" s="114">
        <f t="shared" si="0"/>
        <v>0</v>
      </c>
      <c r="E30" s="86"/>
      <c r="F30" s="111">
        <f t="shared" si="2"/>
        <v>0</v>
      </c>
      <c r="G30" s="118"/>
      <c r="H30" s="118"/>
      <c r="I30" s="118"/>
      <c r="J30" s="118"/>
      <c r="K30" s="115">
        <f t="shared" si="3"/>
        <v>0</v>
      </c>
      <c r="L30" s="115"/>
      <c r="M30" s="86"/>
      <c r="N30" s="118">
        <f t="shared" si="4"/>
        <v>0</v>
      </c>
      <c r="O30" s="118">
        <f t="shared" si="5"/>
        <v>0</v>
      </c>
    </row>
    <row r="31" spans="1:17" s="762" customFormat="1" ht="16.5" x14ac:dyDescent="0.25">
      <c r="A31" s="1547">
        <f t="shared" si="6"/>
        <v>44126</v>
      </c>
      <c r="B31" s="1548">
        <f t="shared" si="1"/>
        <v>0</v>
      </c>
      <c r="C31" s="1532"/>
      <c r="D31" s="1548">
        <f t="shared" si="0"/>
        <v>0</v>
      </c>
      <c r="E31" s="1532"/>
      <c r="F31" s="1549">
        <f t="shared" si="2"/>
        <v>0</v>
      </c>
      <c r="G31" s="1548"/>
      <c r="H31" s="1548"/>
      <c r="I31" s="1548"/>
      <c r="J31" s="1548"/>
      <c r="K31" s="1550">
        <f t="shared" si="3"/>
        <v>0</v>
      </c>
      <c r="L31" s="1550"/>
      <c r="M31" s="1532"/>
      <c r="N31" s="1548">
        <f t="shared" si="4"/>
        <v>0</v>
      </c>
      <c r="O31" s="1548">
        <f>+O30+K31-M31</f>
        <v>0</v>
      </c>
    </row>
    <row r="32" spans="1:17" ht="16.5" x14ac:dyDescent="0.25">
      <c r="A32" s="110">
        <f t="shared" si="6"/>
        <v>44127</v>
      </c>
      <c r="B32" s="114">
        <f t="shared" si="1"/>
        <v>0</v>
      </c>
      <c r="C32" s="86"/>
      <c r="D32" s="114">
        <f t="shared" si="0"/>
        <v>0</v>
      </c>
      <c r="E32" s="86"/>
      <c r="F32" s="111">
        <f t="shared" si="2"/>
        <v>0</v>
      </c>
      <c r="G32" s="118"/>
      <c r="H32" s="118"/>
      <c r="I32" s="118"/>
      <c r="J32" s="118"/>
      <c r="K32" s="115">
        <f t="shared" si="3"/>
        <v>0</v>
      </c>
      <c r="L32" s="115"/>
      <c r="M32" s="86"/>
      <c r="N32" s="118">
        <f t="shared" si="4"/>
        <v>0</v>
      </c>
      <c r="O32" s="118">
        <f t="shared" si="5"/>
        <v>0</v>
      </c>
    </row>
    <row r="33" spans="1:18" ht="16.5" x14ac:dyDescent="0.25">
      <c r="A33" s="110">
        <f t="shared" si="6"/>
        <v>44128</v>
      </c>
      <c r="B33" s="114">
        <f t="shared" si="1"/>
        <v>0</v>
      </c>
      <c r="C33" s="86"/>
      <c r="D33" s="114">
        <f t="shared" si="0"/>
        <v>0</v>
      </c>
      <c r="E33" s="86"/>
      <c r="F33" s="111">
        <f t="shared" si="2"/>
        <v>0</v>
      </c>
      <c r="G33" s="114"/>
      <c r="H33" s="114"/>
      <c r="I33" s="114"/>
      <c r="J33" s="114"/>
      <c r="K33" s="115">
        <f t="shared" si="3"/>
        <v>0</v>
      </c>
      <c r="L33" s="115"/>
      <c r="M33" s="86"/>
      <c r="N33" s="114">
        <f t="shared" si="4"/>
        <v>0</v>
      </c>
      <c r="O33" s="114">
        <f t="shared" si="5"/>
        <v>0</v>
      </c>
      <c r="Q33" s="39" t="s">
        <v>62</v>
      </c>
    </row>
    <row r="34" spans="1:18" ht="16.5" x14ac:dyDescent="0.25">
      <c r="A34" s="110">
        <f t="shared" si="6"/>
        <v>44129</v>
      </c>
      <c r="B34" s="114">
        <f t="shared" si="1"/>
        <v>0</v>
      </c>
      <c r="C34" s="86"/>
      <c r="D34" s="114">
        <f t="shared" si="0"/>
        <v>0</v>
      </c>
      <c r="E34" s="86"/>
      <c r="F34" s="111">
        <f t="shared" si="2"/>
        <v>0</v>
      </c>
      <c r="G34" s="114"/>
      <c r="H34" s="114"/>
      <c r="I34" s="114"/>
      <c r="J34" s="114"/>
      <c r="K34" s="115">
        <f t="shared" si="3"/>
        <v>0</v>
      </c>
      <c r="L34" s="115"/>
      <c r="M34" s="86"/>
      <c r="N34" s="114">
        <f t="shared" si="4"/>
        <v>0</v>
      </c>
      <c r="O34" s="114">
        <f t="shared" si="5"/>
        <v>0</v>
      </c>
    </row>
    <row r="35" spans="1:18" ht="16.5" x14ac:dyDescent="0.25">
      <c r="A35" s="110">
        <f t="shared" si="6"/>
        <v>44130</v>
      </c>
      <c r="B35" s="114">
        <f t="shared" si="1"/>
        <v>0</v>
      </c>
      <c r="C35" s="86"/>
      <c r="D35" s="114">
        <f t="shared" si="0"/>
        <v>0</v>
      </c>
      <c r="E35" s="86"/>
      <c r="F35" s="111">
        <f t="shared" si="2"/>
        <v>0</v>
      </c>
      <c r="G35" s="114"/>
      <c r="H35" s="114"/>
      <c r="I35" s="114"/>
      <c r="J35" s="114"/>
      <c r="K35" s="115">
        <f t="shared" si="3"/>
        <v>0</v>
      </c>
      <c r="L35" s="115"/>
      <c r="M35" s="86"/>
      <c r="N35" s="114">
        <f t="shared" si="4"/>
        <v>0</v>
      </c>
      <c r="O35" s="114">
        <f t="shared" si="5"/>
        <v>0</v>
      </c>
    </row>
    <row r="36" spans="1:18" ht="16.5" x14ac:dyDescent="0.25">
      <c r="A36" s="110">
        <f t="shared" si="6"/>
        <v>44131</v>
      </c>
      <c r="B36" s="114">
        <f t="shared" si="1"/>
        <v>0</v>
      </c>
      <c r="C36" s="86"/>
      <c r="D36" s="114">
        <f t="shared" si="0"/>
        <v>0</v>
      </c>
      <c r="E36" s="86"/>
      <c r="F36" s="111">
        <f t="shared" si="2"/>
        <v>0</v>
      </c>
      <c r="G36" s="114"/>
      <c r="H36" s="114"/>
      <c r="I36" s="114"/>
      <c r="J36" s="114"/>
      <c r="K36" s="115">
        <f t="shared" si="3"/>
        <v>0</v>
      </c>
      <c r="L36" s="115"/>
      <c r="M36" s="113"/>
      <c r="N36" s="114">
        <f t="shared" si="4"/>
        <v>0</v>
      </c>
      <c r="O36" s="114">
        <f t="shared" si="5"/>
        <v>0</v>
      </c>
    </row>
    <row r="37" spans="1:18" ht="16.5" x14ac:dyDescent="0.25">
      <c r="A37" s="110">
        <f t="shared" si="6"/>
        <v>44132</v>
      </c>
      <c r="B37" s="114">
        <f t="shared" si="1"/>
        <v>0</v>
      </c>
      <c r="C37" s="86"/>
      <c r="D37" s="114">
        <f t="shared" si="0"/>
        <v>0</v>
      </c>
      <c r="E37" s="86"/>
      <c r="F37" s="111">
        <f t="shared" si="2"/>
        <v>0</v>
      </c>
      <c r="G37" s="114"/>
      <c r="H37" s="114"/>
      <c r="I37" s="114"/>
      <c r="J37" s="114"/>
      <c r="K37" s="115">
        <f t="shared" si="3"/>
        <v>0</v>
      </c>
      <c r="L37" s="115"/>
      <c r="M37" s="113"/>
      <c r="N37" s="114">
        <f t="shared" si="4"/>
        <v>0</v>
      </c>
      <c r="O37" s="114">
        <f t="shared" si="5"/>
        <v>0</v>
      </c>
      <c r="Q37" s="281"/>
    </row>
    <row r="38" spans="1:18" ht="16.5" x14ac:dyDescent="0.25">
      <c r="A38" s="110">
        <f t="shared" si="6"/>
        <v>44133</v>
      </c>
      <c r="B38" s="114">
        <f t="shared" si="1"/>
        <v>0</v>
      </c>
      <c r="C38" s="113"/>
      <c r="D38" s="114">
        <f t="shared" si="0"/>
        <v>0</v>
      </c>
      <c r="E38" s="113"/>
      <c r="F38" s="111">
        <f t="shared" si="2"/>
        <v>0</v>
      </c>
      <c r="G38" s="114"/>
      <c r="H38" s="114"/>
      <c r="I38" s="114"/>
      <c r="J38" s="114"/>
      <c r="K38" s="115">
        <f t="shared" si="3"/>
        <v>0</v>
      </c>
      <c r="L38" s="115"/>
      <c r="M38" s="113"/>
      <c r="N38" s="114">
        <f t="shared" si="4"/>
        <v>0</v>
      </c>
      <c r="O38" s="114">
        <f t="shared" si="5"/>
        <v>0</v>
      </c>
    </row>
    <row r="39" spans="1:18" ht="16.5" x14ac:dyDescent="0.25">
      <c r="A39" s="110">
        <f t="shared" si="6"/>
        <v>44134</v>
      </c>
      <c r="B39" s="114">
        <f t="shared" si="1"/>
        <v>0</v>
      </c>
      <c r="C39" s="113"/>
      <c r="D39" s="114">
        <f t="shared" si="0"/>
        <v>0</v>
      </c>
      <c r="E39" s="113"/>
      <c r="F39" s="111">
        <f t="shared" si="2"/>
        <v>0</v>
      </c>
      <c r="G39" s="114"/>
      <c r="H39" s="114"/>
      <c r="I39" s="114"/>
      <c r="J39" s="114"/>
      <c r="K39" s="115">
        <f t="shared" si="3"/>
        <v>0</v>
      </c>
      <c r="L39" s="115"/>
      <c r="M39" s="113"/>
      <c r="N39" s="114">
        <f>K39-M39</f>
        <v>0</v>
      </c>
      <c r="O39" s="114">
        <f>+O38+K39-M39</f>
        <v>0</v>
      </c>
    </row>
    <row r="40" spans="1:18" ht="16.5" x14ac:dyDescent="0.25">
      <c r="A40" s="110">
        <f t="shared" si="6"/>
        <v>44135</v>
      </c>
      <c r="B40" s="114">
        <f t="shared" si="1"/>
        <v>0</v>
      </c>
      <c r="C40" s="113"/>
      <c r="D40" s="114">
        <f t="shared" si="0"/>
        <v>0</v>
      </c>
      <c r="E40" s="113"/>
      <c r="F40" s="111">
        <f t="shared" si="2"/>
        <v>0</v>
      </c>
      <c r="G40" s="114"/>
      <c r="H40" s="114"/>
      <c r="I40" s="114"/>
      <c r="J40" s="114"/>
      <c r="K40" s="115">
        <f t="shared" si="3"/>
        <v>0</v>
      </c>
      <c r="L40" s="115"/>
      <c r="M40" s="113"/>
      <c r="N40" s="114">
        <f>K40-M40</f>
        <v>0</v>
      </c>
      <c r="O40" s="120">
        <f>+N42</f>
        <v>0</v>
      </c>
      <c r="Q40" s="281"/>
    </row>
    <row r="41" spans="1:18" ht="16.5" x14ac:dyDescent="0.25">
      <c r="A41" s="110"/>
      <c r="B41" s="114"/>
      <c r="C41" s="113"/>
      <c r="D41" s="114">
        <f t="shared" si="0"/>
        <v>0</v>
      </c>
      <c r="E41" s="113"/>
      <c r="F41" s="111"/>
      <c r="G41" s="114"/>
      <c r="H41" s="114"/>
      <c r="I41" s="114"/>
      <c r="J41" s="114"/>
      <c r="K41" s="115">
        <f>C41+E41+G41+H41+I41+J41</f>
        <v>0</v>
      </c>
      <c r="L41" s="115"/>
      <c r="M41" s="113"/>
      <c r="N41" s="114">
        <f>K41-M41</f>
        <v>0</v>
      </c>
      <c r="O41" s="990"/>
      <c r="Q41" s="281"/>
    </row>
    <row r="42" spans="1:18" ht="16.5" x14ac:dyDescent="0.2">
      <c r="A42" s="121" t="s">
        <v>18</v>
      </c>
      <c r="B42" s="115">
        <f t="shared" ref="B42:J42" si="7">SUM(B10:B40)</f>
        <v>0</v>
      </c>
      <c r="C42" s="115">
        <f>SUM(C10:C40)</f>
        <v>0</v>
      </c>
      <c r="D42" s="122">
        <f>SUM(D10:D41)</f>
        <v>0</v>
      </c>
      <c r="E42" s="115">
        <f>SUM(E10:E41)</f>
        <v>0</v>
      </c>
      <c r="F42" s="115">
        <f>SUM(F10:F40)</f>
        <v>0</v>
      </c>
      <c r="G42" s="115">
        <f t="shared" si="7"/>
        <v>0</v>
      </c>
      <c r="H42" s="115">
        <f t="shared" si="7"/>
        <v>0</v>
      </c>
      <c r="I42" s="115">
        <f t="shared" si="7"/>
        <v>0</v>
      </c>
      <c r="J42" s="115">
        <f t="shared" si="7"/>
        <v>0</v>
      </c>
      <c r="K42" s="115">
        <f>SUM(K10:K41)</f>
        <v>0</v>
      </c>
      <c r="L42" s="115"/>
      <c r="M42" s="115">
        <f>SUM(M9:M41)</f>
        <v>0</v>
      </c>
      <c r="N42" s="120">
        <f>SUM(N9:N41)</f>
        <v>0</v>
      </c>
      <c r="O42" s="123"/>
    </row>
    <row r="43" spans="1:18" ht="13.5" x14ac:dyDescent="0.2">
      <c r="A43" s="26"/>
      <c r="B43" s="26"/>
      <c r="C43" s="26"/>
      <c r="D43" s="26"/>
      <c r="F43" s="26"/>
      <c r="G43" s="26"/>
      <c r="H43" s="1159"/>
      <c r="I43" s="26"/>
      <c r="J43" s="26"/>
      <c r="K43" s="26"/>
      <c r="L43" s="26"/>
      <c r="M43" s="26"/>
      <c r="N43" s="26"/>
      <c r="O43" s="1223"/>
      <c r="Q43" s="281"/>
    </row>
    <row r="44" spans="1:18" ht="13.5" x14ac:dyDescent="0.25">
      <c r="A44" s="10" t="s">
        <v>121</v>
      </c>
      <c r="B44" s="10" t="s">
        <v>61</v>
      </c>
      <c r="C44" s="10" t="s">
        <v>122</v>
      </c>
      <c r="D44" s="28" t="s">
        <v>39</v>
      </c>
      <c r="O44" s="281"/>
      <c r="P44" s="281"/>
      <c r="R44" s="281"/>
    </row>
    <row r="45" spans="1:18" ht="13.5" x14ac:dyDescent="0.25">
      <c r="A45" s="10" t="s">
        <v>15</v>
      </c>
      <c r="B45" s="24">
        <f>B42</f>
        <v>0</v>
      </c>
      <c r="C45" s="10"/>
      <c r="D45" s="28">
        <f>B45*C45</f>
        <v>0</v>
      </c>
    </row>
    <row r="46" spans="1:18" ht="13.5" x14ac:dyDescent="0.25">
      <c r="A46" s="10" t="s">
        <v>16</v>
      </c>
      <c r="B46" s="28">
        <f>D42</f>
        <v>0</v>
      </c>
      <c r="C46" s="10"/>
      <c r="D46" s="28">
        <f>B46*C46</f>
        <v>0</v>
      </c>
      <c r="E46" s="281"/>
      <c r="H46" s="21"/>
      <c r="K46" s="21"/>
      <c r="L46" s="21"/>
      <c r="M46" s="21"/>
      <c r="N46" s="21"/>
    </row>
    <row r="47" spans="1:18" ht="13.5" x14ac:dyDescent="0.25">
      <c r="A47" s="10" t="s">
        <v>17</v>
      </c>
      <c r="B47" s="24">
        <f>F42</f>
        <v>0</v>
      </c>
      <c r="C47" s="10"/>
      <c r="D47" s="28">
        <f>B47*C47</f>
        <v>0</v>
      </c>
      <c r="E47" s="14"/>
      <c r="F47" s="281"/>
      <c r="H47" s="39">
        <f>436380-28700</f>
        <v>407680</v>
      </c>
      <c r="O47" s="21"/>
    </row>
    <row r="48" spans="1:18" ht="13.5" x14ac:dyDescent="0.25">
      <c r="A48" s="33" t="s">
        <v>18</v>
      </c>
      <c r="B48" s="34"/>
      <c r="C48" s="35"/>
      <c r="D48" s="28">
        <f>SUM(D45:D47)</f>
        <v>0</v>
      </c>
      <c r="F48" s="281">
        <f>7000000-E42</f>
        <v>7000000</v>
      </c>
      <c r="O48" s="21"/>
    </row>
    <row r="49" spans="6:9" x14ac:dyDescent="0.2">
      <c r="G49" s="281"/>
    </row>
    <row r="50" spans="6:9" x14ac:dyDescent="0.2">
      <c r="I50" s="281"/>
    </row>
    <row r="51" spans="6:9" x14ac:dyDescent="0.2">
      <c r="F51" s="906"/>
      <c r="G51" s="39">
        <f>+F48/600</f>
        <v>11666.666666666666</v>
      </c>
    </row>
  </sheetData>
  <mergeCells count="8">
    <mergeCell ref="N7:N8"/>
    <mergeCell ref="O7:O8"/>
    <mergeCell ref="H7:H9"/>
    <mergeCell ref="I7:I9"/>
    <mergeCell ref="J7:J9"/>
    <mergeCell ref="K7:K9"/>
    <mergeCell ref="L7:L9"/>
    <mergeCell ref="M7:M8"/>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theme="6" tint="-0.249977111117893"/>
    <pageSetUpPr fitToPage="1"/>
  </sheetPr>
  <dimension ref="A1:R51"/>
  <sheetViews>
    <sheetView zoomScaleNormal="100" workbookViewId="0">
      <selection activeCell="J18" sqref="J18"/>
    </sheetView>
  </sheetViews>
  <sheetFormatPr baseColWidth="10" defaultRowHeight="12.75" x14ac:dyDescent="0.2"/>
  <cols>
    <col min="1" max="2" width="11.42578125" style="39"/>
    <col min="3" max="3" width="13.42578125" style="39" customWidth="1"/>
    <col min="4" max="4" width="13.7109375" style="39" customWidth="1"/>
    <col min="5" max="5" width="15.28515625" style="39" customWidth="1"/>
    <col min="6" max="6" width="14.7109375" style="39" customWidth="1"/>
    <col min="7" max="7" width="12" style="39" bestFit="1" customWidth="1"/>
    <col min="8" max="8" width="11.42578125" style="39" customWidth="1"/>
    <col min="9" max="9" width="13.5703125" style="39" customWidth="1"/>
    <col min="10" max="10" width="11.42578125" style="39" customWidth="1"/>
    <col min="11" max="12" width="15.140625" style="39" customWidth="1"/>
    <col min="13" max="13" width="15.42578125" style="39" customWidth="1"/>
    <col min="14" max="14" width="14.42578125" style="39" customWidth="1"/>
    <col min="15" max="15" width="15.7109375" style="39" bestFit="1" customWidth="1"/>
    <col min="16" max="18" width="12" style="39" bestFit="1" customWidth="1"/>
    <col min="19" max="16384" width="11.42578125" style="39"/>
  </cols>
  <sheetData>
    <row r="1" spans="1:15" ht="13.5" x14ac:dyDescent="0.25">
      <c r="A1" s="8" t="s">
        <v>118</v>
      </c>
      <c r="B1" s="8" t="s">
        <v>615</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G5" s="39">
        <f>36000-48</f>
        <v>35952</v>
      </c>
      <c r="O5" s="388" t="s">
        <v>190</v>
      </c>
    </row>
    <row r="6" spans="1:15" ht="13.5" x14ac:dyDescent="0.25">
      <c r="A6" s="8"/>
      <c r="B6" s="8"/>
      <c r="C6" s="8"/>
    </row>
    <row r="7" spans="1:15" ht="16.5" x14ac:dyDescent="0.2">
      <c r="A7" s="100" t="s">
        <v>3</v>
      </c>
      <c r="B7" s="1139" t="s">
        <v>15</v>
      </c>
      <c r="C7" s="1140"/>
      <c r="D7" s="1139" t="s">
        <v>16</v>
      </c>
      <c r="E7" s="1140"/>
      <c r="F7" s="1139" t="s">
        <v>17</v>
      </c>
      <c r="G7" s="1140"/>
      <c r="H7" s="2910" t="s">
        <v>52</v>
      </c>
      <c r="I7" s="2910" t="s">
        <v>53</v>
      </c>
      <c r="J7" s="2910" t="s">
        <v>119</v>
      </c>
      <c r="K7" s="2910" t="s">
        <v>18</v>
      </c>
      <c r="L7" s="3067" t="s">
        <v>704</v>
      </c>
      <c r="M7" s="3065" t="s">
        <v>223</v>
      </c>
      <c r="N7" s="2910" t="s">
        <v>55</v>
      </c>
      <c r="O7" s="2910" t="s">
        <v>120</v>
      </c>
    </row>
    <row r="8" spans="1:15" ht="21" x14ac:dyDescent="0.2">
      <c r="A8" s="103"/>
      <c r="B8" s="915">
        <v>630</v>
      </c>
      <c r="C8" s="916"/>
      <c r="D8" s="915">
        <v>575</v>
      </c>
      <c r="E8" s="916"/>
      <c r="F8" s="915">
        <v>350</v>
      </c>
      <c r="G8" s="916"/>
      <c r="H8" s="3059"/>
      <c r="I8" s="3059"/>
      <c r="J8" s="3059"/>
      <c r="K8" s="3059"/>
      <c r="L8" s="3068"/>
      <c r="M8" s="3066"/>
      <c r="N8" s="2911"/>
      <c r="O8" s="2911"/>
    </row>
    <row r="9" spans="1:15" ht="16.5" x14ac:dyDescent="0.2">
      <c r="A9" s="105"/>
      <c r="B9" s="106" t="s">
        <v>56</v>
      </c>
      <c r="C9" s="106"/>
      <c r="D9" s="107" t="s">
        <v>56</v>
      </c>
      <c r="E9" s="106"/>
      <c r="F9" s="106" t="s">
        <v>56</v>
      </c>
      <c r="G9" s="106" t="s">
        <v>37</v>
      </c>
      <c r="H9" s="2911"/>
      <c r="I9" s="2911"/>
      <c r="J9" s="2911"/>
      <c r="K9" s="2911"/>
      <c r="L9" s="3069"/>
      <c r="M9" s="108"/>
      <c r="N9" s="276">
        <v>155289</v>
      </c>
      <c r="O9" s="109">
        <f>+N9-M9</f>
        <v>155289</v>
      </c>
    </row>
    <row r="10" spans="1:15" ht="16.5" x14ac:dyDescent="0.25">
      <c r="A10" s="110">
        <f>+KONGFU!A9</f>
        <v>44105</v>
      </c>
      <c r="B10" s="114">
        <f>+C10/B$8</f>
        <v>0</v>
      </c>
      <c r="C10" s="86"/>
      <c r="D10" s="114">
        <f t="shared" ref="D10:D41" si="0">+E10/520</f>
        <v>0</v>
      </c>
      <c r="E10" s="86"/>
      <c r="F10" s="111">
        <f>+G10/F$8</f>
        <v>0</v>
      </c>
      <c r="G10" s="114"/>
      <c r="H10" s="114"/>
      <c r="I10" s="114"/>
      <c r="J10" s="114"/>
      <c r="K10" s="115">
        <f>C10+E10+G10+H10+I10+J10</f>
        <v>0</v>
      </c>
      <c r="L10" s="115"/>
      <c r="M10" s="113"/>
      <c r="N10" s="114">
        <f>K10-M10</f>
        <v>0</v>
      </c>
      <c r="O10" s="114">
        <f>+O9+K10-M10</f>
        <v>155289</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115"/>
      <c r="M11" s="86"/>
      <c r="N11" s="114">
        <f t="shared" ref="N11:N38" si="4">K11-M11</f>
        <v>0</v>
      </c>
      <c r="O11" s="114">
        <f t="shared" ref="O11:O38" si="5">+O10+K11-M11</f>
        <v>155289</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115"/>
      <c r="M12" s="86"/>
      <c r="N12" s="114">
        <f t="shared" si="4"/>
        <v>0</v>
      </c>
      <c r="O12" s="114">
        <f t="shared" si="5"/>
        <v>155289</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115"/>
      <c r="M13" s="86"/>
      <c r="N13" s="114">
        <f t="shared" si="4"/>
        <v>0</v>
      </c>
      <c r="O13" s="114">
        <f t="shared" si="5"/>
        <v>155289</v>
      </c>
    </row>
    <row r="14" spans="1:15" ht="16.5" x14ac:dyDescent="0.25">
      <c r="A14" s="110">
        <f>+A13+1</f>
        <v>44109</v>
      </c>
      <c r="B14" s="114">
        <f t="shared" si="1"/>
        <v>0</v>
      </c>
      <c r="C14" s="86"/>
      <c r="D14" s="114">
        <f t="shared" si="0"/>
        <v>0</v>
      </c>
      <c r="E14" s="86"/>
      <c r="F14" s="111">
        <f t="shared" si="2"/>
        <v>0</v>
      </c>
      <c r="G14" s="114"/>
      <c r="H14" s="114"/>
      <c r="I14" s="114"/>
      <c r="J14" s="114"/>
      <c r="K14" s="115">
        <f t="shared" si="3"/>
        <v>0</v>
      </c>
      <c r="L14" s="115"/>
      <c r="M14" s="86"/>
      <c r="N14" s="114">
        <f t="shared" si="4"/>
        <v>0</v>
      </c>
      <c r="O14" s="114">
        <f t="shared" si="5"/>
        <v>155289</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115"/>
      <c r="M15" s="86"/>
      <c r="N15" s="114">
        <f t="shared" si="4"/>
        <v>0</v>
      </c>
      <c r="O15" s="114">
        <f t="shared" si="5"/>
        <v>155289</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115"/>
      <c r="M16" s="86"/>
      <c r="N16" s="114">
        <f t="shared" si="4"/>
        <v>0</v>
      </c>
      <c r="O16" s="114">
        <f t="shared" si="5"/>
        <v>155289</v>
      </c>
    </row>
    <row r="17" spans="1:17" ht="14.25" customHeight="1" x14ac:dyDescent="0.25">
      <c r="A17" s="110">
        <f t="shared" si="6"/>
        <v>44112</v>
      </c>
      <c r="B17" s="114">
        <f t="shared" si="1"/>
        <v>0</v>
      </c>
      <c r="C17" s="86"/>
      <c r="D17" s="114">
        <f t="shared" si="0"/>
        <v>0</v>
      </c>
      <c r="E17" s="86"/>
      <c r="F17" s="111">
        <f t="shared" si="2"/>
        <v>0</v>
      </c>
      <c r="G17" s="114"/>
      <c r="H17" s="114"/>
      <c r="I17" s="114"/>
      <c r="J17" s="114"/>
      <c r="K17" s="115">
        <f t="shared" si="3"/>
        <v>0</v>
      </c>
      <c r="L17" s="115"/>
      <c r="M17" s="86"/>
      <c r="N17" s="114">
        <f t="shared" si="4"/>
        <v>0</v>
      </c>
      <c r="O17" s="114">
        <f t="shared" si="5"/>
        <v>155289</v>
      </c>
    </row>
    <row r="18" spans="1:17" ht="16.5" x14ac:dyDescent="0.25">
      <c r="A18" s="110">
        <f t="shared" si="6"/>
        <v>44113</v>
      </c>
      <c r="B18" s="114">
        <f t="shared" si="1"/>
        <v>0</v>
      </c>
      <c r="C18" s="86"/>
      <c r="D18" s="114">
        <f t="shared" si="0"/>
        <v>0</v>
      </c>
      <c r="E18" s="86"/>
      <c r="F18" s="111">
        <f t="shared" si="2"/>
        <v>0</v>
      </c>
      <c r="G18" s="118"/>
      <c r="H18" s="118"/>
      <c r="I18" s="118"/>
      <c r="J18" s="118"/>
      <c r="K18" s="115">
        <f t="shared" si="3"/>
        <v>0</v>
      </c>
      <c r="L18" s="115"/>
      <c r="M18" s="86"/>
      <c r="N18" s="114">
        <f t="shared" si="4"/>
        <v>0</v>
      </c>
      <c r="O18" s="118">
        <f t="shared" si="5"/>
        <v>155289</v>
      </c>
    </row>
    <row r="19" spans="1:17" ht="16.5" x14ac:dyDescent="0.25">
      <c r="A19" s="110">
        <f t="shared" si="6"/>
        <v>44114</v>
      </c>
      <c r="B19" s="114">
        <f t="shared" si="1"/>
        <v>0</v>
      </c>
      <c r="C19" s="86"/>
      <c r="D19" s="114">
        <f t="shared" si="0"/>
        <v>0</v>
      </c>
      <c r="E19" s="86"/>
      <c r="F19" s="111">
        <f t="shared" si="2"/>
        <v>0</v>
      </c>
      <c r="G19" s="118"/>
      <c r="H19" s="118"/>
      <c r="I19" s="118"/>
      <c r="J19" s="118"/>
      <c r="K19" s="115">
        <f>C19+E19+G19+H19+I19+J19</f>
        <v>0</v>
      </c>
      <c r="L19" s="115"/>
      <c r="M19" s="86"/>
      <c r="N19" s="114">
        <f t="shared" si="4"/>
        <v>0</v>
      </c>
      <c r="O19" s="118">
        <f t="shared" si="5"/>
        <v>155289</v>
      </c>
    </row>
    <row r="20" spans="1:17" ht="16.5" x14ac:dyDescent="0.25">
      <c r="A20" s="110">
        <f t="shared" si="6"/>
        <v>44115</v>
      </c>
      <c r="B20" s="114">
        <f t="shared" si="1"/>
        <v>0</v>
      </c>
      <c r="C20" s="86"/>
      <c r="D20" s="114">
        <f>+E20/520</f>
        <v>0</v>
      </c>
      <c r="E20" s="86"/>
      <c r="F20" s="111">
        <f t="shared" si="2"/>
        <v>0</v>
      </c>
      <c r="G20" s="118"/>
      <c r="H20" s="118"/>
      <c r="I20" s="118"/>
      <c r="J20" s="118"/>
      <c r="K20" s="115">
        <f t="shared" si="3"/>
        <v>0</v>
      </c>
      <c r="L20" s="115"/>
      <c r="M20" s="86"/>
      <c r="N20" s="114">
        <f t="shared" si="4"/>
        <v>0</v>
      </c>
      <c r="O20" s="118">
        <f t="shared" si="5"/>
        <v>155289</v>
      </c>
    </row>
    <row r="21" spans="1:17" ht="16.5" x14ac:dyDescent="0.25">
      <c r="A21" s="110">
        <f t="shared" si="6"/>
        <v>44116</v>
      </c>
      <c r="B21" s="114">
        <f t="shared" si="1"/>
        <v>0</v>
      </c>
      <c r="C21" s="86"/>
      <c r="D21" s="114">
        <f t="shared" si="0"/>
        <v>0</v>
      </c>
      <c r="E21" s="86"/>
      <c r="F21" s="111">
        <f t="shared" si="2"/>
        <v>0</v>
      </c>
      <c r="G21" s="118"/>
      <c r="H21" s="118"/>
      <c r="I21" s="118"/>
      <c r="J21" s="118"/>
      <c r="K21" s="115">
        <f t="shared" si="3"/>
        <v>0</v>
      </c>
      <c r="L21" s="115"/>
      <c r="M21" s="86"/>
      <c r="N21" s="114">
        <f t="shared" si="4"/>
        <v>0</v>
      </c>
      <c r="O21" s="118">
        <f>+O20+K21-M21</f>
        <v>155289</v>
      </c>
    </row>
    <row r="22" spans="1:17" ht="16.5" x14ac:dyDescent="0.25">
      <c r="A22" s="110">
        <f t="shared" si="6"/>
        <v>44117</v>
      </c>
      <c r="B22" s="114">
        <f t="shared" si="1"/>
        <v>0</v>
      </c>
      <c r="C22" s="86"/>
      <c r="D22" s="114">
        <f t="shared" si="0"/>
        <v>0</v>
      </c>
      <c r="E22" s="86"/>
      <c r="F22" s="111">
        <f t="shared" si="2"/>
        <v>0</v>
      </c>
      <c r="G22" s="118"/>
      <c r="H22" s="118"/>
      <c r="I22" s="118"/>
      <c r="J22" s="118"/>
      <c r="K22" s="115">
        <f t="shared" si="3"/>
        <v>0</v>
      </c>
      <c r="L22" s="115"/>
      <c r="M22" s="86"/>
      <c r="N22" s="114">
        <f t="shared" si="4"/>
        <v>0</v>
      </c>
      <c r="O22" s="118">
        <f t="shared" si="5"/>
        <v>155289</v>
      </c>
    </row>
    <row r="23" spans="1:17" ht="16.5" x14ac:dyDescent="0.25">
      <c r="A23" s="110">
        <f t="shared" si="6"/>
        <v>44118</v>
      </c>
      <c r="B23" s="114">
        <f t="shared" si="1"/>
        <v>0</v>
      </c>
      <c r="C23" s="86"/>
      <c r="D23" s="114">
        <f t="shared" si="0"/>
        <v>0</v>
      </c>
      <c r="E23" s="86"/>
      <c r="F23" s="111">
        <f t="shared" si="2"/>
        <v>0</v>
      </c>
      <c r="G23" s="118"/>
      <c r="H23" s="118"/>
      <c r="I23" s="118"/>
      <c r="J23" s="118"/>
      <c r="K23" s="115">
        <f t="shared" si="3"/>
        <v>0</v>
      </c>
      <c r="L23" s="115"/>
      <c r="M23" s="86"/>
      <c r="N23" s="114">
        <f t="shared" si="4"/>
        <v>0</v>
      </c>
      <c r="O23" s="118">
        <f t="shared" si="5"/>
        <v>155289</v>
      </c>
      <c r="Q23" s="281"/>
    </row>
    <row r="24" spans="1:17" ht="16.5" x14ac:dyDescent="0.25">
      <c r="A24" s="110">
        <f t="shared" si="6"/>
        <v>44119</v>
      </c>
      <c r="B24" s="114">
        <f t="shared" si="1"/>
        <v>0</v>
      </c>
      <c r="C24" s="86"/>
      <c r="D24" s="114">
        <f t="shared" si="0"/>
        <v>0</v>
      </c>
      <c r="E24" s="86"/>
      <c r="F24" s="111">
        <f t="shared" si="2"/>
        <v>0</v>
      </c>
      <c r="G24" s="118"/>
      <c r="H24" s="118"/>
      <c r="I24" s="118"/>
      <c r="J24" s="118"/>
      <c r="K24" s="115">
        <f t="shared" si="3"/>
        <v>0</v>
      </c>
      <c r="L24" s="115"/>
      <c r="M24" s="86"/>
      <c r="N24" s="114">
        <f t="shared" si="4"/>
        <v>0</v>
      </c>
      <c r="O24" s="118">
        <f t="shared" si="5"/>
        <v>155289</v>
      </c>
      <c r="Q24" s="281"/>
    </row>
    <row r="25" spans="1:17" ht="16.5" x14ac:dyDescent="0.25">
      <c r="A25" s="110">
        <f t="shared" si="6"/>
        <v>44120</v>
      </c>
      <c r="B25" s="114">
        <f t="shared" si="1"/>
        <v>0</v>
      </c>
      <c r="C25" s="86"/>
      <c r="D25" s="114">
        <f t="shared" si="0"/>
        <v>0</v>
      </c>
      <c r="E25" s="86"/>
      <c r="F25" s="111">
        <f t="shared" si="2"/>
        <v>0</v>
      </c>
      <c r="G25" s="118"/>
      <c r="H25" s="118"/>
      <c r="I25" s="118"/>
      <c r="J25" s="118"/>
      <c r="K25" s="115">
        <f t="shared" si="3"/>
        <v>0</v>
      </c>
      <c r="L25" s="115"/>
      <c r="M25" s="86"/>
      <c r="N25" s="118">
        <f t="shared" si="4"/>
        <v>0</v>
      </c>
      <c r="O25" s="118">
        <f t="shared" si="5"/>
        <v>155289</v>
      </c>
    </row>
    <row r="26" spans="1:17" ht="16.5" x14ac:dyDescent="0.25">
      <c r="A26" s="110">
        <f t="shared" si="6"/>
        <v>44121</v>
      </c>
      <c r="B26" s="114">
        <f t="shared" si="1"/>
        <v>0</v>
      </c>
      <c r="C26" s="86"/>
      <c r="D26" s="114">
        <f t="shared" si="0"/>
        <v>0</v>
      </c>
      <c r="E26" s="86"/>
      <c r="F26" s="111">
        <f t="shared" si="2"/>
        <v>0</v>
      </c>
      <c r="G26" s="118"/>
      <c r="H26" s="118"/>
      <c r="I26" s="118"/>
      <c r="J26" s="118"/>
      <c r="K26" s="115">
        <f t="shared" si="3"/>
        <v>0</v>
      </c>
      <c r="L26" s="115"/>
      <c r="M26" s="86"/>
      <c r="N26" s="118">
        <f t="shared" si="4"/>
        <v>0</v>
      </c>
      <c r="O26" s="118">
        <f t="shared" si="5"/>
        <v>155289</v>
      </c>
    </row>
    <row r="27" spans="1:17" ht="16.5" x14ac:dyDescent="0.25">
      <c r="A27" s="110">
        <f t="shared" si="6"/>
        <v>44122</v>
      </c>
      <c r="B27" s="114">
        <f t="shared" si="1"/>
        <v>0</v>
      </c>
      <c r="C27" s="86"/>
      <c r="D27" s="114">
        <f t="shared" si="0"/>
        <v>0</v>
      </c>
      <c r="E27" s="86"/>
      <c r="F27" s="111">
        <f t="shared" si="2"/>
        <v>0</v>
      </c>
      <c r="G27" s="118"/>
      <c r="H27" s="118"/>
      <c r="I27" s="118"/>
      <c r="J27" s="118"/>
      <c r="K27" s="115">
        <f t="shared" si="3"/>
        <v>0</v>
      </c>
      <c r="L27" s="115"/>
      <c r="M27" s="86"/>
      <c r="N27" s="118">
        <f t="shared" si="4"/>
        <v>0</v>
      </c>
      <c r="O27" s="118">
        <f t="shared" si="5"/>
        <v>155289</v>
      </c>
      <c r="P27" s="281">
        <f>255644+E42</f>
        <v>255644</v>
      </c>
    </row>
    <row r="28" spans="1:17" ht="16.5" x14ac:dyDescent="0.25">
      <c r="A28" s="110">
        <f t="shared" si="6"/>
        <v>44123</v>
      </c>
      <c r="B28" s="114">
        <f t="shared" si="1"/>
        <v>0</v>
      </c>
      <c r="C28" s="86"/>
      <c r="D28" s="114">
        <f t="shared" si="0"/>
        <v>0</v>
      </c>
      <c r="E28" s="86"/>
      <c r="F28" s="111">
        <f t="shared" si="2"/>
        <v>0</v>
      </c>
      <c r="G28" s="118"/>
      <c r="H28" s="118"/>
      <c r="I28" s="118"/>
      <c r="J28" s="118"/>
      <c r="K28" s="115">
        <f t="shared" si="3"/>
        <v>0</v>
      </c>
      <c r="L28" s="115"/>
      <c r="M28" s="86"/>
      <c r="N28" s="118">
        <f t="shared" si="4"/>
        <v>0</v>
      </c>
      <c r="O28" s="118">
        <f t="shared" si="5"/>
        <v>155289</v>
      </c>
    </row>
    <row r="29" spans="1:17" ht="16.5" x14ac:dyDescent="0.25">
      <c r="A29" s="110">
        <f t="shared" si="6"/>
        <v>44124</v>
      </c>
      <c r="B29" s="114">
        <f t="shared" si="1"/>
        <v>0</v>
      </c>
      <c r="C29" s="86"/>
      <c r="D29" s="114">
        <f t="shared" si="0"/>
        <v>0</v>
      </c>
      <c r="E29" s="86"/>
      <c r="F29" s="111">
        <f t="shared" si="2"/>
        <v>0</v>
      </c>
      <c r="G29" s="118"/>
      <c r="H29" s="118"/>
      <c r="I29" s="118"/>
      <c r="J29" s="118"/>
      <c r="K29" s="115">
        <f t="shared" si="3"/>
        <v>0</v>
      </c>
      <c r="L29" s="115"/>
      <c r="M29" s="86"/>
      <c r="N29" s="118">
        <f t="shared" si="4"/>
        <v>0</v>
      </c>
      <c r="O29" s="118">
        <f t="shared" si="5"/>
        <v>155289</v>
      </c>
      <c r="Q29" s="281"/>
    </row>
    <row r="30" spans="1:17" ht="16.5" x14ac:dyDescent="0.25">
      <c r="A30" s="110">
        <f t="shared" si="6"/>
        <v>44125</v>
      </c>
      <c r="B30" s="114">
        <f t="shared" si="1"/>
        <v>0</v>
      </c>
      <c r="C30" s="86"/>
      <c r="D30" s="114">
        <f t="shared" si="0"/>
        <v>0</v>
      </c>
      <c r="E30" s="86"/>
      <c r="F30" s="111">
        <f t="shared" si="2"/>
        <v>0</v>
      </c>
      <c r="G30" s="118"/>
      <c r="H30" s="118"/>
      <c r="I30" s="118"/>
      <c r="J30" s="118"/>
      <c r="K30" s="115">
        <f t="shared" si="3"/>
        <v>0</v>
      </c>
      <c r="L30" s="115"/>
      <c r="M30" s="86"/>
      <c r="N30" s="118">
        <f t="shared" si="4"/>
        <v>0</v>
      </c>
      <c r="O30" s="118">
        <f t="shared" si="5"/>
        <v>155289</v>
      </c>
    </row>
    <row r="31" spans="1:17" s="762" customFormat="1" ht="16.5" x14ac:dyDescent="0.25">
      <c r="A31" s="1547">
        <f t="shared" si="6"/>
        <v>44126</v>
      </c>
      <c r="B31" s="1548">
        <f t="shared" si="1"/>
        <v>0</v>
      </c>
      <c r="C31" s="1532"/>
      <c r="D31" s="1548">
        <f t="shared" si="0"/>
        <v>0</v>
      </c>
      <c r="E31" s="1532"/>
      <c r="F31" s="1549">
        <f t="shared" si="2"/>
        <v>0</v>
      </c>
      <c r="G31" s="1548"/>
      <c r="H31" s="1548"/>
      <c r="I31" s="1548"/>
      <c r="J31" s="1548"/>
      <c r="K31" s="1550">
        <f t="shared" si="3"/>
        <v>0</v>
      </c>
      <c r="L31" s="1550"/>
      <c r="M31" s="1532"/>
      <c r="N31" s="1548">
        <f t="shared" si="4"/>
        <v>0</v>
      </c>
      <c r="O31" s="1548">
        <f>+O30+K31-M31</f>
        <v>155289</v>
      </c>
    </row>
    <row r="32" spans="1:17" ht="16.5" x14ac:dyDescent="0.25">
      <c r="A32" s="110">
        <f t="shared" si="6"/>
        <v>44127</v>
      </c>
      <c r="B32" s="114">
        <f t="shared" si="1"/>
        <v>0</v>
      </c>
      <c r="C32" s="86"/>
      <c r="D32" s="114">
        <f t="shared" si="0"/>
        <v>0</v>
      </c>
      <c r="E32" s="86"/>
      <c r="F32" s="111">
        <f t="shared" si="2"/>
        <v>0</v>
      </c>
      <c r="G32" s="118"/>
      <c r="H32" s="118"/>
      <c r="I32" s="118"/>
      <c r="J32" s="118"/>
      <c r="K32" s="115">
        <f t="shared" si="3"/>
        <v>0</v>
      </c>
      <c r="L32" s="115"/>
      <c r="M32" s="86"/>
      <c r="N32" s="118">
        <f t="shared" si="4"/>
        <v>0</v>
      </c>
      <c r="O32" s="118">
        <f t="shared" si="5"/>
        <v>155289</v>
      </c>
    </row>
    <row r="33" spans="1:18" ht="16.5" x14ac:dyDescent="0.25">
      <c r="A33" s="110">
        <f t="shared" si="6"/>
        <v>44128</v>
      </c>
      <c r="B33" s="114">
        <f t="shared" si="1"/>
        <v>0</v>
      </c>
      <c r="C33" s="86"/>
      <c r="D33" s="114">
        <f t="shared" si="0"/>
        <v>0</v>
      </c>
      <c r="E33" s="86"/>
      <c r="F33" s="111">
        <f t="shared" si="2"/>
        <v>0</v>
      </c>
      <c r="G33" s="114"/>
      <c r="H33" s="114"/>
      <c r="I33" s="114"/>
      <c r="J33" s="114"/>
      <c r="K33" s="115">
        <f t="shared" si="3"/>
        <v>0</v>
      </c>
      <c r="L33" s="115"/>
      <c r="M33" s="86"/>
      <c r="N33" s="114">
        <f t="shared" si="4"/>
        <v>0</v>
      </c>
      <c r="O33" s="114">
        <f t="shared" si="5"/>
        <v>155289</v>
      </c>
      <c r="Q33" s="39" t="s">
        <v>62</v>
      </c>
    </row>
    <row r="34" spans="1:18" ht="16.5" x14ac:dyDescent="0.25">
      <c r="A34" s="110">
        <f t="shared" si="6"/>
        <v>44129</v>
      </c>
      <c r="B34" s="114">
        <f t="shared" si="1"/>
        <v>0</v>
      </c>
      <c r="C34" s="86"/>
      <c r="D34" s="114">
        <f t="shared" si="0"/>
        <v>0</v>
      </c>
      <c r="E34" s="86"/>
      <c r="F34" s="111">
        <f t="shared" si="2"/>
        <v>0</v>
      </c>
      <c r="G34" s="114"/>
      <c r="H34" s="114"/>
      <c r="I34" s="114"/>
      <c r="J34" s="114"/>
      <c r="K34" s="115">
        <f t="shared" si="3"/>
        <v>0</v>
      </c>
      <c r="L34" s="115"/>
      <c r="M34" s="86"/>
      <c r="N34" s="114">
        <f t="shared" si="4"/>
        <v>0</v>
      </c>
      <c r="O34" s="114">
        <f t="shared" si="5"/>
        <v>155289</v>
      </c>
    </row>
    <row r="35" spans="1:18" ht="16.5" x14ac:dyDescent="0.25">
      <c r="A35" s="110">
        <f t="shared" si="6"/>
        <v>44130</v>
      </c>
      <c r="B35" s="114">
        <f t="shared" si="1"/>
        <v>0</v>
      </c>
      <c r="C35" s="86"/>
      <c r="D35" s="114">
        <f t="shared" si="0"/>
        <v>0</v>
      </c>
      <c r="E35" s="86"/>
      <c r="F35" s="111">
        <f t="shared" si="2"/>
        <v>0</v>
      </c>
      <c r="G35" s="114"/>
      <c r="H35" s="114"/>
      <c r="I35" s="114"/>
      <c r="J35" s="114"/>
      <c r="K35" s="115">
        <f t="shared" si="3"/>
        <v>0</v>
      </c>
      <c r="L35" s="115"/>
      <c r="M35" s="86"/>
      <c r="N35" s="114">
        <f t="shared" si="4"/>
        <v>0</v>
      </c>
      <c r="O35" s="114">
        <f t="shared" si="5"/>
        <v>155289</v>
      </c>
    </row>
    <row r="36" spans="1:18" ht="16.5" x14ac:dyDescent="0.25">
      <c r="A36" s="110">
        <f t="shared" si="6"/>
        <v>44131</v>
      </c>
      <c r="B36" s="114">
        <f t="shared" si="1"/>
        <v>0</v>
      </c>
      <c r="C36" s="86"/>
      <c r="D36" s="114">
        <f t="shared" si="0"/>
        <v>0</v>
      </c>
      <c r="E36" s="86"/>
      <c r="F36" s="111">
        <f t="shared" si="2"/>
        <v>0</v>
      </c>
      <c r="G36" s="114"/>
      <c r="H36" s="114"/>
      <c r="I36" s="114"/>
      <c r="J36" s="114"/>
      <c r="K36" s="115">
        <f t="shared" si="3"/>
        <v>0</v>
      </c>
      <c r="L36" s="115"/>
      <c r="M36" s="113"/>
      <c r="N36" s="114">
        <f t="shared" si="4"/>
        <v>0</v>
      </c>
      <c r="O36" s="114">
        <f t="shared" si="5"/>
        <v>155289</v>
      </c>
    </row>
    <row r="37" spans="1:18" ht="16.5" x14ac:dyDescent="0.25">
      <c r="A37" s="110">
        <f t="shared" si="6"/>
        <v>44132</v>
      </c>
      <c r="B37" s="114">
        <f t="shared" si="1"/>
        <v>0</v>
      </c>
      <c r="C37" s="86"/>
      <c r="D37" s="114">
        <f t="shared" si="0"/>
        <v>0</v>
      </c>
      <c r="E37" s="86"/>
      <c r="F37" s="111">
        <f t="shared" si="2"/>
        <v>0</v>
      </c>
      <c r="G37" s="114"/>
      <c r="H37" s="114"/>
      <c r="I37" s="114"/>
      <c r="J37" s="114"/>
      <c r="K37" s="115">
        <f t="shared" si="3"/>
        <v>0</v>
      </c>
      <c r="L37" s="115"/>
      <c r="M37" s="113"/>
      <c r="N37" s="114">
        <f t="shared" si="4"/>
        <v>0</v>
      </c>
      <c r="O37" s="114">
        <f t="shared" si="5"/>
        <v>155289</v>
      </c>
      <c r="Q37" s="281"/>
    </row>
    <row r="38" spans="1:18" ht="16.5" x14ac:dyDescent="0.25">
      <c r="A38" s="110">
        <f t="shared" si="6"/>
        <v>44133</v>
      </c>
      <c r="B38" s="114">
        <f t="shared" si="1"/>
        <v>0</v>
      </c>
      <c r="C38" s="113"/>
      <c r="D38" s="114">
        <f t="shared" si="0"/>
        <v>0</v>
      </c>
      <c r="E38" s="113"/>
      <c r="F38" s="111">
        <f t="shared" si="2"/>
        <v>0</v>
      </c>
      <c r="G38" s="114"/>
      <c r="H38" s="114"/>
      <c r="I38" s="114"/>
      <c r="J38" s="114"/>
      <c r="K38" s="115">
        <f t="shared" si="3"/>
        <v>0</v>
      </c>
      <c r="L38" s="115"/>
      <c r="M38" s="113"/>
      <c r="N38" s="114">
        <f t="shared" si="4"/>
        <v>0</v>
      </c>
      <c r="O38" s="114">
        <f t="shared" si="5"/>
        <v>155289</v>
      </c>
    </row>
    <row r="39" spans="1:18" ht="16.5" x14ac:dyDescent="0.25">
      <c r="A39" s="110">
        <f t="shared" si="6"/>
        <v>44134</v>
      </c>
      <c r="B39" s="114">
        <f t="shared" si="1"/>
        <v>0</v>
      </c>
      <c r="C39" s="113"/>
      <c r="D39" s="114">
        <f t="shared" si="0"/>
        <v>0</v>
      </c>
      <c r="E39" s="113"/>
      <c r="F39" s="111">
        <f t="shared" si="2"/>
        <v>0</v>
      </c>
      <c r="G39" s="114"/>
      <c r="H39" s="114"/>
      <c r="I39" s="114"/>
      <c r="J39" s="114"/>
      <c r="K39" s="115">
        <f t="shared" si="3"/>
        <v>0</v>
      </c>
      <c r="L39" s="115"/>
      <c r="M39" s="113"/>
      <c r="N39" s="114">
        <f>K39-M39</f>
        <v>0</v>
      </c>
      <c r="O39" s="114">
        <f>+O38+K39-M39</f>
        <v>155289</v>
      </c>
    </row>
    <row r="40" spans="1:18" ht="16.5" x14ac:dyDescent="0.25">
      <c r="A40" s="110">
        <f t="shared" si="6"/>
        <v>44135</v>
      </c>
      <c r="B40" s="114">
        <f t="shared" si="1"/>
        <v>0</v>
      </c>
      <c r="C40" s="113"/>
      <c r="D40" s="114">
        <f t="shared" si="0"/>
        <v>0</v>
      </c>
      <c r="E40" s="113"/>
      <c r="F40" s="111">
        <f t="shared" si="2"/>
        <v>0</v>
      </c>
      <c r="G40" s="114"/>
      <c r="H40" s="114"/>
      <c r="I40" s="114"/>
      <c r="J40" s="114"/>
      <c r="K40" s="115">
        <f t="shared" si="3"/>
        <v>0</v>
      </c>
      <c r="L40" s="115"/>
      <c r="M40" s="113"/>
      <c r="N40" s="114">
        <f>K40-M40</f>
        <v>0</v>
      </c>
      <c r="O40" s="120" t="s">
        <v>62</v>
      </c>
      <c r="Q40" s="281"/>
    </row>
    <row r="41" spans="1:18" ht="16.5" x14ac:dyDescent="0.25">
      <c r="A41" s="110"/>
      <c r="B41" s="114"/>
      <c r="C41" s="113"/>
      <c r="D41" s="114">
        <f t="shared" si="0"/>
        <v>0</v>
      </c>
      <c r="E41" s="113"/>
      <c r="F41" s="111"/>
      <c r="G41" s="114"/>
      <c r="H41" s="114"/>
      <c r="I41" s="114"/>
      <c r="J41" s="114"/>
      <c r="K41" s="115">
        <f>C41+E41+G41+H41+I41+J41</f>
        <v>0</v>
      </c>
      <c r="L41" s="115"/>
      <c r="M41" s="113"/>
      <c r="N41" s="114">
        <f>K41-M41</f>
        <v>0</v>
      </c>
      <c r="O41" s="990"/>
      <c r="Q41" s="281"/>
    </row>
    <row r="42" spans="1:18" ht="16.5" x14ac:dyDescent="0.2">
      <c r="A42" s="121" t="s">
        <v>18</v>
      </c>
      <c r="B42" s="115">
        <f t="shared" ref="B42:J42" si="7">SUM(B10:B40)</f>
        <v>0</v>
      </c>
      <c r="C42" s="115">
        <f>SUM(C10:C40)</f>
        <v>0</v>
      </c>
      <c r="D42" s="122">
        <f>SUM(D10:D41)</f>
        <v>0</v>
      </c>
      <c r="E42" s="115">
        <f>SUM(E10:E41)</f>
        <v>0</v>
      </c>
      <c r="F42" s="115">
        <f>SUM(F10:F40)</f>
        <v>0</v>
      </c>
      <c r="G42" s="115">
        <f t="shared" si="7"/>
        <v>0</v>
      </c>
      <c r="H42" s="115">
        <f t="shared" si="7"/>
        <v>0</v>
      </c>
      <c r="I42" s="115">
        <f t="shared" si="7"/>
        <v>0</v>
      </c>
      <c r="J42" s="115">
        <f t="shared" si="7"/>
        <v>0</v>
      </c>
      <c r="K42" s="115">
        <f>SUM(K10:K41)</f>
        <v>0</v>
      </c>
      <c r="L42" s="115"/>
      <c r="M42" s="115">
        <f>SUM(M9:M41)</f>
        <v>0</v>
      </c>
      <c r="N42" s="120">
        <f>SUM(N9:N41)</f>
        <v>155289</v>
      </c>
      <c r="O42" s="123"/>
    </row>
    <row r="43" spans="1:18" ht="13.5" x14ac:dyDescent="0.2">
      <c r="A43" s="26"/>
      <c r="B43" s="26"/>
      <c r="C43" s="26"/>
      <c r="D43" s="26"/>
      <c r="F43" s="26"/>
      <c r="G43" s="26"/>
      <c r="H43" s="1159"/>
      <c r="I43" s="26"/>
      <c r="J43" s="26"/>
      <c r="K43" s="26"/>
      <c r="L43" s="26"/>
      <c r="M43" s="26"/>
      <c r="N43" s="26"/>
      <c r="O43" s="1223"/>
      <c r="Q43" s="281"/>
    </row>
    <row r="44" spans="1:18" ht="13.5" x14ac:dyDescent="0.25">
      <c r="A44" s="10" t="s">
        <v>121</v>
      </c>
      <c r="B44" s="10" t="s">
        <v>61</v>
      </c>
      <c r="C44" s="10" t="s">
        <v>122</v>
      </c>
      <c r="D44" s="28" t="s">
        <v>39</v>
      </c>
      <c r="O44" s="281"/>
      <c r="P44" s="281"/>
      <c r="R44" s="281"/>
    </row>
    <row r="45" spans="1:18" ht="13.5" x14ac:dyDescent="0.25">
      <c r="A45" s="10" t="s">
        <v>15</v>
      </c>
      <c r="B45" s="24">
        <f>B42</f>
        <v>0</v>
      </c>
      <c r="C45" s="10"/>
      <c r="D45" s="28">
        <f>B45*C45</f>
        <v>0</v>
      </c>
    </row>
    <row r="46" spans="1:18" ht="13.5" x14ac:dyDescent="0.25">
      <c r="A46" s="10" t="s">
        <v>16</v>
      </c>
      <c r="B46" s="28">
        <f>D42</f>
        <v>0</v>
      </c>
      <c r="C46" s="10"/>
      <c r="D46" s="28">
        <f>B46*C46</f>
        <v>0</v>
      </c>
      <c r="E46" s="281"/>
      <c r="H46" s="21"/>
      <c r="K46" s="21"/>
      <c r="L46" s="21"/>
      <c r="M46" s="21"/>
      <c r="N46" s="21"/>
    </row>
    <row r="47" spans="1:18" ht="13.5" x14ac:dyDescent="0.25">
      <c r="A47" s="10" t="s">
        <v>17</v>
      </c>
      <c r="B47" s="24">
        <f>F42</f>
        <v>0</v>
      </c>
      <c r="C47" s="10"/>
      <c r="D47" s="28">
        <f>B47*C47</f>
        <v>0</v>
      </c>
      <c r="E47" s="14"/>
      <c r="F47" s="281"/>
      <c r="H47" s="39">
        <f>436380-28700</f>
        <v>407680</v>
      </c>
      <c r="O47" s="21"/>
    </row>
    <row r="48" spans="1:18" ht="13.5" x14ac:dyDescent="0.25">
      <c r="A48" s="33" t="s">
        <v>18</v>
      </c>
      <c r="B48" s="34"/>
      <c r="C48" s="35"/>
      <c r="D48" s="28">
        <f>SUM(D45:D47)</f>
        <v>0</v>
      </c>
      <c r="F48" s="281">
        <f>7000000-E42</f>
        <v>7000000</v>
      </c>
      <c r="O48" s="21"/>
    </row>
    <row r="49" spans="6:9" x14ac:dyDescent="0.2">
      <c r="G49" s="281"/>
    </row>
    <row r="50" spans="6:9" x14ac:dyDescent="0.2">
      <c r="I50" s="281"/>
    </row>
    <row r="51" spans="6:9" x14ac:dyDescent="0.2">
      <c r="F51" s="906"/>
      <c r="G51" s="39">
        <f>+F48/600</f>
        <v>11666.666666666666</v>
      </c>
    </row>
  </sheetData>
  <mergeCells count="8">
    <mergeCell ref="O7:O8"/>
    <mergeCell ref="H7:H9"/>
    <mergeCell ref="I7:I9"/>
    <mergeCell ref="J7:J9"/>
    <mergeCell ref="K7:K9"/>
    <mergeCell ref="M7:M8"/>
    <mergeCell ref="N7:N8"/>
    <mergeCell ref="L7:L9"/>
  </mergeCells>
  <pageMargins left="0.70866141732283472" right="0.70866141732283472" top="0.74803149606299213" bottom="0.74803149606299213" header="0.31496062992125984" footer="0.31496062992125984"/>
  <pageSetup paperSize="9" scale="65" orientation="landscape"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6">
    <tabColor theme="4" tint="-0.249977111117893"/>
    <pageSetUpPr fitToPage="1"/>
  </sheetPr>
  <dimension ref="A1:O47"/>
  <sheetViews>
    <sheetView zoomScaleNormal="100" workbookViewId="0">
      <selection activeCell="A10" sqref="A10"/>
    </sheetView>
  </sheetViews>
  <sheetFormatPr baseColWidth="10" defaultRowHeight="12.75" x14ac:dyDescent="0.2"/>
  <cols>
    <col min="1" max="2" width="11.42578125" style="39"/>
    <col min="3" max="3" width="13.42578125" style="39" customWidth="1"/>
    <col min="4" max="4" width="14.7109375" style="39" customWidth="1"/>
    <col min="5" max="5" width="13.85546875" style="39" bestFit="1" customWidth="1"/>
    <col min="6" max="7" width="11.42578125" style="39"/>
    <col min="8" max="8" width="13.5703125" style="39" customWidth="1"/>
    <col min="9" max="9" width="13.7109375" style="39" customWidth="1"/>
    <col min="10" max="10" width="11.42578125" style="39"/>
    <col min="11" max="11" width="13.85546875" style="39" bestFit="1" customWidth="1"/>
    <col min="12" max="12" width="17" style="39" customWidth="1"/>
    <col min="13" max="14" width="13.7109375" style="39" bestFit="1" customWidth="1"/>
    <col min="15" max="15" width="15.7109375" style="39" bestFit="1" customWidth="1"/>
    <col min="16" max="16384" width="11.42578125" style="39"/>
  </cols>
  <sheetData>
    <row r="1" spans="1:15" ht="13.5" x14ac:dyDescent="0.25">
      <c r="A1" s="8" t="s">
        <v>118</v>
      </c>
      <c r="B1" s="8" t="s">
        <v>459</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O5" s="388" t="s">
        <v>190</v>
      </c>
    </row>
    <row r="6" spans="1:15" ht="13.5" x14ac:dyDescent="0.25">
      <c r="A6" s="8"/>
      <c r="B6" s="8"/>
      <c r="C6" s="8"/>
    </row>
    <row r="7" spans="1:15" ht="16.5" x14ac:dyDescent="0.2">
      <c r="A7" s="100" t="s">
        <v>3</v>
      </c>
      <c r="B7" s="918" t="s">
        <v>15</v>
      </c>
      <c r="C7" s="919"/>
      <c r="D7" s="918" t="s">
        <v>16</v>
      </c>
      <c r="E7" s="919"/>
      <c r="F7" s="918" t="s">
        <v>17</v>
      </c>
      <c r="G7" s="919"/>
      <c r="H7" s="2910" t="s">
        <v>52</v>
      </c>
      <c r="I7" s="2910" t="s">
        <v>53</v>
      </c>
      <c r="J7" s="2910" t="s">
        <v>119</v>
      </c>
      <c r="K7" s="2910" t="s">
        <v>18</v>
      </c>
      <c r="L7" s="3062" t="s">
        <v>416</v>
      </c>
      <c r="M7" s="3065" t="s">
        <v>223</v>
      </c>
      <c r="N7" s="2910" t="s">
        <v>55</v>
      </c>
      <c r="O7" s="2910" t="s">
        <v>120</v>
      </c>
    </row>
    <row r="8" spans="1:15" ht="14.25" customHeight="1" x14ac:dyDescent="0.2">
      <c r="A8" s="103"/>
      <c r="B8" s="915">
        <v>630</v>
      </c>
      <c r="C8" s="916"/>
      <c r="D8" s="915">
        <v>575</v>
      </c>
      <c r="E8" s="916"/>
      <c r="F8" s="915">
        <v>350</v>
      </c>
      <c r="G8" s="916"/>
      <c r="H8" s="3059"/>
      <c r="I8" s="3059"/>
      <c r="J8" s="3059"/>
      <c r="K8" s="3059"/>
      <c r="L8" s="3063"/>
      <c r="M8" s="3066"/>
      <c r="N8" s="2911"/>
      <c r="O8" s="2911"/>
    </row>
    <row r="9" spans="1:15" ht="16.5" x14ac:dyDescent="0.2">
      <c r="A9" s="105"/>
      <c r="B9" s="106" t="s">
        <v>56</v>
      </c>
      <c r="C9" s="106"/>
      <c r="D9" s="107" t="s">
        <v>56</v>
      </c>
      <c r="E9" s="106"/>
      <c r="F9" s="106" t="s">
        <v>56</v>
      </c>
      <c r="G9" s="106" t="s">
        <v>37</v>
      </c>
      <c r="H9" s="2911"/>
      <c r="I9" s="2911"/>
      <c r="J9" s="2911"/>
      <c r="K9" s="2911"/>
      <c r="L9" s="3064"/>
      <c r="M9" s="108"/>
      <c r="N9" s="276">
        <v>630000</v>
      </c>
      <c r="O9" s="109">
        <v>630000</v>
      </c>
    </row>
    <row r="10" spans="1:15" ht="16.5" x14ac:dyDescent="0.25">
      <c r="A10" s="110">
        <f>+KONGFU!A9</f>
        <v>44105</v>
      </c>
      <c r="B10" s="114">
        <f>+C10/B$8</f>
        <v>0</v>
      </c>
      <c r="C10" s="86"/>
      <c r="D10" s="114">
        <f t="shared" ref="D10:D40" si="0">+E10/520</f>
        <v>0</v>
      </c>
      <c r="E10" s="86"/>
      <c r="F10" s="111">
        <f>+G10/F$8</f>
        <v>0</v>
      </c>
      <c r="G10" s="114"/>
      <c r="H10" s="114"/>
      <c r="I10" s="114"/>
      <c r="J10" s="114"/>
      <c r="K10" s="115">
        <f>C10+E10+G10+H10+I10+J10</f>
        <v>0</v>
      </c>
      <c r="L10" s="804"/>
      <c r="M10" s="113"/>
      <c r="N10" s="114">
        <f>K10-M10</f>
        <v>0</v>
      </c>
      <c r="O10" s="114">
        <f>+O9+K10-M10</f>
        <v>630000</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5">
        <f t="shared" ref="K11:K40" si="3">C11+E11+G11+H11+I11+J11</f>
        <v>0</v>
      </c>
      <c r="L11" s="804"/>
      <c r="M11" s="86"/>
      <c r="N11" s="114">
        <f t="shared" ref="N11:N38" si="4">K11-M11</f>
        <v>0</v>
      </c>
      <c r="O11" s="114">
        <f t="shared" ref="O11:O38" si="5">+O10+K11-M11</f>
        <v>630000</v>
      </c>
    </row>
    <row r="12" spans="1:15" ht="16.5" x14ac:dyDescent="0.25">
      <c r="A12" s="110">
        <f t="shared" ref="A12:A40" si="6">+A11+1</f>
        <v>44107</v>
      </c>
      <c r="B12" s="114">
        <f t="shared" si="1"/>
        <v>0</v>
      </c>
      <c r="C12" s="86"/>
      <c r="D12" s="114">
        <f t="shared" si="0"/>
        <v>0</v>
      </c>
      <c r="E12" s="86"/>
      <c r="F12" s="111">
        <f t="shared" si="2"/>
        <v>0</v>
      </c>
      <c r="G12" s="114"/>
      <c r="H12" s="114"/>
      <c r="I12" s="114"/>
      <c r="J12" s="114"/>
      <c r="K12" s="115">
        <f t="shared" si="3"/>
        <v>0</v>
      </c>
      <c r="L12" s="804"/>
      <c r="M12" s="949"/>
      <c r="N12" s="951"/>
      <c r="O12" s="114">
        <f t="shared" si="5"/>
        <v>630000</v>
      </c>
    </row>
    <row r="13" spans="1:15" ht="16.5" x14ac:dyDescent="0.25">
      <c r="A13" s="110">
        <f t="shared" si="6"/>
        <v>44108</v>
      </c>
      <c r="B13" s="114">
        <f t="shared" si="1"/>
        <v>0</v>
      </c>
      <c r="C13" s="86"/>
      <c r="D13" s="114">
        <f t="shared" si="0"/>
        <v>0</v>
      </c>
      <c r="E13" s="86"/>
      <c r="F13" s="111">
        <f t="shared" si="2"/>
        <v>0</v>
      </c>
      <c r="G13" s="114"/>
      <c r="H13" s="114"/>
      <c r="I13" s="114"/>
      <c r="J13" s="114"/>
      <c r="K13" s="115">
        <f t="shared" si="3"/>
        <v>0</v>
      </c>
      <c r="L13" s="804"/>
      <c r="M13" s="86"/>
      <c r="N13" s="114">
        <f t="shared" si="4"/>
        <v>0</v>
      </c>
      <c r="O13" s="114">
        <f t="shared" si="5"/>
        <v>630000</v>
      </c>
    </row>
    <row r="14" spans="1:15" ht="16.5" x14ac:dyDescent="0.25">
      <c r="A14" s="110">
        <f t="shared" si="6"/>
        <v>44109</v>
      </c>
      <c r="B14" s="114">
        <f t="shared" si="1"/>
        <v>0</v>
      </c>
      <c r="C14" s="86"/>
      <c r="D14" s="114">
        <f t="shared" si="0"/>
        <v>0</v>
      </c>
      <c r="E14" s="86"/>
      <c r="F14" s="111">
        <f t="shared" si="2"/>
        <v>0</v>
      </c>
      <c r="G14" s="114"/>
      <c r="H14" s="114"/>
      <c r="I14" s="114"/>
      <c r="J14" s="114"/>
      <c r="K14" s="115">
        <f t="shared" si="3"/>
        <v>0</v>
      </c>
      <c r="L14" s="804"/>
      <c r="M14" s="86"/>
      <c r="N14" s="114">
        <f t="shared" si="4"/>
        <v>0</v>
      </c>
      <c r="O14" s="114">
        <f t="shared" si="5"/>
        <v>630000</v>
      </c>
    </row>
    <row r="15" spans="1:15" ht="16.5" x14ac:dyDescent="0.25">
      <c r="A15" s="110">
        <f t="shared" si="6"/>
        <v>44110</v>
      </c>
      <c r="B15" s="114">
        <f t="shared" si="1"/>
        <v>0</v>
      </c>
      <c r="C15" s="86"/>
      <c r="D15" s="114">
        <f t="shared" si="0"/>
        <v>0</v>
      </c>
      <c r="E15" s="86"/>
      <c r="F15" s="111">
        <f t="shared" si="2"/>
        <v>0</v>
      </c>
      <c r="G15" s="114"/>
      <c r="H15" s="114"/>
      <c r="I15" s="114"/>
      <c r="J15" s="114"/>
      <c r="K15" s="115">
        <f t="shared" si="3"/>
        <v>0</v>
      </c>
      <c r="L15" s="804"/>
      <c r="M15" s="86"/>
      <c r="N15" s="114">
        <f t="shared" si="4"/>
        <v>0</v>
      </c>
      <c r="O15" s="114">
        <f t="shared" si="5"/>
        <v>630000</v>
      </c>
    </row>
    <row r="16" spans="1:15" ht="16.5" x14ac:dyDescent="0.25">
      <c r="A16" s="110">
        <f t="shared" si="6"/>
        <v>44111</v>
      </c>
      <c r="B16" s="114">
        <f t="shared" si="1"/>
        <v>0</v>
      </c>
      <c r="C16" s="86"/>
      <c r="D16" s="114">
        <f t="shared" si="0"/>
        <v>0</v>
      </c>
      <c r="E16" s="86"/>
      <c r="F16" s="111">
        <f t="shared" si="2"/>
        <v>0</v>
      </c>
      <c r="G16" s="114"/>
      <c r="H16" s="114"/>
      <c r="I16" s="114"/>
      <c r="J16" s="114"/>
      <c r="K16" s="115">
        <f t="shared" si="3"/>
        <v>0</v>
      </c>
      <c r="L16" s="804"/>
      <c r="M16" s="86"/>
      <c r="N16" s="114">
        <f t="shared" si="4"/>
        <v>0</v>
      </c>
      <c r="O16" s="114">
        <f t="shared" si="5"/>
        <v>630000</v>
      </c>
    </row>
    <row r="17" spans="1:15" ht="16.5" x14ac:dyDescent="0.25">
      <c r="A17" s="110">
        <f t="shared" si="6"/>
        <v>44112</v>
      </c>
      <c r="B17" s="114">
        <f t="shared" si="1"/>
        <v>0</v>
      </c>
      <c r="C17" s="86"/>
      <c r="D17" s="114">
        <f t="shared" si="0"/>
        <v>0</v>
      </c>
      <c r="E17" s="86"/>
      <c r="F17" s="111">
        <f t="shared" si="2"/>
        <v>0</v>
      </c>
      <c r="G17" s="114"/>
      <c r="H17" s="114"/>
      <c r="I17" s="114"/>
      <c r="J17" s="114"/>
      <c r="K17" s="115">
        <f t="shared" si="3"/>
        <v>0</v>
      </c>
      <c r="L17" s="804"/>
      <c r="M17" s="86"/>
      <c r="N17" s="114">
        <f t="shared" si="4"/>
        <v>0</v>
      </c>
      <c r="O17" s="114">
        <f t="shared" si="5"/>
        <v>630000</v>
      </c>
    </row>
    <row r="18" spans="1:15" ht="16.5" x14ac:dyDescent="0.25">
      <c r="A18" s="110">
        <f t="shared" si="6"/>
        <v>44113</v>
      </c>
      <c r="B18" s="114">
        <f t="shared" si="1"/>
        <v>0</v>
      </c>
      <c r="C18" s="86"/>
      <c r="D18" s="114">
        <f t="shared" si="0"/>
        <v>0</v>
      </c>
      <c r="E18" s="86"/>
      <c r="F18" s="111">
        <f t="shared" si="2"/>
        <v>0</v>
      </c>
      <c r="G18" s="118"/>
      <c r="H18" s="118"/>
      <c r="I18" s="118"/>
      <c r="J18" s="118"/>
      <c r="K18" s="115">
        <f t="shared" si="3"/>
        <v>0</v>
      </c>
      <c r="L18" s="804"/>
      <c r="M18" s="86"/>
      <c r="N18" s="114">
        <f t="shared" si="4"/>
        <v>0</v>
      </c>
      <c r="O18" s="118">
        <f t="shared" si="5"/>
        <v>630000</v>
      </c>
    </row>
    <row r="19" spans="1:15" ht="16.5" x14ac:dyDescent="0.25">
      <c r="A19" s="110">
        <f t="shared" si="6"/>
        <v>44114</v>
      </c>
      <c r="B19" s="114">
        <f t="shared" si="1"/>
        <v>0</v>
      </c>
      <c r="C19" s="86"/>
      <c r="D19" s="114">
        <f t="shared" si="0"/>
        <v>0</v>
      </c>
      <c r="E19" s="86"/>
      <c r="F19" s="111">
        <f t="shared" si="2"/>
        <v>0</v>
      </c>
      <c r="G19" s="118"/>
      <c r="H19" s="118"/>
      <c r="I19" s="118"/>
      <c r="J19" s="118"/>
      <c r="K19" s="115">
        <f>C19+E19+G19+H19+I19+J19</f>
        <v>0</v>
      </c>
      <c r="L19" s="804"/>
      <c r="M19" s="86"/>
      <c r="N19" s="114">
        <f t="shared" si="4"/>
        <v>0</v>
      </c>
      <c r="O19" s="118">
        <f t="shared" si="5"/>
        <v>630000</v>
      </c>
    </row>
    <row r="20" spans="1:15" ht="16.5" x14ac:dyDescent="0.25">
      <c r="A20" s="110">
        <f t="shared" si="6"/>
        <v>44115</v>
      </c>
      <c r="B20" s="114">
        <f t="shared" si="1"/>
        <v>0</v>
      </c>
      <c r="C20" s="86"/>
      <c r="D20" s="114">
        <f>+E20/520</f>
        <v>0</v>
      </c>
      <c r="E20" s="86"/>
      <c r="F20" s="111">
        <f t="shared" si="2"/>
        <v>0</v>
      </c>
      <c r="G20" s="118"/>
      <c r="H20" s="118"/>
      <c r="I20" s="118"/>
      <c r="J20" s="118"/>
      <c r="K20" s="115">
        <f t="shared" si="3"/>
        <v>0</v>
      </c>
      <c r="L20" s="804"/>
      <c r="M20" s="86"/>
      <c r="N20" s="114">
        <f t="shared" si="4"/>
        <v>0</v>
      </c>
      <c r="O20" s="118">
        <f t="shared" si="5"/>
        <v>630000</v>
      </c>
    </row>
    <row r="21" spans="1:15" ht="16.5" x14ac:dyDescent="0.25">
      <c r="A21" s="110">
        <f t="shared" si="6"/>
        <v>44116</v>
      </c>
      <c r="B21" s="114">
        <f t="shared" si="1"/>
        <v>0</v>
      </c>
      <c r="C21" s="86"/>
      <c r="D21" s="114">
        <f t="shared" si="0"/>
        <v>0</v>
      </c>
      <c r="E21" s="86"/>
      <c r="F21" s="111">
        <f t="shared" si="2"/>
        <v>0</v>
      </c>
      <c r="G21" s="118"/>
      <c r="H21" s="118"/>
      <c r="I21" s="118"/>
      <c r="J21" s="118"/>
      <c r="K21" s="115">
        <f t="shared" si="3"/>
        <v>0</v>
      </c>
      <c r="L21" s="804"/>
      <c r="M21" s="86"/>
      <c r="N21" s="114">
        <f t="shared" si="4"/>
        <v>0</v>
      </c>
      <c r="O21" s="118">
        <f>+O20+K21-M21</f>
        <v>630000</v>
      </c>
    </row>
    <row r="22" spans="1:15" ht="16.5" x14ac:dyDescent="0.25">
      <c r="A22" s="110">
        <f t="shared" si="6"/>
        <v>44117</v>
      </c>
      <c r="B22" s="114">
        <f t="shared" si="1"/>
        <v>0</v>
      </c>
      <c r="C22" s="86"/>
      <c r="D22" s="114">
        <f t="shared" si="0"/>
        <v>0</v>
      </c>
      <c r="E22" s="86"/>
      <c r="F22" s="111">
        <f t="shared" si="2"/>
        <v>0</v>
      </c>
      <c r="G22" s="118"/>
      <c r="H22" s="118"/>
      <c r="I22" s="118"/>
      <c r="J22" s="118"/>
      <c r="K22" s="115">
        <f t="shared" si="3"/>
        <v>0</v>
      </c>
      <c r="L22" s="804"/>
      <c r="M22" s="86"/>
      <c r="N22" s="114">
        <f t="shared" si="4"/>
        <v>0</v>
      </c>
      <c r="O22" s="118">
        <f t="shared" si="5"/>
        <v>630000</v>
      </c>
    </row>
    <row r="23" spans="1:15" ht="16.5" x14ac:dyDescent="0.25">
      <c r="A23" s="110">
        <f t="shared" si="6"/>
        <v>44118</v>
      </c>
      <c r="B23" s="114">
        <f t="shared" si="1"/>
        <v>0</v>
      </c>
      <c r="C23" s="86"/>
      <c r="D23" s="114">
        <f t="shared" si="0"/>
        <v>0</v>
      </c>
      <c r="E23" s="86"/>
      <c r="F23" s="111">
        <f t="shared" si="2"/>
        <v>0</v>
      </c>
      <c r="G23" s="118"/>
      <c r="H23" s="118"/>
      <c r="I23" s="118"/>
      <c r="J23" s="118"/>
      <c r="K23" s="115">
        <f t="shared" si="3"/>
        <v>0</v>
      </c>
      <c r="L23" s="804"/>
      <c r="M23" s="86"/>
      <c r="N23" s="114">
        <f t="shared" si="4"/>
        <v>0</v>
      </c>
      <c r="O23" s="118">
        <f t="shared" si="5"/>
        <v>630000</v>
      </c>
    </row>
    <row r="24" spans="1:15" ht="16.5" x14ac:dyDescent="0.25">
      <c r="A24" s="110">
        <f t="shared" si="6"/>
        <v>44119</v>
      </c>
      <c r="B24" s="114">
        <f t="shared" si="1"/>
        <v>0</v>
      </c>
      <c r="C24" s="86"/>
      <c r="D24" s="114">
        <f t="shared" si="0"/>
        <v>0</v>
      </c>
      <c r="E24" s="86"/>
      <c r="F24" s="111">
        <f t="shared" si="2"/>
        <v>0</v>
      </c>
      <c r="G24" s="118"/>
      <c r="H24" s="118"/>
      <c r="I24" s="118"/>
      <c r="J24" s="118"/>
      <c r="K24" s="115">
        <f t="shared" si="3"/>
        <v>0</v>
      </c>
      <c r="L24" s="804"/>
      <c r="M24" s="86"/>
      <c r="N24" s="114">
        <f t="shared" si="4"/>
        <v>0</v>
      </c>
      <c r="O24" s="118">
        <f t="shared" si="5"/>
        <v>630000</v>
      </c>
    </row>
    <row r="25" spans="1:15" ht="16.5" x14ac:dyDescent="0.25">
      <c r="A25" s="110">
        <f t="shared" si="6"/>
        <v>44120</v>
      </c>
      <c r="B25" s="114">
        <f t="shared" si="1"/>
        <v>0</v>
      </c>
      <c r="C25" s="86"/>
      <c r="D25" s="114">
        <f t="shared" si="0"/>
        <v>0</v>
      </c>
      <c r="E25" s="86"/>
      <c r="F25" s="111">
        <f t="shared" si="2"/>
        <v>0</v>
      </c>
      <c r="G25" s="118"/>
      <c r="H25" s="118"/>
      <c r="I25" s="118"/>
      <c r="J25" s="118"/>
      <c r="K25" s="115">
        <f t="shared" si="3"/>
        <v>0</v>
      </c>
      <c r="L25" s="804"/>
      <c r="M25" s="86"/>
      <c r="N25" s="118">
        <f t="shared" si="4"/>
        <v>0</v>
      </c>
      <c r="O25" s="118">
        <f t="shared" si="5"/>
        <v>630000</v>
      </c>
    </row>
    <row r="26" spans="1:15" ht="16.5" x14ac:dyDescent="0.25">
      <c r="A26" s="110">
        <f t="shared" si="6"/>
        <v>44121</v>
      </c>
      <c r="B26" s="114">
        <f t="shared" si="1"/>
        <v>0</v>
      </c>
      <c r="C26" s="86"/>
      <c r="D26" s="114">
        <f t="shared" si="0"/>
        <v>0</v>
      </c>
      <c r="E26" s="86"/>
      <c r="F26" s="111">
        <f t="shared" si="2"/>
        <v>0</v>
      </c>
      <c r="G26" s="118"/>
      <c r="H26" s="118"/>
      <c r="I26" s="118"/>
      <c r="J26" s="118"/>
      <c r="K26" s="115">
        <f t="shared" si="3"/>
        <v>0</v>
      </c>
      <c r="L26" s="804"/>
      <c r="M26" s="86"/>
      <c r="N26" s="118">
        <f t="shared" si="4"/>
        <v>0</v>
      </c>
      <c r="O26" s="118">
        <f t="shared" si="5"/>
        <v>630000</v>
      </c>
    </row>
    <row r="27" spans="1:15" ht="16.5" x14ac:dyDescent="0.25">
      <c r="A27" s="110">
        <f t="shared" si="6"/>
        <v>44122</v>
      </c>
      <c r="B27" s="114">
        <f t="shared" si="1"/>
        <v>0</v>
      </c>
      <c r="C27" s="86"/>
      <c r="D27" s="114">
        <f t="shared" si="0"/>
        <v>0</v>
      </c>
      <c r="E27" s="86"/>
      <c r="F27" s="111">
        <f t="shared" si="2"/>
        <v>0</v>
      </c>
      <c r="G27" s="118"/>
      <c r="H27" s="118"/>
      <c r="I27" s="118"/>
      <c r="J27" s="118"/>
      <c r="K27" s="115">
        <f t="shared" si="3"/>
        <v>0</v>
      </c>
      <c r="L27" s="804"/>
      <c r="M27" s="86"/>
      <c r="N27" s="118">
        <f t="shared" si="4"/>
        <v>0</v>
      </c>
      <c r="O27" s="118">
        <f t="shared" si="5"/>
        <v>630000</v>
      </c>
    </row>
    <row r="28" spans="1:15" ht="16.5" x14ac:dyDescent="0.25">
      <c r="A28" s="110">
        <f t="shared" si="6"/>
        <v>44123</v>
      </c>
      <c r="B28" s="114">
        <f t="shared" si="1"/>
        <v>0</v>
      </c>
      <c r="C28" s="86"/>
      <c r="D28" s="114">
        <f t="shared" si="0"/>
        <v>0</v>
      </c>
      <c r="E28" s="86"/>
      <c r="F28" s="111">
        <f t="shared" si="2"/>
        <v>0</v>
      </c>
      <c r="G28" s="118"/>
      <c r="H28" s="118"/>
      <c r="I28" s="118"/>
      <c r="J28" s="118"/>
      <c r="K28" s="115">
        <f t="shared" si="3"/>
        <v>0</v>
      </c>
      <c r="L28" s="804"/>
      <c r="M28" s="86"/>
      <c r="N28" s="118"/>
      <c r="O28" s="118">
        <f t="shared" si="5"/>
        <v>630000</v>
      </c>
    </row>
    <row r="29" spans="1:15" ht="16.5" x14ac:dyDescent="0.25">
      <c r="A29" s="110">
        <f t="shared" si="6"/>
        <v>44124</v>
      </c>
      <c r="B29" s="114">
        <f t="shared" si="1"/>
        <v>0</v>
      </c>
      <c r="C29" s="86"/>
      <c r="D29" s="114">
        <f t="shared" si="0"/>
        <v>0</v>
      </c>
      <c r="E29" s="86"/>
      <c r="F29" s="111">
        <f t="shared" si="2"/>
        <v>0</v>
      </c>
      <c r="G29" s="118"/>
      <c r="H29" s="118"/>
      <c r="I29" s="118"/>
      <c r="J29" s="118"/>
      <c r="K29" s="115">
        <f t="shared" si="3"/>
        <v>0</v>
      </c>
      <c r="L29" s="804"/>
      <c r="M29" s="86"/>
      <c r="N29" s="118">
        <f t="shared" si="4"/>
        <v>0</v>
      </c>
      <c r="O29" s="118">
        <f t="shared" si="5"/>
        <v>630000</v>
      </c>
    </row>
    <row r="30" spans="1:15" ht="16.5" x14ac:dyDescent="0.25">
      <c r="A30" s="110">
        <f t="shared" si="6"/>
        <v>44125</v>
      </c>
      <c r="B30" s="114">
        <f t="shared" si="1"/>
        <v>0</v>
      </c>
      <c r="C30" s="86"/>
      <c r="D30" s="114">
        <f t="shared" si="0"/>
        <v>0</v>
      </c>
      <c r="E30" s="86"/>
      <c r="F30" s="111">
        <f t="shared" si="2"/>
        <v>0</v>
      </c>
      <c r="G30" s="118"/>
      <c r="H30" s="118"/>
      <c r="I30" s="118"/>
      <c r="J30" s="118"/>
      <c r="K30" s="115">
        <f t="shared" si="3"/>
        <v>0</v>
      </c>
      <c r="L30" s="804"/>
      <c r="M30" s="86"/>
      <c r="N30" s="118">
        <f t="shared" si="4"/>
        <v>0</v>
      </c>
      <c r="O30" s="118">
        <f t="shared" si="5"/>
        <v>630000</v>
      </c>
    </row>
    <row r="31" spans="1:15" s="762" customFormat="1" ht="16.5" x14ac:dyDescent="0.25">
      <c r="A31" s="1547">
        <f t="shared" si="6"/>
        <v>44126</v>
      </c>
      <c r="B31" s="1548">
        <f t="shared" si="1"/>
        <v>0</v>
      </c>
      <c r="C31" s="1532"/>
      <c r="D31" s="1548">
        <f t="shared" si="0"/>
        <v>0</v>
      </c>
      <c r="E31" s="1532"/>
      <c r="F31" s="1549">
        <f t="shared" si="2"/>
        <v>0</v>
      </c>
      <c r="G31" s="1548"/>
      <c r="H31" s="1548"/>
      <c r="I31" s="1548"/>
      <c r="J31" s="1548"/>
      <c r="K31" s="1550">
        <f t="shared" si="3"/>
        <v>0</v>
      </c>
      <c r="L31" s="1531"/>
      <c r="M31" s="1532"/>
      <c r="N31" s="1548">
        <f t="shared" si="4"/>
        <v>0</v>
      </c>
      <c r="O31" s="1548">
        <f>+O30+K31-M31</f>
        <v>630000</v>
      </c>
    </row>
    <row r="32" spans="1:15" ht="16.5" x14ac:dyDescent="0.25">
      <c r="A32" s="110">
        <f t="shared" si="6"/>
        <v>44127</v>
      </c>
      <c r="B32" s="114">
        <f t="shared" si="1"/>
        <v>0</v>
      </c>
      <c r="C32" s="86"/>
      <c r="D32" s="114">
        <f t="shared" si="0"/>
        <v>0</v>
      </c>
      <c r="E32" s="86"/>
      <c r="F32" s="111">
        <f t="shared" si="2"/>
        <v>0</v>
      </c>
      <c r="G32" s="118"/>
      <c r="H32" s="118"/>
      <c r="I32" s="118"/>
      <c r="J32" s="118"/>
      <c r="K32" s="115">
        <f t="shared" si="3"/>
        <v>0</v>
      </c>
      <c r="L32" s="804"/>
      <c r="M32" s="86"/>
      <c r="N32" s="118">
        <f t="shared" si="4"/>
        <v>0</v>
      </c>
      <c r="O32" s="118">
        <f t="shared" si="5"/>
        <v>630000</v>
      </c>
    </row>
    <row r="33" spans="1:15" ht="16.5" x14ac:dyDescent="0.25">
      <c r="A33" s="110">
        <f t="shared" si="6"/>
        <v>44128</v>
      </c>
      <c r="B33" s="114">
        <f t="shared" si="1"/>
        <v>0</v>
      </c>
      <c r="C33" s="86"/>
      <c r="D33" s="114">
        <f t="shared" si="0"/>
        <v>0</v>
      </c>
      <c r="E33" s="86"/>
      <c r="F33" s="111">
        <f t="shared" si="2"/>
        <v>0</v>
      </c>
      <c r="G33" s="114"/>
      <c r="H33" s="114"/>
      <c r="I33" s="114"/>
      <c r="J33" s="114"/>
      <c r="K33" s="115">
        <f t="shared" si="3"/>
        <v>0</v>
      </c>
      <c r="L33" s="804"/>
      <c r="M33" s="86"/>
      <c r="N33" s="114">
        <f t="shared" si="4"/>
        <v>0</v>
      </c>
      <c r="O33" s="114">
        <f t="shared" si="5"/>
        <v>630000</v>
      </c>
    </row>
    <row r="34" spans="1:15" ht="16.5" x14ac:dyDescent="0.25">
      <c r="A34" s="110">
        <f t="shared" si="6"/>
        <v>44129</v>
      </c>
      <c r="B34" s="114">
        <f t="shared" si="1"/>
        <v>0</v>
      </c>
      <c r="C34" s="86"/>
      <c r="D34" s="114">
        <f t="shared" si="0"/>
        <v>0</v>
      </c>
      <c r="E34" s="86"/>
      <c r="F34" s="111">
        <f t="shared" si="2"/>
        <v>0</v>
      </c>
      <c r="G34" s="114"/>
      <c r="H34" s="114"/>
      <c r="I34" s="114"/>
      <c r="J34" s="114"/>
      <c r="K34" s="115">
        <f t="shared" si="3"/>
        <v>0</v>
      </c>
      <c r="L34" s="804"/>
      <c r="M34" s="86"/>
      <c r="N34" s="114">
        <f t="shared" si="4"/>
        <v>0</v>
      </c>
      <c r="O34" s="114">
        <f t="shared" si="5"/>
        <v>630000</v>
      </c>
    </row>
    <row r="35" spans="1:15" ht="16.5" x14ac:dyDescent="0.25">
      <c r="A35" s="110">
        <f t="shared" si="6"/>
        <v>44130</v>
      </c>
      <c r="B35" s="114">
        <f t="shared" si="1"/>
        <v>0</v>
      </c>
      <c r="C35" s="86"/>
      <c r="D35" s="114">
        <f t="shared" si="0"/>
        <v>0</v>
      </c>
      <c r="E35" s="86"/>
      <c r="F35" s="111">
        <f t="shared" si="2"/>
        <v>0</v>
      </c>
      <c r="G35" s="114"/>
      <c r="H35" s="114"/>
      <c r="I35" s="114"/>
      <c r="J35" s="114"/>
      <c r="K35" s="115">
        <f t="shared" si="3"/>
        <v>0</v>
      </c>
      <c r="L35" s="804"/>
      <c r="M35" s="86"/>
      <c r="N35" s="114">
        <f t="shared" si="4"/>
        <v>0</v>
      </c>
      <c r="O35" s="114">
        <f t="shared" si="5"/>
        <v>630000</v>
      </c>
    </row>
    <row r="36" spans="1:15" ht="16.5" x14ac:dyDescent="0.25">
      <c r="A36" s="110">
        <f t="shared" si="6"/>
        <v>44131</v>
      </c>
      <c r="B36" s="114">
        <f t="shared" si="1"/>
        <v>0</v>
      </c>
      <c r="C36" s="86"/>
      <c r="D36" s="114">
        <f t="shared" si="0"/>
        <v>0</v>
      </c>
      <c r="E36" s="86"/>
      <c r="F36" s="111">
        <f t="shared" si="2"/>
        <v>0</v>
      </c>
      <c r="G36" s="114"/>
      <c r="H36" s="114"/>
      <c r="I36" s="114"/>
      <c r="J36" s="114"/>
      <c r="K36" s="115">
        <f t="shared" si="3"/>
        <v>0</v>
      </c>
      <c r="L36" s="804"/>
      <c r="M36" s="113"/>
      <c r="N36" s="114">
        <f t="shared" si="4"/>
        <v>0</v>
      </c>
      <c r="O36" s="114">
        <f t="shared" si="5"/>
        <v>630000</v>
      </c>
    </row>
    <row r="37" spans="1:15" ht="16.5" x14ac:dyDescent="0.25">
      <c r="A37" s="110">
        <f t="shared" si="6"/>
        <v>44132</v>
      </c>
      <c r="B37" s="114">
        <f t="shared" si="1"/>
        <v>0</v>
      </c>
      <c r="C37" s="86"/>
      <c r="D37" s="114">
        <f t="shared" si="0"/>
        <v>0</v>
      </c>
      <c r="E37" s="86"/>
      <c r="F37" s="111">
        <f t="shared" si="2"/>
        <v>0</v>
      </c>
      <c r="G37" s="114"/>
      <c r="H37" s="114"/>
      <c r="I37" s="114"/>
      <c r="J37" s="114"/>
      <c r="K37" s="115">
        <f t="shared" si="3"/>
        <v>0</v>
      </c>
      <c r="L37" s="804"/>
      <c r="M37" s="113"/>
      <c r="N37" s="114">
        <f t="shared" si="4"/>
        <v>0</v>
      </c>
      <c r="O37" s="114">
        <f t="shared" si="5"/>
        <v>630000</v>
      </c>
    </row>
    <row r="38" spans="1:15" ht="16.5" x14ac:dyDescent="0.25">
      <c r="A38" s="110">
        <f t="shared" si="6"/>
        <v>44133</v>
      </c>
      <c r="B38" s="114">
        <f t="shared" si="1"/>
        <v>0</v>
      </c>
      <c r="C38" s="113"/>
      <c r="D38" s="114">
        <f t="shared" si="0"/>
        <v>0</v>
      </c>
      <c r="E38" s="113"/>
      <c r="F38" s="111">
        <f t="shared" si="2"/>
        <v>0</v>
      </c>
      <c r="G38" s="114"/>
      <c r="H38" s="114"/>
      <c r="I38" s="114"/>
      <c r="J38" s="114"/>
      <c r="K38" s="115">
        <f t="shared" si="3"/>
        <v>0</v>
      </c>
      <c r="L38" s="804"/>
      <c r="M38" s="113"/>
      <c r="N38" s="114">
        <f t="shared" si="4"/>
        <v>0</v>
      </c>
      <c r="O38" s="114">
        <f t="shared" si="5"/>
        <v>630000</v>
      </c>
    </row>
    <row r="39" spans="1:15" ht="16.5" x14ac:dyDescent="0.25">
      <c r="A39" s="110">
        <f t="shared" si="6"/>
        <v>44134</v>
      </c>
      <c r="B39" s="114">
        <f t="shared" si="1"/>
        <v>0</v>
      </c>
      <c r="C39" s="113"/>
      <c r="D39" s="114">
        <f t="shared" si="0"/>
        <v>0</v>
      </c>
      <c r="E39" s="113"/>
      <c r="F39" s="111">
        <f t="shared" si="2"/>
        <v>0</v>
      </c>
      <c r="G39" s="114"/>
      <c r="H39" s="114"/>
      <c r="I39" s="114"/>
      <c r="J39" s="114"/>
      <c r="K39" s="115">
        <f t="shared" si="3"/>
        <v>0</v>
      </c>
      <c r="L39" s="804"/>
      <c r="M39" s="113"/>
      <c r="N39" s="114">
        <f>K39-M39</f>
        <v>0</v>
      </c>
      <c r="O39" s="114">
        <f>+O38+K39-M39</f>
        <v>630000</v>
      </c>
    </row>
    <row r="40" spans="1:15" ht="16.5" x14ac:dyDescent="0.25">
      <c r="A40" s="110">
        <f t="shared" si="6"/>
        <v>44135</v>
      </c>
      <c r="B40" s="114">
        <f t="shared" si="1"/>
        <v>0</v>
      </c>
      <c r="C40" s="113"/>
      <c r="D40" s="114">
        <f t="shared" si="0"/>
        <v>0</v>
      </c>
      <c r="E40" s="113"/>
      <c r="F40" s="111">
        <f t="shared" si="2"/>
        <v>0</v>
      </c>
      <c r="G40" s="114"/>
      <c r="H40" s="114"/>
      <c r="I40" s="114"/>
      <c r="J40" s="114"/>
      <c r="K40" s="115">
        <f t="shared" si="3"/>
        <v>0</v>
      </c>
      <c r="L40" s="804"/>
      <c r="M40" s="113"/>
      <c r="N40" s="114">
        <f>K40-M40</f>
        <v>0</v>
      </c>
      <c r="O40" s="120">
        <f>+O39+K40-M40</f>
        <v>630000</v>
      </c>
    </row>
    <row r="41" spans="1:15" ht="16.5" x14ac:dyDescent="0.2">
      <c r="A41" s="121" t="s">
        <v>18</v>
      </c>
      <c r="B41" s="115">
        <f t="shared" ref="B41:M41" si="7">SUM(B10:B40)</f>
        <v>0</v>
      </c>
      <c r="C41" s="115">
        <f>SUM(C10:C40)</f>
        <v>0</v>
      </c>
      <c r="D41" s="122">
        <f t="shared" si="7"/>
        <v>0</v>
      </c>
      <c r="E41" s="115">
        <f>SUM(E10:E40)</f>
        <v>0</v>
      </c>
      <c r="F41" s="115">
        <f>SUM(F10:F40)</f>
        <v>0</v>
      </c>
      <c r="G41" s="115">
        <f t="shared" si="7"/>
        <v>0</v>
      </c>
      <c r="H41" s="115">
        <f t="shared" si="7"/>
        <v>0</v>
      </c>
      <c r="I41" s="115">
        <f t="shared" si="7"/>
        <v>0</v>
      </c>
      <c r="J41" s="115">
        <f t="shared" si="7"/>
        <v>0</v>
      </c>
      <c r="K41" s="115">
        <f>SUM(K10:K40)</f>
        <v>0</v>
      </c>
      <c r="L41" s="804"/>
      <c r="M41" s="115">
        <f t="shared" si="7"/>
        <v>0</v>
      </c>
      <c r="N41" s="120">
        <f>SUM(N9:N40)</f>
        <v>630000</v>
      </c>
      <c r="O41" s="123"/>
    </row>
    <row r="42" spans="1:15" ht="13.5" x14ac:dyDescent="0.2">
      <c r="A42" s="26"/>
      <c r="B42" s="26"/>
      <c r="C42" s="26"/>
      <c r="D42" s="27"/>
      <c r="E42" s="26"/>
      <c r="F42" s="26"/>
      <c r="G42" s="26"/>
      <c r="H42" s="26"/>
      <c r="I42" s="26"/>
      <c r="J42" s="26"/>
      <c r="K42" s="26"/>
      <c r="L42" s="26"/>
      <c r="M42" s="26"/>
      <c r="N42" s="26"/>
      <c r="O42" s="26"/>
    </row>
    <row r="43" spans="1:15" ht="13.5" x14ac:dyDescent="0.25">
      <c r="A43" s="10" t="s">
        <v>121</v>
      </c>
      <c r="B43" s="10" t="s">
        <v>61</v>
      </c>
      <c r="C43" s="10" t="s">
        <v>122</v>
      </c>
      <c r="D43" s="28" t="s">
        <v>39</v>
      </c>
    </row>
    <row r="44" spans="1:15" ht="13.5" x14ac:dyDescent="0.25">
      <c r="A44" s="10" t="s">
        <v>15</v>
      </c>
      <c r="B44" s="24">
        <f>B41</f>
        <v>0</v>
      </c>
      <c r="C44" s="10"/>
      <c r="D44" s="28">
        <f>B44*C44</f>
        <v>0</v>
      </c>
    </row>
    <row r="45" spans="1:15" ht="13.5" x14ac:dyDescent="0.25">
      <c r="A45" s="10" t="s">
        <v>16</v>
      </c>
      <c r="B45" s="28">
        <f>D41</f>
        <v>0</v>
      </c>
      <c r="C45" s="10"/>
      <c r="D45" s="28">
        <f>B45*C45</f>
        <v>0</v>
      </c>
      <c r="H45" s="21"/>
      <c r="K45" s="21"/>
      <c r="L45" s="21"/>
      <c r="M45" s="21"/>
      <c r="N45" s="21"/>
    </row>
    <row r="46" spans="1:15" ht="13.5" x14ac:dyDescent="0.25">
      <c r="A46" s="10" t="s">
        <v>17</v>
      </c>
      <c r="B46" s="24">
        <f>F41</f>
        <v>0</v>
      </c>
      <c r="C46" s="10"/>
      <c r="D46" s="28">
        <f>B46*C46</f>
        <v>0</v>
      </c>
      <c r="E46" s="14"/>
      <c r="O46" s="21"/>
    </row>
    <row r="47" spans="1:15" ht="13.5" x14ac:dyDescent="0.25">
      <c r="A47" s="33" t="s">
        <v>18</v>
      </c>
      <c r="B47" s="34"/>
      <c r="C47" s="35"/>
      <c r="D47" s="28">
        <f>SUM(D44:D46)</f>
        <v>0</v>
      </c>
      <c r="O47" s="21"/>
    </row>
  </sheetData>
  <mergeCells count="8">
    <mergeCell ref="O7:O8"/>
    <mergeCell ref="H7:H9"/>
    <mergeCell ref="I7:I9"/>
    <mergeCell ref="J7:J9"/>
    <mergeCell ref="K7:K9"/>
    <mergeCell ref="M7:M8"/>
    <mergeCell ref="N7:N8"/>
    <mergeCell ref="L7:L9"/>
  </mergeCells>
  <pageMargins left="0.70866141732283472" right="0.70866141732283472" top="0.74803149606299213" bottom="0.74803149606299213" header="0.31496062992125984" footer="0.31496062992125984"/>
  <pageSetup paperSize="9" scale="66" orientation="landscape"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tabColor rgb="FFFF0000"/>
    <pageSetUpPr fitToPage="1"/>
  </sheetPr>
  <dimension ref="A1:S44"/>
  <sheetViews>
    <sheetView zoomScaleNormal="100" workbookViewId="0">
      <selection activeCell="L22" sqref="L22:L23"/>
    </sheetView>
  </sheetViews>
  <sheetFormatPr baseColWidth="10" defaultRowHeight="18" x14ac:dyDescent="0.25"/>
  <cols>
    <col min="1" max="1" width="13.85546875" style="38" customWidth="1"/>
    <col min="2" max="3" width="11.42578125" style="38" customWidth="1"/>
    <col min="4" max="4" width="16.5703125" style="38" customWidth="1"/>
    <col min="5" max="5" width="18.28515625" style="38" customWidth="1"/>
    <col min="6" max="6" width="19.140625" style="38" bestFit="1" customWidth="1"/>
    <col min="7" max="7" width="12.5703125" style="38" hidden="1" customWidth="1"/>
    <col min="8" max="8" width="0" style="38" hidden="1" customWidth="1"/>
    <col min="9" max="9" width="13.42578125" style="38" hidden="1" customWidth="1"/>
    <col min="10" max="10" width="19" style="38" hidden="1" customWidth="1"/>
    <col min="11" max="11" width="17.140625" style="38" customWidth="1"/>
    <col min="12" max="13" width="17.5703125" style="38" customWidth="1"/>
    <col min="14" max="14" width="18.42578125" style="38" customWidth="1"/>
    <col min="15" max="15" width="18" style="38" bestFit="1" customWidth="1"/>
    <col min="16" max="16384" width="11.42578125" style="38"/>
  </cols>
  <sheetData>
    <row r="1" spans="1:15" ht="21" x14ac:dyDescent="0.35">
      <c r="A1" s="36" t="s">
        <v>118</v>
      </c>
      <c r="B1" s="52" t="s">
        <v>400</v>
      </c>
      <c r="D1" s="60" t="s">
        <v>400</v>
      </c>
    </row>
    <row r="2" spans="1:15" ht="20.25" customHeight="1" x14ac:dyDescent="0.35">
      <c r="C2" s="159"/>
      <c r="K2" s="148"/>
    </row>
    <row r="3" spans="1:15" ht="16.5" customHeight="1" x14ac:dyDescent="0.3">
      <c r="A3" s="36" t="s">
        <v>19</v>
      </c>
      <c r="B3" s="268">
        <v>43221</v>
      </c>
      <c r="C3" s="36"/>
      <c r="D3" s="268"/>
      <c r="M3" s="37"/>
    </row>
    <row r="4" spans="1:15" ht="13.5" customHeight="1" x14ac:dyDescent="0.3">
      <c r="A4" s="36"/>
      <c r="B4" s="36"/>
      <c r="C4" s="36"/>
    </row>
    <row r="5" spans="1:15" ht="13.5" customHeight="1" x14ac:dyDescent="0.25">
      <c r="A5" s="812" t="s">
        <v>3</v>
      </c>
      <c r="B5" s="161" t="s">
        <v>15</v>
      </c>
      <c r="C5" s="162"/>
      <c r="D5" s="161" t="s">
        <v>16</v>
      </c>
      <c r="E5" s="162"/>
      <c r="F5" s="161" t="s">
        <v>17</v>
      </c>
      <c r="G5" s="162"/>
      <c r="H5" s="3093" t="s">
        <v>52</v>
      </c>
      <c r="I5" s="3057" t="s">
        <v>53</v>
      </c>
      <c r="J5" s="3088" t="s">
        <v>416</v>
      </c>
      <c r="K5" s="2901" t="s">
        <v>18</v>
      </c>
      <c r="L5" s="2901" t="s">
        <v>60</v>
      </c>
      <c r="M5" s="2901" t="s">
        <v>55</v>
      </c>
      <c r="N5" s="2901" t="s">
        <v>120</v>
      </c>
    </row>
    <row r="6" spans="1:15" s="139" customFormat="1" ht="14.25" customHeight="1" x14ac:dyDescent="0.25">
      <c r="A6" s="823"/>
      <c r="B6" s="824">
        <v>630</v>
      </c>
      <c r="C6" s="825"/>
      <c r="D6" s="824">
        <v>575</v>
      </c>
      <c r="E6" s="825"/>
      <c r="F6" s="824">
        <v>350</v>
      </c>
      <c r="G6" s="825"/>
      <c r="H6" s="3094"/>
      <c r="I6" s="3058"/>
      <c r="J6" s="3097"/>
      <c r="K6" s="3070"/>
      <c r="L6" s="2902"/>
      <c r="M6" s="2902"/>
      <c r="N6" s="2902"/>
    </row>
    <row r="7" spans="1:15" s="139" customFormat="1" ht="18" customHeight="1" x14ac:dyDescent="0.35">
      <c r="A7" s="826"/>
      <c r="B7" s="166" t="s">
        <v>56</v>
      </c>
      <c r="C7" s="166" t="s">
        <v>37</v>
      </c>
      <c r="D7" s="167" t="s">
        <v>56</v>
      </c>
      <c r="E7" s="166" t="s">
        <v>37</v>
      </c>
      <c r="F7" s="166" t="s">
        <v>56</v>
      </c>
      <c r="G7" s="166" t="s">
        <v>37</v>
      </c>
      <c r="H7" s="3095"/>
      <c r="I7" s="3096"/>
      <c r="J7" s="3089"/>
      <c r="K7" s="2902"/>
      <c r="L7" s="184"/>
      <c r="M7" s="147">
        <v>152839</v>
      </c>
      <c r="N7" s="175">
        <f>M7</f>
        <v>152839</v>
      </c>
    </row>
    <row r="8" spans="1:15" s="139" customFormat="1" ht="15" customHeight="1" x14ac:dyDescent="0.25">
      <c r="A8" s="827">
        <v>44105</v>
      </c>
      <c r="B8" s="174">
        <f t="shared" ref="B8:B16" si="0">+C8/569</f>
        <v>0</v>
      </c>
      <c r="C8" s="184"/>
      <c r="D8" s="174">
        <f t="shared" ref="D8:D38" si="1">+E8/520</f>
        <v>0</v>
      </c>
      <c r="E8" s="175"/>
      <c r="F8" s="174">
        <v>0</v>
      </c>
      <c r="G8" s="175"/>
      <c r="H8" s="175"/>
      <c r="I8" s="175"/>
      <c r="J8" s="175"/>
      <c r="K8" s="184">
        <f t="shared" ref="K8:K38" si="2">C8+E8+G8+H8+I8+J8</f>
        <v>0</v>
      </c>
      <c r="L8" s="175"/>
      <c r="M8" s="175">
        <f>K8-L8</f>
        <v>0</v>
      </c>
      <c r="N8" s="175">
        <f>+N7+K8-L8</f>
        <v>152839</v>
      </c>
    </row>
    <row r="9" spans="1:15" s="139" customFormat="1" ht="15" customHeight="1" x14ac:dyDescent="0.25">
      <c r="A9" s="827">
        <f>+A8+1</f>
        <v>44106</v>
      </c>
      <c r="B9" s="174">
        <f t="shared" si="0"/>
        <v>0</v>
      </c>
      <c r="C9" s="184"/>
      <c r="D9" s="174">
        <f t="shared" si="1"/>
        <v>0</v>
      </c>
      <c r="E9" s="175"/>
      <c r="F9" s="174">
        <v>0</v>
      </c>
      <c r="G9" s="175"/>
      <c r="H9" s="175"/>
      <c r="I9" s="175"/>
      <c r="J9" s="175"/>
      <c r="K9" s="184">
        <f t="shared" si="2"/>
        <v>0</v>
      </c>
      <c r="L9" s="175"/>
      <c r="M9" s="175">
        <f t="shared" ref="M9:M38" si="3">K9-L9</f>
        <v>0</v>
      </c>
      <c r="N9" s="175">
        <f t="shared" ref="N9:N37" si="4">+N8+K9-L9</f>
        <v>152839</v>
      </c>
    </row>
    <row r="10" spans="1:15" s="139" customFormat="1" ht="15" customHeight="1" x14ac:dyDescent="0.25">
      <c r="A10" s="827">
        <f t="shared" ref="A10:A38" si="5">+A9+1</f>
        <v>44107</v>
      </c>
      <c r="B10" s="174">
        <f t="shared" si="0"/>
        <v>0</v>
      </c>
      <c r="C10" s="175"/>
      <c r="D10" s="174">
        <f t="shared" si="1"/>
        <v>0</v>
      </c>
      <c r="E10" s="175"/>
      <c r="F10" s="174">
        <v>0</v>
      </c>
      <c r="G10" s="175"/>
      <c r="H10" s="175"/>
      <c r="I10" s="175"/>
      <c r="J10" s="175"/>
      <c r="K10" s="184">
        <f t="shared" si="2"/>
        <v>0</v>
      </c>
      <c r="L10" s="175"/>
      <c r="M10" s="175">
        <f t="shared" si="3"/>
        <v>0</v>
      </c>
      <c r="N10" s="175">
        <f t="shared" si="4"/>
        <v>152839</v>
      </c>
    </row>
    <row r="11" spans="1:15" s="139" customFormat="1" ht="15" customHeight="1" x14ac:dyDescent="0.25">
      <c r="A11" s="827">
        <f t="shared" si="5"/>
        <v>44108</v>
      </c>
      <c r="B11" s="174">
        <f t="shared" si="0"/>
        <v>0</v>
      </c>
      <c r="C11" s="175"/>
      <c r="D11" s="174">
        <f>+E11/520</f>
        <v>0</v>
      </c>
      <c r="E11" s="175"/>
      <c r="F11" s="174">
        <v>0</v>
      </c>
      <c r="G11" s="175"/>
      <c r="H11" s="175"/>
      <c r="I11" s="175"/>
      <c r="J11" s="175"/>
      <c r="K11" s="184">
        <f t="shared" si="2"/>
        <v>0</v>
      </c>
      <c r="L11" s="175"/>
      <c r="M11" s="175">
        <f t="shared" si="3"/>
        <v>0</v>
      </c>
      <c r="N11" s="175">
        <f t="shared" si="4"/>
        <v>152839</v>
      </c>
    </row>
    <row r="12" spans="1:15" s="139" customFormat="1" ht="15" customHeight="1" x14ac:dyDescent="0.25">
      <c r="A12" s="827">
        <f t="shared" si="5"/>
        <v>44109</v>
      </c>
      <c r="B12" s="174">
        <f t="shared" si="0"/>
        <v>0</v>
      </c>
      <c r="C12" s="184"/>
      <c r="D12" s="174">
        <f t="shared" si="1"/>
        <v>0</v>
      </c>
      <c r="E12" s="175"/>
      <c r="F12" s="174">
        <v>0</v>
      </c>
      <c r="G12" s="175"/>
      <c r="H12" s="175"/>
      <c r="I12" s="175"/>
      <c r="J12" s="175"/>
      <c r="K12" s="184">
        <f t="shared" si="2"/>
        <v>0</v>
      </c>
      <c r="L12" s="175"/>
      <c r="M12" s="175">
        <f t="shared" si="3"/>
        <v>0</v>
      </c>
      <c r="N12" s="175">
        <f t="shared" si="4"/>
        <v>152839</v>
      </c>
    </row>
    <row r="13" spans="1:15" s="139" customFormat="1" ht="15" customHeight="1" x14ac:dyDescent="0.25">
      <c r="A13" s="827">
        <f t="shared" si="5"/>
        <v>44110</v>
      </c>
      <c r="B13" s="174">
        <f t="shared" si="0"/>
        <v>0</v>
      </c>
      <c r="C13" s="184"/>
      <c r="D13" s="174">
        <f t="shared" si="1"/>
        <v>0</v>
      </c>
      <c r="E13" s="175"/>
      <c r="F13" s="174">
        <v>0</v>
      </c>
      <c r="G13" s="175"/>
      <c r="H13" s="175"/>
      <c r="I13" s="175"/>
      <c r="J13" s="175"/>
      <c r="K13" s="184">
        <f t="shared" si="2"/>
        <v>0</v>
      </c>
      <c r="L13" s="175"/>
      <c r="M13" s="175">
        <f t="shared" si="3"/>
        <v>0</v>
      </c>
      <c r="N13" s="175">
        <f t="shared" si="4"/>
        <v>152839</v>
      </c>
    </row>
    <row r="14" spans="1:15" s="139" customFormat="1" ht="15" customHeight="1" x14ac:dyDescent="0.25">
      <c r="A14" s="827">
        <f t="shared" si="5"/>
        <v>44111</v>
      </c>
      <c r="B14" s="174">
        <f t="shared" si="0"/>
        <v>0</v>
      </c>
      <c r="C14" s="175"/>
      <c r="D14" s="174">
        <f t="shared" si="1"/>
        <v>0</v>
      </c>
      <c r="E14" s="175"/>
      <c r="F14" s="174">
        <v>0</v>
      </c>
      <c r="G14" s="175"/>
      <c r="H14" s="175"/>
      <c r="I14" s="175"/>
      <c r="J14" s="175"/>
      <c r="K14" s="184">
        <f t="shared" si="2"/>
        <v>0</v>
      </c>
      <c r="L14" s="175"/>
      <c r="M14" s="175">
        <f t="shared" si="3"/>
        <v>0</v>
      </c>
      <c r="N14" s="175">
        <f t="shared" si="4"/>
        <v>152839</v>
      </c>
    </row>
    <row r="15" spans="1:15" s="139" customFormat="1" ht="15" customHeight="1" x14ac:dyDescent="0.25">
      <c r="A15" s="827">
        <f t="shared" si="5"/>
        <v>44112</v>
      </c>
      <c r="B15" s="174">
        <f t="shared" si="0"/>
        <v>0</v>
      </c>
      <c r="C15" s="175"/>
      <c r="D15" s="174">
        <f t="shared" si="1"/>
        <v>0</v>
      </c>
      <c r="E15" s="175"/>
      <c r="F15" s="174">
        <v>0</v>
      </c>
      <c r="G15" s="175"/>
      <c r="H15" s="175"/>
      <c r="I15" s="175"/>
      <c r="J15" s="175"/>
      <c r="K15" s="184">
        <f t="shared" si="2"/>
        <v>0</v>
      </c>
      <c r="L15" s="175"/>
      <c r="M15" s="175">
        <f t="shared" si="3"/>
        <v>0</v>
      </c>
      <c r="N15" s="175">
        <f t="shared" si="4"/>
        <v>152839</v>
      </c>
    </row>
    <row r="16" spans="1:15" s="139" customFormat="1" ht="15" customHeight="1" x14ac:dyDescent="0.25">
      <c r="A16" s="827">
        <f t="shared" si="5"/>
        <v>44113</v>
      </c>
      <c r="B16" s="174">
        <f t="shared" si="0"/>
        <v>0</v>
      </c>
      <c r="C16" s="175"/>
      <c r="D16" s="174">
        <f t="shared" si="1"/>
        <v>0</v>
      </c>
      <c r="E16" s="175"/>
      <c r="F16" s="174">
        <v>0</v>
      </c>
      <c r="G16" s="175"/>
      <c r="H16" s="175"/>
      <c r="I16" s="175"/>
      <c r="J16" s="175"/>
      <c r="K16" s="184">
        <f t="shared" si="2"/>
        <v>0</v>
      </c>
      <c r="L16" s="175"/>
      <c r="M16" s="175">
        <f t="shared" si="3"/>
        <v>0</v>
      </c>
      <c r="N16" s="175">
        <f t="shared" si="4"/>
        <v>152839</v>
      </c>
      <c r="O16" s="850"/>
    </row>
    <row r="17" spans="1:19" s="139" customFormat="1" ht="15" customHeight="1" x14ac:dyDescent="0.25">
      <c r="A17" s="827">
        <f t="shared" si="5"/>
        <v>44114</v>
      </c>
      <c r="B17" s="174">
        <f>+C17/569</f>
        <v>0</v>
      </c>
      <c r="C17" s="175"/>
      <c r="D17" s="174">
        <f>+E17/520</f>
        <v>0</v>
      </c>
      <c r="E17" s="175"/>
      <c r="F17" s="174">
        <v>0</v>
      </c>
      <c r="G17" s="175"/>
      <c r="H17" s="175"/>
      <c r="I17" s="175"/>
      <c r="J17" s="175"/>
      <c r="K17" s="184">
        <f t="shared" si="2"/>
        <v>0</v>
      </c>
      <c r="L17" s="175"/>
      <c r="M17" s="175">
        <f t="shared" si="3"/>
        <v>0</v>
      </c>
      <c r="N17" s="175">
        <f t="shared" si="4"/>
        <v>152839</v>
      </c>
    </row>
    <row r="18" spans="1:19" s="139" customFormat="1" ht="15" customHeight="1" x14ac:dyDescent="0.25">
      <c r="A18" s="827">
        <f t="shared" si="5"/>
        <v>44115</v>
      </c>
      <c r="B18" s="174">
        <f t="shared" ref="B18:B38" si="6">+C18/569</f>
        <v>0</v>
      </c>
      <c r="C18" s="175"/>
      <c r="D18" s="175">
        <f t="shared" si="1"/>
        <v>0</v>
      </c>
      <c r="E18" s="175"/>
      <c r="F18" s="174">
        <v>0</v>
      </c>
      <c r="G18" s="175"/>
      <c r="H18" s="175"/>
      <c r="I18" s="175"/>
      <c r="J18" s="175"/>
      <c r="K18" s="184">
        <f>C18+E18+G18+H18+I18+J18</f>
        <v>0</v>
      </c>
      <c r="L18" s="175"/>
      <c r="M18" s="175">
        <f t="shared" si="3"/>
        <v>0</v>
      </c>
      <c r="N18" s="175">
        <f>+N17+K18-L18</f>
        <v>152839</v>
      </c>
      <c r="O18" s="850"/>
    </row>
    <row r="19" spans="1:19" s="139" customFormat="1" ht="15" customHeight="1" x14ac:dyDescent="0.25">
      <c r="A19" s="827">
        <f t="shared" si="5"/>
        <v>44116</v>
      </c>
      <c r="B19" s="174">
        <f t="shared" si="6"/>
        <v>0</v>
      </c>
      <c r="C19" s="175"/>
      <c r="D19" s="174">
        <f t="shared" si="1"/>
        <v>0</v>
      </c>
      <c r="E19" s="175"/>
      <c r="F19" s="174">
        <v>0</v>
      </c>
      <c r="G19" s="175"/>
      <c r="H19" s="175"/>
      <c r="I19" s="175"/>
      <c r="J19" s="175"/>
      <c r="K19" s="184">
        <f t="shared" si="2"/>
        <v>0</v>
      </c>
      <c r="L19" s="175"/>
      <c r="M19" s="175">
        <f t="shared" si="3"/>
        <v>0</v>
      </c>
      <c r="N19" s="175">
        <f t="shared" si="4"/>
        <v>152839</v>
      </c>
    </row>
    <row r="20" spans="1:19" s="139" customFormat="1" ht="15" customHeight="1" x14ac:dyDescent="0.25">
      <c r="A20" s="827">
        <f t="shared" si="5"/>
        <v>44117</v>
      </c>
      <c r="B20" s="174">
        <f t="shared" si="6"/>
        <v>0</v>
      </c>
      <c r="C20" s="175"/>
      <c r="D20" s="174">
        <f t="shared" si="1"/>
        <v>0</v>
      </c>
      <c r="E20" s="175"/>
      <c r="F20" s="174">
        <v>0</v>
      </c>
      <c r="G20" s="175"/>
      <c r="H20" s="175"/>
      <c r="I20" s="175"/>
      <c r="J20" s="175"/>
      <c r="K20" s="184">
        <f t="shared" si="2"/>
        <v>0</v>
      </c>
      <c r="L20" s="175"/>
      <c r="M20" s="175">
        <f t="shared" si="3"/>
        <v>0</v>
      </c>
      <c r="N20" s="175">
        <f t="shared" si="4"/>
        <v>152839</v>
      </c>
    </row>
    <row r="21" spans="1:19" s="139" customFormat="1" ht="15" customHeight="1" x14ac:dyDescent="0.25">
      <c r="A21" s="827">
        <f t="shared" si="5"/>
        <v>44118</v>
      </c>
      <c r="B21" s="174">
        <f t="shared" si="6"/>
        <v>0</v>
      </c>
      <c r="C21" s="175"/>
      <c r="D21" s="174">
        <f t="shared" si="1"/>
        <v>0</v>
      </c>
      <c r="E21" s="175"/>
      <c r="F21" s="174">
        <v>0</v>
      </c>
      <c r="G21" s="175"/>
      <c r="H21" s="175"/>
      <c r="I21" s="175"/>
      <c r="J21" s="175"/>
      <c r="K21" s="184">
        <f t="shared" si="2"/>
        <v>0</v>
      </c>
      <c r="L21" s="175"/>
      <c r="M21" s="175">
        <f t="shared" si="3"/>
        <v>0</v>
      </c>
      <c r="N21" s="175">
        <f t="shared" si="4"/>
        <v>152839</v>
      </c>
    </row>
    <row r="22" spans="1:19" s="139" customFormat="1" ht="15" customHeight="1" x14ac:dyDescent="0.25">
      <c r="A22" s="827">
        <f t="shared" si="5"/>
        <v>44119</v>
      </c>
      <c r="B22" s="174">
        <f t="shared" si="6"/>
        <v>0</v>
      </c>
      <c r="C22" s="175"/>
      <c r="D22" s="174">
        <f t="shared" si="1"/>
        <v>0</v>
      </c>
      <c r="E22" s="175"/>
      <c r="F22" s="174">
        <v>0</v>
      </c>
      <c r="G22" s="175"/>
      <c r="H22" s="175"/>
      <c r="I22" s="175"/>
      <c r="J22" s="175"/>
      <c r="K22" s="184">
        <f t="shared" si="2"/>
        <v>0</v>
      </c>
      <c r="L22" s="175"/>
      <c r="M22" s="175">
        <f t="shared" si="3"/>
        <v>0</v>
      </c>
      <c r="N22" s="175">
        <f t="shared" si="4"/>
        <v>152839</v>
      </c>
    </row>
    <row r="23" spans="1:19" s="139" customFormat="1" ht="15" customHeight="1" x14ac:dyDescent="0.25">
      <c r="A23" s="827">
        <f t="shared" si="5"/>
        <v>44120</v>
      </c>
      <c r="B23" s="174">
        <f t="shared" si="6"/>
        <v>0</v>
      </c>
      <c r="C23" s="175"/>
      <c r="D23" s="174">
        <f t="shared" si="1"/>
        <v>0</v>
      </c>
      <c r="E23" s="175"/>
      <c r="F23" s="174">
        <v>0</v>
      </c>
      <c r="G23" s="175"/>
      <c r="H23" s="175"/>
      <c r="I23" s="175"/>
      <c r="J23" s="175"/>
      <c r="K23" s="184">
        <f t="shared" si="2"/>
        <v>0</v>
      </c>
      <c r="L23" s="175"/>
      <c r="M23" s="175">
        <f t="shared" si="3"/>
        <v>0</v>
      </c>
      <c r="N23" s="175">
        <f t="shared" si="4"/>
        <v>152839</v>
      </c>
      <c r="O23" s="186" t="s">
        <v>15</v>
      </c>
      <c r="P23" s="186"/>
      <c r="Q23" s="186">
        <v>-302</v>
      </c>
      <c r="R23" s="186">
        <v>630</v>
      </c>
      <c r="S23" s="186">
        <v>-190260</v>
      </c>
    </row>
    <row r="24" spans="1:19" s="139" customFormat="1" ht="15" customHeight="1" x14ac:dyDescent="0.25">
      <c r="A24" s="827">
        <f t="shared" si="5"/>
        <v>44121</v>
      </c>
      <c r="B24" s="174">
        <f t="shared" si="6"/>
        <v>0</v>
      </c>
      <c r="C24" s="175"/>
      <c r="D24" s="174">
        <f t="shared" si="1"/>
        <v>0</v>
      </c>
      <c r="E24" s="175"/>
      <c r="F24" s="174">
        <v>0</v>
      </c>
      <c r="G24" s="175"/>
      <c r="H24" s="175"/>
      <c r="I24" s="175"/>
      <c r="J24" s="175"/>
      <c r="K24" s="184">
        <f t="shared" si="2"/>
        <v>0</v>
      </c>
      <c r="L24" s="175"/>
      <c r="M24" s="175">
        <f t="shared" si="3"/>
        <v>0</v>
      </c>
      <c r="N24" s="175">
        <f t="shared" si="4"/>
        <v>152839</v>
      </c>
      <c r="O24" s="186" t="s">
        <v>16</v>
      </c>
      <c r="P24" s="186"/>
      <c r="Q24" s="186">
        <v>1417</v>
      </c>
      <c r="R24" s="186">
        <v>575</v>
      </c>
      <c r="S24" s="186">
        <v>814775</v>
      </c>
    </row>
    <row r="25" spans="1:19" s="139" customFormat="1" ht="15" customHeight="1" x14ac:dyDescent="0.25">
      <c r="A25" s="827">
        <f t="shared" si="5"/>
        <v>44122</v>
      </c>
      <c r="B25" s="174">
        <f t="shared" si="6"/>
        <v>0</v>
      </c>
      <c r="C25" s="175"/>
      <c r="D25" s="174">
        <f t="shared" si="1"/>
        <v>0</v>
      </c>
      <c r="E25" s="175"/>
      <c r="F25" s="174">
        <v>0</v>
      </c>
      <c r="G25" s="175"/>
      <c r="H25" s="175"/>
      <c r="I25" s="175"/>
      <c r="J25" s="175"/>
      <c r="K25" s="184">
        <f t="shared" si="2"/>
        <v>0</v>
      </c>
      <c r="L25" s="175"/>
      <c r="M25" s="175">
        <f t="shared" si="3"/>
        <v>0</v>
      </c>
      <c r="N25" s="175">
        <f t="shared" si="4"/>
        <v>152839</v>
      </c>
      <c r="O25" s="186" t="s">
        <v>17</v>
      </c>
      <c r="P25" s="186"/>
      <c r="Q25" s="186">
        <v>22</v>
      </c>
      <c r="R25" s="186">
        <v>350</v>
      </c>
      <c r="S25" s="186">
        <v>7700</v>
      </c>
    </row>
    <row r="26" spans="1:19" s="139" customFormat="1" ht="15" customHeight="1" x14ac:dyDescent="0.25">
      <c r="A26" s="827">
        <f t="shared" si="5"/>
        <v>44123</v>
      </c>
      <c r="B26" s="174">
        <f t="shared" si="6"/>
        <v>0</v>
      </c>
      <c r="C26" s="175"/>
      <c r="D26" s="174">
        <f t="shared" si="1"/>
        <v>0</v>
      </c>
      <c r="E26" s="175"/>
      <c r="F26" s="174">
        <v>0</v>
      </c>
      <c r="G26" s="175"/>
      <c r="H26" s="175"/>
      <c r="I26" s="175"/>
      <c r="J26" s="175"/>
      <c r="K26" s="184">
        <f t="shared" si="2"/>
        <v>0</v>
      </c>
      <c r="L26" s="175"/>
      <c r="M26" s="175">
        <f t="shared" si="3"/>
        <v>0</v>
      </c>
      <c r="N26" s="175">
        <f t="shared" si="4"/>
        <v>152839</v>
      </c>
      <c r="O26" s="1843"/>
      <c r="P26" s="186"/>
      <c r="Q26" s="186"/>
      <c r="R26" s="186"/>
      <c r="S26" s="186">
        <v>632215</v>
      </c>
    </row>
    <row r="27" spans="1:19" s="139" customFormat="1" ht="15" customHeight="1" x14ac:dyDescent="0.25">
      <c r="A27" s="827">
        <f t="shared" si="5"/>
        <v>44124</v>
      </c>
      <c r="B27" s="174">
        <f t="shared" si="6"/>
        <v>0</v>
      </c>
      <c r="C27" s="175"/>
      <c r="D27" s="174">
        <f t="shared" si="1"/>
        <v>0</v>
      </c>
      <c r="E27" s="175"/>
      <c r="F27" s="174">
        <v>0</v>
      </c>
      <c r="G27" s="175"/>
      <c r="H27" s="175"/>
      <c r="I27" s="175"/>
      <c r="J27" s="175"/>
      <c r="K27" s="184">
        <f t="shared" si="2"/>
        <v>0</v>
      </c>
      <c r="L27" s="175"/>
      <c r="M27" s="175">
        <f t="shared" si="3"/>
        <v>0</v>
      </c>
      <c r="N27" s="175">
        <f t="shared" si="4"/>
        <v>152839</v>
      </c>
    </row>
    <row r="28" spans="1:19" s="139" customFormat="1" ht="15" customHeight="1" x14ac:dyDescent="0.25">
      <c r="A28" s="827">
        <f t="shared" si="5"/>
        <v>44125</v>
      </c>
      <c r="B28" s="174">
        <f t="shared" si="6"/>
        <v>0</v>
      </c>
      <c r="C28" s="175"/>
      <c r="D28" s="174">
        <f t="shared" si="1"/>
        <v>0</v>
      </c>
      <c r="E28" s="175"/>
      <c r="F28" s="174">
        <v>0</v>
      </c>
      <c r="G28" s="175"/>
      <c r="H28" s="175"/>
      <c r="I28" s="175"/>
      <c r="J28" s="175"/>
      <c r="K28" s="184">
        <f t="shared" si="2"/>
        <v>0</v>
      </c>
      <c r="L28" s="175"/>
      <c r="M28" s="175">
        <f t="shared" si="3"/>
        <v>0</v>
      </c>
      <c r="N28" s="175">
        <f t="shared" si="4"/>
        <v>152839</v>
      </c>
    </row>
    <row r="29" spans="1:19" s="139" customFormat="1" ht="15" customHeight="1" x14ac:dyDescent="0.25">
      <c r="A29" s="827">
        <f t="shared" si="5"/>
        <v>44126</v>
      </c>
      <c r="B29" s="174">
        <f t="shared" si="6"/>
        <v>0</v>
      </c>
      <c r="C29" s="175"/>
      <c r="D29" s="174">
        <f t="shared" si="1"/>
        <v>0</v>
      </c>
      <c r="E29" s="175"/>
      <c r="F29" s="174">
        <v>0</v>
      </c>
      <c r="G29" s="175"/>
      <c r="H29" s="175"/>
      <c r="I29" s="175"/>
      <c r="J29" s="175"/>
      <c r="K29" s="184">
        <f t="shared" si="2"/>
        <v>0</v>
      </c>
      <c r="L29" s="175"/>
      <c r="M29" s="175">
        <f t="shared" si="3"/>
        <v>0</v>
      </c>
      <c r="N29" s="175">
        <f t="shared" si="4"/>
        <v>152839</v>
      </c>
    </row>
    <row r="30" spans="1:19" s="139" customFormat="1" ht="15" customHeight="1" x14ac:dyDescent="0.25">
      <c r="A30" s="827">
        <f t="shared" si="5"/>
        <v>44127</v>
      </c>
      <c r="B30" s="174">
        <f t="shared" si="6"/>
        <v>0</v>
      </c>
      <c r="C30" s="175"/>
      <c r="D30" s="174">
        <f t="shared" si="1"/>
        <v>0</v>
      </c>
      <c r="E30" s="175"/>
      <c r="F30" s="174">
        <v>0</v>
      </c>
      <c r="G30" s="175"/>
      <c r="H30" s="175"/>
      <c r="I30" s="175"/>
      <c r="J30" s="175"/>
      <c r="K30" s="184">
        <f t="shared" si="2"/>
        <v>0</v>
      </c>
      <c r="L30" s="175"/>
      <c r="M30" s="175">
        <f t="shared" si="3"/>
        <v>0</v>
      </c>
      <c r="N30" s="175">
        <f t="shared" si="4"/>
        <v>152839</v>
      </c>
    </row>
    <row r="31" spans="1:19" s="139" customFormat="1" ht="15" customHeight="1" x14ac:dyDescent="0.25">
      <c r="A31" s="827">
        <f t="shared" si="5"/>
        <v>44128</v>
      </c>
      <c r="B31" s="174">
        <f t="shared" si="6"/>
        <v>0</v>
      </c>
      <c r="C31" s="175"/>
      <c r="D31" s="174">
        <f t="shared" si="1"/>
        <v>0</v>
      </c>
      <c r="E31" s="175"/>
      <c r="F31" s="174">
        <v>0</v>
      </c>
      <c r="G31" s="175"/>
      <c r="H31" s="175"/>
      <c r="I31" s="175"/>
      <c r="J31" s="175"/>
      <c r="K31" s="184">
        <f t="shared" si="2"/>
        <v>0</v>
      </c>
      <c r="L31" s="175"/>
      <c r="M31" s="175">
        <f t="shared" si="3"/>
        <v>0</v>
      </c>
      <c r="N31" s="175">
        <f t="shared" si="4"/>
        <v>152839</v>
      </c>
    </row>
    <row r="32" spans="1:19" s="139" customFormat="1" ht="15" customHeight="1" x14ac:dyDescent="0.25">
      <c r="A32" s="827">
        <f t="shared" si="5"/>
        <v>44129</v>
      </c>
      <c r="B32" s="174">
        <f t="shared" si="6"/>
        <v>0</v>
      </c>
      <c r="C32" s="175"/>
      <c r="D32" s="174">
        <f t="shared" si="1"/>
        <v>0</v>
      </c>
      <c r="E32" s="175"/>
      <c r="F32" s="174">
        <v>0</v>
      </c>
      <c r="G32" s="175"/>
      <c r="H32" s="175"/>
      <c r="I32" s="175"/>
      <c r="J32" s="175"/>
      <c r="K32" s="184">
        <f t="shared" si="2"/>
        <v>0</v>
      </c>
      <c r="L32" s="175"/>
      <c r="M32" s="175">
        <f t="shared" si="3"/>
        <v>0</v>
      </c>
      <c r="N32" s="175">
        <f t="shared" si="4"/>
        <v>152839</v>
      </c>
    </row>
    <row r="33" spans="1:17" s="139" customFormat="1" ht="19.5" x14ac:dyDescent="0.25">
      <c r="A33" s="827">
        <f t="shared" si="5"/>
        <v>44130</v>
      </c>
      <c r="B33" s="174">
        <f t="shared" si="6"/>
        <v>0</v>
      </c>
      <c r="C33" s="175"/>
      <c r="D33" s="174">
        <f t="shared" si="1"/>
        <v>0</v>
      </c>
      <c r="E33" s="175"/>
      <c r="F33" s="174">
        <v>0</v>
      </c>
      <c r="G33" s="175"/>
      <c r="H33" s="175"/>
      <c r="I33" s="175"/>
      <c r="J33" s="175"/>
      <c r="K33" s="184">
        <f>C33+E33+G33+H33+I33+J33</f>
        <v>0</v>
      </c>
      <c r="L33" s="175"/>
      <c r="M33" s="175">
        <f t="shared" si="3"/>
        <v>0</v>
      </c>
      <c r="N33" s="175">
        <f t="shared" si="4"/>
        <v>152839</v>
      </c>
      <c r="O33" s="850"/>
    </row>
    <row r="34" spans="1:17" s="139" customFormat="1" ht="19.5" x14ac:dyDescent="0.25">
      <c r="A34" s="827">
        <f t="shared" si="5"/>
        <v>44131</v>
      </c>
      <c r="B34" s="174">
        <f t="shared" si="6"/>
        <v>0</v>
      </c>
      <c r="C34" s="175"/>
      <c r="D34" s="174">
        <f t="shared" si="1"/>
        <v>0</v>
      </c>
      <c r="E34" s="175"/>
      <c r="F34" s="174">
        <v>0</v>
      </c>
      <c r="G34" s="175"/>
      <c r="H34" s="175"/>
      <c r="I34" s="175"/>
      <c r="J34" s="175"/>
      <c r="K34" s="184">
        <f t="shared" si="2"/>
        <v>0</v>
      </c>
      <c r="L34" s="175"/>
      <c r="M34" s="175">
        <f t="shared" si="3"/>
        <v>0</v>
      </c>
      <c r="N34" s="175">
        <f t="shared" si="4"/>
        <v>152839</v>
      </c>
    </row>
    <row r="35" spans="1:17" s="139" customFormat="1" ht="19.5" x14ac:dyDescent="0.25">
      <c r="A35" s="827">
        <f t="shared" si="5"/>
        <v>44132</v>
      </c>
      <c r="B35" s="174">
        <f t="shared" si="6"/>
        <v>0</v>
      </c>
      <c r="C35" s="175"/>
      <c r="D35" s="174">
        <f t="shared" si="1"/>
        <v>0</v>
      </c>
      <c r="E35" s="175"/>
      <c r="F35" s="174">
        <v>0</v>
      </c>
      <c r="G35" s="175"/>
      <c r="H35" s="175"/>
      <c r="I35" s="175"/>
      <c r="J35" s="175"/>
      <c r="K35" s="184">
        <f t="shared" si="2"/>
        <v>0</v>
      </c>
      <c r="L35" s="175"/>
      <c r="M35" s="175">
        <f t="shared" si="3"/>
        <v>0</v>
      </c>
      <c r="N35" s="175">
        <f t="shared" si="4"/>
        <v>152839</v>
      </c>
    </row>
    <row r="36" spans="1:17" s="139" customFormat="1" ht="19.5" x14ac:dyDescent="0.25">
      <c r="A36" s="827">
        <f t="shared" si="5"/>
        <v>44133</v>
      </c>
      <c r="B36" s="174">
        <f t="shared" si="6"/>
        <v>0</v>
      </c>
      <c r="C36" s="175"/>
      <c r="D36" s="174">
        <f t="shared" si="1"/>
        <v>0</v>
      </c>
      <c r="E36" s="175"/>
      <c r="F36" s="174">
        <v>0</v>
      </c>
      <c r="G36" s="175"/>
      <c r="H36" s="175"/>
      <c r="I36" s="175"/>
      <c r="J36" s="175"/>
      <c r="K36" s="184">
        <f t="shared" si="2"/>
        <v>0</v>
      </c>
      <c r="L36" s="175"/>
      <c r="M36" s="175">
        <f t="shared" si="3"/>
        <v>0</v>
      </c>
      <c r="N36" s="175">
        <f t="shared" si="4"/>
        <v>152839</v>
      </c>
    </row>
    <row r="37" spans="1:17" s="139" customFormat="1" ht="19.5" x14ac:dyDescent="0.25">
      <c r="A37" s="827">
        <f t="shared" si="5"/>
        <v>44134</v>
      </c>
      <c r="B37" s="174">
        <f t="shared" si="6"/>
        <v>0</v>
      </c>
      <c r="C37" s="175"/>
      <c r="D37" s="174">
        <f t="shared" si="1"/>
        <v>0</v>
      </c>
      <c r="E37" s="175"/>
      <c r="F37" s="174">
        <v>0</v>
      </c>
      <c r="G37" s="175"/>
      <c r="H37" s="175"/>
      <c r="I37" s="175"/>
      <c r="J37" s="175"/>
      <c r="K37" s="184">
        <f t="shared" si="2"/>
        <v>0</v>
      </c>
      <c r="L37" s="175"/>
      <c r="M37" s="175">
        <f t="shared" si="3"/>
        <v>0</v>
      </c>
      <c r="N37" s="175">
        <f t="shared" si="4"/>
        <v>152839</v>
      </c>
    </row>
    <row r="38" spans="1:17" s="139" customFormat="1" ht="19.5" x14ac:dyDescent="0.25">
      <c r="A38" s="827">
        <f t="shared" si="5"/>
        <v>44135</v>
      </c>
      <c r="B38" s="174">
        <f t="shared" si="6"/>
        <v>0</v>
      </c>
      <c r="C38" s="175"/>
      <c r="D38" s="174">
        <f t="shared" si="1"/>
        <v>0</v>
      </c>
      <c r="E38" s="175"/>
      <c r="F38" s="174">
        <v>0</v>
      </c>
      <c r="G38" s="175"/>
      <c r="H38" s="175"/>
      <c r="I38" s="175"/>
      <c r="J38" s="175"/>
      <c r="K38" s="184">
        <f t="shared" si="2"/>
        <v>0</v>
      </c>
      <c r="L38" s="175"/>
      <c r="M38" s="175">
        <f t="shared" si="3"/>
        <v>0</v>
      </c>
      <c r="N38" s="175">
        <f>+N37+K38-L38</f>
        <v>152839</v>
      </c>
    </row>
    <row r="39" spans="1:17" s="139" customFormat="1" ht="19.5" x14ac:dyDescent="0.25">
      <c r="A39" s="828" t="s">
        <v>18</v>
      </c>
      <c r="B39" s="829">
        <f t="shared" ref="B39:L39" si="7">SUM(B8:B38)</f>
        <v>0</v>
      </c>
      <c r="C39" s="184">
        <f t="shared" si="7"/>
        <v>0</v>
      </c>
      <c r="D39" s="830">
        <f t="shared" si="7"/>
        <v>0</v>
      </c>
      <c r="E39" s="184">
        <f t="shared" si="7"/>
        <v>0</v>
      </c>
      <c r="F39" s="184">
        <f t="shared" si="7"/>
        <v>0</v>
      </c>
      <c r="G39" s="184">
        <f t="shared" si="7"/>
        <v>0</v>
      </c>
      <c r="H39" s="184">
        <f t="shared" si="7"/>
        <v>0</v>
      </c>
      <c r="I39" s="184">
        <f t="shared" si="7"/>
        <v>0</v>
      </c>
      <c r="J39" s="184">
        <f t="shared" si="7"/>
        <v>0</v>
      </c>
      <c r="K39" s="184">
        <f t="shared" si="7"/>
        <v>0</v>
      </c>
      <c r="L39" s="184">
        <f t="shared" si="7"/>
        <v>0</v>
      </c>
      <c r="M39" s="175">
        <f>SUM(M7:M38)</f>
        <v>152839</v>
      </c>
      <c r="N39" s="184"/>
    </row>
    <row r="42" spans="1:17" x14ac:dyDescent="0.25">
      <c r="Q42" s="38" t="s">
        <v>457</v>
      </c>
    </row>
    <row r="44" spans="1:17" x14ac:dyDescent="0.25">
      <c r="E44" s="667"/>
    </row>
  </sheetData>
  <mergeCells count="7">
    <mergeCell ref="N5:N6"/>
    <mergeCell ref="L5:L6"/>
    <mergeCell ref="M5:M6"/>
    <mergeCell ref="H5:H7"/>
    <mergeCell ref="I5:I7"/>
    <mergeCell ref="J5:J7"/>
    <mergeCell ref="K5:K7"/>
  </mergeCells>
  <printOptions horizontalCentered="1"/>
  <pageMargins left="0.39370078740157483" right="0.39370078740157483" top="0.74803149606299213" bottom="0.39370078740157483" header="0.31496062992125984" footer="0.31496062992125984"/>
  <pageSetup paperSize="9" scale="63" orientation="landscape"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3">
    <tabColor theme="4" tint="-0.249977111117893"/>
    <pageSetUpPr fitToPage="1"/>
  </sheetPr>
  <dimension ref="A1:P47"/>
  <sheetViews>
    <sheetView topLeftCell="A28" zoomScaleNormal="100" workbookViewId="0">
      <selection activeCell="J18" sqref="J18"/>
    </sheetView>
  </sheetViews>
  <sheetFormatPr baseColWidth="10" defaultRowHeight="12.75" x14ac:dyDescent="0.2"/>
  <cols>
    <col min="1" max="1" width="11.5703125" style="39" customWidth="1"/>
    <col min="2" max="2" width="11.42578125" style="39" customWidth="1"/>
    <col min="3" max="3" width="13.42578125" style="39" customWidth="1"/>
    <col min="4" max="4" width="16.5703125" style="39" customWidth="1"/>
    <col min="5" max="5" width="17.140625" style="39" customWidth="1"/>
    <col min="6" max="6" width="13.85546875" style="39" customWidth="1"/>
    <col min="7" max="7" width="14.5703125" style="39" customWidth="1"/>
    <col min="8" max="8" width="16.5703125" style="39" customWidth="1"/>
    <col min="9" max="9" width="11.42578125" style="39" customWidth="1"/>
    <col min="10" max="10" width="15.140625" style="39" customWidth="1"/>
    <col min="11" max="11" width="16.28515625" style="39" customWidth="1"/>
    <col min="12" max="12" width="13.85546875" style="39" customWidth="1"/>
    <col min="13" max="13" width="14.7109375" style="39" bestFit="1" customWidth="1"/>
    <col min="14" max="14" width="19.42578125" style="39" customWidth="1"/>
    <col min="15" max="15" width="18.7109375" style="39" customWidth="1"/>
    <col min="16" max="16" width="12" style="39" bestFit="1" customWidth="1"/>
    <col min="17" max="16384" width="11.42578125" style="39"/>
  </cols>
  <sheetData>
    <row r="1" spans="1:15" ht="16.5" x14ac:dyDescent="0.3">
      <c r="A1" s="8" t="s">
        <v>118</v>
      </c>
      <c r="B1" s="1" t="s">
        <v>433</v>
      </c>
      <c r="D1" s="60"/>
    </row>
    <row r="2" spans="1:15" ht="13.5" x14ac:dyDescent="0.25">
      <c r="C2" s="14"/>
    </row>
    <row r="3" spans="1:15" ht="18.75" x14ac:dyDescent="0.3">
      <c r="A3" s="1" t="s">
        <v>19</v>
      </c>
      <c r="B3" s="142">
        <f>+SOCOPAT!B4</f>
        <v>44075</v>
      </c>
      <c r="C3" s="8"/>
      <c r="D3" s="874">
        <v>41730</v>
      </c>
      <c r="M3" s="37"/>
    </row>
    <row r="4" spans="1:15" ht="13.5" x14ac:dyDescent="0.25">
      <c r="A4" s="8"/>
      <c r="B4" s="8"/>
      <c r="C4" s="8"/>
    </row>
    <row r="5" spans="1:15" ht="19.5" customHeight="1" x14ac:dyDescent="0.25">
      <c r="A5" s="8"/>
      <c r="B5" s="8"/>
      <c r="C5" s="8"/>
      <c r="G5" s="281">
        <f>+E41</f>
        <v>0</v>
      </c>
      <c r="H5" s="317">
        <f>112*600</f>
        <v>67200</v>
      </c>
      <c r="I5" s="39">
        <v>1806000</v>
      </c>
      <c r="J5" s="281">
        <f>+G5-I5</f>
        <v>-1806000</v>
      </c>
      <c r="K5" s="281">
        <f>+M41</f>
        <v>0</v>
      </c>
      <c r="L5" s="281">
        <f>+J5-K5</f>
        <v>-1806000</v>
      </c>
      <c r="N5" s="281">
        <f>+N6-N9</f>
        <v>1000000</v>
      </c>
      <c r="O5" s="388" t="s">
        <v>190</v>
      </c>
    </row>
    <row r="6" spans="1:15" ht="13.5" x14ac:dyDescent="0.25">
      <c r="A6" s="8"/>
      <c r="B6" s="8"/>
      <c r="C6" s="8"/>
      <c r="N6" s="39">
        <v>9756991</v>
      </c>
    </row>
    <row r="7" spans="1:15" ht="16.5" x14ac:dyDescent="0.2">
      <c r="A7" s="3098" t="s">
        <v>3</v>
      </c>
      <c r="B7" s="101" t="s">
        <v>15</v>
      </c>
      <c r="C7" s="102"/>
      <c r="D7" s="3099" t="s">
        <v>16</v>
      </c>
      <c r="E7" s="3100"/>
      <c r="F7" s="3099" t="s">
        <v>17</v>
      </c>
      <c r="G7" s="3100"/>
      <c r="H7" s="2910" t="s">
        <v>52</v>
      </c>
      <c r="I7" s="2910" t="s">
        <v>53</v>
      </c>
      <c r="J7" s="2910" t="s">
        <v>119</v>
      </c>
      <c r="K7" s="2910" t="s">
        <v>18</v>
      </c>
      <c r="L7" s="3062" t="s">
        <v>416</v>
      </c>
      <c r="M7" s="3065" t="s">
        <v>223</v>
      </c>
      <c r="N7" s="2910" t="s">
        <v>55</v>
      </c>
      <c r="O7" s="2910" t="s">
        <v>120</v>
      </c>
    </row>
    <row r="8" spans="1:15" ht="21" x14ac:dyDescent="0.2">
      <c r="A8" s="3098"/>
      <c r="B8" s="915">
        <v>650</v>
      </c>
      <c r="C8" s="916"/>
      <c r="D8" s="915">
        <v>600</v>
      </c>
      <c r="E8" s="916"/>
      <c r="F8" s="915">
        <v>350</v>
      </c>
      <c r="G8" s="916"/>
      <c r="H8" s="3059"/>
      <c r="I8" s="3059"/>
      <c r="J8" s="3059"/>
      <c r="K8" s="3059"/>
      <c r="L8" s="3063"/>
      <c r="M8" s="3066"/>
      <c r="N8" s="2911"/>
      <c r="O8" s="2911"/>
    </row>
    <row r="9" spans="1:15" ht="16.5" x14ac:dyDescent="0.2">
      <c r="A9" s="105"/>
      <c r="B9" s="106" t="s">
        <v>56</v>
      </c>
      <c r="C9" s="106"/>
      <c r="D9" s="107" t="s">
        <v>56</v>
      </c>
      <c r="E9" s="106"/>
      <c r="F9" s="106" t="s">
        <v>56</v>
      </c>
      <c r="G9" s="106" t="s">
        <v>37</v>
      </c>
      <c r="H9" s="2911"/>
      <c r="I9" s="2911"/>
      <c r="J9" s="2911"/>
      <c r="K9" s="2911"/>
      <c r="L9" s="3064"/>
      <c r="M9" s="108"/>
      <c r="N9" s="276">
        <v>8756991</v>
      </c>
      <c r="O9" s="109">
        <f>N9</f>
        <v>8756991</v>
      </c>
    </row>
    <row r="10" spans="1:15" ht="16.5" x14ac:dyDescent="0.25">
      <c r="A10" s="110">
        <f>+KONGFU!A9</f>
        <v>44105</v>
      </c>
      <c r="B10" s="114">
        <f>+C10/B$8</f>
        <v>0</v>
      </c>
      <c r="C10" s="86"/>
      <c r="D10" s="114">
        <f>+E10/600</f>
        <v>0</v>
      </c>
      <c r="E10" s="86"/>
      <c r="F10" s="111">
        <f>+G10/F$8</f>
        <v>0</v>
      </c>
      <c r="G10" s="114"/>
      <c r="H10" s="114"/>
      <c r="I10" s="114"/>
      <c r="J10" s="114"/>
      <c r="K10" s="115">
        <f>C10+E10+G10+H10+I10+J10</f>
        <v>0</v>
      </c>
      <c r="L10" s="115"/>
      <c r="M10" s="113"/>
      <c r="N10" s="114">
        <f>K10-M10</f>
        <v>0</v>
      </c>
      <c r="O10" s="114">
        <f>+O9+K10-M10</f>
        <v>8756991</v>
      </c>
    </row>
    <row r="11" spans="1:15" ht="16.5" x14ac:dyDescent="0.25">
      <c r="A11" s="110">
        <f>+A10+1</f>
        <v>44106</v>
      </c>
      <c r="B11" s="114">
        <f t="shared" ref="B11:B40" si="0">+C11/B$8</f>
        <v>0</v>
      </c>
      <c r="C11" s="86"/>
      <c r="D11" s="114">
        <f t="shared" ref="D11:D40" si="1">+E11/600</f>
        <v>0</v>
      </c>
      <c r="E11" s="86"/>
      <c r="F11" s="111">
        <f t="shared" ref="F11:F40" si="2">+G11/F$8</f>
        <v>0</v>
      </c>
      <c r="G11" s="114"/>
      <c r="H11" s="114"/>
      <c r="I11" s="114"/>
      <c r="J11" s="114"/>
      <c r="K11" s="115">
        <f t="shared" ref="K11:K40" si="3">C11+E11+G11+H11+I11+J11</f>
        <v>0</v>
      </c>
      <c r="L11" s="115"/>
      <c r="M11" s="86"/>
      <c r="N11" s="114">
        <f t="shared" ref="N11:N38" si="4">K11-M11</f>
        <v>0</v>
      </c>
      <c r="O11" s="114">
        <f t="shared" ref="O11:O39" si="5">+O10+K11-M11</f>
        <v>8756991</v>
      </c>
    </row>
    <row r="12" spans="1:15" ht="16.5" x14ac:dyDescent="0.25">
      <c r="A12" s="110">
        <f t="shared" ref="A12:A40" si="6">+A11+1</f>
        <v>44107</v>
      </c>
      <c r="B12" s="114">
        <f t="shared" si="0"/>
        <v>0</v>
      </c>
      <c r="C12" s="86"/>
      <c r="D12" s="114">
        <f t="shared" si="1"/>
        <v>0</v>
      </c>
      <c r="E12" s="86"/>
      <c r="F12" s="111">
        <f t="shared" si="2"/>
        <v>0</v>
      </c>
      <c r="G12" s="114"/>
      <c r="H12" s="114"/>
      <c r="I12" s="114"/>
      <c r="J12" s="114"/>
      <c r="K12" s="115">
        <f t="shared" si="3"/>
        <v>0</v>
      </c>
      <c r="L12" s="999"/>
      <c r="M12" s="86"/>
      <c r="N12" s="114">
        <f t="shared" si="4"/>
        <v>0</v>
      </c>
      <c r="O12" s="114">
        <f t="shared" si="5"/>
        <v>8756991</v>
      </c>
    </row>
    <row r="13" spans="1:15" ht="16.5" x14ac:dyDescent="0.25">
      <c r="A13" s="110">
        <f t="shared" si="6"/>
        <v>44108</v>
      </c>
      <c r="B13" s="114">
        <f t="shared" si="0"/>
        <v>0</v>
      </c>
      <c r="C13" s="86"/>
      <c r="D13" s="114">
        <f t="shared" si="1"/>
        <v>0</v>
      </c>
      <c r="E13" s="86"/>
      <c r="F13" s="111">
        <f t="shared" si="2"/>
        <v>0</v>
      </c>
      <c r="G13" s="114"/>
      <c r="H13" s="114"/>
      <c r="I13" s="114"/>
      <c r="J13" s="114"/>
      <c r="K13" s="115">
        <f t="shared" si="3"/>
        <v>0</v>
      </c>
      <c r="L13" s="115"/>
      <c r="M13" s="86"/>
      <c r="N13" s="114">
        <f t="shared" si="4"/>
        <v>0</v>
      </c>
      <c r="O13" s="114">
        <f t="shared" si="5"/>
        <v>8756991</v>
      </c>
    </row>
    <row r="14" spans="1:15" ht="16.5" x14ac:dyDescent="0.25">
      <c r="A14" s="110">
        <f t="shared" si="6"/>
        <v>44109</v>
      </c>
      <c r="B14" s="114">
        <f t="shared" si="0"/>
        <v>0</v>
      </c>
      <c r="C14" s="86"/>
      <c r="D14" s="114">
        <f t="shared" si="1"/>
        <v>0</v>
      </c>
      <c r="E14" s="86"/>
      <c r="F14" s="111">
        <f t="shared" si="2"/>
        <v>0</v>
      </c>
      <c r="G14" s="114"/>
      <c r="H14" s="114"/>
      <c r="I14" s="114"/>
      <c r="J14" s="114"/>
      <c r="K14" s="115">
        <f t="shared" si="3"/>
        <v>0</v>
      </c>
      <c r="L14" s="115"/>
      <c r="M14" s="86"/>
      <c r="N14" s="114">
        <f t="shared" si="4"/>
        <v>0</v>
      </c>
      <c r="O14" s="114">
        <f t="shared" si="5"/>
        <v>8756991</v>
      </c>
    </row>
    <row r="15" spans="1:15" ht="16.5" x14ac:dyDescent="0.25">
      <c r="A15" s="110">
        <f t="shared" si="6"/>
        <v>44110</v>
      </c>
      <c r="B15" s="114">
        <f t="shared" si="0"/>
        <v>0</v>
      </c>
      <c r="C15" s="86"/>
      <c r="D15" s="114">
        <f t="shared" si="1"/>
        <v>0</v>
      </c>
      <c r="E15" s="86"/>
      <c r="F15" s="111">
        <f t="shared" si="2"/>
        <v>0</v>
      </c>
      <c r="G15" s="114"/>
      <c r="H15" s="114"/>
      <c r="I15" s="114"/>
      <c r="J15" s="114"/>
      <c r="K15" s="115">
        <f t="shared" si="3"/>
        <v>0</v>
      </c>
      <c r="L15" s="115"/>
      <c r="M15" s="86"/>
      <c r="N15" s="114">
        <f t="shared" si="4"/>
        <v>0</v>
      </c>
      <c r="O15" s="114">
        <f t="shared" si="5"/>
        <v>8756991</v>
      </c>
    </row>
    <row r="16" spans="1:15" ht="16.5" x14ac:dyDescent="0.25">
      <c r="A16" s="110">
        <f t="shared" si="6"/>
        <v>44111</v>
      </c>
      <c r="B16" s="114">
        <f t="shared" si="0"/>
        <v>0</v>
      </c>
      <c r="C16" s="86"/>
      <c r="D16" s="114">
        <f t="shared" si="1"/>
        <v>0</v>
      </c>
      <c r="E16" s="86"/>
      <c r="F16" s="111">
        <f t="shared" si="2"/>
        <v>0</v>
      </c>
      <c r="G16" s="114"/>
      <c r="H16" s="114"/>
      <c r="I16" s="114"/>
      <c r="J16" s="114"/>
      <c r="K16" s="115">
        <f t="shared" si="3"/>
        <v>0</v>
      </c>
      <c r="L16" s="999"/>
      <c r="M16" s="86"/>
      <c r="N16" s="114">
        <f t="shared" si="4"/>
        <v>0</v>
      </c>
      <c r="O16" s="114">
        <f t="shared" si="5"/>
        <v>8756991</v>
      </c>
    </row>
    <row r="17" spans="1:15" ht="16.5" x14ac:dyDescent="0.25">
      <c r="A17" s="110">
        <f t="shared" si="6"/>
        <v>44112</v>
      </c>
      <c r="B17" s="114">
        <f t="shared" si="0"/>
        <v>0</v>
      </c>
      <c r="C17" s="86"/>
      <c r="D17" s="114">
        <f t="shared" si="1"/>
        <v>0</v>
      </c>
      <c r="E17" s="86"/>
      <c r="F17" s="111">
        <f t="shared" si="2"/>
        <v>0</v>
      </c>
      <c r="G17" s="114"/>
      <c r="H17" s="114"/>
      <c r="I17" s="114"/>
      <c r="J17" s="114"/>
      <c r="K17" s="115">
        <f t="shared" si="3"/>
        <v>0</v>
      </c>
      <c r="L17" s="999"/>
      <c r="M17" s="86"/>
      <c r="N17" s="114">
        <f t="shared" si="4"/>
        <v>0</v>
      </c>
      <c r="O17" s="114">
        <f t="shared" si="5"/>
        <v>8756991</v>
      </c>
    </row>
    <row r="18" spans="1:15" ht="16.5" x14ac:dyDescent="0.25">
      <c r="A18" s="110">
        <f t="shared" si="6"/>
        <v>44113</v>
      </c>
      <c r="B18" s="114">
        <f t="shared" si="0"/>
        <v>0</v>
      </c>
      <c r="C18" s="86"/>
      <c r="D18" s="114">
        <f t="shared" si="1"/>
        <v>0</v>
      </c>
      <c r="E18" s="86"/>
      <c r="F18" s="111">
        <f t="shared" si="2"/>
        <v>0</v>
      </c>
      <c r="G18" s="118"/>
      <c r="H18" s="118"/>
      <c r="I18" s="118"/>
      <c r="J18" s="118"/>
      <c r="K18" s="115">
        <f t="shared" si="3"/>
        <v>0</v>
      </c>
      <c r="L18" s="115"/>
      <c r="M18" s="86"/>
      <c r="N18" s="114">
        <f t="shared" si="4"/>
        <v>0</v>
      </c>
      <c r="O18" s="118">
        <f t="shared" si="5"/>
        <v>8756991</v>
      </c>
    </row>
    <row r="19" spans="1:15" ht="16.5" x14ac:dyDescent="0.25">
      <c r="A19" s="110">
        <f t="shared" si="6"/>
        <v>44114</v>
      </c>
      <c r="B19" s="114">
        <f t="shared" si="0"/>
        <v>0</v>
      </c>
      <c r="C19" s="86"/>
      <c r="D19" s="114">
        <f t="shared" si="1"/>
        <v>0</v>
      </c>
      <c r="E19" s="86"/>
      <c r="F19" s="111">
        <f t="shared" si="2"/>
        <v>0</v>
      </c>
      <c r="G19" s="118"/>
      <c r="H19" s="118"/>
      <c r="I19" s="118"/>
      <c r="J19" s="118"/>
      <c r="K19" s="115">
        <f>C19+E19+G19+H19+I19+J19</f>
        <v>0</v>
      </c>
      <c r="L19" s="115"/>
      <c r="M19" s="86"/>
      <c r="N19" s="114">
        <f t="shared" si="4"/>
        <v>0</v>
      </c>
      <c r="O19" s="118">
        <f t="shared" si="5"/>
        <v>8756991</v>
      </c>
    </row>
    <row r="20" spans="1:15" ht="16.5" x14ac:dyDescent="0.25">
      <c r="A20" s="110">
        <f t="shared" si="6"/>
        <v>44115</v>
      </c>
      <c r="B20" s="114">
        <f t="shared" si="0"/>
        <v>0</v>
      </c>
      <c r="C20" s="86"/>
      <c r="D20" s="114">
        <f t="shared" si="1"/>
        <v>0</v>
      </c>
      <c r="E20" s="86"/>
      <c r="F20" s="111">
        <f t="shared" si="2"/>
        <v>0</v>
      </c>
      <c r="G20" s="118"/>
      <c r="H20" s="118"/>
      <c r="I20" s="118"/>
      <c r="J20" s="118"/>
      <c r="K20" s="115">
        <f t="shared" si="3"/>
        <v>0</v>
      </c>
      <c r="L20" s="115"/>
      <c r="M20" s="86"/>
      <c r="N20" s="114">
        <f t="shared" si="4"/>
        <v>0</v>
      </c>
      <c r="O20" s="118">
        <f t="shared" si="5"/>
        <v>8756991</v>
      </c>
    </row>
    <row r="21" spans="1:15" ht="16.5" x14ac:dyDescent="0.25">
      <c r="A21" s="110">
        <f t="shared" si="6"/>
        <v>44116</v>
      </c>
      <c r="B21" s="114">
        <f t="shared" si="0"/>
        <v>0</v>
      </c>
      <c r="C21" s="86"/>
      <c r="D21" s="114">
        <f t="shared" si="1"/>
        <v>0</v>
      </c>
      <c r="E21" s="86"/>
      <c r="F21" s="111">
        <f t="shared" si="2"/>
        <v>0</v>
      </c>
      <c r="G21" s="118"/>
      <c r="H21" s="118"/>
      <c r="I21" s="118"/>
      <c r="J21" s="118"/>
      <c r="K21" s="115">
        <f t="shared" si="3"/>
        <v>0</v>
      </c>
      <c r="L21" s="115"/>
      <c r="M21" s="86"/>
      <c r="N21" s="114">
        <f t="shared" si="4"/>
        <v>0</v>
      </c>
      <c r="O21" s="118">
        <f t="shared" si="5"/>
        <v>8756991</v>
      </c>
    </row>
    <row r="22" spans="1:15" ht="16.5" x14ac:dyDescent="0.25">
      <c r="A22" s="110">
        <f t="shared" si="6"/>
        <v>44117</v>
      </c>
      <c r="B22" s="114">
        <f t="shared" si="0"/>
        <v>0</v>
      </c>
      <c r="C22" s="86"/>
      <c r="D22" s="114">
        <f t="shared" si="1"/>
        <v>0</v>
      </c>
      <c r="E22" s="86"/>
      <c r="F22" s="111">
        <f t="shared" si="2"/>
        <v>0</v>
      </c>
      <c r="G22" s="118"/>
      <c r="H22" s="118"/>
      <c r="I22" s="118"/>
      <c r="J22" s="118"/>
      <c r="K22" s="115">
        <f t="shared" si="3"/>
        <v>0</v>
      </c>
      <c r="L22" s="115"/>
      <c r="M22" s="86"/>
      <c r="N22" s="114">
        <f t="shared" si="4"/>
        <v>0</v>
      </c>
      <c r="O22" s="118">
        <f t="shared" si="5"/>
        <v>8756991</v>
      </c>
    </row>
    <row r="23" spans="1:15" ht="16.5" x14ac:dyDescent="0.25">
      <c r="A23" s="110">
        <f t="shared" si="6"/>
        <v>44118</v>
      </c>
      <c r="B23" s="114">
        <f t="shared" si="0"/>
        <v>0</v>
      </c>
      <c r="C23" s="86"/>
      <c r="D23" s="114">
        <f t="shared" si="1"/>
        <v>0</v>
      </c>
      <c r="E23" s="86"/>
      <c r="F23" s="111">
        <f t="shared" si="2"/>
        <v>0</v>
      </c>
      <c r="G23" s="118"/>
      <c r="H23" s="118"/>
      <c r="I23" s="118"/>
      <c r="J23" s="118"/>
      <c r="K23" s="115">
        <f t="shared" si="3"/>
        <v>0</v>
      </c>
      <c r="L23" s="115"/>
      <c r="M23" s="1090"/>
      <c r="N23" s="114">
        <f t="shared" si="4"/>
        <v>0</v>
      </c>
      <c r="O23" s="118">
        <f t="shared" si="5"/>
        <v>8756991</v>
      </c>
    </row>
    <row r="24" spans="1:15" ht="16.5" x14ac:dyDescent="0.25">
      <c r="A24" s="110">
        <f t="shared" si="6"/>
        <v>44119</v>
      </c>
      <c r="B24" s="114">
        <f t="shared" si="0"/>
        <v>0</v>
      </c>
      <c r="C24" s="86"/>
      <c r="D24" s="114">
        <f t="shared" si="1"/>
        <v>0</v>
      </c>
      <c r="E24" s="86"/>
      <c r="F24" s="111">
        <f t="shared" si="2"/>
        <v>0</v>
      </c>
      <c r="G24" s="118"/>
      <c r="H24" s="118"/>
      <c r="I24" s="118"/>
      <c r="J24" s="118"/>
      <c r="K24" s="115">
        <f t="shared" si="3"/>
        <v>0</v>
      </c>
      <c r="L24" s="115"/>
      <c r="M24" s="86"/>
      <c r="N24" s="114">
        <f t="shared" si="4"/>
        <v>0</v>
      </c>
      <c r="O24" s="118">
        <f t="shared" si="5"/>
        <v>8756991</v>
      </c>
    </row>
    <row r="25" spans="1:15" ht="16.5" x14ac:dyDescent="0.25">
      <c r="A25" s="110">
        <f t="shared" si="6"/>
        <v>44120</v>
      </c>
      <c r="B25" s="114">
        <f t="shared" si="0"/>
        <v>0</v>
      </c>
      <c r="C25" s="86"/>
      <c r="D25" s="114">
        <f t="shared" si="1"/>
        <v>0</v>
      </c>
      <c r="E25" s="86"/>
      <c r="F25" s="111">
        <f t="shared" si="2"/>
        <v>0</v>
      </c>
      <c r="G25" s="118"/>
      <c r="H25" s="118"/>
      <c r="I25" s="118"/>
      <c r="J25" s="118"/>
      <c r="K25" s="115">
        <f t="shared" si="3"/>
        <v>0</v>
      </c>
      <c r="L25" s="115"/>
      <c r="M25" s="86"/>
      <c r="N25" s="118">
        <f t="shared" si="4"/>
        <v>0</v>
      </c>
      <c r="O25" s="118">
        <f t="shared" si="5"/>
        <v>8756991</v>
      </c>
    </row>
    <row r="26" spans="1:15" ht="16.5" x14ac:dyDescent="0.25">
      <c r="A26" s="110">
        <f t="shared" si="6"/>
        <v>44121</v>
      </c>
      <c r="B26" s="114">
        <f t="shared" si="0"/>
        <v>0</v>
      </c>
      <c r="C26" s="86"/>
      <c r="D26" s="114">
        <f t="shared" si="1"/>
        <v>0</v>
      </c>
      <c r="E26" s="86"/>
      <c r="F26" s="111">
        <f t="shared" si="2"/>
        <v>0</v>
      </c>
      <c r="G26" s="118"/>
      <c r="H26" s="118"/>
      <c r="I26" s="118"/>
      <c r="J26" s="118"/>
      <c r="K26" s="115">
        <f t="shared" si="3"/>
        <v>0</v>
      </c>
      <c r="L26" s="115"/>
      <c r="M26" s="86"/>
      <c r="N26" s="118">
        <f t="shared" si="4"/>
        <v>0</v>
      </c>
      <c r="O26" s="118">
        <f t="shared" si="5"/>
        <v>8756991</v>
      </c>
    </row>
    <row r="27" spans="1:15" ht="16.5" x14ac:dyDescent="0.25">
      <c r="A27" s="110">
        <f t="shared" si="6"/>
        <v>44122</v>
      </c>
      <c r="B27" s="114">
        <f t="shared" si="0"/>
        <v>0</v>
      </c>
      <c r="C27" s="86"/>
      <c r="D27" s="114">
        <f t="shared" si="1"/>
        <v>0</v>
      </c>
      <c r="E27" s="86"/>
      <c r="F27" s="111">
        <f t="shared" si="2"/>
        <v>0</v>
      </c>
      <c r="G27" s="118"/>
      <c r="H27" s="118"/>
      <c r="I27" s="118"/>
      <c r="J27" s="118"/>
      <c r="K27" s="115">
        <f t="shared" si="3"/>
        <v>0</v>
      </c>
      <c r="L27" s="115"/>
      <c r="M27" s="86"/>
      <c r="N27" s="118">
        <f t="shared" si="4"/>
        <v>0</v>
      </c>
      <c r="O27" s="118">
        <f t="shared" si="5"/>
        <v>8756991</v>
      </c>
    </row>
    <row r="28" spans="1:15" ht="16.5" x14ac:dyDescent="0.25">
      <c r="A28" s="110">
        <f t="shared" si="6"/>
        <v>44123</v>
      </c>
      <c r="B28" s="114">
        <f t="shared" si="0"/>
        <v>0</v>
      </c>
      <c r="C28" s="86"/>
      <c r="D28" s="114">
        <f t="shared" si="1"/>
        <v>0</v>
      </c>
      <c r="E28" s="86"/>
      <c r="F28" s="111">
        <f t="shared" si="2"/>
        <v>0</v>
      </c>
      <c r="G28" s="118"/>
      <c r="H28" s="118"/>
      <c r="I28" s="118"/>
      <c r="J28" s="118"/>
      <c r="K28" s="115">
        <f t="shared" si="3"/>
        <v>0</v>
      </c>
      <c r="L28" s="115"/>
      <c r="M28" s="86"/>
      <c r="N28" s="118">
        <f t="shared" si="4"/>
        <v>0</v>
      </c>
      <c r="O28" s="118">
        <f t="shared" si="5"/>
        <v>8756991</v>
      </c>
    </row>
    <row r="29" spans="1:15" ht="16.5" x14ac:dyDescent="0.25">
      <c r="A29" s="110">
        <f t="shared" si="6"/>
        <v>44124</v>
      </c>
      <c r="B29" s="114">
        <f t="shared" si="0"/>
        <v>0</v>
      </c>
      <c r="C29" s="86"/>
      <c r="D29" s="114">
        <f t="shared" si="1"/>
        <v>0</v>
      </c>
      <c r="E29" s="86"/>
      <c r="F29" s="111">
        <f t="shared" si="2"/>
        <v>0</v>
      </c>
      <c r="G29" s="118"/>
      <c r="H29" s="118"/>
      <c r="I29" s="118"/>
      <c r="J29" s="118"/>
      <c r="K29" s="115">
        <f t="shared" si="3"/>
        <v>0</v>
      </c>
      <c r="L29" s="115"/>
      <c r="M29" s="86"/>
      <c r="N29" s="118">
        <f t="shared" si="4"/>
        <v>0</v>
      </c>
      <c r="O29" s="118">
        <f t="shared" si="5"/>
        <v>8756991</v>
      </c>
    </row>
    <row r="30" spans="1:15" ht="16.5" x14ac:dyDescent="0.25">
      <c r="A30" s="110">
        <f t="shared" si="6"/>
        <v>44125</v>
      </c>
      <c r="B30" s="114">
        <f t="shared" si="0"/>
        <v>0</v>
      </c>
      <c r="C30" s="86"/>
      <c r="D30" s="114">
        <f t="shared" si="1"/>
        <v>0</v>
      </c>
      <c r="E30" s="86"/>
      <c r="F30" s="111">
        <f t="shared" si="2"/>
        <v>0</v>
      </c>
      <c r="G30" s="118"/>
      <c r="H30" s="118"/>
      <c r="I30" s="118"/>
      <c r="J30" s="118"/>
      <c r="K30" s="115">
        <f t="shared" si="3"/>
        <v>0</v>
      </c>
      <c r="L30" s="115"/>
      <c r="M30" s="86"/>
      <c r="N30" s="118">
        <f t="shared" si="4"/>
        <v>0</v>
      </c>
      <c r="O30" s="118">
        <f t="shared" si="5"/>
        <v>8756991</v>
      </c>
    </row>
    <row r="31" spans="1:15" s="762" customFormat="1" ht="16.5" x14ac:dyDescent="0.25">
      <c r="A31" s="1547">
        <f t="shared" si="6"/>
        <v>44126</v>
      </c>
      <c r="B31" s="1548">
        <f t="shared" si="0"/>
        <v>0</v>
      </c>
      <c r="C31" s="1532"/>
      <c r="D31" s="1548">
        <f t="shared" si="1"/>
        <v>0</v>
      </c>
      <c r="E31" s="1532"/>
      <c r="F31" s="1549">
        <f t="shared" si="2"/>
        <v>0</v>
      </c>
      <c r="G31" s="1548"/>
      <c r="H31" s="1548"/>
      <c r="I31" s="1548"/>
      <c r="J31" s="1548"/>
      <c r="K31" s="1550">
        <f t="shared" si="3"/>
        <v>0</v>
      </c>
      <c r="L31" s="1550"/>
      <c r="M31" s="1532"/>
      <c r="N31" s="1548">
        <f t="shared" si="4"/>
        <v>0</v>
      </c>
      <c r="O31" s="1548">
        <f t="shared" si="5"/>
        <v>8756991</v>
      </c>
    </row>
    <row r="32" spans="1:15" ht="16.5" x14ac:dyDescent="0.25">
      <c r="A32" s="110">
        <f t="shared" si="6"/>
        <v>44127</v>
      </c>
      <c r="B32" s="114">
        <f t="shared" si="0"/>
        <v>0</v>
      </c>
      <c r="C32" s="86"/>
      <c r="D32" s="114">
        <f t="shared" si="1"/>
        <v>0</v>
      </c>
      <c r="E32" s="86"/>
      <c r="F32" s="111">
        <f t="shared" si="2"/>
        <v>0</v>
      </c>
      <c r="G32" s="118"/>
      <c r="H32" s="118"/>
      <c r="I32" s="118"/>
      <c r="J32" s="118"/>
      <c r="K32" s="115">
        <f t="shared" si="3"/>
        <v>0</v>
      </c>
      <c r="L32" s="115"/>
      <c r="M32" s="86"/>
      <c r="N32" s="118">
        <f t="shared" si="4"/>
        <v>0</v>
      </c>
      <c r="O32" s="118">
        <f t="shared" si="5"/>
        <v>8756991</v>
      </c>
    </row>
    <row r="33" spans="1:16" ht="16.5" x14ac:dyDescent="0.25">
      <c r="A33" s="110">
        <f t="shared" si="6"/>
        <v>44128</v>
      </c>
      <c r="B33" s="114">
        <f t="shared" si="0"/>
        <v>0</v>
      </c>
      <c r="C33" s="86"/>
      <c r="D33" s="114">
        <f t="shared" si="1"/>
        <v>0</v>
      </c>
      <c r="E33" s="86"/>
      <c r="F33" s="111">
        <f t="shared" si="2"/>
        <v>0</v>
      </c>
      <c r="G33" s="114"/>
      <c r="H33" s="114"/>
      <c r="I33" s="114"/>
      <c r="J33" s="114"/>
      <c r="K33" s="115">
        <f t="shared" si="3"/>
        <v>0</v>
      </c>
      <c r="L33" s="115"/>
      <c r="M33" s="86"/>
      <c r="N33" s="114">
        <f t="shared" si="4"/>
        <v>0</v>
      </c>
      <c r="O33" s="118">
        <f t="shared" si="5"/>
        <v>8756991</v>
      </c>
      <c r="P33" s="281"/>
    </row>
    <row r="34" spans="1:16" ht="16.5" x14ac:dyDescent="0.25">
      <c r="A34" s="110">
        <f t="shared" si="6"/>
        <v>44129</v>
      </c>
      <c r="B34" s="114">
        <f t="shared" si="0"/>
        <v>0</v>
      </c>
      <c r="C34" s="86"/>
      <c r="D34" s="114">
        <f t="shared" si="1"/>
        <v>0</v>
      </c>
      <c r="E34" s="86"/>
      <c r="F34" s="111">
        <f t="shared" si="2"/>
        <v>0</v>
      </c>
      <c r="G34" s="114"/>
      <c r="H34" s="114"/>
      <c r="I34" s="114"/>
      <c r="J34" s="114"/>
      <c r="K34" s="115">
        <f t="shared" si="3"/>
        <v>0</v>
      </c>
      <c r="L34" s="115"/>
      <c r="M34" s="86"/>
      <c r="N34" s="114">
        <f t="shared" si="4"/>
        <v>0</v>
      </c>
      <c r="O34" s="118">
        <f t="shared" si="5"/>
        <v>8756991</v>
      </c>
    </row>
    <row r="35" spans="1:16" ht="16.5" x14ac:dyDescent="0.25">
      <c r="A35" s="110">
        <f t="shared" si="6"/>
        <v>44130</v>
      </c>
      <c r="B35" s="114">
        <f t="shared" si="0"/>
        <v>0</v>
      </c>
      <c r="C35" s="86"/>
      <c r="D35" s="114">
        <f t="shared" si="1"/>
        <v>0</v>
      </c>
      <c r="E35" s="86"/>
      <c r="F35" s="111">
        <f t="shared" si="2"/>
        <v>0</v>
      </c>
      <c r="G35" s="114"/>
      <c r="H35" s="114"/>
      <c r="I35" s="114"/>
      <c r="J35" s="114"/>
      <c r="K35" s="115">
        <f t="shared" si="3"/>
        <v>0</v>
      </c>
      <c r="L35" s="115"/>
      <c r="M35" s="86"/>
      <c r="N35" s="114">
        <f t="shared" si="4"/>
        <v>0</v>
      </c>
      <c r="O35" s="118">
        <f t="shared" si="5"/>
        <v>8756991</v>
      </c>
    </row>
    <row r="36" spans="1:16" ht="16.5" x14ac:dyDescent="0.25">
      <c r="A36" s="110">
        <f t="shared" si="6"/>
        <v>44131</v>
      </c>
      <c r="B36" s="114">
        <f t="shared" si="0"/>
        <v>0</v>
      </c>
      <c r="C36" s="86"/>
      <c r="D36" s="114">
        <f t="shared" si="1"/>
        <v>0</v>
      </c>
      <c r="E36" s="86"/>
      <c r="F36" s="111">
        <f t="shared" si="2"/>
        <v>0</v>
      </c>
      <c r="G36" s="114"/>
      <c r="H36" s="114"/>
      <c r="I36" s="114"/>
      <c r="J36" s="114"/>
      <c r="K36" s="115">
        <f t="shared" si="3"/>
        <v>0</v>
      </c>
      <c r="L36" s="115"/>
      <c r="M36" s="113"/>
      <c r="N36" s="114">
        <f t="shared" si="4"/>
        <v>0</v>
      </c>
      <c r="O36" s="118">
        <f t="shared" si="5"/>
        <v>8756991</v>
      </c>
    </row>
    <row r="37" spans="1:16" ht="16.5" x14ac:dyDescent="0.25">
      <c r="A37" s="110">
        <f t="shared" si="6"/>
        <v>44132</v>
      </c>
      <c r="B37" s="114">
        <f t="shared" si="0"/>
        <v>0</v>
      </c>
      <c r="C37" s="86"/>
      <c r="D37" s="114">
        <f t="shared" si="1"/>
        <v>0</v>
      </c>
      <c r="E37" s="86"/>
      <c r="F37" s="111">
        <f t="shared" si="2"/>
        <v>0</v>
      </c>
      <c r="G37" s="114"/>
      <c r="H37" s="114"/>
      <c r="I37" s="114"/>
      <c r="J37" s="114"/>
      <c r="K37" s="115">
        <f t="shared" si="3"/>
        <v>0</v>
      </c>
      <c r="L37" s="115"/>
      <c r="M37" s="113"/>
      <c r="N37" s="114">
        <f t="shared" si="4"/>
        <v>0</v>
      </c>
      <c r="O37" s="118">
        <f t="shared" si="5"/>
        <v>8756991</v>
      </c>
    </row>
    <row r="38" spans="1:16" ht="16.5" x14ac:dyDescent="0.25">
      <c r="A38" s="110">
        <f t="shared" si="6"/>
        <v>44133</v>
      </c>
      <c r="B38" s="114">
        <f t="shared" si="0"/>
        <v>0</v>
      </c>
      <c r="C38" s="113"/>
      <c r="D38" s="114">
        <f t="shared" si="1"/>
        <v>0</v>
      </c>
      <c r="E38" s="113"/>
      <c r="F38" s="111">
        <f t="shared" si="2"/>
        <v>0</v>
      </c>
      <c r="G38" s="114"/>
      <c r="H38" s="114"/>
      <c r="I38" s="114"/>
      <c r="J38" s="114"/>
      <c r="K38" s="115">
        <f t="shared" si="3"/>
        <v>0</v>
      </c>
      <c r="L38" s="115"/>
      <c r="M38" s="113"/>
      <c r="N38" s="114">
        <f t="shared" si="4"/>
        <v>0</v>
      </c>
      <c r="O38" s="118">
        <f t="shared" si="5"/>
        <v>8756991</v>
      </c>
    </row>
    <row r="39" spans="1:16" ht="16.5" x14ac:dyDescent="0.25">
      <c r="A39" s="110">
        <f t="shared" si="6"/>
        <v>44134</v>
      </c>
      <c r="B39" s="114">
        <f t="shared" si="0"/>
        <v>0</v>
      </c>
      <c r="C39" s="113"/>
      <c r="D39" s="114">
        <f t="shared" si="1"/>
        <v>0</v>
      </c>
      <c r="E39" s="113"/>
      <c r="F39" s="111">
        <f t="shared" si="2"/>
        <v>0</v>
      </c>
      <c r="G39" s="114"/>
      <c r="H39" s="114"/>
      <c r="I39" s="114"/>
      <c r="J39" s="114"/>
      <c r="K39" s="115">
        <f t="shared" si="3"/>
        <v>0</v>
      </c>
      <c r="L39" s="115"/>
      <c r="M39" s="113"/>
      <c r="N39" s="114"/>
      <c r="O39" s="118">
        <f t="shared" si="5"/>
        <v>8756991</v>
      </c>
    </row>
    <row r="40" spans="1:16" ht="16.5" x14ac:dyDescent="0.25">
      <c r="A40" s="110">
        <f t="shared" si="6"/>
        <v>44135</v>
      </c>
      <c r="B40" s="114">
        <f t="shared" si="0"/>
        <v>0</v>
      </c>
      <c r="C40" s="113"/>
      <c r="D40" s="114">
        <f t="shared" si="1"/>
        <v>0</v>
      </c>
      <c r="E40" s="113"/>
      <c r="F40" s="111">
        <f t="shared" si="2"/>
        <v>0</v>
      </c>
      <c r="G40" s="114"/>
      <c r="H40" s="114"/>
      <c r="I40" s="114"/>
      <c r="J40" s="114"/>
      <c r="K40" s="115">
        <f t="shared" si="3"/>
        <v>0</v>
      </c>
      <c r="L40" s="115"/>
      <c r="M40" s="113"/>
      <c r="N40" s="114">
        <f>K40-M40</f>
        <v>0</v>
      </c>
      <c r="O40" s="120">
        <f>+O39+K40-M40</f>
        <v>8756991</v>
      </c>
    </row>
    <row r="41" spans="1:16" ht="16.5" x14ac:dyDescent="0.2">
      <c r="A41" s="121" t="s">
        <v>18</v>
      </c>
      <c r="B41" s="115">
        <f t="shared" ref="B41:M41" si="7">SUM(B10:B40)</f>
        <v>0</v>
      </c>
      <c r="C41" s="115">
        <f>SUM(C10:C40)</f>
        <v>0</v>
      </c>
      <c r="D41" s="122">
        <f t="shared" si="7"/>
        <v>0</v>
      </c>
      <c r="E41" s="115">
        <f>SUM(E10:E40)</f>
        <v>0</v>
      </c>
      <c r="F41" s="115">
        <f>SUM(F10:F40)</f>
        <v>0</v>
      </c>
      <c r="G41" s="115">
        <f t="shared" si="7"/>
        <v>0</v>
      </c>
      <c r="H41" s="115">
        <f t="shared" si="7"/>
        <v>0</v>
      </c>
      <c r="I41" s="115">
        <f t="shared" si="7"/>
        <v>0</v>
      </c>
      <c r="J41" s="115">
        <f t="shared" si="7"/>
        <v>0</v>
      </c>
      <c r="K41" s="115">
        <f>SUM(K10:K40)</f>
        <v>0</v>
      </c>
      <c r="L41" s="115"/>
      <c r="M41" s="115">
        <f t="shared" si="7"/>
        <v>0</v>
      </c>
      <c r="N41" s="120">
        <f>SUM(N9:N40)</f>
        <v>8756991</v>
      </c>
      <c r="O41" s="123"/>
    </row>
    <row r="42" spans="1:16" ht="13.5" x14ac:dyDescent="0.2">
      <c r="A42" s="26"/>
      <c r="B42" s="26"/>
      <c r="C42" s="26"/>
      <c r="D42" s="27"/>
      <c r="E42" s="26"/>
      <c r="F42" s="26"/>
      <c r="G42" s="26"/>
      <c r="H42" s="26"/>
      <c r="I42" s="26"/>
      <c r="J42" s="26"/>
      <c r="K42" s="26"/>
      <c r="L42" s="26"/>
      <c r="M42" s="26"/>
      <c r="N42" s="26"/>
      <c r="O42" s="1223">
        <f>+O40-19699445</f>
        <v>-10942454</v>
      </c>
    </row>
    <row r="43" spans="1:16" ht="13.5" x14ac:dyDescent="0.25">
      <c r="A43" s="10" t="s">
        <v>121</v>
      </c>
      <c r="B43" s="10" t="s">
        <v>61</v>
      </c>
      <c r="C43" s="10" t="s">
        <v>122</v>
      </c>
      <c r="D43" s="28" t="s">
        <v>39</v>
      </c>
      <c r="G43" s="281"/>
      <c r="O43" s="281">
        <f>+M16-3650587</f>
        <v>-3650587</v>
      </c>
      <c r="P43" s="281">
        <f>+O42+3450000</f>
        <v>-7492454</v>
      </c>
    </row>
    <row r="44" spans="1:16" ht="13.5" x14ac:dyDescent="0.25">
      <c r="A44" s="10" t="s">
        <v>15</v>
      </c>
      <c r="B44" s="24">
        <f>B41</f>
        <v>0</v>
      </c>
      <c r="C44" s="10"/>
      <c r="D44" s="28">
        <f>B44*C44</f>
        <v>0</v>
      </c>
    </row>
    <row r="45" spans="1:16" ht="13.5" x14ac:dyDescent="0.25">
      <c r="A45" s="10" t="s">
        <v>16</v>
      </c>
      <c r="B45" s="28">
        <f>D41</f>
        <v>0</v>
      </c>
      <c r="C45" s="10"/>
      <c r="D45" s="28">
        <f>B45*C45</f>
        <v>0</v>
      </c>
      <c r="H45" s="21"/>
      <c r="K45" s="21"/>
      <c r="L45" s="21"/>
      <c r="M45" s="21"/>
      <c r="N45" s="21"/>
    </row>
    <row r="46" spans="1:16" ht="13.5" x14ac:dyDescent="0.25">
      <c r="A46" s="10" t="s">
        <v>17</v>
      </c>
      <c r="B46" s="24">
        <f>F41</f>
        <v>0</v>
      </c>
      <c r="C46" s="10"/>
      <c r="D46" s="28">
        <f>B46*C46</f>
        <v>0</v>
      </c>
      <c r="E46" s="14"/>
      <c r="O46" s="21"/>
    </row>
    <row r="47" spans="1:16" ht="13.5" x14ac:dyDescent="0.25">
      <c r="A47" s="33" t="s">
        <v>18</v>
      </c>
      <c r="B47" s="34"/>
      <c r="C47" s="35"/>
      <c r="D47" s="28">
        <f>SUM(D44:D46)</f>
        <v>0</v>
      </c>
      <c r="O47" s="21"/>
    </row>
  </sheetData>
  <mergeCells count="11">
    <mergeCell ref="A7:A8"/>
    <mergeCell ref="D7:E7"/>
    <mergeCell ref="F7:G7"/>
    <mergeCell ref="O7:O8"/>
    <mergeCell ref="H7:H9"/>
    <mergeCell ref="I7:I9"/>
    <mergeCell ref="J7:J9"/>
    <mergeCell ref="K7:K9"/>
    <mergeCell ref="M7:M8"/>
    <mergeCell ref="N7:N8"/>
    <mergeCell ref="L7:L9"/>
  </mergeCells>
  <pageMargins left="0.70866141732283472" right="0.70866141732283472" top="0.74803149606299213" bottom="0.74803149606299213" header="0.31496062992125984" footer="0.31496062992125984"/>
  <pageSetup paperSize="9" scale="56" orientation="landscape"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7">
    <tabColor theme="4" tint="-0.249977111117893"/>
    <pageSetUpPr fitToPage="1"/>
  </sheetPr>
  <dimension ref="A2:P48"/>
  <sheetViews>
    <sheetView topLeftCell="A19" zoomScaleNormal="100" workbookViewId="0">
      <selection activeCell="J18" sqref="J18"/>
    </sheetView>
  </sheetViews>
  <sheetFormatPr baseColWidth="10" defaultColWidth="14" defaultRowHeight="15" x14ac:dyDescent="0.2"/>
  <cols>
    <col min="1" max="11" width="14" style="37"/>
    <col min="12" max="12" width="18.28515625" style="37" customWidth="1"/>
    <col min="13" max="16384" width="14" style="37"/>
  </cols>
  <sheetData>
    <row r="2" spans="1:16" ht="16.5" x14ac:dyDescent="0.3">
      <c r="A2" s="1" t="s">
        <v>118</v>
      </c>
      <c r="B2" s="1" t="s">
        <v>609</v>
      </c>
    </row>
    <row r="3" spans="1:16" ht="15.75" x14ac:dyDescent="0.25">
      <c r="C3" s="99"/>
    </row>
    <row r="4" spans="1:16" ht="16.5" x14ac:dyDescent="0.3">
      <c r="A4" s="1" t="s">
        <v>19</v>
      </c>
      <c r="B4" s="2">
        <f>+HERAKLESS!C3</f>
        <v>43160</v>
      </c>
      <c r="C4" s="1"/>
    </row>
    <row r="5" spans="1:16" ht="16.5" x14ac:dyDescent="0.3">
      <c r="A5" s="1"/>
      <c r="B5" s="1"/>
      <c r="C5" s="1"/>
    </row>
    <row r="6" spans="1:16" ht="16.5" x14ac:dyDescent="0.2">
      <c r="A6" s="100" t="s">
        <v>3</v>
      </c>
      <c r="B6" s="101" t="s">
        <v>15</v>
      </c>
      <c r="C6" s="102"/>
      <c r="D6" s="101" t="s">
        <v>16</v>
      </c>
      <c r="E6" s="102"/>
      <c r="F6" s="101" t="s">
        <v>17</v>
      </c>
      <c r="G6" s="102"/>
      <c r="H6" s="2910" t="s">
        <v>52</v>
      </c>
      <c r="I6" s="2910" t="s">
        <v>53</v>
      </c>
      <c r="J6" s="2910" t="s">
        <v>119</v>
      </c>
      <c r="K6" s="2910" t="s">
        <v>18</v>
      </c>
      <c r="L6" s="3062" t="s">
        <v>416</v>
      </c>
      <c r="M6" s="2910" t="s">
        <v>60</v>
      </c>
      <c r="N6" s="2910" t="s">
        <v>55</v>
      </c>
      <c r="O6" s="2910" t="s">
        <v>120</v>
      </c>
    </row>
    <row r="7" spans="1:16" ht="21" x14ac:dyDescent="0.2">
      <c r="A7" s="103"/>
      <c r="B7" s="915">
        <v>650</v>
      </c>
      <c r="C7" s="916"/>
      <c r="D7" s="915">
        <v>600</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v>0</v>
      </c>
      <c r="O8" s="118">
        <f>N8</f>
        <v>0</v>
      </c>
    </row>
    <row r="9" spans="1:16" s="94" customFormat="1" ht="16.5" x14ac:dyDescent="0.3">
      <c r="A9" s="110">
        <f>+HERAKLESS!A8</f>
        <v>44105</v>
      </c>
      <c r="B9" s="118">
        <f>C9/B$7</f>
        <v>0</v>
      </c>
      <c r="C9" s="189"/>
      <c r="D9" s="117">
        <f>+E9/D$7</f>
        <v>0</v>
      </c>
      <c r="E9" s="279"/>
      <c r="F9" s="117">
        <f>+G9/F$7</f>
        <v>0</v>
      </c>
      <c r="G9" s="118"/>
      <c r="H9" s="118"/>
      <c r="I9" s="118"/>
      <c r="J9" s="118"/>
      <c r="K9" s="134">
        <f>C9+E9+G9+H9+I9+J9</f>
        <v>0</v>
      </c>
      <c r="L9" s="134"/>
      <c r="M9" s="86"/>
      <c r="N9" s="118">
        <f>K9-M9</f>
        <v>0</v>
      </c>
      <c r="O9" s="118">
        <f>+O8+K9-M9</f>
        <v>0</v>
      </c>
    </row>
    <row r="10" spans="1:16" s="94" customFormat="1" ht="16.5" x14ac:dyDescent="0.3">
      <c r="A10" s="110">
        <f>+A9+1</f>
        <v>44106</v>
      </c>
      <c r="B10" s="118">
        <f t="shared" ref="B10:B39" si="0">C10/B$7</f>
        <v>0</v>
      </c>
      <c r="C10" s="189"/>
      <c r="D10" s="117">
        <f t="shared" ref="D10:D39" si="1">+E10/D$7</f>
        <v>0</v>
      </c>
      <c r="E10" s="275"/>
      <c r="F10" s="117">
        <f>+G10/F$7</f>
        <v>0</v>
      </c>
      <c r="G10" s="118"/>
      <c r="H10" s="118"/>
      <c r="I10" s="118"/>
      <c r="J10" s="118"/>
      <c r="K10" s="134">
        <f t="shared" ref="K10:K39" si="2">C10+E10+G10+H10+I10+J10</f>
        <v>0</v>
      </c>
      <c r="L10" s="134"/>
      <c r="M10" s="86"/>
      <c r="N10" s="118">
        <f t="shared" ref="N10:N37" si="3">K10-M10</f>
        <v>0</v>
      </c>
      <c r="O10" s="118">
        <f t="shared" ref="O10:O37" si="4">+O9+K10-M10</f>
        <v>0</v>
      </c>
    </row>
    <row r="11" spans="1:16" s="94" customFormat="1" ht="16.5" x14ac:dyDescent="0.25">
      <c r="A11" s="110">
        <f t="shared" ref="A11:A39" si="5">+A10+1</f>
        <v>44107</v>
      </c>
      <c r="B11" s="118">
        <f t="shared" si="0"/>
        <v>0</v>
      </c>
      <c r="C11" s="86"/>
      <c r="D11" s="117">
        <f t="shared" si="1"/>
        <v>0</v>
      </c>
      <c r="E11" s="275"/>
      <c r="F11" s="117">
        <f t="shared" ref="F11:F39" si="6">+G11/F$7</f>
        <v>0</v>
      </c>
      <c r="G11" s="118"/>
      <c r="H11" s="118"/>
      <c r="I11" s="118"/>
      <c r="J11" s="118"/>
      <c r="K11" s="134">
        <f t="shared" si="2"/>
        <v>0</v>
      </c>
      <c r="L11" s="831"/>
      <c r="M11" s="86"/>
      <c r="N11" s="118"/>
      <c r="O11" s="118">
        <f t="shared" si="4"/>
        <v>0</v>
      </c>
    </row>
    <row r="12" spans="1:16" s="94" customFormat="1" ht="16.5" x14ac:dyDescent="0.25">
      <c r="A12" s="110">
        <f t="shared" si="5"/>
        <v>44108</v>
      </c>
      <c r="B12" s="118">
        <f t="shared" si="0"/>
        <v>0</v>
      </c>
      <c r="C12" s="86"/>
      <c r="D12" s="117">
        <f t="shared" si="1"/>
        <v>0</v>
      </c>
      <c r="E12" s="279"/>
      <c r="F12" s="117">
        <f t="shared" si="6"/>
        <v>0</v>
      </c>
      <c r="G12" s="118"/>
      <c r="H12" s="118"/>
      <c r="I12" s="118"/>
      <c r="J12" s="118"/>
      <c r="K12" s="134">
        <f t="shared" si="2"/>
        <v>0</v>
      </c>
      <c r="L12" s="134"/>
      <c r="M12" s="86"/>
      <c r="N12" s="118">
        <f t="shared" si="3"/>
        <v>0</v>
      </c>
      <c r="O12" s="118">
        <f t="shared" si="4"/>
        <v>0</v>
      </c>
      <c r="P12" s="190"/>
    </row>
    <row r="13" spans="1:16" s="94" customFormat="1" ht="16.5" x14ac:dyDescent="0.3">
      <c r="A13" s="110">
        <f t="shared" si="5"/>
        <v>44109</v>
      </c>
      <c r="B13" s="118">
        <f t="shared" si="0"/>
        <v>0</v>
      </c>
      <c r="C13" s="189"/>
      <c r="D13" s="117">
        <f t="shared" si="1"/>
        <v>0</v>
      </c>
      <c r="E13" s="279"/>
      <c r="F13" s="117">
        <f t="shared" si="6"/>
        <v>0</v>
      </c>
      <c r="G13" s="118"/>
      <c r="H13" s="118"/>
      <c r="I13" s="118"/>
      <c r="J13" s="118"/>
      <c r="K13" s="134">
        <f t="shared" si="2"/>
        <v>0</v>
      </c>
      <c r="L13" s="134"/>
      <c r="M13" s="86"/>
      <c r="N13" s="118">
        <f t="shared" si="3"/>
        <v>0</v>
      </c>
      <c r="O13" s="118">
        <f t="shared" si="4"/>
        <v>0</v>
      </c>
    </row>
    <row r="14" spans="1:16" s="94" customFormat="1" ht="16.5" x14ac:dyDescent="0.25">
      <c r="A14" s="110">
        <f t="shared" si="5"/>
        <v>44110</v>
      </c>
      <c r="B14" s="118">
        <f t="shared" si="0"/>
        <v>0</v>
      </c>
      <c r="C14" s="86"/>
      <c r="D14" s="117">
        <f t="shared" si="1"/>
        <v>0</v>
      </c>
      <c r="E14" s="279"/>
      <c r="F14" s="117">
        <f t="shared" si="6"/>
        <v>0</v>
      </c>
      <c r="G14" s="118"/>
      <c r="H14" s="118"/>
      <c r="I14" s="118"/>
      <c r="J14" s="118"/>
      <c r="K14" s="134">
        <f t="shared" si="2"/>
        <v>0</v>
      </c>
      <c r="L14" s="134"/>
      <c r="M14" s="86"/>
      <c r="N14" s="118">
        <f t="shared" si="3"/>
        <v>0</v>
      </c>
      <c r="O14" s="118">
        <f t="shared" si="4"/>
        <v>0</v>
      </c>
    </row>
    <row r="15" spans="1:16" s="94" customFormat="1" ht="16.5" x14ac:dyDescent="0.25">
      <c r="A15" s="110">
        <f t="shared" si="5"/>
        <v>44111</v>
      </c>
      <c r="B15" s="118">
        <f t="shared" si="0"/>
        <v>0</v>
      </c>
      <c r="C15" s="86"/>
      <c r="D15" s="117">
        <f t="shared" si="1"/>
        <v>0</v>
      </c>
      <c r="E15" s="279"/>
      <c r="F15" s="117">
        <f t="shared" si="6"/>
        <v>0</v>
      </c>
      <c r="G15" s="118"/>
      <c r="H15" s="118"/>
      <c r="I15" s="118"/>
      <c r="J15" s="118"/>
      <c r="K15" s="134">
        <f t="shared" si="2"/>
        <v>0</v>
      </c>
      <c r="L15" s="134"/>
      <c r="M15" s="86"/>
      <c r="N15" s="118">
        <f t="shared" si="3"/>
        <v>0</v>
      </c>
      <c r="O15" s="118">
        <f t="shared" si="4"/>
        <v>0</v>
      </c>
    </row>
    <row r="16" spans="1:16" s="94" customFormat="1" ht="16.5" x14ac:dyDescent="0.25">
      <c r="A16" s="110">
        <f t="shared" si="5"/>
        <v>44112</v>
      </c>
      <c r="B16" s="118">
        <f t="shared" si="0"/>
        <v>0</v>
      </c>
      <c r="C16" s="86"/>
      <c r="D16" s="118">
        <f t="shared" si="1"/>
        <v>0</v>
      </c>
      <c r="E16" s="279"/>
      <c r="F16" s="117">
        <f t="shared" si="6"/>
        <v>0</v>
      </c>
      <c r="G16" s="118"/>
      <c r="H16" s="118"/>
      <c r="I16" s="118"/>
      <c r="J16" s="118"/>
      <c r="K16" s="134">
        <f t="shared" si="2"/>
        <v>0</v>
      </c>
      <c r="L16" s="134"/>
      <c r="M16" s="86"/>
      <c r="N16" s="118">
        <f t="shared" si="3"/>
        <v>0</v>
      </c>
      <c r="O16" s="118">
        <f t="shared" si="4"/>
        <v>0</v>
      </c>
    </row>
    <row r="17" spans="1:16" s="94" customFormat="1" ht="16.5" x14ac:dyDescent="0.25">
      <c r="A17" s="110">
        <f t="shared" si="5"/>
        <v>44113</v>
      </c>
      <c r="B17" s="118">
        <f t="shared" si="0"/>
        <v>0</v>
      </c>
      <c r="C17" s="86"/>
      <c r="D17" s="118">
        <f t="shared" si="1"/>
        <v>0</v>
      </c>
      <c r="E17" s="279"/>
      <c r="F17" s="117">
        <f t="shared" si="6"/>
        <v>0</v>
      </c>
      <c r="G17" s="118"/>
      <c r="H17" s="118"/>
      <c r="I17" s="118"/>
      <c r="J17" s="118"/>
      <c r="K17" s="134">
        <f t="shared" si="2"/>
        <v>0</v>
      </c>
      <c r="L17" s="134"/>
      <c r="M17" s="86"/>
      <c r="N17" s="118">
        <f t="shared" si="3"/>
        <v>0</v>
      </c>
      <c r="O17" s="118">
        <f t="shared" si="4"/>
        <v>0</v>
      </c>
    </row>
    <row r="18" spans="1:16" s="94" customFormat="1" ht="16.5" x14ac:dyDescent="0.25">
      <c r="A18" s="110">
        <f t="shared" si="5"/>
        <v>44114</v>
      </c>
      <c r="B18" s="118">
        <f t="shared" si="0"/>
        <v>0</v>
      </c>
      <c r="C18" s="86"/>
      <c r="D18" s="118">
        <f t="shared" si="1"/>
        <v>0</v>
      </c>
      <c r="E18" s="279"/>
      <c r="F18" s="117">
        <f t="shared" si="6"/>
        <v>0</v>
      </c>
      <c r="G18" s="118"/>
      <c r="H18" s="118"/>
      <c r="I18" s="118"/>
      <c r="J18" s="118"/>
      <c r="K18" s="134">
        <f>C18+E18+G18+H18+I18+J18</f>
        <v>0</v>
      </c>
      <c r="L18" s="134"/>
      <c r="M18" s="86"/>
      <c r="N18" s="118">
        <f t="shared" si="3"/>
        <v>0</v>
      </c>
      <c r="O18" s="118">
        <f t="shared" si="4"/>
        <v>0</v>
      </c>
    </row>
    <row r="19" spans="1:16" s="94" customFormat="1" ht="16.5" x14ac:dyDescent="0.25">
      <c r="A19" s="110">
        <f t="shared" si="5"/>
        <v>44115</v>
      </c>
      <c r="B19" s="118">
        <f t="shared" si="0"/>
        <v>0</v>
      </c>
      <c r="C19" s="86"/>
      <c r="D19" s="118">
        <f t="shared" si="1"/>
        <v>0</v>
      </c>
      <c r="E19" s="279"/>
      <c r="F19" s="117">
        <f t="shared" si="6"/>
        <v>0</v>
      </c>
      <c r="G19" s="118"/>
      <c r="H19" s="118"/>
      <c r="I19" s="118"/>
      <c r="J19" s="118"/>
      <c r="K19" s="134">
        <f t="shared" si="2"/>
        <v>0</v>
      </c>
      <c r="L19" s="134"/>
      <c r="M19" s="86"/>
      <c r="N19" s="118">
        <f t="shared" si="3"/>
        <v>0</v>
      </c>
      <c r="O19" s="118">
        <f t="shared" si="4"/>
        <v>0</v>
      </c>
    </row>
    <row r="20" spans="1:16" s="94" customFormat="1" ht="16.5" x14ac:dyDescent="0.25">
      <c r="A20" s="110">
        <f t="shared" si="5"/>
        <v>44116</v>
      </c>
      <c r="B20" s="118">
        <f t="shared" si="0"/>
        <v>0</v>
      </c>
      <c r="C20" s="86"/>
      <c r="D20" s="118">
        <f t="shared" si="1"/>
        <v>0</v>
      </c>
      <c r="E20" s="279"/>
      <c r="F20" s="117">
        <f t="shared" si="6"/>
        <v>0</v>
      </c>
      <c r="G20" s="118"/>
      <c r="H20" s="118"/>
      <c r="I20" s="118"/>
      <c r="J20" s="118"/>
      <c r="K20" s="134">
        <f t="shared" si="2"/>
        <v>0</v>
      </c>
      <c r="L20" s="134"/>
      <c r="M20" s="86"/>
      <c r="N20" s="118">
        <f t="shared" si="3"/>
        <v>0</v>
      </c>
      <c r="O20" s="118">
        <f>+O19+K20-M20</f>
        <v>0</v>
      </c>
    </row>
    <row r="21" spans="1:16" s="94" customFormat="1" ht="16.5" x14ac:dyDescent="0.25">
      <c r="A21" s="110">
        <f t="shared" si="5"/>
        <v>44117</v>
      </c>
      <c r="B21" s="118">
        <f t="shared" si="0"/>
        <v>0</v>
      </c>
      <c r="C21" s="86"/>
      <c r="D21" s="118">
        <f t="shared" si="1"/>
        <v>0</v>
      </c>
      <c r="E21" s="279"/>
      <c r="F21" s="117">
        <f t="shared" si="6"/>
        <v>0</v>
      </c>
      <c r="G21" s="118"/>
      <c r="H21" s="118"/>
      <c r="I21" s="118"/>
      <c r="J21" s="118"/>
      <c r="K21" s="134">
        <f t="shared" si="2"/>
        <v>0</v>
      </c>
      <c r="L21" s="134"/>
      <c r="M21" s="86"/>
      <c r="N21" s="118">
        <f t="shared" si="3"/>
        <v>0</v>
      </c>
      <c r="O21" s="118">
        <f t="shared" si="4"/>
        <v>0</v>
      </c>
    </row>
    <row r="22" spans="1:16" s="94" customFormat="1" ht="16.5" x14ac:dyDescent="0.25">
      <c r="A22" s="110">
        <f t="shared" si="5"/>
        <v>44118</v>
      </c>
      <c r="B22" s="118">
        <f t="shared" si="0"/>
        <v>0</v>
      </c>
      <c r="C22" s="86"/>
      <c r="D22" s="118">
        <f t="shared" si="1"/>
        <v>0</v>
      </c>
      <c r="E22" s="279"/>
      <c r="F22" s="117">
        <f t="shared" si="6"/>
        <v>0</v>
      </c>
      <c r="G22" s="118"/>
      <c r="H22" s="118"/>
      <c r="I22" s="118"/>
      <c r="J22" s="118"/>
      <c r="K22" s="134">
        <f t="shared" si="2"/>
        <v>0</v>
      </c>
      <c r="L22" s="134"/>
      <c r="M22" s="86"/>
      <c r="N22" s="118">
        <f t="shared" si="3"/>
        <v>0</v>
      </c>
      <c r="O22" s="118">
        <f t="shared" si="4"/>
        <v>0</v>
      </c>
    </row>
    <row r="23" spans="1:16" s="94" customFormat="1" ht="16.5" x14ac:dyDescent="0.25">
      <c r="A23" s="110">
        <f t="shared" si="5"/>
        <v>44119</v>
      </c>
      <c r="B23" s="118">
        <f t="shared" si="0"/>
        <v>0</v>
      </c>
      <c r="C23" s="86"/>
      <c r="D23" s="118">
        <f t="shared" si="1"/>
        <v>0</v>
      </c>
      <c r="E23" s="279"/>
      <c r="F23" s="117">
        <f t="shared" si="6"/>
        <v>0</v>
      </c>
      <c r="G23" s="118"/>
      <c r="H23" s="118"/>
      <c r="I23" s="118"/>
      <c r="J23" s="118"/>
      <c r="K23" s="134">
        <f t="shared" si="2"/>
        <v>0</v>
      </c>
      <c r="L23" s="134"/>
      <c r="M23" s="86"/>
      <c r="N23" s="118">
        <f t="shared" si="3"/>
        <v>0</v>
      </c>
      <c r="O23" s="118">
        <f t="shared" si="4"/>
        <v>0</v>
      </c>
    </row>
    <row r="24" spans="1:16" s="94" customFormat="1" ht="16.5" x14ac:dyDescent="0.25">
      <c r="A24" s="110">
        <f t="shared" si="5"/>
        <v>44120</v>
      </c>
      <c r="B24" s="118">
        <f t="shared" si="0"/>
        <v>0</v>
      </c>
      <c r="C24" s="86"/>
      <c r="D24" s="118">
        <f t="shared" si="1"/>
        <v>0</v>
      </c>
      <c r="E24" s="279"/>
      <c r="F24" s="117">
        <f t="shared" si="6"/>
        <v>0</v>
      </c>
      <c r="G24" s="118"/>
      <c r="H24" s="118"/>
      <c r="I24" s="118"/>
      <c r="J24" s="118"/>
      <c r="K24" s="134">
        <f t="shared" si="2"/>
        <v>0</v>
      </c>
      <c r="L24" s="134"/>
      <c r="M24" s="86"/>
      <c r="N24" s="118">
        <f t="shared" si="3"/>
        <v>0</v>
      </c>
      <c r="O24" s="118">
        <f t="shared" si="4"/>
        <v>0</v>
      </c>
    </row>
    <row r="25" spans="1:16" s="94" customFormat="1" ht="16.5" x14ac:dyDescent="0.25">
      <c r="A25" s="110">
        <f t="shared" si="5"/>
        <v>44121</v>
      </c>
      <c r="B25" s="118">
        <f t="shared" si="0"/>
        <v>0</v>
      </c>
      <c r="C25" s="86"/>
      <c r="D25" s="118">
        <f t="shared" si="1"/>
        <v>0</v>
      </c>
      <c r="E25" s="279"/>
      <c r="F25" s="117">
        <f t="shared" si="6"/>
        <v>0</v>
      </c>
      <c r="G25" s="118"/>
      <c r="H25" s="118"/>
      <c r="I25" s="118"/>
      <c r="J25" s="118"/>
      <c r="K25" s="134">
        <f t="shared" si="2"/>
        <v>0</v>
      </c>
      <c r="L25" s="134"/>
      <c r="M25" s="86"/>
      <c r="N25" s="118">
        <f t="shared" si="3"/>
        <v>0</v>
      </c>
      <c r="O25" s="118">
        <f t="shared" si="4"/>
        <v>0</v>
      </c>
    </row>
    <row r="26" spans="1:16" s="94" customFormat="1" ht="16.5" x14ac:dyDescent="0.3">
      <c r="A26" s="110">
        <f t="shared" si="5"/>
        <v>44122</v>
      </c>
      <c r="B26" s="118">
        <f t="shared" si="0"/>
        <v>0</v>
      </c>
      <c r="C26" s="86"/>
      <c r="D26" s="118">
        <f t="shared" si="1"/>
        <v>0</v>
      </c>
      <c r="E26" s="279"/>
      <c r="F26" s="117">
        <f t="shared" si="6"/>
        <v>0</v>
      </c>
      <c r="G26" s="118"/>
      <c r="H26" s="118"/>
      <c r="I26" s="118"/>
      <c r="J26" s="118"/>
      <c r="K26" s="134">
        <f t="shared" si="2"/>
        <v>0</v>
      </c>
      <c r="L26" s="134"/>
      <c r="M26" s="86"/>
      <c r="N26" s="118">
        <f t="shared" si="3"/>
        <v>0</v>
      </c>
      <c r="O26" s="118">
        <f t="shared" si="4"/>
        <v>0</v>
      </c>
      <c r="P26" s="119"/>
    </row>
    <row r="27" spans="1:16" ht="16.5" x14ac:dyDescent="0.25">
      <c r="A27" s="110">
        <f t="shared" si="5"/>
        <v>44123</v>
      </c>
      <c r="B27" s="118">
        <f t="shared" si="0"/>
        <v>0</v>
      </c>
      <c r="C27" s="86"/>
      <c r="D27" s="114">
        <f t="shared" si="1"/>
        <v>0</v>
      </c>
      <c r="E27" s="279"/>
      <c r="F27" s="117">
        <f t="shared" si="6"/>
        <v>0</v>
      </c>
      <c r="G27" s="118"/>
      <c r="H27" s="118"/>
      <c r="I27" s="118"/>
      <c r="J27" s="118"/>
      <c r="K27" s="115">
        <f t="shared" si="2"/>
        <v>0</v>
      </c>
      <c r="L27" s="115"/>
      <c r="M27" s="86"/>
      <c r="N27" s="118">
        <f t="shared" si="3"/>
        <v>0</v>
      </c>
      <c r="O27" s="118">
        <f t="shared" si="4"/>
        <v>0</v>
      </c>
    </row>
    <row r="28" spans="1:16" ht="16.5" x14ac:dyDescent="0.25">
      <c r="A28" s="110">
        <f t="shared" si="5"/>
        <v>44124</v>
      </c>
      <c r="B28" s="118">
        <f t="shared" si="0"/>
        <v>0</v>
      </c>
      <c r="C28" s="86"/>
      <c r="D28" s="114">
        <f t="shared" si="1"/>
        <v>0</v>
      </c>
      <c r="E28" s="279"/>
      <c r="F28" s="117">
        <f t="shared" si="6"/>
        <v>0</v>
      </c>
      <c r="G28" s="118"/>
      <c r="H28" s="118"/>
      <c r="I28" s="118"/>
      <c r="J28" s="118"/>
      <c r="K28" s="115">
        <f t="shared" si="2"/>
        <v>0</v>
      </c>
      <c r="L28" s="115"/>
      <c r="M28" s="86"/>
      <c r="N28" s="118">
        <f t="shared" si="3"/>
        <v>0</v>
      </c>
      <c r="O28" s="118">
        <f t="shared" si="4"/>
        <v>0</v>
      </c>
    </row>
    <row r="29" spans="1:16" ht="16.5" x14ac:dyDescent="0.25">
      <c r="A29" s="110">
        <f t="shared" si="5"/>
        <v>44125</v>
      </c>
      <c r="B29" s="118">
        <f t="shared" si="0"/>
        <v>0</v>
      </c>
      <c r="C29" s="86"/>
      <c r="D29" s="111">
        <f t="shared" si="1"/>
        <v>0</v>
      </c>
      <c r="E29" s="279"/>
      <c r="F29" s="117">
        <f t="shared" si="6"/>
        <v>0</v>
      </c>
      <c r="G29" s="118"/>
      <c r="H29" s="118"/>
      <c r="I29" s="118"/>
      <c r="J29" s="118"/>
      <c r="K29" s="115">
        <f t="shared" si="2"/>
        <v>0</v>
      </c>
      <c r="L29" s="115"/>
      <c r="M29" s="86"/>
      <c r="N29" s="118">
        <f t="shared" si="3"/>
        <v>0</v>
      </c>
      <c r="O29" s="118">
        <f t="shared" si="4"/>
        <v>0</v>
      </c>
    </row>
    <row r="30" spans="1:16" ht="16.5" x14ac:dyDescent="0.25">
      <c r="A30" s="110">
        <f t="shared" si="5"/>
        <v>44126</v>
      </c>
      <c r="B30" s="118">
        <f t="shared" si="0"/>
        <v>0</v>
      </c>
      <c r="C30" s="86"/>
      <c r="D30" s="111">
        <f t="shared" si="1"/>
        <v>0</v>
      </c>
      <c r="E30" s="279"/>
      <c r="F30" s="117">
        <f t="shared" si="6"/>
        <v>0</v>
      </c>
      <c r="G30" s="118"/>
      <c r="H30" s="118"/>
      <c r="I30" s="118"/>
      <c r="J30" s="118"/>
      <c r="K30" s="115">
        <f t="shared" si="2"/>
        <v>0</v>
      </c>
      <c r="L30" s="115"/>
      <c r="M30" s="86"/>
      <c r="N30" s="118">
        <f t="shared" si="3"/>
        <v>0</v>
      </c>
      <c r="O30" s="118">
        <f>+O29+K30-M30</f>
        <v>0</v>
      </c>
    </row>
    <row r="31" spans="1:16" s="1555" customFormat="1" ht="16.5" x14ac:dyDescent="0.25">
      <c r="A31" s="1547">
        <f t="shared" si="5"/>
        <v>44127</v>
      </c>
      <c r="B31" s="1548">
        <f t="shared" si="0"/>
        <v>0</v>
      </c>
      <c r="C31" s="1532"/>
      <c r="D31" s="1549">
        <f t="shared" si="1"/>
        <v>0</v>
      </c>
      <c r="E31" s="1532"/>
      <c r="F31" s="1549">
        <f t="shared" si="6"/>
        <v>0</v>
      </c>
      <c r="G31" s="1548"/>
      <c r="H31" s="1548"/>
      <c r="I31" s="1548"/>
      <c r="J31" s="1548"/>
      <c r="K31" s="1550">
        <f t="shared" si="2"/>
        <v>0</v>
      </c>
      <c r="L31" s="1550"/>
      <c r="M31" s="1532"/>
      <c r="N31" s="1548">
        <f t="shared" si="3"/>
        <v>0</v>
      </c>
      <c r="O31" s="1548">
        <f t="shared" si="4"/>
        <v>0</v>
      </c>
    </row>
    <row r="32" spans="1:16" ht="16.5" x14ac:dyDescent="0.25">
      <c r="A32" s="110">
        <f t="shared" si="5"/>
        <v>44128</v>
      </c>
      <c r="B32" s="114">
        <f t="shared" si="0"/>
        <v>0</v>
      </c>
      <c r="C32" s="113"/>
      <c r="D32" s="111">
        <f t="shared" si="1"/>
        <v>0</v>
      </c>
      <c r="E32" s="279"/>
      <c r="F32" s="111">
        <f t="shared" si="6"/>
        <v>0</v>
      </c>
      <c r="G32" s="114"/>
      <c r="H32" s="114"/>
      <c r="I32" s="114"/>
      <c r="J32" s="114"/>
      <c r="K32" s="115">
        <f t="shared" si="2"/>
        <v>0</v>
      </c>
      <c r="L32" s="115"/>
      <c r="M32" s="86"/>
      <c r="N32" s="114">
        <f t="shared" si="3"/>
        <v>0</v>
      </c>
      <c r="O32" s="114">
        <f t="shared" si="4"/>
        <v>0</v>
      </c>
      <c r="P32" s="3" t="s">
        <v>62</v>
      </c>
    </row>
    <row r="33" spans="1:15" ht="16.5" x14ac:dyDescent="0.25">
      <c r="A33" s="110">
        <f t="shared" si="5"/>
        <v>44129</v>
      </c>
      <c r="B33" s="114">
        <f t="shared" si="0"/>
        <v>0</v>
      </c>
      <c r="C33" s="113"/>
      <c r="D33" s="111">
        <f t="shared" si="1"/>
        <v>0</v>
      </c>
      <c r="E33" s="279"/>
      <c r="F33" s="111">
        <f t="shared" si="6"/>
        <v>0</v>
      </c>
      <c r="G33" s="114"/>
      <c r="H33" s="114"/>
      <c r="I33" s="114"/>
      <c r="J33" s="114"/>
      <c r="K33" s="115">
        <f t="shared" si="2"/>
        <v>0</v>
      </c>
      <c r="L33" s="115"/>
      <c r="M33" s="86"/>
      <c r="N33" s="114">
        <f t="shared" si="3"/>
        <v>0</v>
      </c>
      <c r="O33" s="114">
        <f t="shared" si="4"/>
        <v>0</v>
      </c>
    </row>
    <row r="34" spans="1:15" ht="16.5" x14ac:dyDescent="0.25">
      <c r="A34" s="110">
        <f t="shared" si="5"/>
        <v>44130</v>
      </c>
      <c r="B34" s="114">
        <f t="shared" si="0"/>
        <v>0</v>
      </c>
      <c r="C34" s="113"/>
      <c r="D34" s="111">
        <f t="shared" si="1"/>
        <v>0</v>
      </c>
      <c r="E34" s="113"/>
      <c r="F34" s="111">
        <f t="shared" si="6"/>
        <v>0</v>
      </c>
      <c r="G34" s="114"/>
      <c r="H34" s="114"/>
      <c r="I34" s="114"/>
      <c r="J34" s="114"/>
      <c r="K34" s="115">
        <f t="shared" si="2"/>
        <v>0</v>
      </c>
      <c r="L34" s="115"/>
      <c r="M34" s="86"/>
      <c r="N34" s="114">
        <f t="shared" si="3"/>
        <v>0</v>
      </c>
      <c r="O34" s="114">
        <f t="shared" si="4"/>
        <v>0</v>
      </c>
    </row>
    <row r="35" spans="1:15" ht="16.5" x14ac:dyDescent="0.25">
      <c r="A35" s="110">
        <f t="shared" si="5"/>
        <v>44131</v>
      </c>
      <c r="B35" s="114">
        <f t="shared" si="0"/>
        <v>0</v>
      </c>
      <c r="C35" s="113"/>
      <c r="D35" s="111">
        <f t="shared" si="1"/>
        <v>0</v>
      </c>
      <c r="E35" s="113"/>
      <c r="F35" s="111">
        <f t="shared" si="6"/>
        <v>0</v>
      </c>
      <c r="G35" s="114"/>
      <c r="H35" s="114"/>
      <c r="I35" s="114"/>
      <c r="J35" s="114"/>
      <c r="K35" s="115">
        <f t="shared" si="2"/>
        <v>0</v>
      </c>
      <c r="L35" s="115"/>
      <c r="M35" s="113"/>
      <c r="N35" s="114">
        <f t="shared" si="3"/>
        <v>0</v>
      </c>
      <c r="O35" s="114">
        <f t="shared" si="4"/>
        <v>0</v>
      </c>
    </row>
    <row r="36" spans="1:15" ht="16.5" x14ac:dyDescent="0.25">
      <c r="A36" s="110">
        <f t="shared" si="5"/>
        <v>44132</v>
      </c>
      <c r="B36" s="114">
        <f t="shared" si="0"/>
        <v>0</v>
      </c>
      <c r="C36" s="113"/>
      <c r="D36" s="111">
        <f t="shared" si="1"/>
        <v>0</v>
      </c>
      <c r="E36" s="113"/>
      <c r="F36" s="111">
        <f t="shared" si="6"/>
        <v>0</v>
      </c>
      <c r="G36" s="114"/>
      <c r="H36" s="114"/>
      <c r="I36" s="114"/>
      <c r="J36" s="114"/>
      <c r="K36" s="115">
        <f t="shared" si="2"/>
        <v>0</v>
      </c>
      <c r="L36" s="115"/>
      <c r="M36" s="113"/>
      <c r="N36" s="114">
        <f t="shared" si="3"/>
        <v>0</v>
      </c>
      <c r="O36" s="114">
        <f t="shared" si="4"/>
        <v>0</v>
      </c>
    </row>
    <row r="37" spans="1:15" ht="16.5" x14ac:dyDescent="0.25">
      <c r="A37" s="110">
        <f t="shared" si="5"/>
        <v>44133</v>
      </c>
      <c r="B37" s="114">
        <f t="shared" si="0"/>
        <v>0</v>
      </c>
      <c r="C37" s="113"/>
      <c r="D37" s="111">
        <f t="shared" si="1"/>
        <v>0</v>
      </c>
      <c r="E37" s="113"/>
      <c r="F37" s="111">
        <f t="shared" si="6"/>
        <v>0</v>
      </c>
      <c r="G37" s="114"/>
      <c r="H37" s="114"/>
      <c r="I37" s="114"/>
      <c r="J37" s="114"/>
      <c r="K37" s="115">
        <f t="shared" si="2"/>
        <v>0</v>
      </c>
      <c r="L37" s="115"/>
      <c r="M37" s="113"/>
      <c r="N37" s="114">
        <f t="shared" si="3"/>
        <v>0</v>
      </c>
      <c r="O37" s="114">
        <f t="shared" si="4"/>
        <v>0</v>
      </c>
    </row>
    <row r="38" spans="1:15" ht="16.5" x14ac:dyDescent="0.25">
      <c r="A38" s="110">
        <f t="shared" si="5"/>
        <v>44134</v>
      </c>
      <c r="B38" s="114">
        <f t="shared" si="0"/>
        <v>0</v>
      </c>
      <c r="C38" s="113"/>
      <c r="D38" s="111">
        <f t="shared" si="1"/>
        <v>0</v>
      </c>
      <c r="E38" s="113"/>
      <c r="F38" s="111">
        <f t="shared" si="6"/>
        <v>0</v>
      </c>
      <c r="G38" s="114"/>
      <c r="H38" s="114"/>
      <c r="I38" s="114"/>
      <c r="J38" s="114"/>
      <c r="K38" s="115">
        <f t="shared" si="2"/>
        <v>0</v>
      </c>
      <c r="L38" s="115"/>
      <c r="M38" s="113"/>
      <c r="N38" s="114">
        <f>K38-M38</f>
        <v>0</v>
      </c>
      <c r="O38" s="114">
        <f>+O37+K38-M38</f>
        <v>0</v>
      </c>
    </row>
    <row r="39" spans="1:15" ht="16.5" x14ac:dyDescent="0.25">
      <c r="A39" s="110">
        <f t="shared" si="5"/>
        <v>44135</v>
      </c>
      <c r="B39" s="111">
        <f t="shared" si="0"/>
        <v>0</v>
      </c>
      <c r="C39" s="113"/>
      <c r="D39" s="111">
        <f t="shared" si="1"/>
        <v>0</v>
      </c>
      <c r="E39" s="113"/>
      <c r="F39" s="111">
        <f t="shared" si="6"/>
        <v>0</v>
      </c>
      <c r="G39" s="114"/>
      <c r="H39" s="114"/>
      <c r="I39" s="114"/>
      <c r="J39" s="114"/>
      <c r="K39" s="115">
        <f t="shared" si="2"/>
        <v>0</v>
      </c>
      <c r="L39" s="115"/>
      <c r="M39" s="113"/>
      <c r="N39" s="114">
        <f>K39-M39</f>
        <v>0</v>
      </c>
      <c r="O39" s="120">
        <f>+O38+K39-M39</f>
        <v>0</v>
      </c>
    </row>
    <row r="40" spans="1:15" ht="16.5" x14ac:dyDescent="0.2">
      <c r="A40" s="121" t="s">
        <v>18</v>
      </c>
      <c r="B40" s="115">
        <f t="shared" ref="B40:M40" si="7">SUM(B9:B39)</f>
        <v>0</v>
      </c>
      <c r="C40" s="115">
        <f>SUM(C9:C39)</f>
        <v>0</v>
      </c>
      <c r="D40" s="122">
        <f t="shared" si="7"/>
        <v>0</v>
      </c>
      <c r="E40" s="115">
        <f>SUM(E9:E39)</f>
        <v>0</v>
      </c>
      <c r="F40" s="115">
        <f t="shared" si="7"/>
        <v>0</v>
      </c>
      <c r="G40" s="115">
        <f t="shared" si="7"/>
        <v>0</v>
      </c>
      <c r="H40" s="115">
        <f t="shared" si="7"/>
        <v>0</v>
      </c>
      <c r="I40" s="115">
        <f t="shared" si="7"/>
        <v>0</v>
      </c>
      <c r="J40" s="115">
        <f t="shared" si="7"/>
        <v>0</v>
      </c>
      <c r="K40" s="115">
        <f>SUM(K9:K39)</f>
        <v>0</v>
      </c>
      <c r="L40" s="115"/>
      <c r="M40" s="115">
        <f t="shared" si="7"/>
        <v>0</v>
      </c>
      <c r="N40" s="120">
        <f>SUM(N8:N39)</f>
        <v>0</v>
      </c>
      <c r="O40" s="123"/>
    </row>
    <row r="41" spans="1:15" ht="15.75" x14ac:dyDescent="0.2">
      <c r="A41" s="124"/>
      <c r="B41" s="124"/>
      <c r="C41" s="124"/>
      <c r="D41" s="125"/>
      <c r="E41" s="124"/>
      <c r="F41" s="124"/>
      <c r="G41" s="124"/>
      <c r="H41" s="124"/>
      <c r="I41" s="124"/>
      <c r="J41" s="124"/>
      <c r="K41" s="124"/>
      <c r="L41" s="124"/>
      <c r="M41" s="124"/>
      <c r="N41" s="124"/>
      <c r="O41" s="124"/>
    </row>
    <row r="42" spans="1:15" ht="15.75" x14ac:dyDescent="0.25">
      <c r="A42" s="57" t="s">
        <v>121</v>
      </c>
      <c r="B42" s="57" t="s">
        <v>61</v>
      </c>
      <c r="C42" s="57" t="s">
        <v>122</v>
      </c>
      <c r="D42" s="126" t="s">
        <v>39</v>
      </c>
    </row>
    <row r="43" spans="1:15" ht="15.75" x14ac:dyDescent="0.25">
      <c r="A43" s="57" t="s">
        <v>15</v>
      </c>
      <c r="B43" s="127">
        <f>B40</f>
        <v>0</v>
      </c>
      <c r="C43" s="57"/>
      <c r="D43" s="126">
        <f>B43*C43</f>
        <v>0</v>
      </c>
    </row>
    <row r="44" spans="1:15" ht="15.75" x14ac:dyDescent="0.25">
      <c r="A44" s="57" t="s">
        <v>16</v>
      </c>
      <c r="B44" s="126">
        <f>D40</f>
        <v>0</v>
      </c>
      <c r="C44" s="57"/>
      <c r="D44" s="126">
        <f>B44*C44</f>
        <v>0</v>
      </c>
      <c r="H44" s="116"/>
      <c r="K44" s="116"/>
      <c r="L44" s="116"/>
      <c r="M44" s="116"/>
      <c r="N44" s="116"/>
    </row>
    <row r="45" spans="1:15" ht="15.75" x14ac:dyDescent="0.25">
      <c r="A45" s="57" t="s">
        <v>17</v>
      </c>
      <c r="B45" s="127">
        <f>F40</f>
        <v>0</v>
      </c>
      <c r="C45" s="57"/>
      <c r="D45" s="126">
        <f>B45*C45</f>
        <v>0</v>
      </c>
      <c r="E45" s="99"/>
      <c r="O45" s="116"/>
    </row>
    <row r="46" spans="1:15" ht="15.75" x14ac:dyDescent="0.25">
      <c r="A46" s="128" t="s">
        <v>18</v>
      </c>
      <c r="B46" s="129"/>
      <c r="C46" s="130"/>
      <c r="D46" s="126">
        <f>SUM(D43:D45)</f>
        <v>0</v>
      </c>
      <c r="O46" s="116"/>
    </row>
    <row r="48" spans="1:15" ht="16.5" x14ac:dyDescent="0.3">
      <c r="C48" s="1" t="s">
        <v>174</v>
      </c>
    </row>
  </sheetData>
  <mergeCells count="8">
    <mergeCell ref="O6:O7"/>
    <mergeCell ref="H6:H8"/>
    <mergeCell ref="I6:I8"/>
    <mergeCell ref="J6:J8"/>
    <mergeCell ref="K6:K8"/>
    <mergeCell ref="M6:M7"/>
    <mergeCell ref="N6:N7"/>
    <mergeCell ref="L6:L8"/>
  </mergeCells>
  <pageMargins left="0.39370078740157483" right="0.39370078740157483" top="0.74803149606299213" bottom="0.39370078740157483" header="0.31496062992125984" footer="0.31496062992125984"/>
  <pageSetup paperSize="9" scale="62" orientation="landscape"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9">
    <tabColor theme="4" tint="-0.249977111117893"/>
    <pageSetUpPr fitToPage="1"/>
  </sheetPr>
  <dimension ref="A2:P48"/>
  <sheetViews>
    <sheetView topLeftCell="A19" zoomScaleNormal="100" workbookViewId="0">
      <selection activeCell="J18" sqref="J18"/>
    </sheetView>
  </sheetViews>
  <sheetFormatPr baseColWidth="10" defaultColWidth="14" defaultRowHeight="15" x14ac:dyDescent="0.2"/>
  <cols>
    <col min="1" max="11" width="14" style="37"/>
    <col min="12" max="12" width="18.28515625" style="37" customWidth="1"/>
    <col min="13" max="16384" width="14" style="37"/>
  </cols>
  <sheetData>
    <row r="2" spans="1:16" ht="16.5" x14ac:dyDescent="0.3">
      <c r="A2" s="1" t="s">
        <v>118</v>
      </c>
      <c r="B2" s="1" t="s">
        <v>818</v>
      </c>
    </row>
    <row r="3" spans="1:16" ht="15.75" x14ac:dyDescent="0.25">
      <c r="C3" s="99"/>
    </row>
    <row r="4" spans="1:16" ht="16.5" x14ac:dyDescent="0.3">
      <c r="A4" s="1" t="s">
        <v>19</v>
      </c>
      <c r="B4" s="2">
        <f>+HERAKLESS!C3</f>
        <v>43160</v>
      </c>
      <c r="C4" s="1"/>
    </row>
    <row r="5" spans="1:16" ht="16.5" x14ac:dyDescent="0.3">
      <c r="A5" s="1"/>
      <c r="B5" s="1"/>
      <c r="C5" s="1"/>
    </row>
    <row r="6" spans="1:16" ht="16.5" x14ac:dyDescent="0.2">
      <c r="A6" s="100" t="s">
        <v>3</v>
      </c>
      <c r="B6" s="1460" t="s">
        <v>15</v>
      </c>
      <c r="C6" s="1461"/>
      <c r="D6" s="1460" t="s">
        <v>16</v>
      </c>
      <c r="E6" s="1461"/>
      <c r="F6" s="1460" t="s">
        <v>17</v>
      </c>
      <c r="G6" s="1461"/>
      <c r="H6" s="2910" t="s">
        <v>52</v>
      </c>
      <c r="I6" s="2910" t="s">
        <v>53</v>
      </c>
      <c r="J6" s="2910" t="s">
        <v>119</v>
      </c>
      <c r="K6" s="2910" t="s">
        <v>18</v>
      </c>
      <c r="L6" s="3062" t="s">
        <v>416</v>
      </c>
      <c r="M6" s="2910" t="s">
        <v>60</v>
      </c>
      <c r="N6" s="2910" t="s">
        <v>55</v>
      </c>
      <c r="O6" s="2910" t="s">
        <v>120</v>
      </c>
    </row>
    <row r="7" spans="1:16" ht="21" x14ac:dyDescent="0.2">
      <c r="A7" s="103"/>
      <c r="B7" s="915">
        <v>650</v>
      </c>
      <c r="C7" s="916"/>
      <c r="D7" s="915">
        <v>600</v>
      </c>
      <c r="E7" s="916"/>
      <c r="F7" s="915">
        <v>350</v>
      </c>
      <c r="G7" s="916"/>
      <c r="H7" s="3059"/>
      <c r="I7" s="3059"/>
      <c r="J7" s="3059"/>
      <c r="K7" s="3059"/>
      <c r="L7" s="3063"/>
      <c r="M7" s="2911"/>
      <c r="N7" s="2911"/>
      <c r="O7" s="2911"/>
    </row>
    <row r="8" spans="1:16" s="94" customFormat="1" ht="16.5" x14ac:dyDescent="0.2">
      <c r="A8" s="187"/>
      <c r="B8" s="106" t="s">
        <v>56</v>
      </c>
      <c r="C8" s="106" t="s">
        <v>37</v>
      </c>
      <c r="D8" s="107" t="s">
        <v>56</v>
      </c>
      <c r="E8" s="106" t="s">
        <v>37</v>
      </c>
      <c r="F8" s="106" t="s">
        <v>56</v>
      </c>
      <c r="G8" s="106" t="s">
        <v>37</v>
      </c>
      <c r="H8" s="2911"/>
      <c r="I8" s="2911"/>
      <c r="J8" s="2911"/>
      <c r="K8" s="2911"/>
      <c r="L8" s="3064"/>
      <c r="M8" s="134"/>
      <c r="N8" s="188"/>
      <c r="O8" s="118">
        <f>N8</f>
        <v>0</v>
      </c>
    </row>
    <row r="9" spans="1:16" s="94" customFormat="1" ht="16.5" x14ac:dyDescent="0.3">
      <c r="A9" s="110">
        <f>+HERAKLESS!A8</f>
        <v>44105</v>
      </c>
      <c r="B9" s="118">
        <f>C9/B$7</f>
        <v>0</v>
      </c>
      <c r="C9" s="189"/>
      <c r="D9" s="117">
        <f>+E9/D$7</f>
        <v>0</v>
      </c>
      <c r="E9" s="279"/>
      <c r="F9" s="117">
        <f>+G9/F$7</f>
        <v>0</v>
      </c>
      <c r="G9" s="118"/>
      <c r="H9" s="118"/>
      <c r="I9" s="118"/>
      <c r="J9" s="118"/>
      <c r="K9" s="134">
        <f>C9+E9+G9+H9+I9+J9</f>
        <v>0</v>
      </c>
      <c r="L9" s="134"/>
      <c r="M9" s="86"/>
      <c r="N9" s="118">
        <f>K9-M9</f>
        <v>0</v>
      </c>
      <c r="O9" s="118">
        <f>+O8+K9-M9</f>
        <v>0</v>
      </c>
    </row>
    <row r="10" spans="1:16" s="94" customFormat="1" ht="16.5" x14ac:dyDescent="0.3">
      <c r="A10" s="110">
        <f>+A9+1</f>
        <v>44106</v>
      </c>
      <c r="B10" s="118">
        <f t="shared" ref="B10:B39" si="0">C10/B$7</f>
        <v>0</v>
      </c>
      <c r="C10" s="189"/>
      <c r="D10" s="117">
        <f t="shared" ref="D10:D39" si="1">+E10/D$7</f>
        <v>0</v>
      </c>
      <c r="E10" s="275"/>
      <c r="F10" s="117">
        <f>+G10/F$7</f>
        <v>0</v>
      </c>
      <c r="G10" s="118"/>
      <c r="H10" s="118"/>
      <c r="I10" s="118"/>
      <c r="J10" s="118"/>
      <c r="K10" s="134">
        <f t="shared" ref="K10:K39" si="2">C10+E10+G10+H10+I10+J10</f>
        <v>0</v>
      </c>
      <c r="L10" s="134"/>
      <c r="M10" s="86"/>
      <c r="N10" s="118">
        <f t="shared" ref="N10:N37" si="3">K10-M10</f>
        <v>0</v>
      </c>
      <c r="O10" s="118">
        <f t="shared" ref="O10:O37" si="4">+O9+K10-M10</f>
        <v>0</v>
      </c>
    </row>
    <row r="11" spans="1:16" s="94" customFormat="1" ht="16.5" x14ac:dyDescent="0.25">
      <c r="A11" s="110">
        <f t="shared" ref="A11:A39" si="5">+A10+1</f>
        <v>44107</v>
      </c>
      <c r="B11" s="118">
        <f t="shared" si="0"/>
        <v>0</v>
      </c>
      <c r="C11" s="86"/>
      <c r="D11" s="117">
        <f t="shared" si="1"/>
        <v>0</v>
      </c>
      <c r="E11" s="275"/>
      <c r="F11" s="117">
        <f t="shared" ref="F11:F39" si="6">+G11/F$7</f>
        <v>0</v>
      </c>
      <c r="G11" s="118"/>
      <c r="H11" s="118"/>
      <c r="I11" s="118"/>
      <c r="J11" s="118"/>
      <c r="K11" s="134">
        <f t="shared" si="2"/>
        <v>0</v>
      </c>
      <c r="L11" s="831"/>
      <c r="M11" s="86"/>
      <c r="N11" s="118"/>
      <c r="O11" s="118">
        <f t="shared" si="4"/>
        <v>0</v>
      </c>
    </row>
    <row r="12" spans="1:16" s="94" customFormat="1" ht="16.5" x14ac:dyDescent="0.25">
      <c r="A12" s="110">
        <f t="shared" si="5"/>
        <v>44108</v>
      </c>
      <c r="B12" s="118">
        <f t="shared" si="0"/>
        <v>0</v>
      </c>
      <c r="C12" s="86"/>
      <c r="D12" s="117">
        <f t="shared" si="1"/>
        <v>0</v>
      </c>
      <c r="E12" s="279"/>
      <c r="F12" s="117">
        <f t="shared" si="6"/>
        <v>0</v>
      </c>
      <c r="G12" s="118"/>
      <c r="H12" s="118"/>
      <c r="I12" s="118"/>
      <c r="J12" s="118"/>
      <c r="K12" s="134">
        <f t="shared" si="2"/>
        <v>0</v>
      </c>
      <c r="L12" s="134"/>
      <c r="M12" s="86"/>
      <c r="N12" s="118">
        <f t="shared" si="3"/>
        <v>0</v>
      </c>
      <c r="O12" s="118">
        <f t="shared" si="4"/>
        <v>0</v>
      </c>
      <c r="P12" s="190"/>
    </row>
    <row r="13" spans="1:16" s="94" customFormat="1" ht="16.5" x14ac:dyDescent="0.3">
      <c r="A13" s="110">
        <f t="shared" si="5"/>
        <v>44109</v>
      </c>
      <c r="B13" s="118">
        <f t="shared" si="0"/>
        <v>0</v>
      </c>
      <c r="C13" s="189"/>
      <c r="D13" s="117">
        <f t="shared" si="1"/>
        <v>0</v>
      </c>
      <c r="E13" s="279"/>
      <c r="F13" s="117">
        <f t="shared" si="6"/>
        <v>0</v>
      </c>
      <c r="G13" s="118"/>
      <c r="H13" s="118"/>
      <c r="I13" s="118"/>
      <c r="J13" s="118"/>
      <c r="K13" s="134">
        <f t="shared" si="2"/>
        <v>0</v>
      </c>
      <c r="L13" s="134"/>
      <c r="M13" s="86"/>
      <c r="N13" s="118">
        <f t="shared" si="3"/>
        <v>0</v>
      </c>
      <c r="O13" s="118">
        <f t="shared" si="4"/>
        <v>0</v>
      </c>
    </row>
    <row r="14" spans="1:16" s="94" customFormat="1" ht="16.5" x14ac:dyDescent="0.25">
      <c r="A14" s="110">
        <f t="shared" si="5"/>
        <v>44110</v>
      </c>
      <c r="B14" s="118">
        <f t="shared" si="0"/>
        <v>0</v>
      </c>
      <c r="C14" s="86"/>
      <c r="D14" s="117">
        <f t="shared" si="1"/>
        <v>0</v>
      </c>
      <c r="E14" s="279"/>
      <c r="F14" s="117">
        <f t="shared" si="6"/>
        <v>0</v>
      </c>
      <c r="G14" s="118"/>
      <c r="H14" s="118"/>
      <c r="I14" s="118"/>
      <c r="J14" s="118"/>
      <c r="K14" s="134">
        <f t="shared" si="2"/>
        <v>0</v>
      </c>
      <c r="L14" s="134"/>
      <c r="M14" s="86"/>
      <c r="N14" s="118">
        <f t="shared" si="3"/>
        <v>0</v>
      </c>
      <c r="O14" s="118">
        <f t="shared" si="4"/>
        <v>0</v>
      </c>
    </row>
    <row r="15" spans="1:16" s="94" customFormat="1" ht="16.5" x14ac:dyDescent="0.25">
      <c r="A15" s="110">
        <f t="shared" si="5"/>
        <v>44111</v>
      </c>
      <c r="B15" s="118">
        <f t="shared" si="0"/>
        <v>0</v>
      </c>
      <c r="C15" s="86"/>
      <c r="D15" s="117">
        <f t="shared" si="1"/>
        <v>0</v>
      </c>
      <c r="E15" s="279"/>
      <c r="F15" s="117">
        <f t="shared" si="6"/>
        <v>0</v>
      </c>
      <c r="G15" s="118"/>
      <c r="H15" s="118"/>
      <c r="I15" s="118"/>
      <c r="J15" s="118"/>
      <c r="K15" s="134">
        <f t="shared" si="2"/>
        <v>0</v>
      </c>
      <c r="L15" s="134"/>
      <c r="M15" s="86"/>
      <c r="N15" s="118">
        <f t="shared" si="3"/>
        <v>0</v>
      </c>
      <c r="O15" s="118">
        <f t="shared" si="4"/>
        <v>0</v>
      </c>
    </row>
    <row r="16" spans="1:16" s="94" customFormat="1" ht="16.5" x14ac:dyDescent="0.25">
      <c r="A16" s="110">
        <f t="shared" si="5"/>
        <v>44112</v>
      </c>
      <c r="B16" s="118">
        <f t="shared" si="0"/>
        <v>0</v>
      </c>
      <c r="C16" s="86"/>
      <c r="D16" s="118">
        <f t="shared" si="1"/>
        <v>0</v>
      </c>
      <c r="E16" s="279"/>
      <c r="F16" s="117">
        <f t="shared" si="6"/>
        <v>0</v>
      </c>
      <c r="G16" s="118"/>
      <c r="H16" s="118"/>
      <c r="I16" s="118"/>
      <c r="J16" s="118"/>
      <c r="K16" s="134">
        <f t="shared" si="2"/>
        <v>0</v>
      </c>
      <c r="L16" s="134"/>
      <c r="M16" s="86"/>
      <c r="N16" s="118">
        <f t="shared" si="3"/>
        <v>0</v>
      </c>
      <c r="O16" s="118">
        <f t="shared" si="4"/>
        <v>0</v>
      </c>
    </row>
    <row r="17" spans="1:16" s="94" customFormat="1" ht="16.5" x14ac:dyDescent="0.25">
      <c r="A17" s="110">
        <f t="shared" si="5"/>
        <v>44113</v>
      </c>
      <c r="B17" s="118">
        <f t="shared" si="0"/>
        <v>0</v>
      </c>
      <c r="C17" s="86"/>
      <c r="D17" s="118">
        <f t="shared" si="1"/>
        <v>0</v>
      </c>
      <c r="E17" s="279"/>
      <c r="F17" s="117">
        <f t="shared" si="6"/>
        <v>0</v>
      </c>
      <c r="G17" s="118"/>
      <c r="H17" s="118"/>
      <c r="I17" s="118"/>
      <c r="J17" s="118"/>
      <c r="K17" s="134">
        <f t="shared" si="2"/>
        <v>0</v>
      </c>
      <c r="L17" s="134"/>
      <c r="M17" s="86"/>
      <c r="N17" s="118">
        <f t="shared" si="3"/>
        <v>0</v>
      </c>
      <c r="O17" s="118">
        <f t="shared" si="4"/>
        <v>0</v>
      </c>
    </row>
    <row r="18" spans="1:16" s="94" customFormat="1" ht="16.5" x14ac:dyDescent="0.25">
      <c r="A18" s="110">
        <f t="shared" si="5"/>
        <v>44114</v>
      </c>
      <c r="B18" s="118">
        <f t="shared" si="0"/>
        <v>0</v>
      </c>
      <c r="C18" s="86"/>
      <c r="D18" s="118">
        <f t="shared" si="1"/>
        <v>0</v>
      </c>
      <c r="E18" s="279"/>
      <c r="F18" s="117">
        <f t="shared" si="6"/>
        <v>0</v>
      </c>
      <c r="G18" s="118"/>
      <c r="H18" s="118"/>
      <c r="I18" s="118"/>
      <c r="J18" s="118"/>
      <c r="K18" s="134">
        <f>C18+E18+G18+H18+I18+J18</f>
        <v>0</v>
      </c>
      <c r="L18" s="134"/>
      <c r="M18" s="86"/>
      <c r="N18" s="118">
        <f t="shared" si="3"/>
        <v>0</v>
      </c>
      <c r="O18" s="118">
        <f t="shared" si="4"/>
        <v>0</v>
      </c>
    </row>
    <row r="19" spans="1:16" s="94" customFormat="1" ht="16.5" x14ac:dyDescent="0.25">
      <c r="A19" s="110">
        <f t="shared" si="5"/>
        <v>44115</v>
      </c>
      <c r="B19" s="118">
        <f t="shared" si="0"/>
        <v>0</v>
      </c>
      <c r="C19" s="86"/>
      <c r="D19" s="118">
        <f t="shared" si="1"/>
        <v>0</v>
      </c>
      <c r="E19" s="279"/>
      <c r="F19" s="117">
        <f t="shared" si="6"/>
        <v>0</v>
      </c>
      <c r="G19" s="118"/>
      <c r="H19" s="118"/>
      <c r="I19" s="118"/>
      <c r="J19" s="118"/>
      <c r="K19" s="134">
        <f t="shared" si="2"/>
        <v>0</v>
      </c>
      <c r="L19" s="134"/>
      <c r="M19" s="86"/>
      <c r="N19" s="118">
        <f t="shared" si="3"/>
        <v>0</v>
      </c>
      <c r="O19" s="118">
        <f t="shared" si="4"/>
        <v>0</v>
      </c>
    </row>
    <row r="20" spans="1:16" s="94" customFormat="1" ht="16.5" x14ac:dyDescent="0.25">
      <c r="A20" s="110">
        <f t="shared" si="5"/>
        <v>44116</v>
      </c>
      <c r="B20" s="118">
        <f t="shared" si="0"/>
        <v>0</v>
      </c>
      <c r="C20" s="86"/>
      <c r="D20" s="118">
        <f t="shared" si="1"/>
        <v>0</v>
      </c>
      <c r="E20" s="279"/>
      <c r="F20" s="117">
        <f t="shared" si="6"/>
        <v>0</v>
      </c>
      <c r="G20" s="118"/>
      <c r="H20" s="118"/>
      <c r="I20" s="118"/>
      <c r="J20" s="118"/>
      <c r="K20" s="134">
        <f t="shared" si="2"/>
        <v>0</v>
      </c>
      <c r="L20" s="134"/>
      <c r="M20" s="86"/>
      <c r="N20" s="118">
        <f t="shared" si="3"/>
        <v>0</v>
      </c>
      <c r="O20" s="118">
        <f>+O19+K20-M20</f>
        <v>0</v>
      </c>
    </row>
    <row r="21" spans="1:16" s="94" customFormat="1" ht="16.5" x14ac:dyDescent="0.25">
      <c r="A21" s="110">
        <f t="shared" si="5"/>
        <v>44117</v>
      </c>
      <c r="B21" s="118">
        <f t="shared" si="0"/>
        <v>0</v>
      </c>
      <c r="C21" s="86"/>
      <c r="D21" s="118">
        <f t="shared" si="1"/>
        <v>0</v>
      </c>
      <c r="E21" s="279"/>
      <c r="F21" s="117">
        <f t="shared" si="6"/>
        <v>0</v>
      </c>
      <c r="G21" s="118"/>
      <c r="H21" s="118"/>
      <c r="I21" s="118"/>
      <c r="J21" s="118"/>
      <c r="K21" s="134">
        <f t="shared" si="2"/>
        <v>0</v>
      </c>
      <c r="L21" s="134"/>
      <c r="M21" s="86"/>
      <c r="N21" s="118">
        <f t="shared" si="3"/>
        <v>0</v>
      </c>
      <c r="O21" s="118">
        <f t="shared" si="4"/>
        <v>0</v>
      </c>
    </row>
    <row r="22" spans="1:16" s="94" customFormat="1" ht="16.5" x14ac:dyDescent="0.25">
      <c r="A22" s="110">
        <f t="shared" si="5"/>
        <v>44118</v>
      </c>
      <c r="B22" s="118">
        <f t="shared" si="0"/>
        <v>0</v>
      </c>
      <c r="C22" s="86"/>
      <c r="D22" s="118">
        <f t="shared" si="1"/>
        <v>0</v>
      </c>
      <c r="E22" s="279"/>
      <c r="F22" s="117">
        <f t="shared" si="6"/>
        <v>0</v>
      </c>
      <c r="G22" s="118"/>
      <c r="H22" s="118"/>
      <c r="I22" s="118"/>
      <c r="J22" s="118"/>
      <c r="K22" s="134">
        <f t="shared" si="2"/>
        <v>0</v>
      </c>
      <c r="L22" s="134"/>
      <c r="M22" s="86"/>
      <c r="N22" s="118">
        <f t="shared" si="3"/>
        <v>0</v>
      </c>
      <c r="O22" s="118">
        <f t="shared" si="4"/>
        <v>0</v>
      </c>
    </row>
    <row r="23" spans="1:16" s="94" customFormat="1" ht="16.5" x14ac:dyDescent="0.25">
      <c r="A23" s="110">
        <f t="shared" si="5"/>
        <v>44119</v>
      </c>
      <c r="B23" s="118">
        <f t="shared" si="0"/>
        <v>0</v>
      </c>
      <c r="C23" s="86"/>
      <c r="D23" s="118">
        <f t="shared" si="1"/>
        <v>0</v>
      </c>
      <c r="E23" s="279"/>
      <c r="F23" s="117">
        <f t="shared" si="6"/>
        <v>0</v>
      </c>
      <c r="G23" s="118"/>
      <c r="H23" s="118"/>
      <c r="I23" s="118"/>
      <c r="J23" s="118"/>
      <c r="K23" s="134">
        <f t="shared" si="2"/>
        <v>0</v>
      </c>
      <c r="L23" s="134"/>
      <c r="M23" s="86"/>
      <c r="N23" s="118">
        <f t="shared" si="3"/>
        <v>0</v>
      </c>
      <c r="O23" s="118">
        <f t="shared" si="4"/>
        <v>0</v>
      </c>
    </row>
    <row r="24" spans="1:16" s="94" customFormat="1" ht="16.5" x14ac:dyDescent="0.25">
      <c r="A24" s="110">
        <f t="shared" si="5"/>
        <v>44120</v>
      </c>
      <c r="B24" s="118">
        <f t="shared" si="0"/>
        <v>0</v>
      </c>
      <c r="C24" s="86"/>
      <c r="D24" s="118">
        <f t="shared" si="1"/>
        <v>0</v>
      </c>
      <c r="E24" s="279"/>
      <c r="F24" s="117">
        <f t="shared" si="6"/>
        <v>0</v>
      </c>
      <c r="G24" s="118"/>
      <c r="H24" s="118"/>
      <c r="I24" s="118"/>
      <c r="J24" s="118"/>
      <c r="K24" s="134">
        <f t="shared" si="2"/>
        <v>0</v>
      </c>
      <c r="L24" s="134"/>
      <c r="M24" s="86"/>
      <c r="N24" s="118">
        <f t="shared" si="3"/>
        <v>0</v>
      </c>
      <c r="O24" s="118">
        <f t="shared" si="4"/>
        <v>0</v>
      </c>
    </row>
    <row r="25" spans="1:16" s="94" customFormat="1" ht="16.5" x14ac:dyDescent="0.25">
      <c r="A25" s="110">
        <f t="shared" si="5"/>
        <v>44121</v>
      </c>
      <c r="B25" s="118">
        <f t="shared" si="0"/>
        <v>0</v>
      </c>
      <c r="C25" s="86"/>
      <c r="D25" s="118">
        <f t="shared" si="1"/>
        <v>0</v>
      </c>
      <c r="E25" s="279"/>
      <c r="F25" s="117">
        <f t="shared" si="6"/>
        <v>0</v>
      </c>
      <c r="G25" s="118"/>
      <c r="H25" s="118"/>
      <c r="I25" s="118"/>
      <c r="J25" s="118"/>
      <c r="K25" s="134">
        <f t="shared" si="2"/>
        <v>0</v>
      </c>
      <c r="L25" s="134"/>
      <c r="M25" s="86"/>
      <c r="N25" s="118">
        <f t="shared" si="3"/>
        <v>0</v>
      </c>
      <c r="O25" s="118">
        <f t="shared" si="4"/>
        <v>0</v>
      </c>
    </row>
    <row r="26" spans="1:16" s="94" customFormat="1" ht="16.5" x14ac:dyDescent="0.3">
      <c r="A26" s="110">
        <f t="shared" si="5"/>
        <v>44122</v>
      </c>
      <c r="B26" s="118">
        <f t="shared" si="0"/>
        <v>0</v>
      </c>
      <c r="C26" s="86"/>
      <c r="D26" s="118">
        <f t="shared" si="1"/>
        <v>0</v>
      </c>
      <c r="E26" s="279"/>
      <c r="F26" s="117">
        <f t="shared" si="6"/>
        <v>0</v>
      </c>
      <c r="G26" s="118"/>
      <c r="H26" s="118"/>
      <c r="I26" s="118"/>
      <c r="J26" s="118"/>
      <c r="K26" s="134">
        <f t="shared" si="2"/>
        <v>0</v>
      </c>
      <c r="L26" s="134"/>
      <c r="M26" s="86"/>
      <c r="N26" s="118">
        <f t="shared" si="3"/>
        <v>0</v>
      </c>
      <c r="O26" s="118">
        <f t="shared" si="4"/>
        <v>0</v>
      </c>
      <c r="P26" s="119"/>
    </row>
    <row r="27" spans="1:16" ht="16.5" x14ac:dyDescent="0.25">
      <c r="A27" s="110">
        <f t="shared" si="5"/>
        <v>44123</v>
      </c>
      <c r="B27" s="118">
        <f t="shared" si="0"/>
        <v>0</v>
      </c>
      <c r="C27" s="86"/>
      <c r="D27" s="114">
        <f t="shared" si="1"/>
        <v>0</v>
      </c>
      <c r="E27" s="279"/>
      <c r="F27" s="117">
        <f t="shared" si="6"/>
        <v>0</v>
      </c>
      <c r="G27" s="118"/>
      <c r="H27" s="118"/>
      <c r="I27" s="118"/>
      <c r="J27" s="118"/>
      <c r="K27" s="115">
        <f t="shared" si="2"/>
        <v>0</v>
      </c>
      <c r="L27" s="115"/>
      <c r="M27" s="86"/>
      <c r="N27" s="118">
        <f t="shared" si="3"/>
        <v>0</v>
      </c>
      <c r="O27" s="118">
        <f t="shared" si="4"/>
        <v>0</v>
      </c>
    </row>
    <row r="28" spans="1:16" ht="16.5" x14ac:dyDescent="0.25">
      <c r="A28" s="110">
        <f t="shared" si="5"/>
        <v>44124</v>
      </c>
      <c r="B28" s="118">
        <f t="shared" si="0"/>
        <v>0</v>
      </c>
      <c r="C28" s="86"/>
      <c r="D28" s="114">
        <f t="shared" si="1"/>
        <v>0</v>
      </c>
      <c r="E28" s="279"/>
      <c r="F28" s="117">
        <f t="shared" si="6"/>
        <v>0</v>
      </c>
      <c r="G28" s="118"/>
      <c r="H28" s="118"/>
      <c r="I28" s="118"/>
      <c r="J28" s="118"/>
      <c r="K28" s="115">
        <f t="shared" si="2"/>
        <v>0</v>
      </c>
      <c r="L28" s="115"/>
      <c r="M28" s="86"/>
      <c r="N28" s="118">
        <f t="shared" si="3"/>
        <v>0</v>
      </c>
      <c r="O28" s="118">
        <f t="shared" si="4"/>
        <v>0</v>
      </c>
    </row>
    <row r="29" spans="1:16" ht="16.5" x14ac:dyDescent="0.25">
      <c r="A29" s="110">
        <f t="shared" si="5"/>
        <v>44125</v>
      </c>
      <c r="B29" s="118">
        <f t="shared" si="0"/>
        <v>0</v>
      </c>
      <c r="C29" s="86"/>
      <c r="D29" s="111">
        <f t="shared" si="1"/>
        <v>0</v>
      </c>
      <c r="E29" s="279"/>
      <c r="F29" s="117">
        <f t="shared" si="6"/>
        <v>0</v>
      </c>
      <c r="G29" s="118"/>
      <c r="H29" s="118"/>
      <c r="I29" s="118"/>
      <c r="J29" s="118"/>
      <c r="K29" s="115">
        <f t="shared" si="2"/>
        <v>0</v>
      </c>
      <c r="L29" s="115"/>
      <c r="M29" s="86"/>
      <c r="N29" s="118">
        <f t="shared" si="3"/>
        <v>0</v>
      </c>
      <c r="O29" s="118">
        <f t="shared" si="4"/>
        <v>0</v>
      </c>
    </row>
    <row r="30" spans="1:16" ht="16.5" x14ac:dyDescent="0.25">
      <c r="A30" s="110">
        <f t="shared" si="5"/>
        <v>44126</v>
      </c>
      <c r="B30" s="118">
        <f t="shared" si="0"/>
        <v>0</v>
      </c>
      <c r="C30" s="86"/>
      <c r="D30" s="111">
        <f t="shared" si="1"/>
        <v>0</v>
      </c>
      <c r="E30" s="279"/>
      <c r="F30" s="117">
        <f t="shared" si="6"/>
        <v>0</v>
      </c>
      <c r="G30" s="118"/>
      <c r="H30" s="118"/>
      <c r="I30" s="118"/>
      <c r="J30" s="118"/>
      <c r="K30" s="115">
        <f t="shared" si="2"/>
        <v>0</v>
      </c>
      <c r="L30" s="115"/>
      <c r="M30" s="86"/>
      <c r="N30" s="118">
        <f t="shared" si="3"/>
        <v>0</v>
      </c>
      <c r="O30" s="118">
        <f>+O29+K30-M30</f>
        <v>0</v>
      </c>
    </row>
    <row r="31" spans="1:16" ht="16.5" x14ac:dyDescent="0.25">
      <c r="A31" s="110">
        <f t="shared" si="5"/>
        <v>44127</v>
      </c>
      <c r="B31" s="118">
        <f t="shared" si="0"/>
        <v>0</v>
      </c>
      <c r="C31" s="86"/>
      <c r="D31" s="111">
        <f t="shared" si="1"/>
        <v>0</v>
      </c>
      <c r="E31" s="279"/>
      <c r="F31" s="117">
        <f t="shared" si="6"/>
        <v>0</v>
      </c>
      <c r="G31" s="118"/>
      <c r="H31" s="118"/>
      <c r="I31" s="118"/>
      <c r="J31" s="118"/>
      <c r="K31" s="115">
        <f t="shared" si="2"/>
        <v>0</v>
      </c>
      <c r="L31" s="115"/>
      <c r="M31" s="86"/>
      <c r="N31" s="118">
        <f t="shared" si="3"/>
        <v>0</v>
      </c>
      <c r="O31" s="118">
        <f t="shared" si="4"/>
        <v>0</v>
      </c>
    </row>
    <row r="32" spans="1:16" ht="16.5" x14ac:dyDescent="0.25">
      <c r="A32" s="110">
        <f t="shared" si="5"/>
        <v>44128</v>
      </c>
      <c r="B32" s="114">
        <f t="shared" si="0"/>
        <v>0</v>
      </c>
      <c r="C32" s="113"/>
      <c r="D32" s="111">
        <f t="shared" si="1"/>
        <v>0</v>
      </c>
      <c r="E32" s="279"/>
      <c r="F32" s="111">
        <f t="shared" si="6"/>
        <v>0</v>
      </c>
      <c r="G32" s="114"/>
      <c r="H32" s="114"/>
      <c r="I32" s="114"/>
      <c r="J32" s="114"/>
      <c r="K32" s="115">
        <f t="shared" si="2"/>
        <v>0</v>
      </c>
      <c r="L32" s="115"/>
      <c r="M32" s="86"/>
      <c r="N32" s="114">
        <f t="shared" si="3"/>
        <v>0</v>
      </c>
      <c r="O32" s="114">
        <f t="shared" si="4"/>
        <v>0</v>
      </c>
      <c r="P32" s="3" t="s">
        <v>62</v>
      </c>
    </row>
    <row r="33" spans="1:15" ht="16.5" x14ac:dyDescent="0.25">
      <c r="A33" s="110">
        <f t="shared" si="5"/>
        <v>44129</v>
      </c>
      <c r="B33" s="114">
        <f t="shared" si="0"/>
        <v>0</v>
      </c>
      <c r="C33" s="113"/>
      <c r="D33" s="111">
        <f t="shared" si="1"/>
        <v>0</v>
      </c>
      <c r="E33" s="279"/>
      <c r="F33" s="111">
        <f t="shared" si="6"/>
        <v>0</v>
      </c>
      <c r="G33" s="114"/>
      <c r="H33" s="114"/>
      <c r="I33" s="114"/>
      <c r="J33" s="114"/>
      <c r="K33" s="115">
        <f t="shared" si="2"/>
        <v>0</v>
      </c>
      <c r="L33" s="115"/>
      <c r="M33" s="86"/>
      <c r="N33" s="114">
        <f t="shared" si="3"/>
        <v>0</v>
      </c>
      <c r="O33" s="114">
        <f t="shared" si="4"/>
        <v>0</v>
      </c>
    </row>
    <row r="34" spans="1:15" ht="16.5" x14ac:dyDescent="0.25">
      <c r="A34" s="110">
        <f t="shared" si="5"/>
        <v>44130</v>
      </c>
      <c r="B34" s="114">
        <f t="shared" si="0"/>
        <v>0</v>
      </c>
      <c r="C34" s="113"/>
      <c r="D34" s="111">
        <f t="shared" si="1"/>
        <v>0</v>
      </c>
      <c r="E34" s="113"/>
      <c r="F34" s="111">
        <f t="shared" si="6"/>
        <v>0</v>
      </c>
      <c r="G34" s="114"/>
      <c r="H34" s="114"/>
      <c r="I34" s="114"/>
      <c r="J34" s="114"/>
      <c r="K34" s="115">
        <f t="shared" si="2"/>
        <v>0</v>
      </c>
      <c r="L34" s="115"/>
      <c r="M34" s="86"/>
      <c r="N34" s="114">
        <f t="shared" si="3"/>
        <v>0</v>
      </c>
      <c r="O34" s="114">
        <f t="shared" si="4"/>
        <v>0</v>
      </c>
    </row>
    <row r="35" spans="1:15" ht="16.5" x14ac:dyDescent="0.25">
      <c r="A35" s="110">
        <f t="shared" si="5"/>
        <v>44131</v>
      </c>
      <c r="B35" s="114">
        <f t="shared" si="0"/>
        <v>0</v>
      </c>
      <c r="C35" s="113"/>
      <c r="D35" s="111">
        <f t="shared" si="1"/>
        <v>0</v>
      </c>
      <c r="E35" s="113"/>
      <c r="F35" s="111">
        <f t="shared" si="6"/>
        <v>0</v>
      </c>
      <c r="G35" s="114"/>
      <c r="H35" s="114"/>
      <c r="I35" s="114"/>
      <c r="J35" s="114"/>
      <c r="K35" s="115">
        <f t="shared" si="2"/>
        <v>0</v>
      </c>
      <c r="L35" s="115"/>
      <c r="M35" s="113"/>
      <c r="N35" s="114">
        <f t="shared" si="3"/>
        <v>0</v>
      </c>
      <c r="O35" s="114">
        <f t="shared" si="4"/>
        <v>0</v>
      </c>
    </row>
    <row r="36" spans="1:15" ht="16.5" x14ac:dyDescent="0.25">
      <c r="A36" s="110">
        <f t="shared" si="5"/>
        <v>44132</v>
      </c>
      <c r="B36" s="114">
        <f t="shared" si="0"/>
        <v>0</v>
      </c>
      <c r="C36" s="113"/>
      <c r="D36" s="111">
        <f t="shared" si="1"/>
        <v>0</v>
      </c>
      <c r="E36" s="113"/>
      <c r="F36" s="111">
        <f t="shared" si="6"/>
        <v>0</v>
      </c>
      <c r="G36" s="114"/>
      <c r="H36" s="114"/>
      <c r="I36" s="114"/>
      <c r="J36" s="114"/>
      <c r="K36" s="115">
        <f t="shared" si="2"/>
        <v>0</v>
      </c>
      <c r="L36" s="115"/>
      <c r="M36" s="113"/>
      <c r="N36" s="114">
        <f t="shared" si="3"/>
        <v>0</v>
      </c>
      <c r="O36" s="114">
        <f t="shared" si="4"/>
        <v>0</v>
      </c>
    </row>
    <row r="37" spans="1:15" ht="16.5" x14ac:dyDescent="0.25">
      <c r="A37" s="110">
        <f t="shared" si="5"/>
        <v>44133</v>
      </c>
      <c r="B37" s="114">
        <f t="shared" si="0"/>
        <v>0</v>
      </c>
      <c r="C37" s="113"/>
      <c r="D37" s="111">
        <f t="shared" si="1"/>
        <v>0</v>
      </c>
      <c r="E37" s="113"/>
      <c r="F37" s="111">
        <f t="shared" si="6"/>
        <v>0</v>
      </c>
      <c r="G37" s="114"/>
      <c r="H37" s="114"/>
      <c r="I37" s="114"/>
      <c r="J37" s="114"/>
      <c r="K37" s="115">
        <f t="shared" si="2"/>
        <v>0</v>
      </c>
      <c r="L37" s="115"/>
      <c r="M37" s="113"/>
      <c r="N37" s="114">
        <f t="shared" si="3"/>
        <v>0</v>
      </c>
      <c r="O37" s="114">
        <f t="shared" si="4"/>
        <v>0</v>
      </c>
    </row>
    <row r="38" spans="1:15" ht="16.5" x14ac:dyDescent="0.25">
      <c r="A38" s="110">
        <f t="shared" si="5"/>
        <v>44134</v>
      </c>
      <c r="B38" s="114">
        <f t="shared" si="0"/>
        <v>0</v>
      </c>
      <c r="C38" s="113"/>
      <c r="D38" s="111">
        <f t="shared" si="1"/>
        <v>0</v>
      </c>
      <c r="E38" s="113"/>
      <c r="F38" s="111">
        <f t="shared" si="6"/>
        <v>0</v>
      </c>
      <c r="G38" s="114"/>
      <c r="H38" s="114"/>
      <c r="I38" s="114"/>
      <c r="J38" s="114"/>
      <c r="K38" s="115">
        <f t="shared" si="2"/>
        <v>0</v>
      </c>
      <c r="L38" s="115"/>
      <c r="M38" s="113"/>
      <c r="N38" s="114">
        <f>K38-M38</f>
        <v>0</v>
      </c>
      <c r="O38" s="114">
        <f>+O37+K38-M38</f>
        <v>0</v>
      </c>
    </row>
    <row r="39" spans="1:15" ht="16.5" x14ac:dyDescent="0.25">
      <c r="A39" s="110">
        <f t="shared" si="5"/>
        <v>44135</v>
      </c>
      <c r="B39" s="111">
        <f t="shared" si="0"/>
        <v>0</v>
      </c>
      <c r="C39" s="113"/>
      <c r="D39" s="111">
        <f t="shared" si="1"/>
        <v>0</v>
      </c>
      <c r="E39" s="113"/>
      <c r="F39" s="111">
        <f t="shared" si="6"/>
        <v>0</v>
      </c>
      <c r="G39" s="114"/>
      <c r="H39" s="114"/>
      <c r="I39" s="114"/>
      <c r="J39" s="114"/>
      <c r="K39" s="115">
        <f t="shared" si="2"/>
        <v>0</v>
      </c>
      <c r="L39" s="115"/>
      <c r="M39" s="113"/>
      <c r="N39" s="114">
        <f>K39-M39</f>
        <v>0</v>
      </c>
      <c r="O39" s="120">
        <f>+O38+K39-M39</f>
        <v>0</v>
      </c>
    </row>
    <row r="40" spans="1:15" ht="16.5" x14ac:dyDescent="0.2">
      <c r="A40" s="121" t="s">
        <v>18</v>
      </c>
      <c r="B40" s="115">
        <f t="shared" ref="B40:M40" si="7">SUM(B9:B39)</f>
        <v>0</v>
      </c>
      <c r="C40" s="115">
        <f>SUM(C9:C39)</f>
        <v>0</v>
      </c>
      <c r="D40" s="122">
        <f t="shared" si="7"/>
        <v>0</v>
      </c>
      <c r="E40" s="115">
        <f>SUM(E9:E39)</f>
        <v>0</v>
      </c>
      <c r="F40" s="115">
        <f t="shared" si="7"/>
        <v>0</v>
      </c>
      <c r="G40" s="115">
        <f t="shared" si="7"/>
        <v>0</v>
      </c>
      <c r="H40" s="115">
        <f t="shared" si="7"/>
        <v>0</v>
      </c>
      <c r="I40" s="115">
        <f t="shared" si="7"/>
        <v>0</v>
      </c>
      <c r="J40" s="115">
        <f t="shared" si="7"/>
        <v>0</v>
      </c>
      <c r="K40" s="115">
        <f>SUM(K9:K39)</f>
        <v>0</v>
      </c>
      <c r="L40" s="115"/>
      <c r="M40" s="115">
        <f t="shared" si="7"/>
        <v>0</v>
      </c>
      <c r="N40" s="120">
        <f>SUM(N8:N39)</f>
        <v>0</v>
      </c>
      <c r="O40" s="123"/>
    </row>
    <row r="41" spans="1:15" ht="15.75" x14ac:dyDescent="0.2">
      <c r="A41" s="124"/>
      <c r="B41" s="124"/>
      <c r="C41" s="124"/>
      <c r="D41" s="125"/>
      <c r="E41" s="124"/>
      <c r="F41" s="124"/>
      <c r="G41" s="124"/>
      <c r="H41" s="124"/>
      <c r="I41" s="124"/>
      <c r="J41" s="124"/>
      <c r="K41" s="124"/>
      <c r="L41" s="124"/>
      <c r="M41" s="124"/>
      <c r="N41" s="124"/>
      <c r="O41" s="124"/>
    </row>
    <row r="42" spans="1:15" ht="15.75" x14ac:dyDescent="0.25">
      <c r="A42" s="57" t="s">
        <v>121</v>
      </c>
      <c r="B42" s="57" t="s">
        <v>61</v>
      </c>
      <c r="C42" s="57" t="s">
        <v>122</v>
      </c>
      <c r="D42" s="126" t="s">
        <v>39</v>
      </c>
    </row>
    <row r="43" spans="1:15" ht="15.75" x14ac:dyDescent="0.25">
      <c r="A43" s="57" t="s">
        <v>15</v>
      </c>
      <c r="B43" s="127">
        <f>B40</f>
        <v>0</v>
      </c>
      <c r="C43" s="57"/>
      <c r="D43" s="126">
        <f>B43*C43</f>
        <v>0</v>
      </c>
    </row>
    <row r="44" spans="1:15" ht="15.75" x14ac:dyDescent="0.25">
      <c r="A44" s="57" t="s">
        <v>16</v>
      </c>
      <c r="B44" s="126">
        <f>D40</f>
        <v>0</v>
      </c>
      <c r="C44" s="57"/>
      <c r="D44" s="126">
        <f>B44*C44</f>
        <v>0</v>
      </c>
      <c r="H44" s="116"/>
      <c r="K44" s="116"/>
      <c r="L44" s="116"/>
      <c r="M44" s="116"/>
      <c r="N44" s="116"/>
    </row>
    <row r="45" spans="1:15" ht="15.75" x14ac:dyDescent="0.25">
      <c r="A45" s="57" t="s">
        <v>17</v>
      </c>
      <c r="B45" s="127">
        <f>F40</f>
        <v>0</v>
      </c>
      <c r="C45" s="57"/>
      <c r="D45" s="126">
        <f>B45*C45</f>
        <v>0</v>
      </c>
      <c r="E45" s="99"/>
      <c r="O45" s="116"/>
    </row>
    <row r="46" spans="1:15" ht="15.75" x14ac:dyDescent="0.25">
      <c r="A46" s="128" t="s">
        <v>18</v>
      </c>
      <c r="B46" s="129"/>
      <c r="C46" s="130"/>
      <c r="D46" s="126">
        <f>SUM(D43:D45)</f>
        <v>0</v>
      </c>
      <c r="O46" s="116"/>
    </row>
    <row r="48" spans="1:15" ht="16.5" x14ac:dyDescent="0.3">
      <c r="C48" s="1" t="s">
        <v>174</v>
      </c>
    </row>
  </sheetData>
  <mergeCells count="8">
    <mergeCell ref="N6:N7"/>
    <mergeCell ref="O6:O7"/>
    <mergeCell ref="H6:H8"/>
    <mergeCell ref="I6:I8"/>
    <mergeCell ref="J6:J8"/>
    <mergeCell ref="K6:K8"/>
    <mergeCell ref="L6:L8"/>
    <mergeCell ref="M6:M7"/>
  </mergeCells>
  <pageMargins left="0.39370078740157483" right="0.39370078740157483" top="0.74803149606299213" bottom="0.39370078740157483" header="0.31496062992125984" footer="0.31496062992125984"/>
  <pageSetup paperSize="9" scale="62" orientation="landscape"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tabColor rgb="FFFF0000"/>
    <pageSetUpPr fitToPage="1"/>
  </sheetPr>
  <dimension ref="A1:O44"/>
  <sheetViews>
    <sheetView zoomScaleNormal="100" workbookViewId="0">
      <selection activeCell="J18" sqref="J18"/>
    </sheetView>
  </sheetViews>
  <sheetFormatPr baseColWidth="10" defaultRowHeight="18" x14ac:dyDescent="0.25"/>
  <cols>
    <col min="1" max="1" width="13.85546875" style="38" customWidth="1"/>
    <col min="2" max="3" width="11.42578125" style="38"/>
    <col min="4" max="4" width="16.5703125" style="38" customWidth="1"/>
    <col min="5" max="5" width="16.85546875" style="38" customWidth="1"/>
    <col min="6" max="6" width="15.7109375" style="38" bestFit="1" customWidth="1"/>
    <col min="7" max="7" width="15.85546875" style="38" bestFit="1" customWidth="1"/>
    <col min="8" max="8" width="12.28515625" style="38" bestFit="1" customWidth="1"/>
    <col min="9" max="9" width="13.42578125" style="38" bestFit="1" customWidth="1"/>
    <col min="10" max="10" width="19" style="38" bestFit="1" customWidth="1"/>
    <col min="11" max="11" width="17.140625" style="38" customWidth="1"/>
    <col min="12" max="13" width="17.5703125" style="38" customWidth="1"/>
    <col min="14" max="14" width="18.42578125" style="38" bestFit="1" customWidth="1"/>
    <col min="15" max="15" width="15.5703125" style="38" bestFit="1" customWidth="1"/>
    <col min="16" max="16384" width="11.42578125" style="38"/>
  </cols>
  <sheetData>
    <row r="1" spans="1:15" ht="18.75" x14ac:dyDescent="0.3">
      <c r="A1" s="36" t="s">
        <v>118</v>
      </c>
      <c r="B1" s="36" t="s">
        <v>270</v>
      </c>
    </row>
    <row r="2" spans="1:15" ht="13.5" customHeight="1" x14ac:dyDescent="0.35">
      <c r="C2" s="159"/>
      <c r="K2" s="148"/>
    </row>
    <row r="3" spans="1:15" ht="16.5" customHeight="1" x14ac:dyDescent="0.3">
      <c r="A3" s="36" t="s">
        <v>19</v>
      </c>
      <c r="B3" s="142">
        <f>+SODITRAT!B4</f>
        <v>44075</v>
      </c>
      <c r="C3" s="36"/>
      <c r="M3" s="37"/>
    </row>
    <row r="4" spans="1:15" ht="13.5" customHeight="1" x14ac:dyDescent="0.3">
      <c r="A4" s="36"/>
      <c r="B4" s="36"/>
      <c r="C4" s="36"/>
    </row>
    <row r="5" spans="1:15" ht="13.5" customHeight="1" x14ac:dyDescent="0.25">
      <c r="A5" s="470" t="s">
        <v>3</v>
      </c>
      <c r="B5" s="161" t="s">
        <v>15</v>
      </c>
      <c r="C5" s="162"/>
      <c r="D5" s="161" t="s">
        <v>16</v>
      </c>
      <c r="E5" s="162"/>
      <c r="F5" s="161" t="s">
        <v>17</v>
      </c>
      <c r="G5" s="162"/>
      <c r="H5" s="2901" t="s">
        <v>52</v>
      </c>
      <c r="I5" s="2901" t="s">
        <v>53</v>
      </c>
      <c r="J5" s="2901" t="s">
        <v>230</v>
      </c>
      <c r="K5" s="2901" t="s">
        <v>18</v>
      </c>
      <c r="L5" s="2901" t="s">
        <v>60</v>
      </c>
      <c r="M5" s="2901" t="s">
        <v>55</v>
      </c>
      <c r="N5" s="2901" t="s">
        <v>120</v>
      </c>
    </row>
    <row r="6" spans="1:15" ht="14.25" customHeight="1" x14ac:dyDescent="0.25">
      <c r="A6" s="163"/>
      <c r="B6" s="913">
        <v>650</v>
      </c>
      <c r="C6" s="914"/>
      <c r="D6" s="913">
        <v>600</v>
      </c>
      <c r="E6" s="914"/>
      <c r="F6" s="913">
        <v>350</v>
      </c>
      <c r="G6" s="914"/>
      <c r="H6" s="3070"/>
      <c r="I6" s="3070"/>
      <c r="J6" s="2902"/>
      <c r="K6" s="2902"/>
      <c r="L6" s="2902"/>
      <c r="M6" s="2902"/>
      <c r="N6" s="2902"/>
    </row>
    <row r="7" spans="1:15" ht="18" customHeight="1" x14ac:dyDescent="0.35">
      <c r="A7" s="471"/>
      <c r="B7" s="166" t="s">
        <v>56</v>
      </c>
      <c r="C7" s="166" t="s">
        <v>37</v>
      </c>
      <c r="D7" s="167" t="s">
        <v>56</v>
      </c>
      <c r="E7" s="166" t="s">
        <v>37</v>
      </c>
      <c r="F7" s="166" t="s">
        <v>56</v>
      </c>
      <c r="G7" s="166" t="s">
        <v>37</v>
      </c>
      <c r="H7" s="469"/>
      <c r="I7" s="469"/>
      <c r="J7" s="181"/>
      <c r="K7" s="181"/>
      <c r="L7" s="182"/>
      <c r="M7" s="183">
        <v>78595</v>
      </c>
      <c r="N7" s="168">
        <f>M7</f>
        <v>78595</v>
      </c>
    </row>
    <row r="8" spans="1:15" ht="19.5" x14ac:dyDescent="0.25">
      <c r="A8" s="1651">
        <f>+SODITRAT!A9</f>
        <v>44105</v>
      </c>
      <c r="B8" s="174">
        <f t="shared" ref="B8:B16" si="0">+C8/569</f>
        <v>0</v>
      </c>
      <c r="C8" s="173"/>
      <c r="D8" s="174">
        <f>+E8/600</f>
        <v>0</v>
      </c>
      <c r="E8" s="172"/>
      <c r="F8" s="174">
        <f t="shared" ref="F8:F16" si="1">+G8/569</f>
        <v>0</v>
      </c>
      <c r="G8" s="172"/>
      <c r="H8" s="172"/>
      <c r="I8" s="172"/>
      <c r="J8" s="172"/>
      <c r="K8" s="173">
        <f t="shared" ref="K8:K38" si="2">C8+E8+G8+H8+I8+J8</f>
        <v>0</v>
      </c>
      <c r="L8" s="172"/>
      <c r="M8" s="172">
        <f>K8-L8</f>
        <v>0</v>
      </c>
      <c r="N8" s="172">
        <f>+N7+K8-L8</f>
        <v>78595</v>
      </c>
    </row>
    <row r="9" spans="1:15" ht="13.5" customHeight="1" x14ac:dyDescent="0.25">
      <c r="A9" s="110">
        <f>+A8+1</f>
        <v>44106</v>
      </c>
      <c r="B9" s="174">
        <f t="shared" si="0"/>
        <v>0</v>
      </c>
      <c r="C9" s="173"/>
      <c r="D9" s="174">
        <f t="shared" ref="D9:D38" si="3">+E9/600</f>
        <v>0</v>
      </c>
      <c r="E9" s="172"/>
      <c r="F9" s="174">
        <f t="shared" si="1"/>
        <v>0</v>
      </c>
      <c r="G9" s="172"/>
      <c r="H9" s="172"/>
      <c r="I9" s="172"/>
      <c r="J9" s="172"/>
      <c r="K9" s="173">
        <f t="shared" si="2"/>
        <v>0</v>
      </c>
      <c r="L9" s="175"/>
      <c r="M9" s="172">
        <f t="shared" ref="M9:M38" si="4">K9-L9</f>
        <v>0</v>
      </c>
      <c r="N9" s="172">
        <f t="shared" ref="N9:N37" si="5">+N8+K9-L9</f>
        <v>78595</v>
      </c>
    </row>
    <row r="10" spans="1:15" ht="13.5" customHeight="1" x14ac:dyDescent="0.25">
      <c r="A10" s="110">
        <f t="shared" ref="A10:A38" si="6">+A9+1</f>
        <v>44107</v>
      </c>
      <c r="B10" s="174">
        <f t="shared" si="0"/>
        <v>0</v>
      </c>
      <c r="C10" s="172"/>
      <c r="D10" s="174">
        <f t="shared" si="3"/>
        <v>0</v>
      </c>
      <c r="E10" s="172"/>
      <c r="F10" s="174">
        <f t="shared" si="1"/>
        <v>0</v>
      </c>
      <c r="G10" s="172"/>
      <c r="H10" s="172"/>
      <c r="I10" s="172"/>
      <c r="J10" s="172"/>
      <c r="K10" s="173">
        <f t="shared" si="2"/>
        <v>0</v>
      </c>
      <c r="L10" s="175"/>
      <c r="M10" s="172">
        <f t="shared" si="4"/>
        <v>0</v>
      </c>
      <c r="N10" s="172">
        <f t="shared" si="5"/>
        <v>78595</v>
      </c>
    </row>
    <row r="11" spans="1:15" ht="13.5" customHeight="1" x14ac:dyDescent="0.25">
      <c r="A11" s="110">
        <f t="shared" si="6"/>
        <v>44108</v>
      </c>
      <c r="B11" s="174">
        <f t="shared" si="0"/>
        <v>0</v>
      </c>
      <c r="C11" s="172"/>
      <c r="D11" s="174">
        <f>+E11/600</f>
        <v>0</v>
      </c>
      <c r="E11" s="172"/>
      <c r="F11" s="174">
        <f t="shared" si="1"/>
        <v>0</v>
      </c>
      <c r="G11" s="172"/>
      <c r="H11" s="172"/>
      <c r="I11" s="172"/>
      <c r="J11" s="172"/>
      <c r="K11" s="173">
        <f>C11+E11+G11+H11+I11+J11</f>
        <v>0</v>
      </c>
      <c r="L11" s="175"/>
      <c r="M11" s="172">
        <f t="shared" si="4"/>
        <v>0</v>
      </c>
      <c r="N11" s="172">
        <f t="shared" si="5"/>
        <v>78595</v>
      </c>
    </row>
    <row r="12" spans="1:15" ht="13.5" customHeight="1" x14ac:dyDescent="0.25">
      <c r="A12" s="110">
        <f t="shared" si="6"/>
        <v>44109</v>
      </c>
      <c r="B12" s="174">
        <f t="shared" si="0"/>
        <v>0</v>
      </c>
      <c r="C12" s="173"/>
      <c r="D12" s="174">
        <f t="shared" si="3"/>
        <v>0</v>
      </c>
      <c r="E12" s="172"/>
      <c r="F12" s="174">
        <f t="shared" si="1"/>
        <v>0</v>
      </c>
      <c r="G12" s="172"/>
      <c r="H12" s="172"/>
      <c r="I12" s="172"/>
      <c r="J12" s="172"/>
      <c r="K12" s="173">
        <f t="shared" si="2"/>
        <v>0</v>
      </c>
      <c r="L12" s="175"/>
      <c r="M12" s="172">
        <f t="shared" si="4"/>
        <v>0</v>
      </c>
      <c r="N12" s="172">
        <f t="shared" si="5"/>
        <v>78595</v>
      </c>
    </row>
    <row r="13" spans="1:15" ht="13.5" customHeight="1" x14ac:dyDescent="0.25">
      <c r="A13" s="110">
        <f t="shared" si="6"/>
        <v>44110</v>
      </c>
      <c r="B13" s="174">
        <f t="shared" si="0"/>
        <v>0</v>
      </c>
      <c r="C13" s="173"/>
      <c r="D13" s="174">
        <f t="shared" si="3"/>
        <v>0</v>
      </c>
      <c r="E13" s="172"/>
      <c r="F13" s="174">
        <f t="shared" si="1"/>
        <v>0</v>
      </c>
      <c r="G13" s="172"/>
      <c r="H13" s="172"/>
      <c r="I13" s="172"/>
      <c r="J13" s="172"/>
      <c r="K13" s="173">
        <f t="shared" si="2"/>
        <v>0</v>
      </c>
      <c r="L13" s="175"/>
      <c r="M13" s="172">
        <f t="shared" si="4"/>
        <v>0</v>
      </c>
      <c r="N13" s="172">
        <f t="shared" si="5"/>
        <v>78595</v>
      </c>
    </row>
    <row r="14" spans="1:15" ht="13.5" customHeight="1" x14ac:dyDescent="0.3">
      <c r="A14" s="110">
        <f t="shared" si="6"/>
        <v>44111</v>
      </c>
      <c r="B14" s="174">
        <f t="shared" si="0"/>
        <v>0</v>
      </c>
      <c r="C14" s="172"/>
      <c r="D14" s="174">
        <f t="shared" si="3"/>
        <v>0</v>
      </c>
      <c r="E14" s="172"/>
      <c r="F14" s="174">
        <f t="shared" si="1"/>
        <v>0</v>
      </c>
      <c r="G14" s="172"/>
      <c r="H14" s="172"/>
      <c r="I14" s="172"/>
      <c r="J14" s="172"/>
      <c r="K14" s="173">
        <f t="shared" si="2"/>
        <v>0</v>
      </c>
      <c r="L14" s="175"/>
      <c r="M14" s="172">
        <f t="shared" si="4"/>
        <v>0</v>
      </c>
      <c r="N14" s="172">
        <f t="shared" si="5"/>
        <v>78595</v>
      </c>
      <c r="O14" s="142"/>
    </row>
    <row r="15" spans="1:15" ht="13.5" customHeight="1" x14ac:dyDescent="0.25">
      <c r="A15" s="110">
        <f t="shared" si="6"/>
        <v>44112</v>
      </c>
      <c r="B15" s="174">
        <f t="shared" si="0"/>
        <v>0</v>
      </c>
      <c r="C15" s="172"/>
      <c r="D15" s="174">
        <f t="shared" si="3"/>
        <v>0</v>
      </c>
      <c r="E15" s="172"/>
      <c r="F15" s="174">
        <f t="shared" si="1"/>
        <v>0</v>
      </c>
      <c r="G15" s="172"/>
      <c r="H15" s="172"/>
      <c r="I15" s="172"/>
      <c r="J15" s="172"/>
      <c r="K15" s="173">
        <f t="shared" si="2"/>
        <v>0</v>
      </c>
      <c r="L15" s="175"/>
      <c r="M15" s="172">
        <f t="shared" si="4"/>
        <v>0</v>
      </c>
      <c r="N15" s="172">
        <f t="shared" si="5"/>
        <v>78595</v>
      </c>
    </row>
    <row r="16" spans="1:15" ht="13.5" customHeight="1" x14ac:dyDescent="0.25">
      <c r="A16" s="110">
        <f t="shared" si="6"/>
        <v>44113</v>
      </c>
      <c r="B16" s="174">
        <f t="shared" si="0"/>
        <v>0</v>
      </c>
      <c r="C16" s="175"/>
      <c r="D16" s="174">
        <f t="shared" si="3"/>
        <v>0</v>
      </c>
      <c r="E16" s="172"/>
      <c r="F16" s="174">
        <f t="shared" si="1"/>
        <v>0</v>
      </c>
      <c r="G16" s="175"/>
      <c r="H16" s="175"/>
      <c r="I16" s="175"/>
      <c r="J16" s="175"/>
      <c r="K16" s="184">
        <f t="shared" si="2"/>
        <v>0</v>
      </c>
      <c r="L16" s="175"/>
      <c r="M16" s="172">
        <f t="shared" si="4"/>
        <v>0</v>
      </c>
      <c r="N16" s="172">
        <f t="shared" si="5"/>
        <v>78595</v>
      </c>
    </row>
    <row r="17" spans="1:15" ht="13.5" customHeight="1" x14ac:dyDescent="0.25">
      <c r="A17" s="110">
        <f t="shared" si="6"/>
        <v>44114</v>
      </c>
      <c r="B17" s="174">
        <f>+C17/569</f>
        <v>0</v>
      </c>
      <c r="C17" s="175"/>
      <c r="D17" s="174">
        <f t="shared" si="3"/>
        <v>0</v>
      </c>
      <c r="E17" s="172"/>
      <c r="F17" s="174">
        <f>+G17/569</f>
        <v>0</v>
      </c>
      <c r="G17" s="175"/>
      <c r="H17" s="175"/>
      <c r="I17" s="175"/>
      <c r="J17" s="175"/>
      <c r="K17" s="184">
        <f t="shared" si="2"/>
        <v>0</v>
      </c>
      <c r="L17" s="175"/>
      <c r="M17" s="172">
        <f t="shared" si="4"/>
        <v>0</v>
      </c>
      <c r="N17" s="172">
        <f t="shared" si="5"/>
        <v>78595</v>
      </c>
    </row>
    <row r="18" spans="1:15" ht="13.5" customHeight="1" x14ac:dyDescent="0.25">
      <c r="A18" s="110">
        <f t="shared" si="6"/>
        <v>44115</v>
      </c>
      <c r="B18" s="174">
        <f t="shared" ref="B18:B38" si="7">+C18/569</f>
        <v>0</v>
      </c>
      <c r="C18" s="175"/>
      <c r="D18" s="174">
        <f t="shared" si="3"/>
        <v>0</v>
      </c>
      <c r="E18" s="172"/>
      <c r="F18" s="174">
        <f t="shared" ref="F18:F38" si="8">+G18/569</f>
        <v>0</v>
      </c>
      <c r="G18" s="175"/>
      <c r="H18" s="175"/>
      <c r="I18" s="175"/>
      <c r="J18" s="175"/>
      <c r="K18" s="184">
        <f>C18+E18+G18+H18+I18+J18</f>
        <v>0</v>
      </c>
      <c r="L18" s="175"/>
      <c r="M18" s="172">
        <f t="shared" si="4"/>
        <v>0</v>
      </c>
      <c r="N18" s="172">
        <f>+N17+K18-L18</f>
        <v>78595</v>
      </c>
    </row>
    <row r="19" spans="1:15" ht="13.5" customHeight="1" x14ac:dyDescent="0.25">
      <c r="A19" s="110">
        <f t="shared" si="6"/>
        <v>44116</v>
      </c>
      <c r="B19" s="174">
        <f t="shared" si="7"/>
        <v>0</v>
      </c>
      <c r="C19" s="175"/>
      <c r="D19" s="174">
        <f t="shared" si="3"/>
        <v>0</v>
      </c>
      <c r="E19" s="172"/>
      <c r="F19" s="174" t="s">
        <v>517</v>
      </c>
      <c r="G19" s="175"/>
      <c r="H19" s="175"/>
      <c r="I19" s="175"/>
      <c r="J19" s="175"/>
      <c r="K19" s="184">
        <f t="shared" si="2"/>
        <v>0</v>
      </c>
      <c r="L19" s="175"/>
      <c r="M19" s="172">
        <f t="shared" si="4"/>
        <v>0</v>
      </c>
      <c r="N19" s="172">
        <f t="shared" si="5"/>
        <v>78595</v>
      </c>
    </row>
    <row r="20" spans="1:15" ht="13.5" customHeight="1" x14ac:dyDescent="0.25">
      <c r="A20" s="110">
        <f t="shared" si="6"/>
        <v>44117</v>
      </c>
      <c r="B20" s="174">
        <f t="shared" si="7"/>
        <v>0</v>
      </c>
      <c r="C20" s="175"/>
      <c r="D20" s="174">
        <f t="shared" si="3"/>
        <v>0</v>
      </c>
      <c r="E20" s="172"/>
      <c r="F20" s="174">
        <f t="shared" si="8"/>
        <v>0</v>
      </c>
      <c r="G20" s="175"/>
      <c r="H20" s="175"/>
      <c r="I20" s="175"/>
      <c r="J20" s="175"/>
      <c r="K20" s="184">
        <f t="shared" si="2"/>
        <v>0</v>
      </c>
      <c r="L20" s="175"/>
      <c r="M20" s="172">
        <f t="shared" si="4"/>
        <v>0</v>
      </c>
      <c r="N20" s="172">
        <f t="shared" si="5"/>
        <v>78595</v>
      </c>
    </row>
    <row r="21" spans="1:15" ht="13.5" customHeight="1" x14ac:dyDescent="0.25">
      <c r="A21" s="110">
        <f t="shared" si="6"/>
        <v>44118</v>
      </c>
      <c r="B21" s="174">
        <f t="shared" si="7"/>
        <v>0</v>
      </c>
      <c r="C21" s="175"/>
      <c r="D21" s="174">
        <f t="shared" si="3"/>
        <v>0</v>
      </c>
      <c r="E21" s="172"/>
      <c r="F21" s="174">
        <f t="shared" si="8"/>
        <v>0</v>
      </c>
      <c r="G21" s="175"/>
      <c r="H21" s="175"/>
      <c r="I21" s="175"/>
      <c r="J21" s="175"/>
      <c r="K21" s="184">
        <f t="shared" si="2"/>
        <v>0</v>
      </c>
      <c r="L21" s="175"/>
      <c r="M21" s="172">
        <f t="shared" si="4"/>
        <v>0</v>
      </c>
      <c r="N21" s="172">
        <f t="shared" si="5"/>
        <v>78595</v>
      </c>
    </row>
    <row r="22" spans="1:15" ht="13.5" customHeight="1" x14ac:dyDescent="0.25">
      <c r="A22" s="110">
        <f t="shared" si="6"/>
        <v>44119</v>
      </c>
      <c r="B22" s="174">
        <f t="shared" si="7"/>
        <v>0</v>
      </c>
      <c r="C22" s="175"/>
      <c r="D22" s="174">
        <f t="shared" si="3"/>
        <v>0</v>
      </c>
      <c r="E22" s="172"/>
      <c r="F22" s="174">
        <f t="shared" si="8"/>
        <v>0</v>
      </c>
      <c r="G22" s="175"/>
      <c r="H22" s="175"/>
      <c r="I22" s="175"/>
      <c r="J22" s="175"/>
      <c r="K22" s="184">
        <f t="shared" si="2"/>
        <v>0</v>
      </c>
      <c r="L22" s="175"/>
      <c r="M22" s="172">
        <f t="shared" si="4"/>
        <v>0</v>
      </c>
      <c r="N22" s="172">
        <f t="shared" si="5"/>
        <v>78595</v>
      </c>
    </row>
    <row r="23" spans="1:15" ht="13.5" customHeight="1" x14ac:dyDescent="0.25">
      <c r="A23" s="110">
        <f t="shared" si="6"/>
        <v>44120</v>
      </c>
      <c r="B23" s="174">
        <f t="shared" si="7"/>
        <v>0</v>
      </c>
      <c r="C23" s="175"/>
      <c r="D23" s="174">
        <f t="shared" si="3"/>
        <v>0</v>
      </c>
      <c r="E23" s="172"/>
      <c r="F23" s="174">
        <f t="shared" si="8"/>
        <v>0</v>
      </c>
      <c r="G23" s="175"/>
      <c r="H23" s="175"/>
      <c r="I23" s="175"/>
      <c r="J23" s="175"/>
      <c r="K23" s="184">
        <f t="shared" si="2"/>
        <v>0</v>
      </c>
      <c r="L23" s="172"/>
      <c r="M23" s="172">
        <f t="shared" si="4"/>
        <v>0</v>
      </c>
      <c r="N23" s="172">
        <f t="shared" si="5"/>
        <v>78595</v>
      </c>
    </row>
    <row r="24" spans="1:15" ht="13.5" customHeight="1" x14ac:dyDescent="0.25">
      <c r="A24" s="110">
        <f t="shared" si="6"/>
        <v>44121</v>
      </c>
      <c r="B24" s="174">
        <f t="shared" si="7"/>
        <v>0</v>
      </c>
      <c r="C24" s="175"/>
      <c r="D24" s="174">
        <f>+E24/600</f>
        <v>0</v>
      </c>
      <c r="E24" s="172"/>
      <c r="F24" s="174">
        <f t="shared" si="8"/>
        <v>0</v>
      </c>
      <c r="G24" s="175"/>
      <c r="H24" s="175"/>
      <c r="I24" s="175"/>
      <c r="J24" s="175"/>
      <c r="K24" s="184">
        <f t="shared" si="2"/>
        <v>0</v>
      </c>
      <c r="L24" s="172"/>
      <c r="M24" s="172">
        <f t="shared" si="4"/>
        <v>0</v>
      </c>
      <c r="N24" s="172">
        <f t="shared" si="5"/>
        <v>78595</v>
      </c>
    </row>
    <row r="25" spans="1:15" ht="13.5" customHeight="1" x14ac:dyDescent="0.25">
      <c r="A25" s="110">
        <f t="shared" si="6"/>
        <v>44122</v>
      </c>
      <c r="B25" s="174">
        <f t="shared" si="7"/>
        <v>0</v>
      </c>
      <c r="C25" s="175"/>
      <c r="D25" s="174">
        <f t="shared" si="3"/>
        <v>0</v>
      </c>
      <c r="E25" s="172"/>
      <c r="F25" s="174">
        <f t="shared" si="8"/>
        <v>0</v>
      </c>
      <c r="G25" s="175"/>
      <c r="H25" s="175"/>
      <c r="I25" s="175"/>
      <c r="J25" s="175"/>
      <c r="K25" s="184">
        <f>C25+E25+G25+H25+I25+J25</f>
        <v>0</v>
      </c>
      <c r="L25" s="172"/>
      <c r="M25" s="172">
        <f t="shared" si="4"/>
        <v>0</v>
      </c>
      <c r="N25" s="172">
        <f t="shared" si="5"/>
        <v>78595</v>
      </c>
    </row>
    <row r="26" spans="1:15" ht="13.5" customHeight="1" x14ac:dyDescent="0.25">
      <c r="A26" s="110">
        <f t="shared" si="6"/>
        <v>44123</v>
      </c>
      <c r="B26" s="174">
        <f t="shared" si="7"/>
        <v>0</v>
      </c>
      <c r="C26" s="175"/>
      <c r="D26" s="174">
        <f t="shared" si="3"/>
        <v>0</v>
      </c>
      <c r="E26" s="172"/>
      <c r="F26" s="174">
        <f t="shared" si="8"/>
        <v>0</v>
      </c>
      <c r="G26" s="175"/>
      <c r="H26" s="175"/>
      <c r="I26" s="175"/>
      <c r="J26" s="175"/>
      <c r="K26" s="184">
        <f>C26+E26+G26+H26+I26+J26</f>
        <v>0</v>
      </c>
      <c r="L26" s="172"/>
      <c r="M26" s="172">
        <f t="shared" si="4"/>
        <v>0</v>
      </c>
      <c r="N26" s="172">
        <f t="shared" si="5"/>
        <v>78595</v>
      </c>
    </row>
    <row r="27" spans="1:15" ht="13.5" customHeight="1" x14ac:dyDescent="0.25">
      <c r="A27" s="110">
        <f t="shared" si="6"/>
        <v>44124</v>
      </c>
      <c r="B27" s="174">
        <f t="shared" si="7"/>
        <v>0</v>
      </c>
      <c r="C27" s="175"/>
      <c r="D27" s="174">
        <f t="shared" si="3"/>
        <v>0</v>
      </c>
      <c r="E27" s="172"/>
      <c r="F27" s="174">
        <f t="shared" si="8"/>
        <v>0</v>
      </c>
      <c r="G27" s="175"/>
      <c r="H27" s="175"/>
      <c r="I27" s="175"/>
      <c r="J27" s="175"/>
      <c r="K27" s="184">
        <f t="shared" si="2"/>
        <v>0</v>
      </c>
      <c r="L27" s="172"/>
      <c r="M27" s="172">
        <f t="shared" si="4"/>
        <v>0</v>
      </c>
      <c r="N27" s="172">
        <f t="shared" si="5"/>
        <v>78595</v>
      </c>
    </row>
    <row r="28" spans="1:15" ht="13.5" customHeight="1" x14ac:dyDescent="0.25">
      <c r="A28" s="110">
        <f t="shared" si="6"/>
        <v>44125</v>
      </c>
      <c r="B28" s="174">
        <f t="shared" si="7"/>
        <v>0</v>
      </c>
      <c r="C28" s="175"/>
      <c r="D28" s="174">
        <f t="shared" si="3"/>
        <v>0</v>
      </c>
      <c r="E28" s="172"/>
      <c r="F28" s="174">
        <f t="shared" si="8"/>
        <v>0</v>
      </c>
      <c r="G28" s="175"/>
      <c r="H28" s="175"/>
      <c r="I28" s="175"/>
      <c r="J28" s="175"/>
      <c r="K28" s="184">
        <f t="shared" si="2"/>
        <v>0</v>
      </c>
      <c r="L28" s="172"/>
      <c r="M28" s="172">
        <f t="shared" si="4"/>
        <v>0</v>
      </c>
      <c r="N28" s="172">
        <f t="shared" si="5"/>
        <v>78595</v>
      </c>
      <c r="O28" s="218"/>
    </row>
    <row r="29" spans="1:15" ht="13.5" customHeight="1" x14ac:dyDescent="0.25">
      <c r="A29" s="110">
        <f t="shared" si="6"/>
        <v>44126</v>
      </c>
      <c r="B29" s="174">
        <f t="shared" si="7"/>
        <v>0</v>
      </c>
      <c r="C29" s="175"/>
      <c r="D29" s="174">
        <f t="shared" si="3"/>
        <v>0</v>
      </c>
      <c r="E29" s="172"/>
      <c r="F29" s="174">
        <f t="shared" si="8"/>
        <v>0</v>
      </c>
      <c r="G29" s="175"/>
      <c r="H29" s="175"/>
      <c r="I29" s="175"/>
      <c r="J29" s="175"/>
      <c r="K29" s="184">
        <f t="shared" si="2"/>
        <v>0</v>
      </c>
      <c r="L29" s="172"/>
      <c r="M29" s="172">
        <f t="shared" si="4"/>
        <v>0</v>
      </c>
      <c r="N29" s="172">
        <f t="shared" si="5"/>
        <v>78595</v>
      </c>
    </row>
    <row r="30" spans="1:15" ht="13.5" customHeight="1" x14ac:dyDescent="0.25">
      <c r="A30" s="110">
        <f t="shared" si="6"/>
        <v>44127</v>
      </c>
      <c r="B30" s="174">
        <f t="shared" si="7"/>
        <v>0</v>
      </c>
      <c r="C30" s="175"/>
      <c r="D30" s="174">
        <f t="shared" si="3"/>
        <v>0</v>
      </c>
      <c r="E30" s="172"/>
      <c r="F30" s="174">
        <f t="shared" si="8"/>
        <v>0</v>
      </c>
      <c r="G30" s="175"/>
      <c r="H30" s="175"/>
      <c r="I30" s="175"/>
      <c r="J30" s="175"/>
      <c r="K30" s="184">
        <f t="shared" si="2"/>
        <v>0</v>
      </c>
      <c r="L30" s="172"/>
      <c r="M30" s="172">
        <f t="shared" si="4"/>
        <v>0</v>
      </c>
      <c r="N30" s="172">
        <f t="shared" si="5"/>
        <v>78595</v>
      </c>
      <c r="O30" s="218">
        <f>+N30-8000</f>
        <v>70595</v>
      </c>
    </row>
    <row r="31" spans="1:15" ht="13.5" customHeight="1" x14ac:dyDescent="0.25">
      <c r="A31" s="110">
        <f t="shared" si="6"/>
        <v>44128</v>
      </c>
      <c r="B31" s="174">
        <f t="shared" si="7"/>
        <v>0</v>
      </c>
      <c r="C31" s="172"/>
      <c r="D31" s="174">
        <f t="shared" si="3"/>
        <v>0</v>
      </c>
      <c r="E31" s="172"/>
      <c r="F31" s="174">
        <f t="shared" si="8"/>
        <v>0</v>
      </c>
      <c r="G31" s="172"/>
      <c r="H31" s="172"/>
      <c r="I31" s="172"/>
      <c r="J31" s="172"/>
      <c r="K31" s="173">
        <f t="shared" si="2"/>
        <v>0</v>
      </c>
      <c r="L31" s="172"/>
      <c r="M31" s="172">
        <f t="shared" si="4"/>
        <v>0</v>
      </c>
      <c r="N31" s="172">
        <f t="shared" si="5"/>
        <v>78595</v>
      </c>
    </row>
    <row r="32" spans="1:15" ht="13.5" customHeight="1" x14ac:dyDescent="0.25">
      <c r="A32" s="110">
        <f t="shared" si="6"/>
        <v>44129</v>
      </c>
      <c r="B32" s="174">
        <f t="shared" si="7"/>
        <v>0</v>
      </c>
      <c r="C32" s="172"/>
      <c r="D32" s="174">
        <f t="shared" si="3"/>
        <v>0</v>
      </c>
      <c r="E32" s="172"/>
      <c r="F32" s="174">
        <f t="shared" si="8"/>
        <v>0</v>
      </c>
      <c r="G32" s="172"/>
      <c r="H32" s="172"/>
      <c r="I32" s="172"/>
      <c r="J32" s="172"/>
      <c r="K32" s="173">
        <f t="shared" si="2"/>
        <v>0</v>
      </c>
      <c r="L32" s="172"/>
      <c r="M32" s="172">
        <f t="shared" si="4"/>
        <v>0</v>
      </c>
      <c r="N32" s="172">
        <f t="shared" si="5"/>
        <v>78595</v>
      </c>
      <c r="O32" s="218"/>
    </row>
    <row r="33" spans="1:15" ht="19.5" x14ac:dyDescent="0.25">
      <c r="A33" s="110">
        <f t="shared" si="6"/>
        <v>44130</v>
      </c>
      <c r="B33" s="174">
        <f t="shared" si="7"/>
        <v>0</v>
      </c>
      <c r="C33" s="172"/>
      <c r="D33" s="174">
        <f t="shared" si="3"/>
        <v>0</v>
      </c>
      <c r="E33" s="172"/>
      <c r="F33" s="174">
        <f t="shared" si="8"/>
        <v>0</v>
      </c>
      <c r="G33" s="172"/>
      <c r="H33" s="172"/>
      <c r="I33" s="172"/>
      <c r="J33" s="172"/>
      <c r="K33" s="173">
        <f>C33+E33+G33+H33+I33+J33</f>
        <v>0</v>
      </c>
      <c r="L33" s="172"/>
      <c r="M33" s="172">
        <f t="shared" si="4"/>
        <v>0</v>
      </c>
      <c r="N33" s="172">
        <f t="shared" si="5"/>
        <v>78595</v>
      </c>
      <c r="O33" s="218"/>
    </row>
    <row r="34" spans="1:15" ht="19.5" x14ac:dyDescent="0.25">
      <c r="A34" s="110">
        <f t="shared" si="6"/>
        <v>44131</v>
      </c>
      <c r="B34" s="174">
        <f t="shared" si="7"/>
        <v>0</v>
      </c>
      <c r="C34" s="172"/>
      <c r="D34" s="174">
        <f t="shared" si="3"/>
        <v>0</v>
      </c>
      <c r="E34" s="172"/>
      <c r="F34" s="174">
        <f t="shared" si="8"/>
        <v>0</v>
      </c>
      <c r="G34" s="172"/>
      <c r="H34" s="172"/>
      <c r="I34" s="172"/>
      <c r="J34" s="172"/>
      <c r="K34" s="173">
        <f t="shared" si="2"/>
        <v>0</v>
      </c>
      <c r="L34" s="172"/>
      <c r="M34" s="172">
        <f t="shared" si="4"/>
        <v>0</v>
      </c>
      <c r="N34" s="172">
        <f t="shared" si="5"/>
        <v>78595</v>
      </c>
    </row>
    <row r="35" spans="1:15" ht="19.5" x14ac:dyDescent="0.25">
      <c r="A35" s="110">
        <f t="shared" si="6"/>
        <v>44132</v>
      </c>
      <c r="B35" s="174">
        <f t="shared" si="7"/>
        <v>0</v>
      </c>
      <c r="C35" s="172"/>
      <c r="D35" s="174">
        <f t="shared" si="3"/>
        <v>0</v>
      </c>
      <c r="E35" s="172"/>
      <c r="F35" s="174">
        <f t="shared" si="8"/>
        <v>0</v>
      </c>
      <c r="G35" s="172"/>
      <c r="H35" s="172"/>
      <c r="I35" s="172"/>
      <c r="J35" s="172"/>
      <c r="K35" s="173">
        <f t="shared" si="2"/>
        <v>0</v>
      </c>
      <c r="L35" s="172"/>
      <c r="M35" s="172">
        <f t="shared" si="4"/>
        <v>0</v>
      </c>
      <c r="N35" s="172">
        <f t="shared" si="5"/>
        <v>78595</v>
      </c>
    </row>
    <row r="36" spans="1:15" ht="19.5" x14ac:dyDescent="0.25">
      <c r="A36" s="110">
        <f t="shared" si="6"/>
        <v>44133</v>
      </c>
      <c r="B36" s="174">
        <f t="shared" si="7"/>
        <v>0</v>
      </c>
      <c r="C36" s="172"/>
      <c r="D36" s="174">
        <f t="shared" si="3"/>
        <v>0</v>
      </c>
      <c r="E36" s="172"/>
      <c r="F36" s="174">
        <f t="shared" si="8"/>
        <v>0</v>
      </c>
      <c r="G36" s="172"/>
      <c r="H36" s="172"/>
      <c r="I36" s="172"/>
      <c r="J36" s="172"/>
      <c r="K36" s="173">
        <f t="shared" si="2"/>
        <v>0</v>
      </c>
      <c r="L36" s="172"/>
      <c r="M36" s="172">
        <f t="shared" si="4"/>
        <v>0</v>
      </c>
      <c r="N36" s="172">
        <f t="shared" si="5"/>
        <v>78595</v>
      </c>
    </row>
    <row r="37" spans="1:15" ht="19.5" x14ac:dyDescent="0.25">
      <c r="A37" s="110">
        <f t="shared" si="6"/>
        <v>44134</v>
      </c>
      <c r="B37" s="174">
        <f t="shared" si="7"/>
        <v>0</v>
      </c>
      <c r="C37" s="172"/>
      <c r="D37" s="174">
        <f t="shared" si="3"/>
        <v>0</v>
      </c>
      <c r="E37" s="172"/>
      <c r="F37" s="174">
        <f t="shared" si="8"/>
        <v>0</v>
      </c>
      <c r="G37" s="172"/>
      <c r="H37" s="172"/>
      <c r="I37" s="172"/>
      <c r="J37" s="172"/>
      <c r="K37" s="173">
        <f t="shared" si="2"/>
        <v>0</v>
      </c>
      <c r="L37" s="172"/>
      <c r="M37" s="172">
        <f t="shared" si="4"/>
        <v>0</v>
      </c>
      <c r="N37" s="172">
        <f t="shared" si="5"/>
        <v>78595</v>
      </c>
      <c r="O37" s="218"/>
    </row>
    <row r="38" spans="1:15" ht="19.5" x14ac:dyDescent="0.25">
      <c r="A38" s="110">
        <f t="shared" si="6"/>
        <v>44135</v>
      </c>
      <c r="B38" s="174">
        <f t="shared" si="7"/>
        <v>0</v>
      </c>
      <c r="C38" s="172"/>
      <c r="D38" s="174">
        <f t="shared" si="3"/>
        <v>0</v>
      </c>
      <c r="E38" s="172"/>
      <c r="F38" s="174">
        <f t="shared" si="8"/>
        <v>0</v>
      </c>
      <c r="G38" s="172"/>
      <c r="H38" s="172"/>
      <c r="I38" s="172"/>
      <c r="J38" s="172"/>
      <c r="K38" s="173">
        <f t="shared" si="2"/>
        <v>0</v>
      </c>
      <c r="L38" s="172"/>
      <c r="M38" s="172">
        <f t="shared" si="4"/>
        <v>0</v>
      </c>
      <c r="N38" s="177">
        <f>+N37+K38-L38</f>
        <v>78595</v>
      </c>
    </row>
    <row r="39" spans="1:15" ht="19.5" x14ac:dyDescent="0.25">
      <c r="A39" s="178" t="s">
        <v>18</v>
      </c>
      <c r="B39" s="185">
        <f t="shared" ref="B39:K39" si="9">SUM(B8:B38)</f>
        <v>0</v>
      </c>
      <c r="C39" s="173">
        <f t="shared" si="9"/>
        <v>0</v>
      </c>
      <c r="D39" s="179">
        <f t="shared" si="9"/>
        <v>0</v>
      </c>
      <c r="E39" s="173">
        <f t="shared" si="9"/>
        <v>0</v>
      </c>
      <c r="F39" s="173">
        <f t="shared" si="9"/>
        <v>0</v>
      </c>
      <c r="G39" s="173">
        <f t="shared" si="9"/>
        <v>0</v>
      </c>
      <c r="H39" s="173">
        <f t="shared" si="9"/>
        <v>0</v>
      </c>
      <c r="I39" s="173">
        <f t="shared" si="9"/>
        <v>0</v>
      </c>
      <c r="J39" s="173">
        <f t="shared" si="9"/>
        <v>0</v>
      </c>
      <c r="K39" s="173">
        <f t="shared" si="9"/>
        <v>0</v>
      </c>
      <c r="L39" s="173">
        <f>SUM(L8:L38)</f>
        <v>0</v>
      </c>
      <c r="M39" s="177">
        <f>SUM(M7:M38)</f>
        <v>78595</v>
      </c>
      <c r="N39" s="180"/>
    </row>
    <row r="40" spans="1:15" x14ac:dyDescent="0.25">
      <c r="N40" s="218">
        <f>M39-145000</f>
        <v>-66405</v>
      </c>
    </row>
    <row r="44" spans="1:15" x14ac:dyDescent="0.25">
      <c r="E44" s="667"/>
    </row>
  </sheetData>
  <mergeCells count="7">
    <mergeCell ref="N5:N6"/>
    <mergeCell ref="H5:H6"/>
    <mergeCell ref="I5:I6"/>
    <mergeCell ref="J5:J6"/>
    <mergeCell ref="K5:K6"/>
    <mergeCell ref="L5:L6"/>
    <mergeCell ref="M5:M6"/>
  </mergeCells>
  <printOptions horizontalCentered="1"/>
  <pageMargins left="0.39370078740157483" right="0.39370078740157483" top="0.74803149606299213" bottom="0.39370078740157483" header="0.31496062992125984" footer="0.31496062992125984"/>
  <pageSetup paperSize="9" scale="61" orientation="landscape" r:id="rId1"/>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3">
    <tabColor theme="4" tint="-0.249977111117893"/>
    <pageSetUpPr fitToPage="1"/>
  </sheetPr>
  <dimension ref="A1:O47"/>
  <sheetViews>
    <sheetView topLeftCell="A19" zoomScaleNormal="100" workbookViewId="0">
      <selection activeCell="J18" sqref="J18"/>
    </sheetView>
  </sheetViews>
  <sheetFormatPr baseColWidth="10" defaultRowHeight="12.75" x14ac:dyDescent="0.2"/>
  <cols>
    <col min="1" max="2" width="11.42578125" style="39"/>
    <col min="3" max="3" width="13.42578125" style="39" customWidth="1"/>
    <col min="4" max="4" width="12.7109375" style="39" bestFit="1" customWidth="1"/>
    <col min="5" max="5" width="13.85546875" style="39" bestFit="1" customWidth="1"/>
    <col min="6" max="9" width="11.42578125" style="39"/>
    <col min="10" max="10" width="14.140625" style="39" customWidth="1"/>
    <col min="11" max="11" width="15.85546875" style="39" customWidth="1"/>
    <col min="12" max="12" width="13.85546875" style="39" bestFit="1" customWidth="1"/>
    <col min="13" max="14" width="13.7109375" style="39" bestFit="1" customWidth="1"/>
    <col min="15" max="15" width="15.7109375" style="39" bestFit="1" customWidth="1"/>
    <col min="16" max="16384" width="11.42578125" style="39"/>
  </cols>
  <sheetData>
    <row r="1" spans="1:15" ht="13.5" x14ac:dyDescent="0.25">
      <c r="A1" s="8" t="s">
        <v>118</v>
      </c>
      <c r="B1" s="8" t="s">
        <v>453</v>
      </c>
    </row>
    <row r="2" spans="1:15" ht="13.5" x14ac:dyDescent="0.25">
      <c r="C2" s="14"/>
    </row>
    <row r="3" spans="1:15" ht="18.75" x14ac:dyDescent="0.3">
      <c r="A3" s="1" t="s">
        <v>19</v>
      </c>
      <c r="B3" s="142">
        <f>+SOCOPAT!B4</f>
        <v>44075</v>
      </c>
      <c r="C3" s="8"/>
      <c r="M3" s="37"/>
    </row>
    <row r="4" spans="1:15" ht="13.5" x14ac:dyDescent="0.25">
      <c r="A4" s="8"/>
      <c r="B4" s="8"/>
      <c r="C4" s="8"/>
    </row>
    <row r="5" spans="1:15" ht="19.5" customHeight="1" x14ac:dyDescent="0.25">
      <c r="A5" s="8"/>
      <c r="B5" s="8"/>
      <c r="C5" s="8"/>
      <c r="O5" s="388" t="s">
        <v>190</v>
      </c>
    </row>
    <row r="6" spans="1:15" ht="13.5" x14ac:dyDescent="0.25">
      <c r="A6" s="8"/>
      <c r="B6" s="8"/>
      <c r="C6" s="8"/>
    </row>
    <row r="7" spans="1:15" ht="16.5" x14ac:dyDescent="0.2">
      <c r="A7" s="100" t="s">
        <v>3</v>
      </c>
      <c r="B7" s="889" t="s">
        <v>15</v>
      </c>
      <c r="C7" s="890"/>
      <c r="D7" s="889" t="s">
        <v>16</v>
      </c>
      <c r="E7" s="890"/>
      <c r="F7" s="889" t="s">
        <v>17</v>
      </c>
      <c r="G7" s="890"/>
      <c r="H7" s="2910" t="s">
        <v>52</v>
      </c>
      <c r="I7" s="2910" t="s">
        <v>53</v>
      </c>
      <c r="J7" s="2910" t="s">
        <v>119</v>
      </c>
      <c r="K7" s="886"/>
      <c r="L7" s="2910" t="s">
        <v>18</v>
      </c>
      <c r="M7" s="3065" t="s">
        <v>223</v>
      </c>
      <c r="N7" s="2910" t="s">
        <v>55</v>
      </c>
      <c r="O7" s="2910" t="s">
        <v>120</v>
      </c>
    </row>
    <row r="8" spans="1:15" ht="16.5" x14ac:dyDescent="0.2">
      <c r="A8" s="103"/>
      <c r="B8" s="913">
        <v>650</v>
      </c>
      <c r="C8" s="914"/>
      <c r="D8" s="913">
        <v>600</v>
      </c>
      <c r="E8" s="914"/>
      <c r="F8" s="913">
        <v>350</v>
      </c>
      <c r="G8" s="914"/>
      <c r="H8" s="3059"/>
      <c r="I8" s="3059"/>
      <c r="J8" s="3059"/>
      <c r="K8" s="888"/>
      <c r="L8" s="3059"/>
      <c r="M8" s="3066"/>
      <c r="N8" s="2911"/>
      <c r="O8" s="2911"/>
    </row>
    <row r="9" spans="1:15" ht="16.5" x14ac:dyDescent="0.2">
      <c r="A9" s="105"/>
      <c r="B9" s="106" t="s">
        <v>56</v>
      </c>
      <c r="C9" s="106"/>
      <c r="D9" s="107" t="s">
        <v>56</v>
      </c>
      <c r="E9" s="106"/>
      <c r="F9" s="106" t="s">
        <v>56</v>
      </c>
      <c r="G9" s="106" t="s">
        <v>37</v>
      </c>
      <c r="H9" s="2911"/>
      <c r="I9" s="2911"/>
      <c r="J9" s="2911"/>
      <c r="K9" s="887"/>
      <c r="L9" s="2911"/>
      <c r="M9" s="108"/>
      <c r="N9" s="276">
        <v>1935300</v>
      </c>
      <c r="O9" s="109">
        <f>N9</f>
        <v>1935300</v>
      </c>
    </row>
    <row r="10" spans="1:15" ht="16.5" x14ac:dyDescent="0.25">
      <c r="A10" s="110">
        <f>+KONGFU!A9</f>
        <v>44105</v>
      </c>
      <c r="B10" s="114">
        <f>+C10/B$8</f>
        <v>0</v>
      </c>
      <c r="C10" s="86"/>
      <c r="D10" s="114">
        <f t="shared" ref="D10:D40" si="0">+E10/520</f>
        <v>0</v>
      </c>
      <c r="E10" s="86"/>
      <c r="F10" s="111">
        <f>+G10/F$8</f>
        <v>0</v>
      </c>
      <c r="G10" s="114"/>
      <c r="H10" s="114"/>
      <c r="I10" s="114"/>
      <c r="J10" s="114"/>
      <c r="K10" s="114"/>
      <c r="L10" s="115">
        <f>C10+E10+G10+H10+I10+J10</f>
        <v>0</v>
      </c>
      <c r="M10" s="113"/>
      <c r="N10" s="114">
        <f>L10-M10</f>
        <v>0</v>
      </c>
      <c r="O10" s="114">
        <f>+O9+L10-M10</f>
        <v>1935300</v>
      </c>
    </row>
    <row r="11" spans="1:15" ht="16.5" x14ac:dyDescent="0.25">
      <c r="A11" s="110">
        <f>+A10+1</f>
        <v>44106</v>
      </c>
      <c r="B11" s="114">
        <f t="shared" ref="B11:B40" si="1">+C11/B$8</f>
        <v>0</v>
      </c>
      <c r="C11" s="86"/>
      <c r="D11" s="114">
        <f t="shared" si="0"/>
        <v>0</v>
      </c>
      <c r="E11" s="86"/>
      <c r="F11" s="111">
        <f t="shared" ref="F11:F40" si="2">+G11/F$8</f>
        <v>0</v>
      </c>
      <c r="G11" s="114"/>
      <c r="H11" s="114"/>
      <c r="I11" s="114"/>
      <c r="J11" s="114"/>
      <c r="K11" s="114"/>
      <c r="L11" s="115">
        <f t="shared" ref="L11:L40" si="3">C11+E11+G11+H11+I11+J11</f>
        <v>0</v>
      </c>
      <c r="M11" s="86"/>
      <c r="N11" s="114">
        <f t="shared" ref="N11:N38" si="4">L11-M11</f>
        <v>0</v>
      </c>
      <c r="O11" s="114">
        <f t="shared" ref="O11:O38" si="5">+O10+L11-M11</f>
        <v>1935300</v>
      </c>
    </row>
    <row r="12" spans="1:15" ht="16.5" x14ac:dyDescent="0.25">
      <c r="A12" s="110">
        <f t="shared" ref="A12:A40" si="6">+A11+1</f>
        <v>44107</v>
      </c>
      <c r="B12" s="114">
        <f t="shared" si="1"/>
        <v>0</v>
      </c>
      <c r="C12" s="86"/>
      <c r="D12" s="114">
        <f t="shared" si="0"/>
        <v>0</v>
      </c>
      <c r="E12" s="86"/>
      <c r="F12" s="111">
        <f t="shared" si="2"/>
        <v>0</v>
      </c>
      <c r="G12" s="114"/>
      <c r="H12" s="114"/>
      <c r="I12" s="114"/>
      <c r="J12" s="114"/>
      <c r="K12" s="114"/>
      <c r="L12" s="115">
        <f t="shared" si="3"/>
        <v>0</v>
      </c>
      <c r="M12" s="86"/>
      <c r="N12" s="114">
        <f t="shared" si="4"/>
        <v>0</v>
      </c>
      <c r="O12" s="114">
        <f t="shared" si="5"/>
        <v>1935300</v>
      </c>
    </row>
    <row r="13" spans="1:15" ht="16.5" x14ac:dyDescent="0.25">
      <c r="A13" s="110">
        <f t="shared" si="6"/>
        <v>44108</v>
      </c>
      <c r="B13" s="114">
        <f t="shared" si="1"/>
        <v>0</v>
      </c>
      <c r="C13" s="86"/>
      <c r="D13" s="114">
        <f t="shared" si="0"/>
        <v>0</v>
      </c>
      <c r="E13" s="86"/>
      <c r="F13" s="111">
        <f t="shared" si="2"/>
        <v>0</v>
      </c>
      <c r="G13" s="114"/>
      <c r="H13" s="114"/>
      <c r="I13" s="114"/>
      <c r="J13" s="114"/>
      <c r="K13" s="114"/>
      <c r="L13" s="115">
        <f t="shared" si="3"/>
        <v>0</v>
      </c>
      <c r="M13" s="86"/>
      <c r="N13" s="114">
        <f t="shared" si="4"/>
        <v>0</v>
      </c>
      <c r="O13" s="114">
        <f t="shared" si="5"/>
        <v>1935300</v>
      </c>
    </row>
    <row r="14" spans="1:15" ht="16.5" x14ac:dyDescent="0.25">
      <c r="A14" s="110">
        <f t="shared" si="6"/>
        <v>44109</v>
      </c>
      <c r="B14" s="114">
        <f t="shared" si="1"/>
        <v>0</v>
      </c>
      <c r="C14" s="86"/>
      <c r="D14" s="114">
        <f t="shared" si="0"/>
        <v>0</v>
      </c>
      <c r="E14" s="86"/>
      <c r="F14" s="111">
        <f t="shared" si="2"/>
        <v>0</v>
      </c>
      <c r="G14" s="114"/>
      <c r="H14" s="114"/>
      <c r="I14" s="114"/>
      <c r="J14" s="114"/>
      <c r="K14" s="114"/>
      <c r="L14" s="115">
        <f t="shared" si="3"/>
        <v>0</v>
      </c>
      <c r="M14" s="86"/>
      <c r="N14" s="114">
        <f t="shared" si="4"/>
        <v>0</v>
      </c>
      <c r="O14" s="114">
        <f t="shared" si="5"/>
        <v>1935300</v>
      </c>
    </row>
    <row r="15" spans="1:15" ht="16.5" x14ac:dyDescent="0.25">
      <c r="A15" s="110">
        <f t="shared" si="6"/>
        <v>44110</v>
      </c>
      <c r="B15" s="114">
        <f t="shared" si="1"/>
        <v>0</v>
      </c>
      <c r="C15" s="86"/>
      <c r="D15" s="114">
        <f t="shared" si="0"/>
        <v>0</v>
      </c>
      <c r="E15" s="86"/>
      <c r="F15" s="111">
        <f t="shared" si="2"/>
        <v>0</v>
      </c>
      <c r="G15" s="114"/>
      <c r="H15" s="114"/>
      <c r="I15" s="114"/>
      <c r="J15" s="114"/>
      <c r="K15" s="114"/>
      <c r="L15" s="115">
        <f t="shared" si="3"/>
        <v>0</v>
      </c>
      <c r="M15" s="86"/>
      <c r="N15" s="114">
        <f t="shared" si="4"/>
        <v>0</v>
      </c>
      <c r="O15" s="114">
        <f t="shared" si="5"/>
        <v>1935300</v>
      </c>
    </row>
    <row r="16" spans="1:15" ht="16.5" x14ac:dyDescent="0.25">
      <c r="A16" s="110">
        <f t="shared" si="6"/>
        <v>44111</v>
      </c>
      <c r="B16" s="114">
        <f t="shared" si="1"/>
        <v>0</v>
      </c>
      <c r="C16" s="86"/>
      <c r="D16" s="114">
        <f t="shared" si="0"/>
        <v>0</v>
      </c>
      <c r="E16" s="86"/>
      <c r="F16" s="111">
        <f t="shared" si="2"/>
        <v>0</v>
      </c>
      <c r="G16" s="114"/>
      <c r="H16" s="114"/>
      <c r="I16" s="114"/>
      <c r="J16" s="114"/>
      <c r="K16" s="114"/>
      <c r="L16" s="115">
        <f t="shared" si="3"/>
        <v>0</v>
      </c>
      <c r="M16" s="86"/>
      <c r="N16" s="114">
        <f t="shared" si="4"/>
        <v>0</v>
      </c>
      <c r="O16" s="114">
        <f t="shared" si="5"/>
        <v>1935300</v>
      </c>
    </row>
    <row r="17" spans="1:15" ht="16.5" x14ac:dyDescent="0.25">
      <c r="A17" s="110">
        <f t="shared" si="6"/>
        <v>44112</v>
      </c>
      <c r="B17" s="114">
        <f t="shared" si="1"/>
        <v>0</v>
      </c>
      <c r="C17" s="86"/>
      <c r="D17" s="114">
        <f t="shared" si="0"/>
        <v>0</v>
      </c>
      <c r="E17" s="86"/>
      <c r="F17" s="111">
        <f t="shared" si="2"/>
        <v>0</v>
      </c>
      <c r="G17" s="114"/>
      <c r="H17" s="114"/>
      <c r="I17" s="114"/>
      <c r="J17" s="114"/>
      <c r="K17" s="114"/>
      <c r="L17" s="115">
        <f t="shared" si="3"/>
        <v>0</v>
      </c>
      <c r="M17" s="86"/>
      <c r="N17" s="114">
        <f t="shared" si="4"/>
        <v>0</v>
      </c>
      <c r="O17" s="114">
        <f t="shared" si="5"/>
        <v>1935300</v>
      </c>
    </row>
    <row r="18" spans="1:15" ht="16.5" x14ac:dyDescent="0.25">
      <c r="A18" s="110">
        <f t="shared" si="6"/>
        <v>44113</v>
      </c>
      <c r="B18" s="114">
        <f t="shared" si="1"/>
        <v>0</v>
      </c>
      <c r="C18" s="86"/>
      <c r="D18" s="114">
        <f t="shared" si="0"/>
        <v>0</v>
      </c>
      <c r="E18" s="86"/>
      <c r="F18" s="111">
        <f t="shared" si="2"/>
        <v>0</v>
      </c>
      <c r="G18" s="118"/>
      <c r="H18" s="118"/>
      <c r="I18" s="118"/>
      <c r="J18" s="118"/>
      <c r="K18" s="118"/>
      <c r="L18" s="115">
        <f t="shared" si="3"/>
        <v>0</v>
      </c>
      <c r="M18" s="86"/>
      <c r="N18" s="114">
        <f t="shared" si="4"/>
        <v>0</v>
      </c>
      <c r="O18" s="118">
        <f t="shared" si="5"/>
        <v>1935300</v>
      </c>
    </row>
    <row r="19" spans="1:15" ht="16.5" x14ac:dyDescent="0.25">
      <c r="A19" s="110">
        <f t="shared" si="6"/>
        <v>44114</v>
      </c>
      <c r="B19" s="114">
        <f t="shared" si="1"/>
        <v>0</v>
      </c>
      <c r="C19" s="86"/>
      <c r="D19" s="114">
        <f t="shared" si="0"/>
        <v>0</v>
      </c>
      <c r="E19" s="86"/>
      <c r="F19" s="111">
        <f t="shared" si="2"/>
        <v>0</v>
      </c>
      <c r="G19" s="118"/>
      <c r="H19" s="118"/>
      <c r="I19" s="118"/>
      <c r="J19" s="118"/>
      <c r="K19" s="118"/>
      <c r="L19" s="115">
        <f>C19+E19+G19+H19+I19+J19</f>
        <v>0</v>
      </c>
      <c r="M19" s="86"/>
      <c r="N19" s="114">
        <f t="shared" si="4"/>
        <v>0</v>
      </c>
      <c r="O19" s="118">
        <f t="shared" si="5"/>
        <v>1935300</v>
      </c>
    </row>
    <row r="20" spans="1:15" ht="16.5" x14ac:dyDescent="0.25">
      <c r="A20" s="110">
        <f t="shared" si="6"/>
        <v>44115</v>
      </c>
      <c r="B20" s="114">
        <f t="shared" si="1"/>
        <v>0</v>
      </c>
      <c r="C20" s="86"/>
      <c r="D20" s="114">
        <f>+E20/520</f>
        <v>0</v>
      </c>
      <c r="E20" s="86"/>
      <c r="F20" s="111">
        <f t="shared" si="2"/>
        <v>0</v>
      </c>
      <c r="G20" s="118"/>
      <c r="H20" s="118"/>
      <c r="I20" s="118"/>
      <c r="J20" s="118"/>
      <c r="K20" s="118"/>
      <c r="L20" s="115">
        <f t="shared" si="3"/>
        <v>0</v>
      </c>
      <c r="M20" s="86"/>
      <c r="N20" s="114">
        <f t="shared" si="4"/>
        <v>0</v>
      </c>
      <c r="O20" s="118">
        <f t="shared" si="5"/>
        <v>1935300</v>
      </c>
    </row>
    <row r="21" spans="1:15" ht="16.5" x14ac:dyDescent="0.25">
      <c r="A21" s="110">
        <f t="shared" si="6"/>
        <v>44116</v>
      </c>
      <c r="B21" s="114">
        <f t="shared" si="1"/>
        <v>0</v>
      </c>
      <c r="C21" s="86"/>
      <c r="D21" s="114">
        <f t="shared" si="0"/>
        <v>0</v>
      </c>
      <c r="E21" s="86"/>
      <c r="F21" s="111">
        <f t="shared" si="2"/>
        <v>0</v>
      </c>
      <c r="G21" s="118"/>
      <c r="H21" s="118"/>
      <c r="I21" s="118"/>
      <c r="J21" s="118"/>
      <c r="K21" s="118"/>
      <c r="L21" s="115">
        <f t="shared" si="3"/>
        <v>0</v>
      </c>
      <c r="M21" s="86"/>
      <c r="N21" s="114">
        <f t="shared" si="4"/>
        <v>0</v>
      </c>
      <c r="O21" s="118">
        <f>+O20+L21-M21</f>
        <v>1935300</v>
      </c>
    </row>
    <row r="22" spans="1:15" ht="16.5" x14ac:dyDescent="0.25">
      <c r="A22" s="110">
        <f t="shared" si="6"/>
        <v>44117</v>
      </c>
      <c r="B22" s="114">
        <f t="shared" si="1"/>
        <v>0</v>
      </c>
      <c r="C22" s="86"/>
      <c r="D22" s="114">
        <f t="shared" si="0"/>
        <v>0</v>
      </c>
      <c r="E22" s="86"/>
      <c r="F22" s="111">
        <f t="shared" si="2"/>
        <v>0</v>
      </c>
      <c r="G22" s="118"/>
      <c r="H22" s="118"/>
      <c r="I22" s="118"/>
      <c r="J22" s="118"/>
      <c r="K22" s="118"/>
      <c r="L22" s="115">
        <f t="shared" si="3"/>
        <v>0</v>
      </c>
      <c r="M22" s="86"/>
      <c r="N22" s="114">
        <f t="shared" si="4"/>
        <v>0</v>
      </c>
      <c r="O22" s="118">
        <f t="shared" si="5"/>
        <v>1935300</v>
      </c>
    </row>
    <row r="23" spans="1:15" ht="16.5" x14ac:dyDescent="0.25">
      <c r="A23" s="110">
        <f t="shared" si="6"/>
        <v>44118</v>
      </c>
      <c r="B23" s="114">
        <f t="shared" si="1"/>
        <v>0</v>
      </c>
      <c r="C23" s="86"/>
      <c r="D23" s="114">
        <f t="shared" si="0"/>
        <v>0</v>
      </c>
      <c r="E23" s="86"/>
      <c r="F23" s="111">
        <f t="shared" si="2"/>
        <v>0</v>
      </c>
      <c r="G23" s="118"/>
      <c r="H23" s="118"/>
      <c r="I23" s="118"/>
      <c r="J23" s="118"/>
      <c r="K23" s="118"/>
      <c r="L23" s="115">
        <f t="shared" si="3"/>
        <v>0</v>
      </c>
      <c r="M23" s="86"/>
      <c r="N23" s="114">
        <f t="shared" si="4"/>
        <v>0</v>
      </c>
      <c r="O23" s="118">
        <f t="shared" si="5"/>
        <v>1935300</v>
      </c>
    </row>
    <row r="24" spans="1:15" ht="16.5" x14ac:dyDescent="0.25">
      <c r="A24" s="110">
        <f t="shared" si="6"/>
        <v>44119</v>
      </c>
      <c r="B24" s="114">
        <f t="shared" si="1"/>
        <v>0</v>
      </c>
      <c r="C24" s="86"/>
      <c r="D24" s="114">
        <f t="shared" si="0"/>
        <v>0</v>
      </c>
      <c r="E24" s="86"/>
      <c r="F24" s="111">
        <f t="shared" si="2"/>
        <v>0</v>
      </c>
      <c r="G24" s="118"/>
      <c r="H24" s="118"/>
      <c r="I24" s="118"/>
      <c r="J24" s="118"/>
      <c r="K24" s="118"/>
      <c r="L24" s="115">
        <f t="shared" si="3"/>
        <v>0</v>
      </c>
      <c r="M24" s="86"/>
      <c r="N24" s="114">
        <f t="shared" si="4"/>
        <v>0</v>
      </c>
      <c r="O24" s="118">
        <f t="shared" si="5"/>
        <v>1935300</v>
      </c>
    </row>
    <row r="25" spans="1:15" ht="16.5" x14ac:dyDescent="0.25">
      <c r="A25" s="110">
        <f t="shared" si="6"/>
        <v>44120</v>
      </c>
      <c r="B25" s="114">
        <f t="shared" si="1"/>
        <v>0</v>
      </c>
      <c r="C25" s="86"/>
      <c r="D25" s="114">
        <f t="shared" si="0"/>
        <v>0</v>
      </c>
      <c r="E25" s="86"/>
      <c r="F25" s="111">
        <f t="shared" si="2"/>
        <v>0</v>
      </c>
      <c r="G25" s="118"/>
      <c r="H25" s="118"/>
      <c r="I25" s="118"/>
      <c r="J25" s="118"/>
      <c r="K25" s="118"/>
      <c r="L25" s="115">
        <f t="shared" si="3"/>
        <v>0</v>
      </c>
      <c r="M25" s="86"/>
      <c r="N25" s="118">
        <f t="shared" si="4"/>
        <v>0</v>
      </c>
      <c r="O25" s="118">
        <f t="shared" si="5"/>
        <v>1935300</v>
      </c>
    </row>
    <row r="26" spans="1:15" ht="16.5" x14ac:dyDescent="0.25">
      <c r="A26" s="110">
        <f t="shared" si="6"/>
        <v>44121</v>
      </c>
      <c r="B26" s="114">
        <f t="shared" si="1"/>
        <v>0</v>
      </c>
      <c r="C26" s="86"/>
      <c r="D26" s="114">
        <f t="shared" si="0"/>
        <v>0</v>
      </c>
      <c r="E26" s="86"/>
      <c r="F26" s="111">
        <f t="shared" si="2"/>
        <v>0</v>
      </c>
      <c r="G26" s="118"/>
      <c r="H26" s="118"/>
      <c r="I26" s="118"/>
      <c r="J26" s="118"/>
      <c r="K26" s="118"/>
      <c r="L26" s="115">
        <f t="shared" si="3"/>
        <v>0</v>
      </c>
      <c r="M26" s="86"/>
      <c r="N26" s="118">
        <f t="shared" si="4"/>
        <v>0</v>
      </c>
      <c r="O26" s="118">
        <f t="shared" si="5"/>
        <v>1935300</v>
      </c>
    </row>
    <row r="27" spans="1:15" ht="16.5" x14ac:dyDescent="0.25">
      <c r="A27" s="110">
        <f t="shared" si="6"/>
        <v>44122</v>
      </c>
      <c r="B27" s="114">
        <f t="shared" si="1"/>
        <v>0</v>
      </c>
      <c r="C27" s="86"/>
      <c r="D27" s="114">
        <f t="shared" si="0"/>
        <v>0</v>
      </c>
      <c r="E27" s="86"/>
      <c r="F27" s="111">
        <f t="shared" si="2"/>
        <v>0</v>
      </c>
      <c r="G27" s="118"/>
      <c r="H27" s="118"/>
      <c r="I27" s="118"/>
      <c r="J27" s="118"/>
      <c r="K27" s="118"/>
      <c r="L27" s="115">
        <f t="shared" si="3"/>
        <v>0</v>
      </c>
      <c r="M27" s="86"/>
      <c r="N27" s="118">
        <f t="shared" si="4"/>
        <v>0</v>
      </c>
      <c r="O27" s="118">
        <f t="shared" si="5"/>
        <v>1935300</v>
      </c>
    </row>
    <row r="28" spans="1:15" ht="16.5" x14ac:dyDescent="0.25">
      <c r="A28" s="110">
        <f t="shared" si="6"/>
        <v>44123</v>
      </c>
      <c r="B28" s="114">
        <f t="shared" si="1"/>
        <v>0</v>
      </c>
      <c r="C28" s="86"/>
      <c r="D28" s="114">
        <f t="shared" si="0"/>
        <v>0</v>
      </c>
      <c r="E28" s="86"/>
      <c r="F28" s="111">
        <f t="shared" si="2"/>
        <v>0</v>
      </c>
      <c r="G28" s="118"/>
      <c r="H28" s="118"/>
      <c r="I28" s="118"/>
      <c r="J28" s="118"/>
      <c r="K28" s="118"/>
      <c r="L28" s="115">
        <f t="shared" si="3"/>
        <v>0</v>
      </c>
      <c r="M28" s="86"/>
      <c r="N28" s="118">
        <f t="shared" si="4"/>
        <v>0</v>
      </c>
      <c r="O28" s="118">
        <f t="shared" si="5"/>
        <v>1935300</v>
      </c>
    </row>
    <row r="29" spans="1:15" ht="16.5" x14ac:dyDescent="0.25">
      <c r="A29" s="110">
        <f t="shared" si="6"/>
        <v>44124</v>
      </c>
      <c r="B29" s="114">
        <f t="shared" si="1"/>
        <v>0</v>
      </c>
      <c r="C29" s="86"/>
      <c r="D29" s="114">
        <f t="shared" si="0"/>
        <v>0</v>
      </c>
      <c r="E29" s="86"/>
      <c r="F29" s="111">
        <f t="shared" si="2"/>
        <v>0</v>
      </c>
      <c r="G29" s="118"/>
      <c r="H29" s="118"/>
      <c r="I29" s="118"/>
      <c r="J29" s="118"/>
      <c r="K29" s="118"/>
      <c r="L29" s="115">
        <f t="shared" si="3"/>
        <v>0</v>
      </c>
      <c r="M29" s="86"/>
      <c r="N29" s="118">
        <f t="shared" si="4"/>
        <v>0</v>
      </c>
      <c r="O29" s="118">
        <f t="shared" si="5"/>
        <v>1935300</v>
      </c>
    </row>
    <row r="30" spans="1:15" ht="16.5" x14ac:dyDescent="0.25">
      <c r="A30" s="110">
        <f t="shared" si="6"/>
        <v>44125</v>
      </c>
      <c r="B30" s="114">
        <f t="shared" si="1"/>
        <v>0</v>
      </c>
      <c r="C30" s="86"/>
      <c r="D30" s="114">
        <f t="shared" si="0"/>
        <v>0</v>
      </c>
      <c r="E30" s="86"/>
      <c r="F30" s="111">
        <f t="shared" si="2"/>
        <v>0</v>
      </c>
      <c r="G30" s="118"/>
      <c r="H30" s="118"/>
      <c r="I30" s="118"/>
      <c r="J30" s="118"/>
      <c r="K30" s="118"/>
      <c r="L30" s="115">
        <f t="shared" si="3"/>
        <v>0</v>
      </c>
      <c r="M30" s="86"/>
      <c r="N30" s="118">
        <f t="shared" si="4"/>
        <v>0</v>
      </c>
      <c r="O30" s="118">
        <f t="shared" si="5"/>
        <v>1935300</v>
      </c>
    </row>
    <row r="31" spans="1:15" s="762" customFormat="1" ht="16.5" x14ac:dyDescent="0.25">
      <c r="A31" s="1547">
        <f t="shared" si="6"/>
        <v>44126</v>
      </c>
      <c r="B31" s="1548">
        <f t="shared" si="1"/>
        <v>0</v>
      </c>
      <c r="C31" s="1532"/>
      <c r="D31" s="1548">
        <f t="shared" si="0"/>
        <v>0</v>
      </c>
      <c r="E31" s="1532"/>
      <c r="F31" s="1549">
        <f t="shared" si="2"/>
        <v>0</v>
      </c>
      <c r="G31" s="1548"/>
      <c r="H31" s="1548"/>
      <c r="I31" s="1548"/>
      <c r="J31" s="1548"/>
      <c r="K31" s="1548"/>
      <c r="L31" s="1550">
        <f t="shared" si="3"/>
        <v>0</v>
      </c>
      <c r="M31" s="1532"/>
      <c r="N31" s="1548">
        <f t="shared" si="4"/>
        <v>0</v>
      </c>
      <c r="O31" s="1548">
        <f>+O30+L31-M31</f>
        <v>1935300</v>
      </c>
    </row>
    <row r="32" spans="1:15" ht="16.5" x14ac:dyDescent="0.25">
      <c r="A32" s="110">
        <f t="shared" si="6"/>
        <v>44127</v>
      </c>
      <c r="B32" s="114">
        <f t="shared" si="1"/>
        <v>0</v>
      </c>
      <c r="C32" s="86"/>
      <c r="D32" s="114">
        <f t="shared" si="0"/>
        <v>0</v>
      </c>
      <c r="E32" s="86"/>
      <c r="F32" s="111">
        <f t="shared" si="2"/>
        <v>0</v>
      </c>
      <c r="G32" s="118"/>
      <c r="H32" s="118"/>
      <c r="I32" s="118"/>
      <c r="J32" s="118"/>
      <c r="K32" s="118"/>
      <c r="L32" s="115">
        <f t="shared" si="3"/>
        <v>0</v>
      </c>
      <c r="M32" s="86"/>
      <c r="N32" s="118">
        <f t="shared" si="4"/>
        <v>0</v>
      </c>
      <c r="O32" s="118">
        <f t="shared" si="5"/>
        <v>1935300</v>
      </c>
    </row>
    <row r="33" spans="1:15" ht="16.5" x14ac:dyDescent="0.25">
      <c r="A33" s="110">
        <f t="shared" si="6"/>
        <v>44128</v>
      </c>
      <c r="B33" s="114">
        <f t="shared" si="1"/>
        <v>0</v>
      </c>
      <c r="C33" s="86"/>
      <c r="D33" s="114">
        <f t="shared" si="0"/>
        <v>0</v>
      </c>
      <c r="E33" s="86"/>
      <c r="F33" s="111">
        <f t="shared" si="2"/>
        <v>0</v>
      </c>
      <c r="G33" s="114"/>
      <c r="H33" s="114"/>
      <c r="I33" s="114"/>
      <c r="J33" s="114"/>
      <c r="K33" s="114"/>
      <c r="L33" s="115">
        <f t="shared" si="3"/>
        <v>0</v>
      </c>
      <c r="M33" s="86"/>
      <c r="N33" s="114">
        <f t="shared" si="4"/>
        <v>0</v>
      </c>
      <c r="O33" s="114">
        <f t="shared" si="5"/>
        <v>1935300</v>
      </c>
    </row>
    <row r="34" spans="1:15" ht="16.5" x14ac:dyDescent="0.25">
      <c r="A34" s="110">
        <f t="shared" si="6"/>
        <v>44129</v>
      </c>
      <c r="B34" s="114">
        <f t="shared" si="1"/>
        <v>0</v>
      </c>
      <c r="C34" s="86"/>
      <c r="D34" s="114">
        <f t="shared" si="0"/>
        <v>0</v>
      </c>
      <c r="E34" s="86"/>
      <c r="F34" s="111">
        <f t="shared" si="2"/>
        <v>0</v>
      </c>
      <c r="G34" s="114"/>
      <c r="H34" s="114"/>
      <c r="I34" s="114"/>
      <c r="J34" s="114"/>
      <c r="K34" s="114"/>
      <c r="L34" s="115">
        <f t="shared" si="3"/>
        <v>0</v>
      </c>
      <c r="M34" s="86"/>
      <c r="N34" s="114">
        <f t="shared" si="4"/>
        <v>0</v>
      </c>
      <c r="O34" s="114">
        <f t="shared" si="5"/>
        <v>1935300</v>
      </c>
    </row>
    <row r="35" spans="1:15" ht="16.5" x14ac:dyDescent="0.25">
      <c r="A35" s="110">
        <f t="shared" si="6"/>
        <v>44130</v>
      </c>
      <c r="B35" s="114">
        <f t="shared" si="1"/>
        <v>0</v>
      </c>
      <c r="C35" s="86"/>
      <c r="D35" s="114">
        <f t="shared" si="0"/>
        <v>0</v>
      </c>
      <c r="E35" s="86"/>
      <c r="F35" s="111">
        <f t="shared" si="2"/>
        <v>0</v>
      </c>
      <c r="G35" s="114"/>
      <c r="H35" s="114"/>
      <c r="I35" s="114"/>
      <c r="J35" s="114"/>
      <c r="K35" s="114"/>
      <c r="L35" s="115">
        <f t="shared" si="3"/>
        <v>0</v>
      </c>
      <c r="M35" s="86"/>
      <c r="N35" s="114">
        <f t="shared" si="4"/>
        <v>0</v>
      </c>
      <c r="O35" s="114">
        <f t="shared" si="5"/>
        <v>1935300</v>
      </c>
    </row>
    <row r="36" spans="1:15" ht="16.5" x14ac:dyDescent="0.25">
      <c r="A36" s="110">
        <f t="shared" si="6"/>
        <v>44131</v>
      </c>
      <c r="B36" s="114">
        <f t="shared" si="1"/>
        <v>0</v>
      </c>
      <c r="C36" s="86"/>
      <c r="D36" s="114">
        <f t="shared" si="0"/>
        <v>0</v>
      </c>
      <c r="E36" s="86"/>
      <c r="F36" s="111">
        <f t="shared" si="2"/>
        <v>0</v>
      </c>
      <c r="G36" s="114"/>
      <c r="H36" s="114"/>
      <c r="I36" s="114"/>
      <c r="J36" s="114"/>
      <c r="K36" s="114"/>
      <c r="L36" s="115">
        <f t="shared" si="3"/>
        <v>0</v>
      </c>
      <c r="M36" s="113"/>
      <c r="N36" s="114">
        <f t="shared" si="4"/>
        <v>0</v>
      </c>
      <c r="O36" s="114">
        <f t="shared" si="5"/>
        <v>1935300</v>
      </c>
    </row>
    <row r="37" spans="1:15" ht="16.5" x14ac:dyDescent="0.25">
      <c r="A37" s="110">
        <f t="shared" si="6"/>
        <v>44132</v>
      </c>
      <c r="B37" s="114">
        <f t="shared" si="1"/>
        <v>0</v>
      </c>
      <c r="C37" s="86"/>
      <c r="D37" s="114">
        <f t="shared" si="0"/>
        <v>0</v>
      </c>
      <c r="E37" s="86"/>
      <c r="F37" s="111">
        <f t="shared" si="2"/>
        <v>0</v>
      </c>
      <c r="G37" s="114"/>
      <c r="H37" s="114"/>
      <c r="I37" s="114"/>
      <c r="J37" s="114"/>
      <c r="K37" s="114"/>
      <c r="L37" s="115">
        <f t="shared" si="3"/>
        <v>0</v>
      </c>
      <c r="M37" s="113"/>
      <c r="N37" s="114">
        <f t="shared" si="4"/>
        <v>0</v>
      </c>
      <c r="O37" s="114">
        <f t="shared" si="5"/>
        <v>1935300</v>
      </c>
    </row>
    <row r="38" spans="1:15" ht="16.5" x14ac:dyDescent="0.25">
      <c r="A38" s="110">
        <f t="shared" si="6"/>
        <v>44133</v>
      </c>
      <c r="B38" s="114">
        <f t="shared" si="1"/>
        <v>0</v>
      </c>
      <c r="C38" s="113"/>
      <c r="D38" s="114">
        <f t="shared" si="0"/>
        <v>0</v>
      </c>
      <c r="E38" s="113"/>
      <c r="F38" s="111">
        <f t="shared" si="2"/>
        <v>0</v>
      </c>
      <c r="G38" s="114"/>
      <c r="H38" s="114"/>
      <c r="I38" s="114"/>
      <c r="J38" s="114"/>
      <c r="K38" s="114"/>
      <c r="L38" s="115">
        <f t="shared" si="3"/>
        <v>0</v>
      </c>
      <c r="M38" s="113"/>
      <c r="N38" s="114">
        <f t="shared" si="4"/>
        <v>0</v>
      </c>
      <c r="O38" s="114">
        <f t="shared" si="5"/>
        <v>1935300</v>
      </c>
    </row>
    <row r="39" spans="1:15" ht="16.5" x14ac:dyDescent="0.25">
      <c r="A39" s="110">
        <f t="shared" si="6"/>
        <v>44134</v>
      </c>
      <c r="B39" s="114">
        <f t="shared" si="1"/>
        <v>0</v>
      </c>
      <c r="C39" s="113"/>
      <c r="D39" s="114">
        <f t="shared" si="0"/>
        <v>0</v>
      </c>
      <c r="E39" s="113"/>
      <c r="F39" s="111">
        <f t="shared" si="2"/>
        <v>0</v>
      </c>
      <c r="G39" s="114"/>
      <c r="H39" s="114"/>
      <c r="I39" s="114"/>
      <c r="J39" s="114"/>
      <c r="K39" s="114"/>
      <c r="L39" s="115">
        <f t="shared" si="3"/>
        <v>0</v>
      </c>
      <c r="M39" s="113"/>
      <c r="N39" s="114">
        <f>L39-M39</f>
        <v>0</v>
      </c>
      <c r="O39" s="114">
        <f>+O38+L39-M39</f>
        <v>1935300</v>
      </c>
    </row>
    <row r="40" spans="1:15" ht="16.5" x14ac:dyDescent="0.25">
      <c r="A40" s="110">
        <f t="shared" si="6"/>
        <v>44135</v>
      </c>
      <c r="B40" s="114">
        <f t="shared" si="1"/>
        <v>0</v>
      </c>
      <c r="C40" s="113"/>
      <c r="D40" s="114">
        <f t="shared" si="0"/>
        <v>0</v>
      </c>
      <c r="E40" s="113"/>
      <c r="F40" s="111">
        <f t="shared" si="2"/>
        <v>0</v>
      </c>
      <c r="G40" s="114"/>
      <c r="H40" s="114"/>
      <c r="I40" s="114"/>
      <c r="J40" s="114"/>
      <c r="K40" s="114"/>
      <c r="L40" s="115">
        <f t="shared" si="3"/>
        <v>0</v>
      </c>
      <c r="M40" s="113"/>
      <c r="N40" s="114">
        <f>L40-M40</f>
        <v>0</v>
      </c>
      <c r="O40" s="120">
        <f>+O39+L40-M40</f>
        <v>1935300</v>
      </c>
    </row>
    <row r="41" spans="1:15" ht="16.5" x14ac:dyDescent="0.2">
      <c r="A41" s="121" t="s">
        <v>18</v>
      </c>
      <c r="B41" s="115">
        <f t="shared" ref="B41:M41" si="7">SUM(B10:B40)</f>
        <v>0</v>
      </c>
      <c r="C41" s="115">
        <f>SUM(C10:C40)</f>
        <v>0</v>
      </c>
      <c r="D41" s="122">
        <f t="shared" si="7"/>
        <v>0</v>
      </c>
      <c r="E41" s="115">
        <f>SUM(E10:E40)</f>
        <v>0</v>
      </c>
      <c r="F41" s="115">
        <f>SUM(F10:F40)</f>
        <v>0</v>
      </c>
      <c r="G41" s="115">
        <f t="shared" si="7"/>
        <v>0</v>
      </c>
      <c r="H41" s="115">
        <f t="shared" si="7"/>
        <v>0</v>
      </c>
      <c r="I41" s="115">
        <f t="shared" si="7"/>
        <v>0</v>
      </c>
      <c r="J41" s="115">
        <f t="shared" si="7"/>
        <v>0</v>
      </c>
      <c r="K41" s="115"/>
      <c r="L41" s="115">
        <f>SUM(L10:L40)</f>
        <v>0</v>
      </c>
      <c r="M41" s="115">
        <f t="shared" si="7"/>
        <v>0</v>
      </c>
      <c r="N41" s="120">
        <f>SUM(N9:N40)</f>
        <v>1935300</v>
      </c>
      <c r="O41" s="123"/>
    </row>
    <row r="42" spans="1:15" ht="13.5" x14ac:dyDescent="0.2">
      <c r="A42" s="26"/>
      <c r="B42" s="26"/>
      <c r="C42" s="26"/>
      <c r="D42" s="27"/>
      <c r="E42" s="26"/>
      <c r="F42" s="26"/>
      <c r="G42" s="26"/>
      <c r="H42" s="26"/>
      <c r="I42" s="26"/>
      <c r="J42" s="26"/>
      <c r="K42" s="26"/>
      <c r="L42" s="26"/>
      <c r="M42" s="26"/>
      <c r="N42" s="26"/>
      <c r="O42" s="26"/>
    </row>
    <row r="43" spans="1:15" ht="13.5" x14ac:dyDescent="0.25">
      <c r="A43" s="10" t="s">
        <v>121</v>
      </c>
      <c r="B43" s="10" t="s">
        <v>61</v>
      </c>
      <c r="C43" s="10" t="s">
        <v>122</v>
      </c>
      <c r="D43" s="28" t="s">
        <v>39</v>
      </c>
    </row>
    <row r="44" spans="1:15" ht="13.5" x14ac:dyDescent="0.25">
      <c r="A44" s="10" t="s">
        <v>15</v>
      </c>
      <c r="B44" s="24">
        <f>B41</f>
        <v>0</v>
      </c>
      <c r="C44" s="10"/>
      <c r="D44" s="28">
        <f>B44*C44</f>
        <v>0</v>
      </c>
    </row>
    <row r="45" spans="1:15" ht="13.5" x14ac:dyDescent="0.25">
      <c r="A45" s="10" t="s">
        <v>16</v>
      </c>
      <c r="B45" s="28">
        <f>D41</f>
        <v>0</v>
      </c>
      <c r="C45" s="10"/>
      <c r="D45" s="28">
        <f>B45*C45</f>
        <v>0</v>
      </c>
      <c r="H45" s="21"/>
      <c r="L45" s="21"/>
      <c r="M45" s="21"/>
      <c r="N45" s="21"/>
    </row>
    <row r="46" spans="1:15" ht="13.5" x14ac:dyDescent="0.25">
      <c r="A46" s="10" t="s">
        <v>17</v>
      </c>
      <c r="B46" s="24">
        <f>F41</f>
        <v>0</v>
      </c>
      <c r="C46" s="10"/>
      <c r="D46" s="28">
        <f>B46*C46</f>
        <v>0</v>
      </c>
      <c r="E46" s="14"/>
      <c r="O46" s="21"/>
    </row>
    <row r="47" spans="1:15" ht="13.5" x14ac:dyDescent="0.25">
      <c r="A47" s="33" t="s">
        <v>18</v>
      </c>
      <c r="B47" s="34"/>
      <c r="C47" s="35"/>
      <c r="D47" s="28">
        <f>SUM(D44:D46)</f>
        <v>0</v>
      </c>
      <c r="O47" s="21"/>
    </row>
  </sheetData>
  <mergeCells count="7">
    <mergeCell ref="O7:O8"/>
    <mergeCell ref="H7:H9"/>
    <mergeCell ref="I7:I9"/>
    <mergeCell ref="J7:J9"/>
    <mergeCell ref="L7:L9"/>
    <mergeCell ref="M7:M8"/>
    <mergeCell ref="N7:N8"/>
  </mergeCells>
  <pageMargins left="0.70866141732283472" right="0.70866141732283472" top="0.74803149606299213" bottom="0.74803149606299213" header="0.31496062992125984" footer="0.31496062992125984"/>
  <pageSetup paperSize="9" scale="66" orientation="landscape" r:id="rId1"/>
  <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0">
    <tabColor rgb="FFFF0000"/>
    <pageSetUpPr fitToPage="1"/>
  </sheetPr>
  <dimension ref="A2:O41"/>
  <sheetViews>
    <sheetView zoomScaleNormal="100" workbookViewId="0">
      <selection activeCell="B4" sqref="B4"/>
    </sheetView>
  </sheetViews>
  <sheetFormatPr baseColWidth="10" defaultRowHeight="15" x14ac:dyDescent="0.2"/>
  <cols>
    <col min="1" max="1" width="10.5703125" style="37" bestFit="1" customWidth="1"/>
    <col min="2" max="2" width="11.28515625" style="37" bestFit="1" customWidth="1"/>
    <col min="3" max="3" width="12" style="37" bestFit="1" customWidth="1"/>
    <col min="4" max="4" width="17.7109375" style="37" customWidth="1"/>
    <col min="5" max="5" width="16" style="37" customWidth="1"/>
    <col min="6" max="6" width="11.28515625" style="37" bestFit="1" customWidth="1"/>
    <col min="7" max="7" width="10.85546875" style="37" bestFit="1" customWidth="1"/>
    <col min="8" max="8" width="14.5703125" style="37" bestFit="1" customWidth="1"/>
    <col min="9" max="9" width="10.7109375" style="37" bestFit="1" customWidth="1"/>
    <col min="10" max="10" width="8.85546875" style="37" customWidth="1"/>
    <col min="11" max="11" width="20.42578125" style="37" customWidth="1"/>
    <col min="12" max="12" width="14" style="37" customWidth="1"/>
    <col min="13" max="13" width="14.140625" style="37" bestFit="1" customWidth="1"/>
    <col min="14" max="14" width="13.5703125" style="37" bestFit="1" customWidth="1"/>
    <col min="15" max="15" width="15.7109375" style="37" bestFit="1" customWidth="1"/>
    <col min="16" max="16384" width="11.42578125" style="37"/>
  </cols>
  <sheetData>
    <row r="2" spans="1:15" ht="16.5" x14ac:dyDescent="0.3">
      <c r="A2" s="1" t="s">
        <v>118</v>
      </c>
      <c r="B2" s="1" t="s">
        <v>484</v>
      </c>
    </row>
    <row r="3" spans="1:15" ht="15.75" x14ac:dyDescent="0.25">
      <c r="C3" s="99"/>
      <c r="K3" s="116"/>
      <c r="L3" s="116"/>
    </row>
    <row r="4" spans="1:15" ht="16.5" x14ac:dyDescent="0.3">
      <c r="A4" s="1" t="s">
        <v>19</v>
      </c>
      <c r="B4" s="2">
        <f>+BLESSING!B4</f>
        <v>44105</v>
      </c>
      <c r="C4" s="1"/>
    </row>
    <row r="5" spans="1:15" ht="16.5" x14ac:dyDescent="0.3">
      <c r="A5" s="1"/>
      <c r="B5" s="1"/>
      <c r="C5" s="1"/>
    </row>
    <row r="6" spans="1:15" ht="16.5" x14ac:dyDescent="0.2">
      <c r="A6" s="100" t="s">
        <v>3</v>
      </c>
      <c r="B6" s="954" t="s">
        <v>15</v>
      </c>
      <c r="C6" s="955"/>
      <c r="D6" s="954" t="s">
        <v>16</v>
      </c>
      <c r="E6" s="955"/>
      <c r="F6" s="954" t="s">
        <v>17</v>
      </c>
      <c r="G6" s="955"/>
      <c r="H6" s="2910" t="s">
        <v>52</v>
      </c>
      <c r="I6" s="2910" t="s">
        <v>53</v>
      </c>
      <c r="J6" s="2910" t="s">
        <v>119</v>
      </c>
      <c r="K6" s="2910" t="s">
        <v>18</v>
      </c>
      <c r="L6" s="3062" t="s">
        <v>416</v>
      </c>
      <c r="M6" s="2910" t="s">
        <v>60</v>
      </c>
      <c r="N6" s="2910" t="s">
        <v>55</v>
      </c>
      <c r="O6" s="2910" t="s">
        <v>120</v>
      </c>
    </row>
    <row r="7" spans="1:15" ht="16.5" x14ac:dyDescent="0.2">
      <c r="A7" s="103"/>
      <c r="B7" s="913">
        <v>650</v>
      </c>
      <c r="C7" s="914"/>
      <c r="D7" s="913">
        <v>600</v>
      </c>
      <c r="E7" s="914"/>
      <c r="F7" s="913">
        <v>350</v>
      </c>
      <c r="G7" s="914"/>
      <c r="H7" s="3059"/>
      <c r="I7" s="3059"/>
      <c r="J7" s="2911"/>
      <c r="K7" s="2911"/>
      <c r="L7" s="3064"/>
      <c r="M7" s="2911"/>
      <c r="N7" s="2911"/>
      <c r="O7" s="2911"/>
    </row>
    <row r="8" spans="1:15" ht="16.5" x14ac:dyDescent="0.25">
      <c r="A8" s="105"/>
      <c r="B8" s="106" t="s">
        <v>56</v>
      </c>
      <c r="C8" s="106" t="s">
        <v>37</v>
      </c>
      <c r="D8" s="107" t="s">
        <v>56</v>
      </c>
      <c r="E8" s="106" t="s">
        <v>37</v>
      </c>
      <c r="F8" s="106" t="s">
        <v>56</v>
      </c>
      <c r="G8" s="106" t="s">
        <v>37</v>
      </c>
      <c r="H8" s="952"/>
      <c r="I8" s="952"/>
      <c r="J8" s="953"/>
      <c r="K8" s="953"/>
      <c r="L8" s="953"/>
      <c r="M8" s="133"/>
      <c r="N8" s="136">
        <v>0</v>
      </c>
      <c r="O8" s="109">
        <f>N8</f>
        <v>0</v>
      </c>
    </row>
    <row r="9" spans="1:15" ht="16.5" x14ac:dyDescent="0.3">
      <c r="A9" s="110">
        <f>+BLESSING!A9</f>
        <v>44105</v>
      </c>
      <c r="B9" s="111">
        <f>C9/B$7</f>
        <v>0</v>
      </c>
      <c r="C9" s="112"/>
      <c r="D9" s="111">
        <f>+E9/D$7</f>
        <v>0</v>
      </c>
      <c r="E9" s="113"/>
      <c r="F9" s="111">
        <f>+G9/F$7</f>
        <v>0</v>
      </c>
      <c r="G9" s="114"/>
      <c r="H9" s="114"/>
      <c r="I9" s="114"/>
      <c r="J9" s="114"/>
      <c r="K9" s="115">
        <f t="shared" ref="K9:K40" si="0">C9+E9+G9+H9+I9+J9</f>
        <v>0</v>
      </c>
      <c r="L9" s="115"/>
      <c r="M9" s="113"/>
      <c r="N9" s="114">
        <f>K9-M9</f>
        <v>0</v>
      </c>
      <c r="O9" s="114">
        <f>+O8+K9-M9</f>
        <v>0</v>
      </c>
    </row>
    <row r="10" spans="1:15"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115"/>
      <c r="M10" s="86"/>
      <c r="N10" s="114">
        <f t="shared" ref="N10:N40" si="3">K10-M10</f>
        <v>0</v>
      </c>
      <c r="O10" s="114">
        <f t="shared" ref="O10:O39" si="4">+O9+K10-M10</f>
        <v>0</v>
      </c>
    </row>
    <row r="11" spans="1:15" ht="16.5" x14ac:dyDescent="0.25">
      <c r="A11" s="110">
        <f t="shared" ref="A11:A38" si="5">+A10+1</f>
        <v>44107</v>
      </c>
      <c r="B11" s="111">
        <f t="shared" si="1"/>
        <v>0</v>
      </c>
      <c r="C11" s="113"/>
      <c r="D11" s="111">
        <f t="shared" si="2"/>
        <v>0</v>
      </c>
      <c r="E11" s="113"/>
      <c r="F11" s="111">
        <f t="shared" si="2"/>
        <v>0</v>
      </c>
      <c r="G11" s="114"/>
      <c r="H11" s="114"/>
      <c r="I11" s="114"/>
      <c r="J11" s="114"/>
      <c r="K11" s="115">
        <f t="shared" si="0"/>
        <v>0</v>
      </c>
      <c r="L11" s="115"/>
      <c r="M11" s="86"/>
      <c r="N11" s="114">
        <f t="shared" si="3"/>
        <v>0</v>
      </c>
      <c r="O11" s="114">
        <f t="shared" si="4"/>
        <v>0</v>
      </c>
    </row>
    <row r="12" spans="1:15" ht="16.5" x14ac:dyDescent="0.25">
      <c r="A12" s="110">
        <f t="shared" si="5"/>
        <v>44108</v>
      </c>
      <c r="B12" s="111">
        <f t="shared" si="1"/>
        <v>0</v>
      </c>
      <c r="C12" s="113"/>
      <c r="D12" s="111">
        <f t="shared" si="2"/>
        <v>0</v>
      </c>
      <c r="E12" s="113"/>
      <c r="F12" s="111">
        <f t="shared" si="2"/>
        <v>0</v>
      </c>
      <c r="G12" s="114"/>
      <c r="H12" s="114"/>
      <c r="I12" s="114"/>
      <c r="J12" s="114"/>
      <c r="K12" s="115">
        <f t="shared" si="0"/>
        <v>0</v>
      </c>
      <c r="L12" s="115"/>
      <c r="M12" s="86"/>
      <c r="N12" s="114">
        <f t="shared" si="3"/>
        <v>0</v>
      </c>
      <c r="O12" s="114">
        <f t="shared" si="4"/>
        <v>0</v>
      </c>
    </row>
    <row r="13" spans="1:15" ht="16.5" x14ac:dyDescent="0.3">
      <c r="A13" s="110">
        <f t="shared" si="5"/>
        <v>44109</v>
      </c>
      <c r="B13" s="111">
        <f t="shared" si="1"/>
        <v>0</v>
      </c>
      <c r="C13" s="112"/>
      <c r="D13" s="111">
        <f t="shared" si="2"/>
        <v>0</v>
      </c>
      <c r="E13" s="113"/>
      <c r="F13" s="111">
        <f t="shared" si="2"/>
        <v>0</v>
      </c>
      <c r="G13" s="114"/>
      <c r="H13" s="114"/>
      <c r="I13" s="114"/>
      <c r="J13" s="114"/>
      <c r="K13" s="115">
        <f t="shared" si="0"/>
        <v>0</v>
      </c>
      <c r="L13" s="115"/>
      <c r="M13" s="86"/>
      <c r="N13" s="114">
        <f t="shared" si="3"/>
        <v>0</v>
      </c>
      <c r="O13" s="114">
        <f t="shared" si="4"/>
        <v>0</v>
      </c>
    </row>
    <row r="14" spans="1:15" ht="16.5" x14ac:dyDescent="0.3">
      <c r="A14" s="110">
        <f t="shared" si="5"/>
        <v>44110</v>
      </c>
      <c r="B14" s="111">
        <f t="shared" si="1"/>
        <v>0</v>
      </c>
      <c r="C14" s="112"/>
      <c r="D14" s="111">
        <f t="shared" si="2"/>
        <v>0</v>
      </c>
      <c r="E14" s="113"/>
      <c r="F14" s="111">
        <f t="shared" si="2"/>
        <v>0</v>
      </c>
      <c r="G14" s="114"/>
      <c r="H14" s="114"/>
      <c r="I14" s="114"/>
      <c r="J14" s="114"/>
      <c r="K14" s="115">
        <f t="shared" si="0"/>
        <v>0</v>
      </c>
      <c r="L14" s="115"/>
      <c r="M14" s="86"/>
      <c r="N14" s="114">
        <f t="shared" si="3"/>
        <v>0</v>
      </c>
      <c r="O14" s="114">
        <f>+O13+K14-M14</f>
        <v>0</v>
      </c>
    </row>
    <row r="15" spans="1:15"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ref="O15:O28" si="6">+O14+K15-M15</f>
        <v>0</v>
      </c>
    </row>
    <row r="16" spans="1:15" ht="16.5" x14ac:dyDescent="0.25">
      <c r="A16" s="110">
        <f t="shared" si="5"/>
        <v>44112</v>
      </c>
      <c r="B16" s="111">
        <f t="shared" si="1"/>
        <v>0</v>
      </c>
      <c r="C16" s="113"/>
      <c r="D16" s="111">
        <f t="shared" si="2"/>
        <v>0</v>
      </c>
      <c r="E16" s="113"/>
      <c r="F16" s="111">
        <f t="shared" si="2"/>
        <v>0</v>
      </c>
      <c r="G16" s="114"/>
      <c r="H16" s="114"/>
      <c r="I16" s="114"/>
      <c r="J16" s="114"/>
      <c r="K16" s="115">
        <f t="shared" si="0"/>
        <v>0</v>
      </c>
      <c r="L16" s="115"/>
      <c r="M16" s="86"/>
      <c r="N16" s="114">
        <f t="shared" ref="N16:N25" si="7">K16-M16</f>
        <v>0</v>
      </c>
      <c r="O16" s="114">
        <f t="shared" si="6"/>
        <v>0</v>
      </c>
    </row>
    <row r="17" spans="1:15"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f t="shared" si="7"/>
        <v>0</v>
      </c>
      <c r="O17" s="114">
        <f t="shared" si="6"/>
        <v>0</v>
      </c>
    </row>
    <row r="18" spans="1:15" ht="16.5" x14ac:dyDescent="0.25">
      <c r="A18" s="110">
        <f t="shared" si="5"/>
        <v>44114</v>
      </c>
      <c r="B18" s="117">
        <f t="shared" si="1"/>
        <v>0</v>
      </c>
      <c r="C18" s="86"/>
      <c r="D18" s="117">
        <f t="shared" si="2"/>
        <v>0</v>
      </c>
      <c r="E18" s="113"/>
      <c r="F18" s="111">
        <f t="shared" si="2"/>
        <v>0</v>
      </c>
      <c r="G18" s="118"/>
      <c r="H18" s="118"/>
      <c r="I18" s="118"/>
      <c r="J18" s="118"/>
      <c r="K18" s="134">
        <f t="shared" si="0"/>
        <v>0</v>
      </c>
      <c r="L18" s="134"/>
      <c r="M18" s="86"/>
      <c r="N18" s="114">
        <f t="shared" si="7"/>
        <v>0</v>
      </c>
      <c r="O18" s="114">
        <f t="shared" si="6"/>
        <v>0</v>
      </c>
    </row>
    <row r="19" spans="1:15" ht="16.5" x14ac:dyDescent="0.25">
      <c r="A19" s="110">
        <f t="shared" si="5"/>
        <v>44115</v>
      </c>
      <c r="B19" s="117">
        <f t="shared" si="1"/>
        <v>0</v>
      </c>
      <c r="C19" s="86"/>
      <c r="D19" s="117">
        <f t="shared" si="2"/>
        <v>0</v>
      </c>
      <c r="E19" s="113"/>
      <c r="F19" s="111">
        <f t="shared" si="2"/>
        <v>0</v>
      </c>
      <c r="G19" s="118"/>
      <c r="H19" s="118"/>
      <c r="I19" s="118"/>
      <c r="J19" s="118"/>
      <c r="K19" s="134">
        <f>C19+E19+G19+H19+I19+J19</f>
        <v>0</v>
      </c>
      <c r="L19" s="134"/>
      <c r="M19" s="86"/>
      <c r="N19" s="114">
        <f t="shared" si="7"/>
        <v>0</v>
      </c>
      <c r="O19" s="114">
        <f t="shared" si="6"/>
        <v>0</v>
      </c>
    </row>
    <row r="20" spans="1:15" ht="16.5" x14ac:dyDescent="0.25">
      <c r="A20" s="110">
        <f t="shared" si="5"/>
        <v>44116</v>
      </c>
      <c r="B20" s="117">
        <f t="shared" si="1"/>
        <v>0</v>
      </c>
      <c r="C20" s="86"/>
      <c r="D20" s="117">
        <f t="shared" si="2"/>
        <v>0</v>
      </c>
      <c r="E20" s="113"/>
      <c r="F20" s="111">
        <f t="shared" si="2"/>
        <v>0</v>
      </c>
      <c r="G20" s="118"/>
      <c r="H20" s="118"/>
      <c r="I20" s="118"/>
      <c r="J20" s="118"/>
      <c r="K20" s="134">
        <f t="shared" si="0"/>
        <v>0</v>
      </c>
      <c r="L20" s="134"/>
      <c r="M20" s="86"/>
      <c r="N20" s="114">
        <f t="shared" si="7"/>
        <v>0</v>
      </c>
      <c r="O20" s="114">
        <f t="shared" si="6"/>
        <v>0</v>
      </c>
    </row>
    <row r="21" spans="1:15" ht="16.5" x14ac:dyDescent="0.25">
      <c r="A21" s="110">
        <f t="shared" si="5"/>
        <v>44117</v>
      </c>
      <c r="B21" s="117">
        <f t="shared" si="1"/>
        <v>0</v>
      </c>
      <c r="C21" s="86"/>
      <c r="D21" s="117">
        <f t="shared" si="2"/>
        <v>0</v>
      </c>
      <c r="E21" s="113"/>
      <c r="F21" s="111">
        <f t="shared" si="2"/>
        <v>0</v>
      </c>
      <c r="G21" s="118"/>
      <c r="H21" s="118"/>
      <c r="I21" s="118"/>
      <c r="J21" s="118"/>
      <c r="K21" s="134">
        <f t="shared" si="0"/>
        <v>0</v>
      </c>
      <c r="L21" s="134"/>
      <c r="M21" s="86"/>
      <c r="N21" s="114">
        <f t="shared" si="7"/>
        <v>0</v>
      </c>
      <c r="O21" s="114">
        <f t="shared" si="6"/>
        <v>0</v>
      </c>
    </row>
    <row r="22" spans="1:15" ht="16.5" x14ac:dyDescent="0.25">
      <c r="A22" s="110">
        <f t="shared" si="5"/>
        <v>44118</v>
      </c>
      <c r="B22" s="117">
        <f t="shared" si="1"/>
        <v>0</v>
      </c>
      <c r="C22" s="86"/>
      <c r="D22" s="117">
        <f t="shared" si="2"/>
        <v>0</v>
      </c>
      <c r="E22" s="86"/>
      <c r="F22" s="111">
        <f t="shared" si="2"/>
        <v>0</v>
      </c>
      <c r="G22" s="118"/>
      <c r="H22" s="118"/>
      <c r="I22" s="118"/>
      <c r="J22" s="118"/>
      <c r="K22" s="134">
        <f t="shared" si="0"/>
        <v>0</v>
      </c>
      <c r="L22" s="134"/>
      <c r="M22" s="86"/>
      <c r="N22" s="114">
        <f t="shared" si="7"/>
        <v>0</v>
      </c>
      <c r="O22" s="114">
        <f t="shared" si="6"/>
        <v>0</v>
      </c>
    </row>
    <row r="23" spans="1:15" ht="16.5" x14ac:dyDescent="0.25">
      <c r="A23" s="110">
        <f t="shared" si="5"/>
        <v>44119</v>
      </c>
      <c r="B23" s="117">
        <f t="shared" si="1"/>
        <v>0</v>
      </c>
      <c r="C23" s="86"/>
      <c r="D23" s="117">
        <f t="shared" si="2"/>
        <v>0</v>
      </c>
      <c r="E23" s="113"/>
      <c r="F23" s="117">
        <f t="shared" si="2"/>
        <v>0</v>
      </c>
      <c r="G23" s="118"/>
      <c r="H23" s="118"/>
      <c r="I23" s="118"/>
      <c r="J23" s="118"/>
      <c r="K23" s="134">
        <f t="shared" si="0"/>
        <v>0</v>
      </c>
      <c r="L23" s="134"/>
      <c r="M23" s="86"/>
      <c r="N23" s="114">
        <f t="shared" si="7"/>
        <v>0</v>
      </c>
      <c r="O23" s="114">
        <f t="shared" si="6"/>
        <v>0</v>
      </c>
    </row>
    <row r="24" spans="1:15" ht="16.5" x14ac:dyDescent="0.25">
      <c r="A24" s="110">
        <f t="shared" si="5"/>
        <v>44120</v>
      </c>
      <c r="B24" s="117">
        <f t="shared" si="1"/>
        <v>0</v>
      </c>
      <c r="C24" s="86"/>
      <c r="D24" s="117">
        <f t="shared" si="2"/>
        <v>0</v>
      </c>
      <c r="E24" s="113"/>
      <c r="F24" s="117">
        <f t="shared" si="2"/>
        <v>0</v>
      </c>
      <c r="G24" s="118"/>
      <c r="H24" s="118"/>
      <c r="I24" s="118"/>
      <c r="J24" s="118"/>
      <c r="K24" s="134">
        <f t="shared" si="0"/>
        <v>0</v>
      </c>
      <c r="L24" s="134"/>
      <c r="M24" s="113"/>
      <c r="N24" s="114">
        <f t="shared" si="7"/>
        <v>0</v>
      </c>
      <c r="O24" s="114">
        <f t="shared" si="6"/>
        <v>0</v>
      </c>
    </row>
    <row r="25" spans="1:15" ht="16.5" x14ac:dyDescent="0.25">
      <c r="A25" s="110">
        <f t="shared" si="5"/>
        <v>44121</v>
      </c>
      <c r="B25" s="117">
        <f t="shared" si="1"/>
        <v>0</v>
      </c>
      <c r="C25" s="86"/>
      <c r="D25" s="117">
        <f t="shared" si="2"/>
        <v>0</v>
      </c>
      <c r="E25" s="113"/>
      <c r="F25" s="117">
        <f t="shared" si="2"/>
        <v>0</v>
      </c>
      <c r="G25" s="118"/>
      <c r="H25" s="118"/>
      <c r="I25" s="118"/>
      <c r="J25" s="118"/>
      <c r="K25" s="134">
        <f t="shared" si="0"/>
        <v>0</v>
      </c>
      <c r="L25" s="134"/>
      <c r="M25" s="113"/>
      <c r="N25" s="114">
        <f t="shared" si="7"/>
        <v>0</v>
      </c>
      <c r="O25" s="114">
        <f t="shared" si="6"/>
        <v>0</v>
      </c>
    </row>
    <row r="26" spans="1:15" ht="16.5" x14ac:dyDescent="0.25">
      <c r="A26" s="110">
        <f t="shared" si="5"/>
        <v>44122</v>
      </c>
      <c r="B26" s="117">
        <f t="shared" si="1"/>
        <v>0</v>
      </c>
      <c r="C26" s="86"/>
      <c r="D26" s="117">
        <f t="shared" ref="D26:F40" si="8">+E26/D$7</f>
        <v>0</v>
      </c>
      <c r="E26" s="113"/>
      <c r="F26" s="117">
        <f t="shared" si="8"/>
        <v>0</v>
      </c>
      <c r="G26" s="118"/>
      <c r="H26" s="118"/>
      <c r="I26" s="118"/>
      <c r="J26" s="118"/>
      <c r="K26" s="134">
        <f t="shared" si="0"/>
        <v>0</v>
      </c>
      <c r="L26" s="134"/>
      <c r="M26" s="113"/>
      <c r="N26" s="114">
        <f t="shared" si="3"/>
        <v>0</v>
      </c>
      <c r="O26" s="114">
        <f t="shared" si="6"/>
        <v>0</v>
      </c>
    </row>
    <row r="27" spans="1:15" ht="16.5" x14ac:dyDescent="0.25">
      <c r="A27" s="110">
        <f t="shared" si="5"/>
        <v>44123</v>
      </c>
      <c r="B27" s="117">
        <f t="shared" si="1"/>
        <v>0</v>
      </c>
      <c r="C27" s="86"/>
      <c r="D27" s="117">
        <f t="shared" si="8"/>
        <v>0</v>
      </c>
      <c r="E27" s="113"/>
      <c r="F27" s="117">
        <f t="shared" si="8"/>
        <v>0</v>
      </c>
      <c r="G27" s="118"/>
      <c r="H27" s="118"/>
      <c r="I27" s="118"/>
      <c r="J27" s="118"/>
      <c r="K27" s="134">
        <f t="shared" si="0"/>
        <v>0</v>
      </c>
      <c r="L27" s="134"/>
      <c r="M27" s="113"/>
      <c r="N27" s="114">
        <f t="shared" si="3"/>
        <v>0</v>
      </c>
      <c r="O27" s="114">
        <f t="shared" si="6"/>
        <v>0</v>
      </c>
    </row>
    <row r="28" spans="1:15" ht="16.5" x14ac:dyDescent="0.25">
      <c r="A28" s="110">
        <f t="shared" si="5"/>
        <v>44124</v>
      </c>
      <c r="B28" s="117">
        <f t="shared" si="1"/>
        <v>0</v>
      </c>
      <c r="C28" s="86"/>
      <c r="D28" s="117">
        <f t="shared" si="8"/>
        <v>0</v>
      </c>
      <c r="E28" s="113"/>
      <c r="F28" s="117">
        <f t="shared" si="8"/>
        <v>0</v>
      </c>
      <c r="G28" s="118"/>
      <c r="H28" s="118"/>
      <c r="I28" s="118"/>
      <c r="J28" s="118"/>
      <c r="K28" s="134">
        <f t="shared" si="0"/>
        <v>0</v>
      </c>
      <c r="L28" s="134"/>
      <c r="M28" s="113"/>
      <c r="N28" s="114">
        <f t="shared" si="3"/>
        <v>0</v>
      </c>
      <c r="O28" s="114">
        <f t="shared" si="6"/>
        <v>0</v>
      </c>
    </row>
    <row r="29" spans="1:15" ht="16.5" x14ac:dyDescent="0.25">
      <c r="A29" s="110">
        <f t="shared" si="5"/>
        <v>44125</v>
      </c>
      <c r="B29" s="117">
        <f t="shared" si="1"/>
        <v>0</v>
      </c>
      <c r="C29" s="86"/>
      <c r="D29" s="117">
        <f t="shared" si="8"/>
        <v>0</v>
      </c>
      <c r="E29" s="113"/>
      <c r="F29" s="117">
        <f t="shared" si="8"/>
        <v>0</v>
      </c>
      <c r="G29" s="118"/>
      <c r="H29" s="118"/>
      <c r="I29" s="118"/>
      <c r="J29" s="118"/>
      <c r="K29" s="134">
        <f t="shared" si="0"/>
        <v>0</v>
      </c>
      <c r="L29" s="134"/>
      <c r="M29" s="113"/>
      <c r="N29" s="114">
        <f t="shared" si="3"/>
        <v>0</v>
      </c>
      <c r="O29" s="114">
        <f t="shared" si="4"/>
        <v>0</v>
      </c>
    </row>
    <row r="30" spans="1:15" ht="16.5" x14ac:dyDescent="0.25">
      <c r="A30" s="110">
        <f t="shared" si="5"/>
        <v>44126</v>
      </c>
      <c r="B30" s="117">
        <f t="shared" si="1"/>
        <v>0</v>
      </c>
      <c r="C30" s="86"/>
      <c r="D30" s="117">
        <f t="shared" si="8"/>
        <v>0</v>
      </c>
      <c r="E30" s="113"/>
      <c r="F30" s="117">
        <f t="shared" si="8"/>
        <v>0</v>
      </c>
      <c r="G30" s="118"/>
      <c r="H30" s="118"/>
      <c r="I30" s="118"/>
      <c r="J30" s="118"/>
      <c r="K30" s="134">
        <f t="shared" si="0"/>
        <v>0</v>
      </c>
      <c r="L30" s="134"/>
      <c r="M30" s="113"/>
      <c r="N30" s="114">
        <f t="shared" si="3"/>
        <v>0</v>
      </c>
      <c r="O30" s="114">
        <f t="shared" si="4"/>
        <v>0</v>
      </c>
    </row>
    <row r="31" spans="1:15" s="1555" customFormat="1" ht="16.5" x14ac:dyDescent="0.25">
      <c r="A31" s="1547">
        <f t="shared" si="5"/>
        <v>44127</v>
      </c>
      <c r="B31" s="1549">
        <f t="shared" si="1"/>
        <v>0</v>
      </c>
      <c r="C31" s="1532"/>
      <c r="D31" s="1549">
        <f t="shared" si="8"/>
        <v>0</v>
      </c>
      <c r="E31" s="1532"/>
      <c r="F31" s="1549">
        <f t="shared" si="8"/>
        <v>0</v>
      </c>
      <c r="G31" s="1548"/>
      <c r="H31" s="1548"/>
      <c r="I31" s="1548"/>
      <c r="J31" s="1548"/>
      <c r="K31" s="1550">
        <f t="shared" si="0"/>
        <v>0</v>
      </c>
      <c r="L31" s="1550"/>
      <c r="M31" s="1532"/>
      <c r="N31" s="1548">
        <f t="shared" si="3"/>
        <v>0</v>
      </c>
      <c r="O31" s="1548">
        <f t="shared" si="4"/>
        <v>0</v>
      </c>
    </row>
    <row r="32" spans="1:15" ht="16.5" x14ac:dyDescent="0.25">
      <c r="A32" s="110">
        <f t="shared" si="5"/>
        <v>44128</v>
      </c>
      <c r="B32" s="111">
        <f t="shared" si="1"/>
        <v>0</v>
      </c>
      <c r="C32" s="113"/>
      <c r="D32" s="111">
        <f t="shared" si="8"/>
        <v>0</v>
      </c>
      <c r="E32" s="113"/>
      <c r="F32" s="111">
        <f t="shared" si="8"/>
        <v>0</v>
      </c>
      <c r="G32" s="114"/>
      <c r="H32" s="114"/>
      <c r="I32" s="114"/>
      <c r="J32" s="114"/>
      <c r="K32" s="115">
        <f t="shared" si="0"/>
        <v>0</v>
      </c>
      <c r="L32" s="115"/>
      <c r="M32" s="113"/>
      <c r="N32" s="114">
        <f t="shared" si="3"/>
        <v>0</v>
      </c>
      <c r="O32" s="114">
        <f t="shared" si="4"/>
        <v>0</v>
      </c>
    </row>
    <row r="33" spans="1:15" ht="16.5" x14ac:dyDescent="0.25">
      <c r="A33" s="110">
        <f t="shared" si="5"/>
        <v>44129</v>
      </c>
      <c r="B33" s="111">
        <f t="shared" si="1"/>
        <v>0</v>
      </c>
      <c r="C33" s="113"/>
      <c r="D33" s="111">
        <f>+E33/D$7</f>
        <v>0</v>
      </c>
      <c r="E33" s="113"/>
      <c r="F33" s="111">
        <f t="shared" si="8"/>
        <v>0</v>
      </c>
      <c r="G33" s="114"/>
      <c r="H33" s="114"/>
      <c r="I33" s="114"/>
      <c r="J33" s="114"/>
      <c r="K33" s="115">
        <f t="shared" si="0"/>
        <v>0</v>
      </c>
      <c r="L33" s="115"/>
      <c r="M33" s="113"/>
      <c r="N33" s="114">
        <f t="shared" si="3"/>
        <v>0</v>
      </c>
      <c r="O33" s="114">
        <f t="shared" si="4"/>
        <v>0</v>
      </c>
    </row>
    <row r="34" spans="1:15" ht="16.5" x14ac:dyDescent="0.25">
      <c r="A34" s="110">
        <f t="shared" si="5"/>
        <v>44130</v>
      </c>
      <c r="B34" s="111">
        <f t="shared" si="1"/>
        <v>0</v>
      </c>
      <c r="C34" s="113"/>
      <c r="D34" s="111">
        <f t="shared" si="8"/>
        <v>0</v>
      </c>
      <c r="E34" s="113"/>
      <c r="F34" s="111">
        <f t="shared" si="8"/>
        <v>0</v>
      </c>
      <c r="G34" s="114"/>
      <c r="H34" s="114"/>
      <c r="I34" s="114"/>
      <c r="J34" s="114"/>
      <c r="K34" s="115">
        <f t="shared" si="0"/>
        <v>0</v>
      </c>
      <c r="L34" s="115"/>
      <c r="M34" s="113"/>
      <c r="N34" s="114">
        <f t="shared" si="3"/>
        <v>0</v>
      </c>
      <c r="O34" s="114">
        <f t="shared" si="4"/>
        <v>0</v>
      </c>
    </row>
    <row r="35" spans="1:15" ht="16.5" x14ac:dyDescent="0.25">
      <c r="A35" s="110">
        <f t="shared" si="5"/>
        <v>44131</v>
      </c>
      <c r="B35" s="111">
        <f t="shared" si="1"/>
        <v>0</v>
      </c>
      <c r="C35" s="113"/>
      <c r="D35" s="111">
        <f t="shared" si="8"/>
        <v>0</v>
      </c>
      <c r="E35" s="113"/>
      <c r="F35" s="111">
        <f t="shared" si="8"/>
        <v>0</v>
      </c>
      <c r="G35" s="114"/>
      <c r="H35" s="114"/>
      <c r="I35" s="114"/>
      <c r="J35" s="114"/>
      <c r="K35" s="115">
        <f t="shared" si="0"/>
        <v>0</v>
      </c>
      <c r="L35" s="115"/>
      <c r="M35" s="113"/>
      <c r="N35" s="114">
        <f t="shared" si="3"/>
        <v>0</v>
      </c>
      <c r="O35" s="114">
        <f t="shared" si="4"/>
        <v>0</v>
      </c>
    </row>
    <row r="36" spans="1:15" ht="16.5" x14ac:dyDescent="0.25">
      <c r="A36" s="110">
        <f t="shared" si="5"/>
        <v>44132</v>
      </c>
      <c r="B36" s="111">
        <f t="shared" si="1"/>
        <v>0</v>
      </c>
      <c r="C36" s="113"/>
      <c r="D36" s="111">
        <f t="shared" si="8"/>
        <v>0</v>
      </c>
      <c r="E36" s="113"/>
      <c r="F36" s="111">
        <f t="shared" si="8"/>
        <v>0</v>
      </c>
      <c r="G36" s="114"/>
      <c r="H36" s="114"/>
      <c r="I36" s="114"/>
      <c r="J36" s="114"/>
      <c r="K36" s="115">
        <f t="shared" si="0"/>
        <v>0</v>
      </c>
      <c r="L36" s="115"/>
      <c r="M36" s="113"/>
      <c r="N36" s="114">
        <f t="shared" si="3"/>
        <v>0</v>
      </c>
      <c r="O36" s="114">
        <f t="shared" si="4"/>
        <v>0</v>
      </c>
    </row>
    <row r="37" spans="1:15" ht="16.5" x14ac:dyDescent="0.25">
      <c r="A37" s="110">
        <f t="shared" si="5"/>
        <v>44133</v>
      </c>
      <c r="B37" s="111">
        <f t="shared" si="1"/>
        <v>0</v>
      </c>
      <c r="C37" s="113"/>
      <c r="D37" s="111">
        <f t="shared" si="8"/>
        <v>0</v>
      </c>
      <c r="E37" s="113"/>
      <c r="F37" s="111">
        <f t="shared" si="8"/>
        <v>0</v>
      </c>
      <c r="G37" s="114"/>
      <c r="H37" s="114"/>
      <c r="I37" s="114"/>
      <c r="J37" s="114"/>
      <c r="K37" s="115">
        <f t="shared" si="0"/>
        <v>0</v>
      </c>
      <c r="L37" s="115"/>
      <c r="M37" s="113"/>
      <c r="N37" s="114">
        <f t="shared" si="3"/>
        <v>0</v>
      </c>
      <c r="O37" s="114">
        <f t="shared" si="4"/>
        <v>0</v>
      </c>
    </row>
    <row r="38" spans="1:15" ht="16.5" x14ac:dyDescent="0.25">
      <c r="A38" s="110">
        <f t="shared" si="5"/>
        <v>44134</v>
      </c>
      <c r="B38" s="111">
        <f t="shared" si="1"/>
        <v>0</v>
      </c>
      <c r="C38" s="113"/>
      <c r="D38" s="111">
        <f t="shared" si="8"/>
        <v>0</v>
      </c>
      <c r="E38" s="113"/>
      <c r="F38" s="111">
        <f t="shared" si="8"/>
        <v>0</v>
      </c>
      <c r="G38" s="114"/>
      <c r="H38" s="114"/>
      <c r="I38" s="114"/>
      <c r="J38" s="114"/>
      <c r="K38" s="115">
        <f t="shared" si="0"/>
        <v>0</v>
      </c>
      <c r="L38" s="115"/>
      <c r="M38" s="113"/>
      <c r="N38" s="114">
        <f t="shared" si="3"/>
        <v>0</v>
      </c>
      <c r="O38" s="114">
        <f t="shared" si="4"/>
        <v>0</v>
      </c>
    </row>
    <row r="39" spans="1:15" ht="16.5" x14ac:dyDescent="0.25">
      <c r="A39" s="110">
        <f>+A38+1</f>
        <v>44135</v>
      </c>
      <c r="B39" s="111">
        <f t="shared" si="1"/>
        <v>0</v>
      </c>
      <c r="C39" s="113"/>
      <c r="D39" s="111">
        <f t="shared" si="8"/>
        <v>0</v>
      </c>
      <c r="E39" s="113"/>
      <c r="F39" s="111">
        <f t="shared" si="8"/>
        <v>0</v>
      </c>
      <c r="G39" s="114"/>
      <c r="H39" s="114"/>
      <c r="I39" s="114"/>
      <c r="J39" s="114"/>
      <c r="K39" s="115">
        <f t="shared" si="0"/>
        <v>0</v>
      </c>
      <c r="L39" s="115"/>
      <c r="M39" s="113"/>
      <c r="N39" s="114">
        <f t="shared" si="3"/>
        <v>0</v>
      </c>
      <c r="O39" s="114">
        <f t="shared" si="4"/>
        <v>0</v>
      </c>
    </row>
    <row r="40" spans="1:15" ht="16.5" x14ac:dyDescent="0.25">
      <c r="A40" s="110">
        <f>+A39+1</f>
        <v>44136</v>
      </c>
      <c r="B40" s="111"/>
      <c r="C40" s="113"/>
      <c r="D40" s="111">
        <f t="shared" si="8"/>
        <v>0</v>
      </c>
      <c r="E40" s="113"/>
      <c r="F40" s="111"/>
      <c r="G40" s="114"/>
      <c r="H40" s="114"/>
      <c r="I40" s="114"/>
      <c r="J40" s="114"/>
      <c r="K40" s="115">
        <f t="shared" si="0"/>
        <v>0</v>
      </c>
      <c r="L40" s="115"/>
      <c r="M40" s="113"/>
      <c r="N40" s="114">
        <f t="shared" si="3"/>
        <v>0</v>
      </c>
      <c r="O40" s="992">
        <f>+O39+K40-M40</f>
        <v>0</v>
      </c>
    </row>
    <row r="41" spans="1:15" ht="16.5" x14ac:dyDescent="0.2">
      <c r="A41" s="121" t="s">
        <v>18</v>
      </c>
      <c r="B41" s="137">
        <f>SUM(B9:B39)</f>
        <v>0</v>
      </c>
      <c r="C41" s="115">
        <f>SUM(C9:C39)</f>
        <v>0</v>
      </c>
      <c r="D41" s="122">
        <f>SUM(D9:D40)</f>
        <v>0</v>
      </c>
      <c r="E41" s="115">
        <f>SUM(E9:E40)</f>
        <v>0</v>
      </c>
      <c r="F41" s="115">
        <f>SUM(F9:F39)</f>
        <v>0</v>
      </c>
      <c r="G41" s="115">
        <f>SUM(G9:G39)</f>
        <v>0</v>
      </c>
      <c r="H41" s="115">
        <f>SUM(H9:H39)</f>
        <v>0</v>
      </c>
      <c r="I41" s="115">
        <f>SUM(I9:I39)</f>
        <v>0</v>
      </c>
      <c r="J41" s="115">
        <f>SUM(J9:J39)</f>
        <v>0</v>
      </c>
      <c r="K41" s="115">
        <f>SUM(K9:K40)</f>
        <v>0</v>
      </c>
      <c r="L41" s="115"/>
      <c r="M41" s="115">
        <f>SUM(M9:M39)</f>
        <v>0</v>
      </c>
      <c r="N41" s="120">
        <f>SUM(N8:N40)</f>
        <v>0</v>
      </c>
      <c r="O41" s="123"/>
    </row>
  </sheetData>
  <mergeCells count="8">
    <mergeCell ref="N6:N7"/>
    <mergeCell ref="O6:O7"/>
    <mergeCell ref="H6:H7"/>
    <mergeCell ref="I6:I7"/>
    <mergeCell ref="J6:J7"/>
    <mergeCell ref="K6:K7"/>
    <mergeCell ref="L6:L7"/>
    <mergeCell ref="M6:M7"/>
  </mergeCells>
  <pageMargins left="0.39370078740157483" right="0.39370078740157483" top="0.74803149606299213" bottom="0.39370078740157483" header="0.31496062992125984" footer="0.31496062992125984"/>
  <pageSetup paperSize="9" scale="70"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1">
    <tabColor rgb="FFFF0000"/>
    <pageSetUpPr fitToPage="1"/>
  </sheetPr>
  <dimension ref="A2:P50"/>
  <sheetViews>
    <sheetView zoomScaleNormal="100" workbookViewId="0">
      <selection activeCell="B4" sqref="B4"/>
    </sheetView>
  </sheetViews>
  <sheetFormatPr baseColWidth="10" defaultRowHeight="15" x14ac:dyDescent="0.2"/>
  <cols>
    <col min="1" max="1" width="10.5703125" style="37" bestFit="1" customWidth="1"/>
    <col min="2" max="2" width="11.28515625" style="37" bestFit="1" customWidth="1"/>
    <col min="3" max="3" width="12" style="37" bestFit="1" customWidth="1"/>
    <col min="4" max="4" width="14.85546875" style="37" bestFit="1" customWidth="1"/>
    <col min="5" max="5" width="15.42578125" style="37" customWidth="1"/>
    <col min="6" max="6" width="11.28515625" style="37" bestFit="1" customWidth="1"/>
    <col min="7" max="7" width="10.85546875" style="37" customWidth="1"/>
    <col min="8" max="8" width="14.5703125" style="37" bestFit="1" customWidth="1"/>
    <col min="9" max="9" width="10.7109375" style="37" bestFit="1" customWidth="1"/>
    <col min="10" max="10" width="12.28515625" style="37" bestFit="1" customWidth="1"/>
    <col min="11" max="11" width="16.140625" style="37" customWidth="1"/>
    <col min="12" max="12" width="14" style="37" customWidth="1"/>
    <col min="13" max="13" width="16.140625" style="37" bestFit="1" customWidth="1"/>
    <col min="14" max="14" width="15" style="37" customWidth="1"/>
    <col min="15" max="15" width="16.140625" style="37" bestFit="1" customWidth="1"/>
    <col min="16" max="16384" width="11.42578125" style="37"/>
  </cols>
  <sheetData>
    <row r="2" spans="1:15" ht="16.5" x14ac:dyDescent="0.3">
      <c r="A2" s="1" t="s">
        <v>118</v>
      </c>
      <c r="B2" s="1" t="s">
        <v>452</v>
      </c>
    </row>
    <row r="3" spans="1:15" ht="15.75" x14ac:dyDescent="0.25">
      <c r="C3" s="99"/>
      <c r="K3" s="116">
        <v>7241</v>
      </c>
      <c r="L3" s="116"/>
    </row>
    <row r="4" spans="1:15" ht="16.5" x14ac:dyDescent="0.3">
      <c r="A4" s="1" t="s">
        <v>19</v>
      </c>
      <c r="B4" s="2">
        <f>+BLESSING!B4</f>
        <v>44105</v>
      </c>
      <c r="C4" s="1"/>
      <c r="N4" s="37">
        <v>4125875</v>
      </c>
    </row>
    <row r="5" spans="1:15" ht="16.5" x14ac:dyDescent="0.3">
      <c r="A5" s="1"/>
      <c r="B5" s="1"/>
      <c r="C5" s="1"/>
      <c r="N5" s="386">
        <f>+N4-N8</f>
        <v>-30000</v>
      </c>
    </row>
    <row r="6" spans="1:15" ht="16.5" x14ac:dyDescent="0.2">
      <c r="A6" s="100" t="s">
        <v>3</v>
      </c>
      <c r="B6" s="958" t="s">
        <v>15</v>
      </c>
      <c r="C6" s="959"/>
      <c r="D6" s="958" t="s">
        <v>16</v>
      </c>
      <c r="E6" s="959"/>
      <c r="F6" s="958" t="s">
        <v>17</v>
      </c>
      <c r="G6" s="959"/>
      <c r="H6" s="2910" t="s">
        <v>52</v>
      </c>
      <c r="I6" s="2910" t="s">
        <v>53</v>
      </c>
      <c r="J6" s="2910" t="s">
        <v>119</v>
      </c>
      <c r="K6" s="2910" t="s">
        <v>18</v>
      </c>
      <c r="L6" s="3062" t="s">
        <v>416</v>
      </c>
      <c r="M6" s="2910" t="s">
        <v>60</v>
      </c>
      <c r="N6" s="2910" t="s">
        <v>55</v>
      </c>
      <c r="O6" s="2910" t="s">
        <v>120</v>
      </c>
    </row>
    <row r="7" spans="1:15" ht="16.5" x14ac:dyDescent="0.2">
      <c r="A7" s="103"/>
      <c r="B7" s="913">
        <v>650</v>
      </c>
      <c r="C7" s="914"/>
      <c r="D7" s="913">
        <v>600</v>
      </c>
      <c r="E7" s="914"/>
      <c r="F7" s="913">
        <v>350</v>
      </c>
      <c r="G7" s="914"/>
      <c r="H7" s="3059"/>
      <c r="I7" s="3059"/>
      <c r="J7" s="2911"/>
      <c r="K7" s="2911"/>
      <c r="L7" s="3064"/>
      <c r="M7" s="2911"/>
      <c r="N7" s="2911"/>
      <c r="O7" s="2911"/>
    </row>
    <row r="8" spans="1:15" ht="16.5" x14ac:dyDescent="0.25">
      <c r="A8" s="105"/>
      <c r="B8" s="106" t="s">
        <v>56</v>
      </c>
      <c r="C8" s="106" t="s">
        <v>37</v>
      </c>
      <c r="D8" s="107" t="s">
        <v>56</v>
      </c>
      <c r="E8" s="106" t="s">
        <v>37</v>
      </c>
      <c r="F8" s="106" t="s">
        <v>56</v>
      </c>
      <c r="G8" s="106" t="s">
        <v>37</v>
      </c>
      <c r="H8" s="956"/>
      <c r="I8" s="956"/>
      <c r="J8" s="957"/>
      <c r="K8" s="957"/>
      <c r="L8" s="957"/>
      <c r="M8" s="133"/>
      <c r="N8" s="136">
        <v>4155875</v>
      </c>
      <c r="O8" s="109">
        <f>N8</f>
        <v>4155875</v>
      </c>
    </row>
    <row r="9" spans="1:15" ht="16.5" x14ac:dyDescent="0.3">
      <c r="A9" s="110">
        <f>+BLESSING!A9</f>
        <v>44105</v>
      </c>
      <c r="B9" s="111">
        <f>C9/B$7</f>
        <v>0</v>
      </c>
      <c r="C9" s="112"/>
      <c r="D9" s="111">
        <f>+E9/D$7</f>
        <v>0</v>
      </c>
      <c r="E9" s="113"/>
      <c r="F9" s="111">
        <f>+G9/F$7</f>
        <v>0</v>
      </c>
      <c r="G9" s="114"/>
      <c r="H9" s="114"/>
      <c r="I9" s="114"/>
      <c r="J9" s="114"/>
      <c r="K9" s="115">
        <f t="shared" ref="K9:K41" si="0">C9+E9+G9+H9+I9+J9</f>
        <v>0</v>
      </c>
      <c r="L9" s="115"/>
      <c r="M9" s="113"/>
      <c r="N9" s="114">
        <f>K9-M9</f>
        <v>0</v>
      </c>
      <c r="O9" s="114">
        <f>+O8+K9-M9</f>
        <v>4155875</v>
      </c>
    </row>
    <row r="10" spans="1:15"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115"/>
      <c r="M10" s="86"/>
      <c r="N10" s="114">
        <f t="shared" ref="N10:N39" si="3">K10-M10</f>
        <v>0</v>
      </c>
      <c r="O10" s="114">
        <f t="shared" ref="O10:O37" si="4">+O9+K10-M10</f>
        <v>4155875</v>
      </c>
    </row>
    <row r="11" spans="1:15" ht="16.5" x14ac:dyDescent="0.25">
      <c r="A11" s="110">
        <f t="shared" ref="A11:A40" si="5">+A10+1</f>
        <v>44107</v>
      </c>
      <c r="B11" s="111">
        <f t="shared" si="1"/>
        <v>0</v>
      </c>
      <c r="C11" s="113"/>
      <c r="D11" s="111">
        <f t="shared" si="2"/>
        <v>0</v>
      </c>
      <c r="E11" s="113"/>
      <c r="F11" s="111">
        <f t="shared" si="2"/>
        <v>0</v>
      </c>
      <c r="G11" s="114"/>
      <c r="H11" s="114"/>
      <c r="I11" s="114"/>
      <c r="J11" s="114"/>
      <c r="K11" s="115">
        <f t="shared" si="0"/>
        <v>0</v>
      </c>
      <c r="L11" s="115"/>
      <c r="M11" s="86"/>
      <c r="N11" s="114">
        <f t="shared" si="3"/>
        <v>0</v>
      </c>
      <c r="O11" s="114">
        <f t="shared" si="4"/>
        <v>4155875</v>
      </c>
    </row>
    <row r="12" spans="1:15" ht="16.5" x14ac:dyDescent="0.25">
      <c r="A12" s="110">
        <f t="shared" si="5"/>
        <v>44108</v>
      </c>
      <c r="B12" s="111">
        <f t="shared" si="1"/>
        <v>0</v>
      </c>
      <c r="C12" s="113"/>
      <c r="D12" s="111">
        <f t="shared" si="2"/>
        <v>0</v>
      </c>
      <c r="E12" s="113"/>
      <c r="F12" s="111">
        <f t="shared" si="2"/>
        <v>0</v>
      </c>
      <c r="G12" s="114"/>
      <c r="H12" s="114"/>
      <c r="I12" s="114"/>
      <c r="J12" s="114"/>
      <c r="K12" s="115">
        <f t="shared" si="0"/>
        <v>0</v>
      </c>
      <c r="L12" s="115"/>
      <c r="M12" s="86"/>
      <c r="N12" s="114">
        <f t="shared" si="3"/>
        <v>0</v>
      </c>
      <c r="O12" s="114">
        <f t="shared" si="4"/>
        <v>4155875</v>
      </c>
    </row>
    <row r="13" spans="1:15" ht="16.5" x14ac:dyDescent="0.3">
      <c r="A13" s="110">
        <f t="shared" si="5"/>
        <v>44109</v>
      </c>
      <c r="B13" s="111">
        <f t="shared" si="1"/>
        <v>0</v>
      </c>
      <c r="C13" s="112"/>
      <c r="D13" s="111">
        <f t="shared" si="2"/>
        <v>0</v>
      </c>
      <c r="E13" s="113"/>
      <c r="F13" s="111">
        <f t="shared" si="2"/>
        <v>0</v>
      </c>
      <c r="G13" s="114"/>
      <c r="H13" s="114"/>
      <c r="I13" s="114"/>
      <c r="J13" s="114"/>
      <c r="K13" s="115">
        <f t="shared" si="0"/>
        <v>0</v>
      </c>
      <c r="L13" s="115"/>
      <c r="M13" s="86"/>
      <c r="N13" s="114">
        <f t="shared" si="3"/>
        <v>0</v>
      </c>
      <c r="O13" s="114">
        <f t="shared" si="4"/>
        <v>4155875</v>
      </c>
    </row>
    <row r="14" spans="1:15" ht="16.5" x14ac:dyDescent="0.3">
      <c r="A14" s="110">
        <f t="shared" si="5"/>
        <v>44110</v>
      </c>
      <c r="B14" s="111">
        <f t="shared" si="1"/>
        <v>0</v>
      </c>
      <c r="C14" s="112"/>
      <c r="D14" s="111">
        <f t="shared" si="2"/>
        <v>0</v>
      </c>
      <c r="E14" s="113"/>
      <c r="F14" s="111">
        <f t="shared" si="2"/>
        <v>0</v>
      </c>
      <c r="G14" s="114"/>
      <c r="H14" s="114"/>
      <c r="I14" s="114"/>
      <c r="J14" s="114"/>
      <c r="K14" s="115">
        <f t="shared" si="0"/>
        <v>0</v>
      </c>
      <c r="L14" s="115"/>
      <c r="M14" s="86"/>
      <c r="N14" s="114">
        <f t="shared" si="3"/>
        <v>0</v>
      </c>
      <c r="O14" s="114">
        <f t="shared" si="4"/>
        <v>4155875</v>
      </c>
    </row>
    <row r="15" spans="1:15"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si="4"/>
        <v>4155875</v>
      </c>
    </row>
    <row r="16" spans="1:15" ht="16.5" x14ac:dyDescent="0.25">
      <c r="A16" s="110">
        <f t="shared" si="5"/>
        <v>44112</v>
      </c>
      <c r="B16" s="111">
        <f t="shared" si="1"/>
        <v>0</v>
      </c>
      <c r="C16" s="113"/>
      <c r="D16" s="111">
        <f t="shared" si="2"/>
        <v>0</v>
      </c>
      <c r="E16" s="113"/>
      <c r="F16" s="111">
        <f t="shared" si="2"/>
        <v>0</v>
      </c>
      <c r="G16" s="114"/>
      <c r="H16" s="114"/>
      <c r="I16" s="114"/>
      <c r="J16" s="114"/>
      <c r="K16" s="115">
        <f t="shared" si="0"/>
        <v>0</v>
      </c>
      <c r="L16" s="115"/>
      <c r="M16" s="86"/>
      <c r="N16" s="114">
        <f t="shared" si="3"/>
        <v>0</v>
      </c>
      <c r="O16" s="114">
        <f t="shared" si="4"/>
        <v>4155875</v>
      </c>
    </row>
    <row r="17" spans="1:16"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f t="shared" si="3"/>
        <v>0</v>
      </c>
      <c r="O17" s="114">
        <f t="shared" si="4"/>
        <v>4155875</v>
      </c>
    </row>
    <row r="18" spans="1:16" ht="16.5" x14ac:dyDescent="0.25">
      <c r="A18" s="110">
        <f t="shared" si="5"/>
        <v>44114</v>
      </c>
      <c r="B18" s="117">
        <f t="shared" si="1"/>
        <v>0</v>
      </c>
      <c r="C18" s="86"/>
      <c r="D18" s="117">
        <f t="shared" si="2"/>
        <v>0</v>
      </c>
      <c r="E18" s="113"/>
      <c r="F18" s="111">
        <f t="shared" si="2"/>
        <v>0</v>
      </c>
      <c r="G18" s="118"/>
      <c r="H18" s="118"/>
      <c r="I18" s="118"/>
      <c r="J18" s="118"/>
      <c r="K18" s="134">
        <f t="shared" si="0"/>
        <v>0</v>
      </c>
      <c r="L18" s="134"/>
      <c r="M18" s="86"/>
      <c r="N18" s="114">
        <f t="shared" si="3"/>
        <v>0</v>
      </c>
      <c r="O18" s="114">
        <f t="shared" si="4"/>
        <v>4155875</v>
      </c>
    </row>
    <row r="19" spans="1:16" ht="16.5" x14ac:dyDescent="0.25">
      <c r="A19" s="110">
        <f t="shared" si="5"/>
        <v>44115</v>
      </c>
      <c r="B19" s="117">
        <f t="shared" si="1"/>
        <v>0</v>
      </c>
      <c r="C19" s="86"/>
      <c r="D19" s="117">
        <f t="shared" si="2"/>
        <v>0</v>
      </c>
      <c r="E19" s="113"/>
      <c r="F19" s="111">
        <f t="shared" si="2"/>
        <v>0</v>
      </c>
      <c r="G19" s="118"/>
      <c r="H19" s="118"/>
      <c r="I19" s="118"/>
      <c r="J19" s="118"/>
      <c r="K19" s="134">
        <f>C19+E19+G19+H19+I19+J19</f>
        <v>0</v>
      </c>
      <c r="L19" s="134"/>
      <c r="M19" s="86"/>
      <c r="N19" s="114">
        <f t="shared" si="3"/>
        <v>0</v>
      </c>
      <c r="O19" s="114">
        <f>+O18+K19-M19</f>
        <v>4155875</v>
      </c>
    </row>
    <row r="20" spans="1:16" ht="16.5" x14ac:dyDescent="0.25">
      <c r="A20" s="110">
        <f t="shared" si="5"/>
        <v>44116</v>
      </c>
      <c r="B20" s="117">
        <f t="shared" si="1"/>
        <v>0</v>
      </c>
      <c r="C20" s="86"/>
      <c r="D20" s="117">
        <f t="shared" si="2"/>
        <v>0</v>
      </c>
      <c r="E20" s="113"/>
      <c r="F20" s="111">
        <f t="shared" si="2"/>
        <v>0</v>
      </c>
      <c r="G20" s="118"/>
      <c r="H20" s="118"/>
      <c r="I20" s="118"/>
      <c r="J20" s="118"/>
      <c r="K20" s="134">
        <f t="shared" si="0"/>
        <v>0</v>
      </c>
      <c r="L20" s="134"/>
      <c r="M20" s="86"/>
      <c r="N20" s="114">
        <f t="shared" si="3"/>
        <v>0</v>
      </c>
      <c r="O20" s="114">
        <f t="shared" si="4"/>
        <v>4155875</v>
      </c>
    </row>
    <row r="21" spans="1:16" ht="16.5" x14ac:dyDescent="0.25">
      <c r="A21" s="110">
        <f t="shared" si="5"/>
        <v>44117</v>
      </c>
      <c r="B21" s="117">
        <f t="shared" si="1"/>
        <v>0</v>
      </c>
      <c r="C21" s="86"/>
      <c r="D21" s="117">
        <f t="shared" si="2"/>
        <v>0</v>
      </c>
      <c r="E21" s="113"/>
      <c r="F21" s="111">
        <f t="shared" si="2"/>
        <v>0</v>
      </c>
      <c r="G21" s="118"/>
      <c r="H21" s="118"/>
      <c r="I21" s="118"/>
      <c r="J21" s="118"/>
      <c r="K21" s="134">
        <f t="shared" si="0"/>
        <v>0</v>
      </c>
      <c r="L21" s="134"/>
      <c r="M21" s="86"/>
      <c r="N21" s="114">
        <f t="shared" si="3"/>
        <v>0</v>
      </c>
      <c r="O21" s="114">
        <f t="shared" si="4"/>
        <v>4155875</v>
      </c>
    </row>
    <row r="22" spans="1:16" ht="16.5" x14ac:dyDescent="0.25">
      <c r="A22" s="110">
        <f t="shared" si="5"/>
        <v>44118</v>
      </c>
      <c r="B22" s="117">
        <f t="shared" si="1"/>
        <v>0</v>
      </c>
      <c r="C22" s="86"/>
      <c r="D22" s="117">
        <f t="shared" si="2"/>
        <v>0</v>
      </c>
      <c r="E22" s="86"/>
      <c r="F22" s="111">
        <f t="shared" si="2"/>
        <v>0</v>
      </c>
      <c r="G22" s="118"/>
      <c r="H22" s="118"/>
      <c r="I22" s="118"/>
      <c r="J22" s="118"/>
      <c r="K22" s="134">
        <f t="shared" si="0"/>
        <v>0</v>
      </c>
      <c r="L22" s="134"/>
      <c r="M22" s="86"/>
      <c r="N22" s="114">
        <f t="shared" si="3"/>
        <v>0</v>
      </c>
      <c r="O22" s="114">
        <f t="shared" si="4"/>
        <v>4155875</v>
      </c>
    </row>
    <row r="23" spans="1:16" ht="16.5" x14ac:dyDescent="0.25">
      <c r="A23" s="110">
        <f t="shared" si="5"/>
        <v>44119</v>
      </c>
      <c r="B23" s="117">
        <f t="shared" si="1"/>
        <v>0</v>
      </c>
      <c r="C23" s="86"/>
      <c r="D23" s="117">
        <f t="shared" si="2"/>
        <v>0</v>
      </c>
      <c r="E23" s="113"/>
      <c r="F23" s="117">
        <f t="shared" si="2"/>
        <v>0</v>
      </c>
      <c r="G23" s="118"/>
      <c r="H23" s="118"/>
      <c r="I23" s="118"/>
      <c r="J23" s="118"/>
      <c r="K23" s="134">
        <f t="shared" si="0"/>
        <v>0</v>
      </c>
      <c r="L23" s="134"/>
      <c r="M23" s="86"/>
      <c r="N23" s="114">
        <f t="shared" si="3"/>
        <v>0</v>
      </c>
      <c r="O23" s="114">
        <f t="shared" si="4"/>
        <v>4155875</v>
      </c>
    </row>
    <row r="24" spans="1:16" ht="16.5" x14ac:dyDescent="0.25">
      <c r="A24" s="110">
        <f t="shared" si="5"/>
        <v>44120</v>
      </c>
      <c r="B24" s="117">
        <f t="shared" si="1"/>
        <v>0</v>
      </c>
      <c r="C24" s="86"/>
      <c r="D24" s="117">
        <f t="shared" si="2"/>
        <v>0</v>
      </c>
      <c r="E24" s="113"/>
      <c r="F24" s="117">
        <f t="shared" si="2"/>
        <v>0</v>
      </c>
      <c r="G24" s="118"/>
      <c r="H24" s="118"/>
      <c r="I24" s="118"/>
      <c r="J24" s="118"/>
      <c r="K24" s="134">
        <f t="shared" si="0"/>
        <v>0</v>
      </c>
      <c r="L24" s="134"/>
      <c r="M24" s="113"/>
      <c r="N24" s="114">
        <f t="shared" si="3"/>
        <v>0</v>
      </c>
      <c r="O24" s="114">
        <f t="shared" si="4"/>
        <v>4155875</v>
      </c>
    </row>
    <row r="25" spans="1:16" ht="16.5" x14ac:dyDescent="0.25">
      <c r="A25" s="110">
        <f t="shared" si="5"/>
        <v>44121</v>
      </c>
      <c r="B25" s="117">
        <f t="shared" si="1"/>
        <v>0</v>
      </c>
      <c r="C25" s="86"/>
      <c r="D25" s="117">
        <f t="shared" si="2"/>
        <v>0</v>
      </c>
      <c r="E25" s="113"/>
      <c r="F25" s="117">
        <f t="shared" si="2"/>
        <v>0</v>
      </c>
      <c r="G25" s="118"/>
      <c r="H25" s="118"/>
      <c r="I25" s="118"/>
      <c r="J25" s="118"/>
      <c r="K25" s="134">
        <f t="shared" si="0"/>
        <v>0</v>
      </c>
      <c r="L25" s="134"/>
      <c r="M25" s="113"/>
      <c r="N25" s="114">
        <f t="shared" si="3"/>
        <v>0</v>
      </c>
      <c r="O25" s="114">
        <f t="shared" si="4"/>
        <v>4155875</v>
      </c>
    </row>
    <row r="26" spans="1:16" ht="16.5" x14ac:dyDescent="0.25">
      <c r="A26" s="110">
        <f t="shared" si="5"/>
        <v>44122</v>
      </c>
      <c r="B26" s="117">
        <f t="shared" si="1"/>
        <v>0</v>
      </c>
      <c r="C26" s="86"/>
      <c r="D26" s="117">
        <f t="shared" ref="D26:F40" si="6">+E26/D$7</f>
        <v>0</v>
      </c>
      <c r="E26" s="113"/>
      <c r="F26" s="117">
        <f t="shared" si="6"/>
        <v>0</v>
      </c>
      <c r="G26" s="118"/>
      <c r="H26" s="118"/>
      <c r="I26" s="118"/>
      <c r="J26" s="118"/>
      <c r="K26" s="134">
        <f t="shared" si="0"/>
        <v>0</v>
      </c>
      <c r="L26" s="134"/>
      <c r="M26" s="113"/>
      <c r="N26" s="114">
        <f t="shared" si="3"/>
        <v>0</v>
      </c>
      <c r="O26" s="114">
        <f t="shared" si="4"/>
        <v>4155875</v>
      </c>
    </row>
    <row r="27" spans="1:16" ht="16.5" x14ac:dyDescent="0.25">
      <c r="A27" s="110">
        <f t="shared" si="5"/>
        <v>44123</v>
      </c>
      <c r="B27" s="117">
        <f t="shared" si="1"/>
        <v>0</v>
      </c>
      <c r="C27" s="86"/>
      <c r="D27" s="117">
        <f t="shared" si="6"/>
        <v>0</v>
      </c>
      <c r="E27" s="113"/>
      <c r="F27" s="117">
        <f t="shared" si="6"/>
        <v>0</v>
      </c>
      <c r="G27" s="118"/>
      <c r="H27" s="118"/>
      <c r="I27" s="118"/>
      <c r="J27" s="118"/>
      <c r="K27" s="134">
        <f t="shared" si="0"/>
        <v>0</v>
      </c>
      <c r="L27" s="134"/>
      <c r="M27" s="113"/>
      <c r="N27" s="114">
        <f t="shared" si="3"/>
        <v>0</v>
      </c>
      <c r="O27" s="114">
        <f t="shared" si="4"/>
        <v>4155875</v>
      </c>
    </row>
    <row r="28" spans="1:16" ht="16.5" x14ac:dyDescent="0.25">
      <c r="A28" s="110">
        <f t="shared" si="5"/>
        <v>44124</v>
      </c>
      <c r="B28" s="117">
        <f t="shared" si="1"/>
        <v>0</v>
      </c>
      <c r="C28" s="86"/>
      <c r="D28" s="117">
        <f t="shared" si="6"/>
        <v>0</v>
      </c>
      <c r="E28" s="113"/>
      <c r="F28" s="117">
        <f t="shared" si="6"/>
        <v>0</v>
      </c>
      <c r="G28" s="118"/>
      <c r="H28" s="118"/>
      <c r="I28" s="118"/>
      <c r="J28" s="118"/>
      <c r="K28" s="134">
        <f t="shared" si="0"/>
        <v>0</v>
      </c>
      <c r="L28" s="134"/>
      <c r="M28" s="113"/>
      <c r="N28" s="114">
        <f t="shared" si="3"/>
        <v>0</v>
      </c>
      <c r="O28" s="114">
        <f t="shared" si="4"/>
        <v>4155875</v>
      </c>
    </row>
    <row r="29" spans="1:16" ht="16.5" x14ac:dyDescent="0.25">
      <c r="A29" s="110">
        <f t="shared" si="5"/>
        <v>44125</v>
      </c>
      <c r="B29" s="117">
        <f t="shared" si="1"/>
        <v>0</v>
      </c>
      <c r="C29" s="86"/>
      <c r="D29" s="117">
        <f t="shared" si="6"/>
        <v>0</v>
      </c>
      <c r="E29" s="113"/>
      <c r="F29" s="117">
        <f t="shared" si="6"/>
        <v>0</v>
      </c>
      <c r="G29" s="118"/>
      <c r="H29" s="118"/>
      <c r="I29" s="118"/>
      <c r="J29" s="118"/>
      <c r="K29" s="134">
        <f t="shared" si="0"/>
        <v>0</v>
      </c>
      <c r="L29" s="134"/>
      <c r="M29" s="113"/>
      <c r="N29" s="114">
        <f t="shared" si="3"/>
        <v>0</v>
      </c>
      <c r="O29" s="114">
        <f t="shared" si="4"/>
        <v>4155875</v>
      </c>
    </row>
    <row r="30" spans="1:16" ht="16.5" x14ac:dyDescent="0.25">
      <c r="A30" s="110">
        <f t="shared" si="5"/>
        <v>44126</v>
      </c>
      <c r="B30" s="117">
        <f t="shared" si="1"/>
        <v>0</v>
      </c>
      <c r="C30" s="86"/>
      <c r="D30" s="117">
        <f t="shared" si="6"/>
        <v>0</v>
      </c>
      <c r="E30" s="113"/>
      <c r="F30" s="117">
        <f t="shared" si="6"/>
        <v>0</v>
      </c>
      <c r="G30" s="118"/>
      <c r="H30" s="118"/>
      <c r="I30" s="118"/>
      <c r="J30" s="118"/>
      <c r="K30" s="134">
        <f t="shared" si="0"/>
        <v>0</v>
      </c>
      <c r="L30" s="134"/>
      <c r="M30" s="113"/>
      <c r="N30" s="114">
        <f t="shared" si="3"/>
        <v>0</v>
      </c>
      <c r="O30" s="114">
        <f t="shared" si="4"/>
        <v>4155875</v>
      </c>
    </row>
    <row r="31" spans="1:16" s="1555" customFormat="1" ht="16.5" x14ac:dyDescent="0.25">
      <c r="A31" s="1547">
        <f t="shared" si="5"/>
        <v>44127</v>
      </c>
      <c r="B31" s="1549">
        <f t="shared" si="1"/>
        <v>0</v>
      </c>
      <c r="C31" s="1532"/>
      <c r="D31" s="1549">
        <f t="shared" si="6"/>
        <v>0</v>
      </c>
      <c r="E31" s="1532"/>
      <c r="F31" s="1549">
        <f t="shared" si="6"/>
        <v>0</v>
      </c>
      <c r="G31" s="1548"/>
      <c r="H31" s="1548"/>
      <c r="I31" s="1548"/>
      <c r="J31" s="1548"/>
      <c r="K31" s="1550">
        <f t="shared" si="0"/>
        <v>0</v>
      </c>
      <c r="L31" s="1550"/>
      <c r="M31" s="1532"/>
      <c r="N31" s="1548">
        <f t="shared" si="3"/>
        <v>0</v>
      </c>
      <c r="O31" s="1548">
        <f t="shared" si="4"/>
        <v>4155875</v>
      </c>
    </row>
    <row r="32" spans="1:16" ht="16.5" x14ac:dyDescent="0.25">
      <c r="A32" s="110">
        <f t="shared" si="5"/>
        <v>44128</v>
      </c>
      <c r="B32" s="111">
        <f t="shared" si="1"/>
        <v>0</v>
      </c>
      <c r="C32" s="113"/>
      <c r="D32" s="111">
        <f t="shared" si="6"/>
        <v>0</v>
      </c>
      <c r="E32" s="113"/>
      <c r="F32" s="111">
        <f t="shared" si="6"/>
        <v>0</v>
      </c>
      <c r="G32" s="114"/>
      <c r="H32" s="114"/>
      <c r="I32" s="114"/>
      <c r="J32" s="114"/>
      <c r="K32" s="115">
        <f t="shared" si="0"/>
        <v>0</v>
      </c>
      <c r="L32" s="115"/>
      <c r="M32" s="113"/>
      <c r="N32" s="114">
        <f t="shared" si="3"/>
        <v>0</v>
      </c>
      <c r="O32" s="114">
        <f t="shared" si="4"/>
        <v>4155875</v>
      </c>
      <c r="P32" s="37">
        <f>+O32/600</f>
        <v>6926.458333333333</v>
      </c>
    </row>
    <row r="33" spans="1:15" ht="16.5" x14ac:dyDescent="0.25">
      <c r="A33" s="110">
        <f t="shared" si="5"/>
        <v>44129</v>
      </c>
      <c r="B33" s="111">
        <f t="shared" si="1"/>
        <v>0</v>
      </c>
      <c r="C33" s="113"/>
      <c r="D33" s="111">
        <f>+E33/D$7</f>
        <v>0</v>
      </c>
      <c r="E33" s="113"/>
      <c r="F33" s="111">
        <f t="shared" si="6"/>
        <v>0</v>
      </c>
      <c r="G33" s="114"/>
      <c r="H33" s="114"/>
      <c r="I33" s="114"/>
      <c r="J33" s="114"/>
      <c r="K33" s="115">
        <f t="shared" si="0"/>
        <v>0</v>
      </c>
      <c r="L33" s="115"/>
      <c r="M33" s="113"/>
      <c r="N33" s="114">
        <f t="shared" si="3"/>
        <v>0</v>
      </c>
      <c r="O33" s="114">
        <f t="shared" si="4"/>
        <v>4155875</v>
      </c>
    </row>
    <row r="34" spans="1:15" ht="16.5" x14ac:dyDescent="0.25">
      <c r="A34" s="110">
        <f t="shared" si="5"/>
        <v>44130</v>
      </c>
      <c r="B34" s="111">
        <f t="shared" si="1"/>
        <v>0</v>
      </c>
      <c r="C34" s="113"/>
      <c r="D34" s="111">
        <f t="shared" si="6"/>
        <v>0</v>
      </c>
      <c r="E34" s="113"/>
      <c r="F34" s="111">
        <f t="shared" si="6"/>
        <v>0</v>
      </c>
      <c r="G34" s="114"/>
      <c r="H34" s="114"/>
      <c r="I34" s="114"/>
      <c r="J34" s="114"/>
      <c r="K34" s="115">
        <f t="shared" si="0"/>
        <v>0</v>
      </c>
      <c r="L34" s="115"/>
      <c r="M34" s="113"/>
      <c r="N34" s="114">
        <f t="shared" si="3"/>
        <v>0</v>
      </c>
      <c r="O34" s="114">
        <f t="shared" si="4"/>
        <v>4155875</v>
      </c>
    </row>
    <row r="35" spans="1:15" ht="16.5" x14ac:dyDescent="0.25">
      <c r="A35" s="110">
        <f t="shared" si="5"/>
        <v>44131</v>
      </c>
      <c r="B35" s="111">
        <f t="shared" si="1"/>
        <v>0</v>
      </c>
      <c r="C35" s="113"/>
      <c r="D35" s="111">
        <f t="shared" si="6"/>
        <v>0</v>
      </c>
      <c r="E35" s="113"/>
      <c r="F35" s="111">
        <f t="shared" si="6"/>
        <v>0</v>
      </c>
      <c r="G35" s="114"/>
      <c r="H35" s="114"/>
      <c r="I35" s="114"/>
      <c r="J35" s="114"/>
      <c r="K35" s="115">
        <f t="shared" si="0"/>
        <v>0</v>
      </c>
      <c r="L35" s="115"/>
      <c r="M35" s="113"/>
      <c r="N35" s="114">
        <f t="shared" si="3"/>
        <v>0</v>
      </c>
      <c r="O35" s="114">
        <f t="shared" si="4"/>
        <v>4155875</v>
      </c>
    </row>
    <row r="36" spans="1:15" ht="16.5" x14ac:dyDescent="0.25">
      <c r="A36" s="110">
        <f t="shared" si="5"/>
        <v>44132</v>
      </c>
      <c r="B36" s="111">
        <f t="shared" si="1"/>
        <v>0</v>
      </c>
      <c r="C36" s="113"/>
      <c r="D36" s="111">
        <f t="shared" si="6"/>
        <v>0</v>
      </c>
      <c r="E36" s="113"/>
      <c r="F36" s="111">
        <f t="shared" si="6"/>
        <v>0</v>
      </c>
      <c r="G36" s="114"/>
      <c r="H36" s="114"/>
      <c r="I36" s="114"/>
      <c r="J36" s="114"/>
      <c r="K36" s="115">
        <f t="shared" si="0"/>
        <v>0</v>
      </c>
      <c r="L36" s="115"/>
      <c r="M36" s="113"/>
      <c r="N36" s="114">
        <f t="shared" si="3"/>
        <v>0</v>
      </c>
      <c r="O36" s="114">
        <f t="shared" si="4"/>
        <v>4155875</v>
      </c>
    </row>
    <row r="37" spans="1:15" ht="16.5" x14ac:dyDescent="0.25">
      <c r="A37" s="110">
        <f t="shared" si="5"/>
        <v>44133</v>
      </c>
      <c r="B37" s="111">
        <f t="shared" si="1"/>
        <v>0</v>
      </c>
      <c r="C37" s="113"/>
      <c r="D37" s="111">
        <f t="shared" si="6"/>
        <v>0</v>
      </c>
      <c r="E37" s="113"/>
      <c r="F37" s="111">
        <f t="shared" si="6"/>
        <v>0</v>
      </c>
      <c r="G37" s="114"/>
      <c r="H37" s="114"/>
      <c r="I37" s="114"/>
      <c r="J37" s="114"/>
      <c r="K37" s="115">
        <f t="shared" si="0"/>
        <v>0</v>
      </c>
      <c r="L37" s="115"/>
      <c r="M37" s="113"/>
      <c r="N37" s="114">
        <f t="shared" si="3"/>
        <v>0</v>
      </c>
      <c r="O37" s="114">
        <f t="shared" si="4"/>
        <v>4155875</v>
      </c>
    </row>
    <row r="38" spans="1:15" ht="16.5" x14ac:dyDescent="0.25">
      <c r="A38" s="110">
        <f t="shared" si="5"/>
        <v>44134</v>
      </c>
      <c r="B38" s="111">
        <f t="shared" si="1"/>
        <v>0</v>
      </c>
      <c r="C38" s="113"/>
      <c r="D38" s="111">
        <f t="shared" si="6"/>
        <v>0</v>
      </c>
      <c r="E38" s="113"/>
      <c r="F38" s="111">
        <f t="shared" si="6"/>
        <v>0</v>
      </c>
      <c r="G38" s="114"/>
      <c r="H38" s="114"/>
      <c r="I38" s="114"/>
      <c r="J38" s="114"/>
      <c r="K38" s="115">
        <f t="shared" si="0"/>
        <v>0</v>
      </c>
      <c r="L38" s="115"/>
      <c r="M38" s="113"/>
      <c r="N38" s="114">
        <f t="shared" si="3"/>
        <v>0</v>
      </c>
      <c r="O38" s="114">
        <f>+O37+K38-M38</f>
        <v>4155875</v>
      </c>
    </row>
    <row r="39" spans="1:15" ht="16.5" x14ac:dyDescent="0.25">
      <c r="A39" s="110">
        <f t="shared" si="5"/>
        <v>44135</v>
      </c>
      <c r="B39" s="111">
        <f t="shared" si="1"/>
        <v>0</v>
      </c>
      <c r="C39" s="113"/>
      <c r="D39" s="111">
        <f t="shared" si="6"/>
        <v>0</v>
      </c>
      <c r="E39" s="113"/>
      <c r="F39" s="111">
        <f t="shared" si="6"/>
        <v>0</v>
      </c>
      <c r="G39" s="114"/>
      <c r="H39" s="114"/>
      <c r="I39" s="114"/>
      <c r="J39" s="114"/>
      <c r="K39" s="115">
        <f t="shared" si="0"/>
        <v>0</v>
      </c>
      <c r="L39" s="115"/>
      <c r="M39" s="113"/>
      <c r="N39" s="114">
        <f t="shared" si="3"/>
        <v>0</v>
      </c>
      <c r="O39" s="120">
        <f>+O38+K39-M39</f>
        <v>4155875</v>
      </c>
    </row>
    <row r="40" spans="1:15" ht="16.5" x14ac:dyDescent="0.25">
      <c r="A40" s="110">
        <f t="shared" si="5"/>
        <v>44136</v>
      </c>
      <c r="B40" s="111"/>
      <c r="C40" s="113"/>
      <c r="D40" s="111">
        <f t="shared" si="6"/>
        <v>0</v>
      </c>
      <c r="E40" s="113"/>
      <c r="F40" s="111">
        <f t="shared" si="6"/>
        <v>0</v>
      </c>
      <c r="G40" s="114"/>
      <c r="H40" s="114"/>
      <c r="I40" s="114"/>
      <c r="J40" s="114"/>
      <c r="K40" s="115">
        <f t="shared" si="0"/>
        <v>0</v>
      </c>
      <c r="L40" s="115"/>
      <c r="M40" s="113"/>
      <c r="N40" s="114"/>
      <c r="O40" s="990"/>
    </row>
    <row r="41" spans="1:15" ht="16.5" x14ac:dyDescent="0.2">
      <c r="A41" s="121" t="s">
        <v>18</v>
      </c>
      <c r="B41" s="137">
        <f>SUM(B9:B39)</f>
        <v>0</v>
      </c>
      <c r="C41" s="115">
        <f>SUM(C9:C39)</f>
        <v>0</v>
      </c>
      <c r="D41" s="122">
        <f t="shared" ref="D41:M41" si="7">SUM(D9:D39)</f>
        <v>0</v>
      </c>
      <c r="E41" s="115">
        <f>SUM(E9:E39)</f>
        <v>0</v>
      </c>
      <c r="F41" s="115">
        <f t="shared" si="7"/>
        <v>0</v>
      </c>
      <c r="G41" s="115">
        <f t="shared" si="7"/>
        <v>0</v>
      </c>
      <c r="H41" s="115">
        <f t="shared" si="7"/>
        <v>0</v>
      </c>
      <c r="I41" s="115">
        <f t="shared" si="7"/>
        <v>0</v>
      </c>
      <c r="J41" s="115">
        <f t="shared" si="7"/>
        <v>0</v>
      </c>
      <c r="K41" s="115">
        <f t="shared" si="0"/>
        <v>0</v>
      </c>
      <c r="L41" s="115"/>
      <c r="M41" s="115">
        <f t="shared" si="7"/>
        <v>0</v>
      </c>
      <c r="N41" s="120">
        <f>SUM(N8:N39)</f>
        <v>4155875</v>
      </c>
      <c r="O41" s="123"/>
    </row>
    <row r="43" spans="1:15" x14ac:dyDescent="0.2">
      <c r="D43" s="1129">
        <f>6600+1500+6000+7000</f>
        <v>21100</v>
      </c>
      <c r="M43" s="386"/>
      <c r="O43" s="386">
        <f>+M43-O39</f>
        <v>-4155875</v>
      </c>
    </row>
    <row r="44" spans="1:15" x14ac:dyDescent="0.2">
      <c r="D44" s="1129">
        <f>+D43-D41</f>
        <v>21100</v>
      </c>
    </row>
    <row r="45" spans="1:15" x14ac:dyDescent="0.2">
      <c r="M45" s="37">
        <v>1000000</v>
      </c>
    </row>
    <row r="46" spans="1:15" x14ac:dyDescent="0.2">
      <c r="D46" s="1129"/>
    </row>
    <row r="50" spans="5:5" x14ac:dyDescent="0.2">
      <c r="E50" s="37">
        <f>21100-20710</f>
        <v>390</v>
      </c>
    </row>
  </sheetData>
  <mergeCells count="8">
    <mergeCell ref="N6:N7"/>
    <mergeCell ref="O6:O7"/>
    <mergeCell ref="H6:H7"/>
    <mergeCell ref="I6:I7"/>
    <mergeCell ref="J6:J7"/>
    <mergeCell ref="K6:K7"/>
    <mergeCell ref="L6:L7"/>
    <mergeCell ref="M6:M7"/>
  </mergeCells>
  <pageMargins left="0.39370078740157483" right="0.39370078740157483" top="0.74803149606299213" bottom="0.39370078740157483" header="0.31496062992125984" footer="0.31496062992125984"/>
  <pageSetup paperSize="9" scale="65"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2">
    <tabColor rgb="FFFF0000"/>
    <pageSetUpPr fitToPage="1"/>
  </sheetPr>
  <dimension ref="A1:N39"/>
  <sheetViews>
    <sheetView zoomScaleNormal="100" workbookViewId="0">
      <selection activeCell="B3" sqref="B3"/>
    </sheetView>
  </sheetViews>
  <sheetFormatPr baseColWidth="10" defaultRowHeight="18" x14ac:dyDescent="0.25"/>
  <cols>
    <col min="1" max="1" width="13.85546875" style="38" customWidth="1"/>
    <col min="2" max="3" width="11.42578125" style="38"/>
    <col min="4" max="4" width="15.140625" style="38" customWidth="1"/>
    <col min="5" max="5" width="16.85546875" style="38" customWidth="1"/>
    <col min="6" max="6" width="11.42578125" style="38"/>
    <col min="7" max="7" width="12.5703125" style="38" bestFit="1" customWidth="1"/>
    <col min="8" max="8" width="11.42578125" style="38"/>
    <col min="9" max="9" width="13.42578125" style="38" bestFit="1" customWidth="1"/>
    <col min="10" max="10" width="19" style="38" bestFit="1" customWidth="1"/>
    <col min="11" max="11" width="17.140625" style="38" customWidth="1"/>
    <col min="12" max="13" width="17.5703125" style="38" customWidth="1"/>
    <col min="14" max="14" width="18.42578125" style="38" bestFit="1" customWidth="1"/>
    <col min="15" max="16384" width="11.42578125" style="38"/>
  </cols>
  <sheetData>
    <row r="1" spans="1:14" ht="18.75" x14ac:dyDescent="0.3">
      <c r="A1" s="36" t="s">
        <v>118</v>
      </c>
      <c r="B1" s="36" t="s">
        <v>515</v>
      </c>
    </row>
    <row r="2" spans="1:14" ht="13.5" customHeight="1" x14ac:dyDescent="0.35">
      <c r="C2" s="159"/>
      <c r="K2" s="148"/>
    </row>
    <row r="3" spans="1:14" ht="16.5" customHeight="1" x14ac:dyDescent="0.3">
      <c r="A3" s="36" t="s">
        <v>19</v>
      </c>
      <c r="B3" s="142">
        <f>+ACHOU!B3</f>
        <v>44075</v>
      </c>
      <c r="C3" s="36"/>
      <c r="M3" s="37"/>
    </row>
    <row r="4" spans="1:14" ht="13.5" customHeight="1" x14ac:dyDescent="0.3">
      <c r="A4" s="36"/>
      <c r="B4" s="36"/>
      <c r="C4" s="36"/>
    </row>
    <row r="5" spans="1:14" ht="13.5" customHeight="1" x14ac:dyDescent="0.25">
      <c r="A5" s="1030" t="s">
        <v>3</v>
      </c>
      <c r="B5" s="161" t="s">
        <v>15</v>
      </c>
      <c r="C5" s="162"/>
      <c r="D5" s="161" t="s">
        <v>16</v>
      </c>
      <c r="E5" s="162"/>
      <c r="F5" s="161" t="s">
        <v>17</v>
      </c>
      <c r="G5" s="162"/>
      <c r="H5" s="2901" t="s">
        <v>52</v>
      </c>
      <c r="I5" s="2901" t="s">
        <v>53</v>
      </c>
      <c r="J5" s="2901" t="s">
        <v>230</v>
      </c>
      <c r="K5" s="2901" t="s">
        <v>18</v>
      </c>
      <c r="L5" s="2901" t="s">
        <v>60</v>
      </c>
      <c r="M5" s="2901" t="s">
        <v>55</v>
      </c>
      <c r="N5" s="2901" t="s">
        <v>120</v>
      </c>
    </row>
    <row r="6" spans="1:14" ht="14.25" customHeight="1" x14ac:dyDescent="0.25">
      <c r="A6" s="163"/>
      <c r="B6" s="915">
        <v>650</v>
      </c>
      <c r="C6" s="916"/>
      <c r="D6" s="915">
        <v>600</v>
      </c>
      <c r="E6" s="916"/>
      <c r="F6" s="915">
        <v>350</v>
      </c>
      <c r="G6" s="916"/>
      <c r="H6" s="3070"/>
      <c r="I6" s="3070"/>
      <c r="J6" s="2902"/>
      <c r="K6" s="2902"/>
      <c r="L6" s="2902"/>
      <c r="M6" s="2902"/>
      <c r="N6" s="2902"/>
    </row>
    <row r="7" spans="1:14" ht="18" customHeight="1" x14ac:dyDescent="0.35">
      <c r="A7" s="1031"/>
      <c r="B7" s="166" t="s">
        <v>56</v>
      </c>
      <c r="C7" s="166" t="s">
        <v>37</v>
      </c>
      <c r="D7" s="167" t="s">
        <v>56</v>
      </c>
      <c r="E7" s="166" t="s">
        <v>37</v>
      </c>
      <c r="F7" s="166" t="s">
        <v>56</v>
      </c>
      <c r="G7" s="166" t="s">
        <v>37</v>
      </c>
      <c r="H7" s="1029"/>
      <c r="I7" s="1029"/>
      <c r="J7" s="181"/>
      <c r="K7" s="181"/>
      <c r="L7" s="182"/>
      <c r="M7" s="183"/>
      <c r="N7" s="168">
        <f>M7</f>
        <v>0</v>
      </c>
    </row>
    <row r="8" spans="1:14" ht="19.5" x14ac:dyDescent="0.25">
      <c r="A8" s="110">
        <f>+ACHOU!A8</f>
        <v>44105</v>
      </c>
      <c r="B8" s="174">
        <f t="shared" ref="B8:B16" si="0">+C8/569</f>
        <v>0</v>
      </c>
      <c r="C8" s="173"/>
      <c r="D8" s="174">
        <f t="shared" ref="D8:D38" si="1">+E8/520</f>
        <v>0</v>
      </c>
      <c r="E8" s="172"/>
      <c r="F8" s="169"/>
      <c r="G8" s="172"/>
      <c r="H8" s="172"/>
      <c r="I8" s="172"/>
      <c r="J8" s="172"/>
      <c r="K8" s="173">
        <f t="shared" ref="K8:K38" si="2">C8+E8+G8+H8+I8+J8</f>
        <v>0</v>
      </c>
      <c r="L8" s="172"/>
      <c r="M8" s="172">
        <f>K8-L8</f>
        <v>0</v>
      </c>
      <c r="N8" s="172">
        <f>+N7+K8-L8</f>
        <v>0</v>
      </c>
    </row>
    <row r="9" spans="1:14" ht="13.5" customHeight="1" x14ac:dyDescent="0.25">
      <c r="A9" s="110">
        <f>+A8+1</f>
        <v>44106</v>
      </c>
      <c r="B9" s="174">
        <f t="shared" si="0"/>
        <v>0</v>
      </c>
      <c r="C9" s="173"/>
      <c r="D9" s="174">
        <f t="shared" si="1"/>
        <v>0</v>
      </c>
      <c r="E9" s="172"/>
      <c r="F9" s="169"/>
      <c r="G9" s="172"/>
      <c r="H9" s="172"/>
      <c r="I9" s="172"/>
      <c r="J9" s="172"/>
      <c r="K9" s="173">
        <f t="shared" si="2"/>
        <v>0</v>
      </c>
      <c r="L9" s="175"/>
      <c r="M9" s="172">
        <f t="shared" ref="M9:M38" si="3">K9-L9</f>
        <v>0</v>
      </c>
      <c r="N9" s="172">
        <f t="shared" ref="N9:N37" si="4">+N8+K9-L9</f>
        <v>0</v>
      </c>
    </row>
    <row r="10" spans="1:14" ht="13.5" customHeight="1" x14ac:dyDescent="0.25">
      <c r="A10" s="110">
        <f t="shared" ref="A10:A38" si="5">+A9+1</f>
        <v>44107</v>
      </c>
      <c r="B10" s="174">
        <f t="shared" si="0"/>
        <v>0</v>
      </c>
      <c r="C10" s="172"/>
      <c r="D10" s="174">
        <f t="shared" si="1"/>
        <v>0</v>
      </c>
      <c r="E10" s="172"/>
      <c r="F10" s="169"/>
      <c r="G10" s="172"/>
      <c r="H10" s="172"/>
      <c r="I10" s="172"/>
      <c r="J10" s="172"/>
      <c r="K10" s="173">
        <f t="shared" si="2"/>
        <v>0</v>
      </c>
      <c r="L10" s="175"/>
      <c r="M10" s="172">
        <f t="shared" si="3"/>
        <v>0</v>
      </c>
      <c r="N10" s="172">
        <f t="shared" si="4"/>
        <v>0</v>
      </c>
    </row>
    <row r="11" spans="1:14" ht="13.5" customHeight="1" x14ac:dyDescent="0.25">
      <c r="A11" s="110">
        <f t="shared" si="5"/>
        <v>44108</v>
      </c>
      <c r="B11" s="174">
        <f t="shared" si="0"/>
        <v>0</v>
      </c>
      <c r="C11" s="172"/>
      <c r="D11" s="174">
        <f>+E11/520</f>
        <v>0</v>
      </c>
      <c r="E11" s="172"/>
      <c r="F11" s="169"/>
      <c r="G11" s="172"/>
      <c r="H11" s="172"/>
      <c r="I11" s="172"/>
      <c r="J11" s="172"/>
      <c r="K11" s="173">
        <f t="shared" si="2"/>
        <v>0</v>
      </c>
      <c r="L11" s="175"/>
      <c r="M11" s="172">
        <f t="shared" si="3"/>
        <v>0</v>
      </c>
      <c r="N11" s="172">
        <f t="shared" si="4"/>
        <v>0</v>
      </c>
    </row>
    <row r="12" spans="1:14" ht="13.5" customHeight="1" x14ac:dyDescent="0.25">
      <c r="A12" s="110">
        <f t="shared" si="5"/>
        <v>44109</v>
      </c>
      <c r="B12" s="174">
        <f t="shared" si="0"/>
        <v>0</v>
      </c>
      <c r="C12" s="173"/>
      <c r="D12" s="174">
        <f t="shared" si="1"/>
        <v>0</v>
      </c>
      <c r="E12" s="172"/>
      <c r="F12" s="169"/>
      <c r="G12" s="172"/>
      <c r="H12" s="172"/>
      <c r="I12" s="172"/>
      <c r="J12" s="172"/>
      <c r="K12" s="173">
        <f t="shared" si="2"/>
        <v>0</v>
      </c>
      <c r="L12" s="175"/>
      <c r="M12" s="172">
        <f t="shared" si="3"/>
        <v>0</v>
      </c>
      <c r="N12" s="172">
        <f t="shared" si="4"/>
        <v>0</v>
      </c>
    </row>
    <row r="13" spans="1:14" ht="13.5" customHeight="1" x14ac:dyDescent="0.25">
      <c r="A13" s="110">
        <f t="shared" si="5"/>
        <v>44110</v>
      </c>
      <c r="B13" s="174">
        <f t="shared" si="0"/>
        <v>0</v>
      </c>
      <c r="C13" s="173"/>
      <c r="D13" s="174">
        <f t="shared" si="1"/>
        <v>0</v>
      </c>
      <c r="E13" s="172"/>
      <c r="F13" s="169"/>
      <c r="G13" s="172"/>
      <c r="H13" s="172"/>
      <c r="I13" s="172"/>
      <c r="J13" s="172"/>
      <c r="K13" s="173">
        <f t="shared" si="2"/>
        <v>0</v>
      </c>
      <c r="L13" s="175"/>
      <c r="M13" s="172">
        <f t="shared" si="3"/>
        <v>0</v>
      </c>
      <c r="N13" s="172">
        <f t="shared" si="4"/>
        <v>0</v>
      </c>
    </row>
    <row r="14" spans="1:14" ht="13.5" customHeight="1" x14ac:dyDescent="0.25">
      <c r="A14" s="110">
        <f t="shared" si="5"/>
        <v>44111</v>
      </c>
      <c r="B14" s="174">
        <f t="shared" si="0"/>
        <v>0</v>
      </c>
      <c r="C14" s="172"/>
      <c r="D14" s="174">
        <f t="shared" si="1"/>
        <v>0</v>
      </c>
      <c r="E14" s="172"/>
      <c r="F14" s="169"/>
      <c r="G14" s="172"/>
      <c r="H14" s="172"/>
      <c r="I14" s="172"/>
      <c r="J14" s="172"/>
      <c r="K14" s="173">
        <f t="shared" si="2"/>
        <v>0</v>
      </c>
      <c r="L14" s="175"/>
      <c r="M14" s="172">
        <f t="shared" si="3"/>
        <v>0</v>
      </c>
      <c r="N14" s="172">
        <f t="shared" si="4"/>
        <v>0</v>
      </c>
    </row>
    <row r="15" spans="1:14" ht="13.5" customHeight="1" x14ac:dyDescent="0.25">
      <c r="A15" s="110">
        <f t="shared" si="5"/>
        <v>44112</v>
      </c>
      <c r="B15" s="174">
        <f t="shared" si="0"/>
        <v>0</v>
      </c>
      <c r="C15" s="172"/>
      <c r="D15" s="174">
        <f t="shared" si="1"/>
        <v>0</v>
      </c>
      <c r="E15" s="172"/>
      <c r="F15" s="169"/>
      <c r="G15" s="172"/>
      <c r="H15" s="172"/>
      <c r="I15" s="172"/>
      <c r="J15" s="172"/>
      <c r="K15" s="173">
        <f t="shared" si="2"/>
        <v>0</v>
      </c>
      <c r="L15" s="175"/>
      <c r="M15" s="172">
        <f t="shared" si="3"/>
        <v>0</v>
      </c>
      <c r="N15" s="172">
        <f t="shared" si="4"/>
        <v>0</v>
      </c>
    </row>
    <row r="16" spans="1:14" ht="13.5" customHeight="1" x14ac:dyDescent="0.25">
      <c r="A16" s="110">
        <f t="shared" si="5"/>
        <v>44113</v>
      </c>
      <c r="B16" s="174">
        <f t="shared" si="0"/>
        <v>0</v>
      </c>
      <c r="C16" s="175"/>
      <c r="D16" s="174">
        <f t="shared" si="1"/>
        <v>0</v>
      </c>
      <c r="E16" s="172"/>
      <c r="F16" s="169"/>
      <c r="G16" s="175"/>
      <c r="H16" s="175"/>
      <c r="I16" s="175"/>
      <c r="J16" s="175"/>
      <c r="K16" s="184">
        <f t="shared" si="2"/>
        <v>0</v>
      </c>
      <c r="L16" s="175"/>
      <c r="M16" s="172">
        <f t="shared" si="3"/>
        <v>0</v>
      </c>
      <c r="N16" s="172">
        <f t="shared" si="4"/>
        <v>0</v>
      </c>
    </row>
    <row r="17" spans="1:14" ht="13.5" customHeight="1" x14ac:dyDescent="0.25">
      <c r="A17" s="110">
        <f t="shared" si="5"/>
        <v>44114</v>
      </c>
      <c r="B17" s="174">
        <f>+C17/569</f>
        <v>0</v>
      </c>
      <c r="C17" s="175"/>
      <c r="D17" s="174">
        <f>+E17/520</f>
        <v>0</v>
      </c>
      <c r="E17" s="172"/>
      <c r="F17" s="169"/>
      <c r="G17" s="175"/>
      <c r="H17" s="175"/>
      <c r="I17" s="175"/>
      <c r="J17" s="175"/>
      <c r="K17" s="184">
        <f t="shared" si="2"/>
        <v>0</v>
      </c>
      <c r="L17" s="175"/>
      <c r="M17" s="172">
        <f t="shared" si="3"/>
        <v>0</v>
      </c>
      <c r="N17" s="172">
        <f t="shared" si="4"/>
        <v>0</v>
      </c>
    </row>
    <row r="18" spans="1:14" ht="13.5" customHeight="1" x14ac:dyDescent="0.25">
      <c r="A18" s="110">
        <f t="shared" si="5"/>
        <v>44115</v>
      </c>
      <c r="B18" s="174">
        <f t="shared" ref="B18:B38" si="6">+C18/569</f>
        <v>0</v>
      </c>
      <c r="C18" s="175"/>
      <c r="D18" s="175">
        <f t="shared" si="1"/>
        <v>0</v>
      </c>
      <c r="E18" s="172"/>
      <c r="F18" s="169"/>
      <c r="G18" s="175"/>
      <c r="H18" s="175"/>
      <c r="I18" s="175"/>
      <c r="J18" s="175"/>
      <c r="K18" s="184">
        <f>C18+E18+G18+H18+I18+J18</f>
        <v>0</v>
      </c>
      <c r="L18" s="175"/>
      <c r="M18" s="172">
        <f t="shared" si="3"/>
        <v>0</v>
      </c>
      <c r="N18" s="172">
        <f>+N17+K18-L18</f>
        <v>0</v>
      </c>
    </row>
    <row r="19" spans="1:14" ht="13.5" customHeight="1" x14ac:dyDescent="0.25">
      <c r="A19" s="110">
        <f t="shared" si="5"/>
        <v>44116</v>
      </c>
      <c r="B19" s="174">
        <f t="shared" si="6"/>
        <v>0</v>
      </c>
      <c r="C19" s="175"/>
      <c r="D19" s="174">
        <f t="shared" si="1"/>
        <v>0</v>
      </c>
      <c r="E19" s="172"/>
      <c r="F19" s="169"/>
      <c r="G19" s="175"/>
      <c r="H19" s="175"/>
      <c r="I19" s="175"/>
      <c r="J19" s="175"/>
      <c r="K19" s="184">
        <f t="shared" si="2"/>
        <v>0</v>
      </c>
      <c r="L19" s="175"/>
      <c r="M19" s="172">
        <f t="shared" si="3"/>
        <v>0</v>
      </c>
      <c r="N19" s="172">
        <f t="shared" si="4"/>
        <v>0</v>
      </c>
    </row>
    <row r="20" spans="1:14" ht="13.5" customHeight="1" x14ac:dyDescent="0.25">
      <c r="A20" s="110">
        <f t="shared" si="5"/>
        <v>44117</v>
      </c>
      <c r="B20" s="174">
        <f t="shared" si="6"/>
        <v>0</v>
      </c>
      <c r="C20" s="175"/>
      <c r="D20" s="174">
        <f t="shared" si="1"/>
        <v>0</v>
      </c>
      <c r="E20" s="172"/>
      <c r="F20" s="169"/>
      <c r="G20" s="175"/>
      <c r="H20" s="175"/>
      <c r="I20" s="175"/>
      <c r="J20" s="175"/>
      <c r="K20" s="184">
        <f t="shared" si="2"/>
        <v>0</v>
      </c>
      <c r="L20" s="175"/>
      <c r="M20" s="172">
        <f t="shared" si="3"/>
        <v>0</v>
      </c>
      <c r="N20" s="172">
        <f t="shared" si="4"/>
        <v>0</v>
      </c>
    </row>
    <row r="21" spans="1:14" ht="13.5" customHeight="1" x14ac:dyDescent="0.25">
      <c r="A21" s="110">
        <f t="shared" si="5"/>
        <v>44118</v>
      </c>
      <c r="B21" s="174">
        <f t="shared" si="6"/>
        <v>0</v>
      </c>
      <c r="C21" s="175"/>
      <c r="D21" s="174">
        <f t="shared" si="1"/>
        <v>0</v>
      </c>
      <c r="E21" s="172"/>
      <c r="F21" s="169"/>
      <c r="G21" s="175"/>
      <c r="H21" s="175"/>
      <c r="I21" s="175"/>
      <c r="J21" s="175"/>
      <c r="K21" s="184">
        <f t="shared" si="2"/>
        <v>0</v>
      </c>
      <c r="L21" s="175"/>
      <c r="M21" s="172">
        <f t="shared" si="3"/>
        <v>0</v>
      </c>
      <c r="N21" s="172">
        <f t="shared" si="4"/>
        <v>0</v>
      </c>
    </row>
    <row r="22" spans="1:14" ht="13.5" customHeight="1" x14ac:dyDescent="0.25">
      <c r="A22" s="110">
        <f t="shared" si="5"/>
        <v>44119</v>
      </c>
      <c r="B22" s="174">
        <f t="shared" si="6"/>
        <v>0</v>
      </c>
      <c r="C22" s="175"/>
      <c r="D22" s="174">
        <f t="shared" si="1"/>
        <v>0</v>
      </c>
      <c r="E22" s="172"/>
      <c r="F22" s="174"/>
      <c r="G22" s="175"/>
      <c r="H22" s="175"/>
      <c r="I22" s="175"/>
      <c r="J22" s="175"/>
      <c r="K22" s="184">
        <f t="shared" si="2"/>
        <v>0</v>
      </c>
      <c r="L22" s="175"/>
      <c r="M22" s="172">
        <f t="shared" si="3"/>
        <v>0</v>
      </c>
      <c r="N22" s="172">
        <f t="shared" si="4"/>
        <v>0</v>
      </c>
    </row>
    <row r="23" spans="1:14" ht="13.5" customHeight="1" x14ac:dyDescent="0.25">
      <c r="A23" s="110">
        <f t="shared" si="5"/>
        <v>44120</v>
      </c>
      <c r="B23" s="174">
        <f t="shared" si="6"/>
        <v>0</v>
      </c>
      <c r="C23" s="175"/>
      <c r="D23" s="174">
        <f t="shared" si="1"/>
        <v>0</v>
      </c>
      <c r="E23" s="172"/>
      <c r="F23" s="174"/>
      <c r="G23" s="175"/>
      <c r="H23" s="175"/>
      <c r="I23" s="175"/>
      <c r="J23" s="175"/>
      <c r="K23" s="184">
        <f t="shared" si="2"/>
        <v>0</v>
      </c>
      <c r="L23" s="172"/>
      <c r="M23" s="172">
        <f t="shared" si="3"/>
        <v>0</v>
      </c>
      <c r="N23" s="172">
        <f t="shared" si="4"/>
        <v>0</v>
      </c>
    </row>
    <row r="24" spans="1:14" ht="13.5" customHeight="1" x14ac:dyDescent="0.25">
      <c r="A24" s="110">
        <f t="shared" si="5"/>
        <v>44121</v>
      </c>
      <c r="B24" s="174">
        <f t="shared" si="6"/>
        <v>0</v>
      </c>
      <c r="C24" s="175"/>
      <c r="D24" s="174">
        <f t="shared" si="1"/>
        <v>0</v>
      </c>
      <c r="E24" s="172"/>
      <c r="F24" s="174"/>
      <c r="G24" s="175"/>
      <c r="H24" s="175"/>
      <c r="I24" s="175"/>
      <c r="J24" s="175"/>
      <c r="K24" s="184">
        <f t="shared" si="2"/>
        <v>0</v>
      </c>
      <c r="L24" s="172"/>
      <c r="M24" s="172">
        <f t="shared" si="3"/>
        <v>0</v>
      </c>
      <c r="N24" s="172">
        <f t="shared" si="4"/>
        <v>0</v>
      </c>
    </row>
    <row r="25" spans="1:14" ht="13.5" customHeight="1" x14ac:dyDescent="0.25">
      <c r="A25" s="110">
        <f t="shared" si="5"/>
        <v>44122</v>
      </c>
      <c r="B25" s="174">
        <f t="shared" si="6"/>
        <v>0</v>
      </c>
      <c r="C25" s="175"/>
      <c r="D25" s="174">
        <f t="shared" si="1"/>
        <v>0</v>
      </c>
      <c r="E25" s="172"/>
      <c r="F25" s="174"/>
      <c r="G25" s="175"/>
      <c r="H25" s="175"/>
      <c r="I25" s="175"/>
      <c r="J25" s="175"/>
      <c r="K25" s="184">
        <f t="shared" si="2"/>
        <v>0</v>
      </c>
      <c r="L25" s="172"/>
      <c r="M25" s="172">
        <f t="shared" si="3"/>
        <v>0</v>
      </c>
      <c r="N25" s="172">
        <f t="shared" si="4"/>
        <v>0</v>
      </c>
    </row>
    <row r="26" spans="1:14" ht="13.5" customHeight="1" x14ac:dyDescent="0.25">
      <c r="A26" s="110">
        <f t="shared" si="5"/>
        <v>44123</v>
      </c>
      <c r="B26" s="174">
        <f t="shared" si="6"/>
        <v>0</v>
      </c>
      <c r="C26" s="175"/>
      <c r="D26" s="174">
        <f t="shared" si="1"/>
        <v>0</v>
      </c>
      <c r="E26" s="172"/>
      <c r="F26" s="174"/>
      <c r="G26" s="175"/>
      <c r="H26" s="175"/>
      <c r="I26" s="175"/>
      <c r="J26" s="175"/>
      <c r="K26" s="184">
        <f t="shared" si="2"/>
        <v>0</v>
      </c>
      <c r="L26" s="172"/>
      <c r="M26" s="172">
        <f t="shared" si="3"/>
        <v>0</v>
      </c>
      <c r="N26" s="172">
        <f t="shared" si="4"/>
        <v>0</v>
      </c>
    </row>
    <row r="27" spans="1:14" ht="13.5" customHeight="1" x14ac:dyDescent="0.25">
      <c r="A27" s="110">
        <f t="shared" si="5"/>
        <v>44124</v>
      </c>
      <c r="B27" s="174">
        <f t="shared" si="6"/>
        <v>0</v>
      </c>
      <c r="C27" s="175"/>
      <c r="D27" s="174">
        <f t="shared" si="1"/>
        <v>0</v>
      </c>
      <c r="E27" s="172"/>
      <c r="F27" s="174"/>
      <c r="G27" s="175"/>
      <c r="H27" s="175"/>
      <c r="I27" s="175"/>
      <c r="J27" s="175"/>
      <c r="K27" s="184">
        <f t="shared" si="2"/>
        <v>0</v>
      </c>
      <c r="L27" s="172"/>
      <c r="M27" s="172">
        <f t="shared" si="3"/>
        <v>0</v>
      </c>
      <c r="N27" s="172">
        <f t="shared" si="4"/>
        <v>0</v>
      </c>
    </row>
    <row r="28" spans="1:14" ht="13.5" customHeight="1" x14ac:dyDescent="0.25">
      <c r="A28" s="110">
        <f t="shared" si="5"/>
        <v>44125</v>
      </c>
      <c r="B28" s="174">
        <f t="shared" si="6"/>
        <v>0</v>
      </c>
      <c r="C28" s="175"/>
      <c r="D28" s="174">
        <f t="shared" si="1"/>
        <v>0</v>
      </c>
      <c r="E28" s="172"/>
      <c r="F28" s="174"/>
      <c r="G28" s="175"/>
      <c r="H28" s="175"/>
      <c r="I28" s="175"/>
      <c r="J28" s="175"/>
      <c r="K28" s="184">
        <f t="shared" si="2"/>
        <v>0</v>
      </c>
      <c r="L28" s="172"/>
      <c r="M28" s="172">
        <f t="shared" si="3"/>
        <v>0</v>
      </c>
      <c r="N28" s="172">
        <f t="shared" si="4"/>
        <v>0</v>
      </c>
    </row>
    <row r="29" spans="1:14" ht="13.5" customHeight="1" x14ac:dyDescent="0.25">
      <c r="A29" s="110">
        <f t="shared" si="5"/>
        <v>44126</v>
      </c>
      <c r="B29" s="174">
        <f t="shared" si="6"/>
        <v>0</v>
      </c>
      <c r="C29" s="175"/>
      <c r="D29" s="174">
        <f t="shared" si="1"/>
        <v>0</v>
      </c>
      <c r="E29" s="172"/>
      <c r="F29" s="174"/>
      <c r="G29" s="175"/>
      <c r="H29" s="175"/>
      <c r="I29" s="175"/>
      <c r="J29" s="175"/>
      <c r="K29" s="184">
        <f t="shared" si="2"/>
        <v>0</v>
      </c>
      <c r="L29" s="172"/>
      <c r="M29" s="172">
        <f t="shared" si="3"/>
        <v>0</v>
      </c>
      <c r="N29" s="172">
        <f t="shared" si="4"/>
        <v>0</v>
      </c>
    </row>
    <row r="30" spans="1:14" ht="13.5" customHeight="1" x14ac:dyDescent="0.25">
      <c r="A30" s="110">
        <f t="shared" si="5"/>
        <v>44127</v>
      </c>
      <c r="B30" s="174">
        <f t="shared" si="6"/>
        <v>0</v>
      </c>
      <c r="C30" s="175"/>
      <c r="D30" s="174">
        <f t="shared" si="1"/>
        <v>0</v>
      </c>
      <c r="E30" s="172"/>
      <c r="F30" s="174"/>
      <c r="G30" s="175"/>
      <c r="H30" s="175"/>
      <c r="I30" s="175"/>
      <c r="J30" s="175"/>
      <c r="K30" s="184">
        <f t="shared" si="2"/>
        <v>0</v>
      </c>
      <c r="L30" s="172"/>
      <c r="M30" s="172">
        <f t="shared" si="3"/>
        <v>0</v>
      </c>
      <c r="N30" s="172">
        <f t="shared" si="4"/>
        <v>0</v>
      </c>
    </row>
    <row r="31" spans="1:14" ht="13.5" customHeight="1" x14ac:dyDescent="0.25">
      <c r="A31" s="110">
        <f t="shared" si="5"/>
        <v>44128</v>
      </c>
      <c r="B31" s="174">
        <f t="shared" si="6"/>
        <v>0</v>
      </c>
      <c r="C31" s="172"/>
      <c r="D31" s="174">
        <f t="shared" si="1"/>
        <v>0</v>
      </c>
      <c r="E31" s="172"/>
      <c r="F31" s="169"/>
      <c r="G31" s="172"/>
      <c r="H31" s="172"/>
      <c r="I31" s="172"/>
      <c r="J31" s="172"/>
      <c r="K31" s="173">
        <f t="shared" si="2"/>
        <v>0</v>
      </c>
      <c r="L31" s="172"/>
      <c r="M31" s="172">
        <f t="shared" si="3"/>
        <v>0</v>
      </c>
      <c r="N31" s="172">
        <f t="shared" si="4"/>
        <v>0</v>
      </c>
    </row>
    <row r="32" spans="1:14" ht="13.5" customHeight="1" x14ac:dyDescent="0.25">
      <c r="A32" s="110">
        <f t="shared" si="5"/>
        <v>44129</v>
      </c>
      <c r="B32" s="174">
        <f t="shared" si="6"/>
        <v>0</v>
      </c>
      <c r="C32" s="172"/>
      <c r="D32" s="174">
        <f t="shared" si="1"/>
        <v>0</v>
      </c>
      <c r="E32" s="172"/>
      <c r="F32" s="169"/>
      <c r="G32" s="172"/>
      <c r="H32" s="172"/>
      <c r="I32" s="172"/>
      <c r="J32" s="172"/>
      <c r="K32" s="173">
        <f t="shared" si="2"/>
        <v>0</v>
      </c>
      <c r="L32" s="172"/>
      <c r="M32" s="172">
        <f t="shared" si="3"/>
        <v>0</v>
      </c>
      <c r="N32" s="172">
        <f t="shared" si="4"/>
        <v>0</v>
      </c>
    </row>
    <row r="33" spans="1:14" ht="19.5" x14ac:dyDescent="0.25">
      <c r="A33" s="110">
        <f t="shared" si="5"/>
        <v>44130</v>
      </c>
      <c r="B33" s="174">
        <f t="shared" si="6"/>
        <v>0</v>
      </c>
      <c r="C33" s="172"/>
      <c r="D33" s="174">
        <f t="shared" si="1"/>
        <v>0</v>
      </c>
      <c r="E33" s="172"/>
      <c r="F33" s="169"/>
      <c r="G33" s="172"/>
      <c r="H33" s="172"/>
      <c r="I33" s="172"/>
      <c r="J33" s="172"/>
      <c r="K33" s="173">
        <f t="shared" si="2"/>
        <v>0</v>
      </c>
      <c r="L33" s="172"/>
      <c r="M33" s="172">
        <f t="shared" si="3"/>
        <v>0</v>
      </c>
      <c r="N33" s="172">
        <f t="shared" si="4"/>
        <v>0</v>
      </c>
    </row>
    <row r="34" spans="1:14" ht="19.5" x14ac:dyDescent="0.25">
      <c r="A34" s="110">
        <f t="shared" si="5"/>
        <v>44131</v>
      </c>
      <c r="B34" s="174">
        <f t="shared" si="6"/>
        <v>0</v>
      </c>
      <c r="C34" s="172"/>
      <c r="D34" s="174">
        <f t="shared" si="1"/>
        <v>0</v>
      </c>
      <c r="E34" s="172"/>
      <c r="F34" s="169"/>
      <c r="G34" s="172"/>
      <c r="H34" s="172"/>
      <c r="I34" s="172"/>
      <c r="J34" s="172"/>
      <c r="K34" s="173">
        <f t="shared" si="2"/>
        <v>0</v>
      </c>
      <c r="L34" s="172"/>
      <c r="M34" s="172">
        <f t="shared" si="3"/>
        <v>0</v>
      </c>
      <c r="N34" s="172">
        <f t="shared" si="4"/>
        <v>0</v>
      </c>
    </row>
    <row r="35" spans="1:14" ht="19.5" x14ac:dyDescent="0.25">
      <c r="A35" s="110">
        <f t="shared" si="5"/>
        <v>44132</v>
      </c>
      <c r="B35" s="174">
        <f t="shared" si="6"/>
        <v>0</v>
      </c>
      <c r="C35" s="172"/>
      <c r="D35" s="174">
        <f t="shared" si="1"/>
        <v>0</v>
      </c>
      <c r="E35" s="172"/>
      <c r="F35" s="169"/>
      <c r="G35" s="172"/>
      <c r="H35" s="172"/>
      <c r="I35" s="172"/>
      <c r="J35" s="172"/>
      <c r="K35" s="173">
        <f t="shared" si="2"/>
        <v>0</v>
      </c>
      <c r="L35" s="172"/>
      <c r="M35" s="172">
        <f t="shared" si="3"/>
        <v>0</v>
      </c>
      <c r="N35" s="172">
        <f t="shared" si="4"/>
        <v>0</v>
      </c>
    </row>
    <row r="36" spans="1:14" ht="19.5" x14ac:dyDescent="0.25">
      <c r="A36" s="110">
        <f t="shared" si="5"/>
        <v>44133</v>
      </c>
      <c r="B36" s="174">
        <f t="shared" si="6"/>
        <v>0</v>
      </c>
      <c r="C36" s="172"/>
      <c r="D36" s="174">
        <f t="shared" si="1"/>
        <v>0</v>
      </c>
      <c r="E36" s="172"/>
      <c r="F36" s="169"/>
      <c r="G36" s="172"/>
      <c r="H36" s="172"/>
      <c r="I36" s="172"/>
      <c r="J36" s="172"/>
      <c r="K36" s="173">
        <f t="shared" si="2"/>
        <v>0</v>
      </c>
      <c r="L36" s="172"/>
      <c r="M36" s="172">
        <f t="shared" si="3"/>
        <v>0</v>
      </c>
      <c r="N36" s="172">
        <f t="shared" si="4"/>
        <v>0</v>
      </c>
    </row>
    <row r="37" spans="1:14" ht="19.5" x14ac:dyDescent="0.25">
      <c r="A37" s="110">
        <f t="shared" si="5"/>
        <v>44134</v>
      </c>
      <c r="B37" s="174">
        <f t="shared" si="6"/>
        <v>0</v>
      </c>
      <c r="C37" s="172"/>
      <c r="D37" s="174">
        <f t="shared" si="1"/>
        <v>0</v>
      </c>
      <c r="E37" s="172"/>
      <c r="F37" s="169"/>
      <c r="G37" s="172"/>
      <c r="H37" s="172"/>
      <c r="I37" s="172"/>
      <c r="J37" s="172"/>
      <c r="K37" s="173">
        <f t="shared" si="2"/>
        <v>0</v>
      </c>
      <c r="L37" s="172"/>
      <c r="M37" s="172">
        <f t="shared" si="3"/>
        <v>0</v>
      </c>
      <c r="N37" s="172">
        <f t="shared" si="4"/>
        <v>0</v>
      </c>
    </row>
    <row r="38" spans="1:14" ht="19.5" x14ac:dyDescent="0.25">
      <c r="A38" s="110">
        <f t="shared" si="5"/>
        <v>44135</v>
      </c>
      <c r="B38" s="174">
        <f t="shared" si="6"/>
        <v>0</v>
      </c>
      <c r="C38" s="172"/>
      <c r="D38" s="174">
        <f t="shared" si="1"/>
        <v>0</v>
      </c>
      <c r="E38" s="172"/>
      <c r="F38" s="169"/>
      <c r="G38" s="172"/>
      <c r="H38" s="172"/>
      <c r="I38" s="172"/>
      <c r="J38" s="172"/>
      <c r="K38" s="173">
        <f t="shared" si="2"/>
        <v>0</v>
      </c>
      <c r="L38" s="172"/>
      <c r="M38" s="172">
        <f t="shared" si="3"/>
        <v>0</v>
      </c>
      <c r="N38" s="177">
        <f>+N37+K38-L38</f>
        <v>0</v>
      </c>
    </row>
    <row r="39" spans="1:14" ht="19.5" x14ac:dyDescent="0.25">
      <c r="A39" s="178" t="s">
        <v>18</v>
      </c>
      <c r="B39" s="185">
        <f t="shared" ref="B39:L39" si="7">SUM(B8:B38)</f>
        <v>0</v>
      </c>
      <c r="C39" s="173">
        <f t="shared" si="7"/>
        <v>0</v>
      </c>
      <c r="D39" s="179">
        <f t="shared" si="7"/>
        <v>0</v>
      </c>
      <c r="E39" s="173">
        <f t="shared" si="7"/>
        <v>0</v>
      </c>
      <c r="F39" s="173">
        <f t="shared" si="7"/>
        <v>0</v>
      </c>
      <c r="G39" s="173">
        <f t="shared" si="7"/>
        <v>0</v>
      </c>
      <c r="H39" s="173">
        <f t="shared" si="7"/>
        <v>0</v>
      </c>
      <c r="I39" s="173">
        <f t="shared" si="7"/>
        <v>0</v>
      </c>
      <c r="J39" s="173">
        <f t="shared" si="7"/>
        <v>0</v>
      </c>
      <c r="K39" s="173">
        <f t="shared" si="7"/>
        <v>0</v>
      </c>
      <c r="L39" s="173">
        <f t="shared" si="7"/>
        <v>0</v>
      </c>
      <c r="M39" s="177">
        <f>SUM(M7:M38)</f>
        <v>0</v>
      </c>
      <c r="N39" s="180"/>
    </row>
  </sheetData>
  <mergeCells count="7">
    <mergeCell ref="N5:N6"/>
    <mergeCell ref="H5:H6"/>
    <mergeCell ref="I5:I6"/>
    <mergeCell ref="J5:J6"/>
    <mergeCell ref="K5:K6"/>
    <mergeCell ref="L5:L6"/>
    <mergeCell ref="M5:M6"/>
  </mergeCells>
  <printOptions horizontalCentered="1"/>
  <pageMargins left="0.39370078740157483" right="0.39370078740157483" top="0.74803149606299213" bottom="0.39370078740157483" header="0.31496062992125984" footer="0.31496062992125984"/>
  <pageSetup paperSize="9" scale="64"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2">
    <tabColor rgb="FFFF0000"/>
    <pageSetUpPr fitToPage="1"/>
  </sheetPr>
  <dimension ref="A2:O40"/>
  <sheetViews>
    <sheetView zoomScaleNormal="100" workbookViewId="0">
      <selection activeCell="B4" sqref="B4"/>
    </sheetView>
  </sheetViews>
  <sheetFormatPr baseColWidth="10" defaultRowHeight="15" x14ac:dyDescent="0.2"/>
  <cols>
    <col min="1" max="1" width="10.5703125" style="37" bestFit="1" customWidth="1"/>
    <col min="2" max="2" width="11.28515625" style="37" bestFit="1" customWidth="1"/>
    <col min="3" max="3" width="12" style="37" bestFit="1" customWidth="1"/>
    <col min="4" max="4" width="12.7109375" style="37" bestFit="1" customWidth="1"/>
    <col min="5" max="5" width="13.5703125" style="37" bestFit="1" customWidth="1"/>
    <col min="6" max="6" width="11.28515625" style="37" bestFit="1" customWidth="1"/>
    <col min="7" max="7" width="10.85546875" style="37" bestFit="1" customWidth="1"/>
    <col min="8" max="8" width="14.5703125" style="37" bestFit="1" customWidth="1"/>
    <col min="9" max="9" width="10.7109375" style="37" bestFit="1" customWidth="1"/>
    <col min="10" max="10" width="12.28515625" style="37" bestFit="1" customWidth="1"/>
    <col min="11" max="12" width="14" style="37" customWidth="1"/>
    <col min="13" max="13" width="14.140625" style="37" bestFit="1" customWidth="1"/>
    <col min="14" max="14" width="13.5703125" style="37" bestFit="1" customWidth="1"/>
    <col min="15" max="15" width="15.7109375" style="37" bestFit="1" customWidth="1"/>
    <col min="16" max="16384" width="11.42578125" style="37"/>
  </cols>
  <sheetData>
    <row r="2" spans="1:15" ht="16.5" x14ac:dyDescent="0.3">
      <c r="A2" s="1" t="s">
        <v>118</v>
      </c>
      <c r="B2" s="1" t="s">
        <v>455</v>
      </c>
    </row>
    <row r="3" spans="1:15" ht="15.75" x14ac:dyDescent="0.25">
      <c r="C3" s="99"/>
      <c r="K3" s="116"/>
      <c r="L3" s="116"/>
    </row>
    <row r="4" spans="1:15" ht="16.5" x14ac:dyDescent="0.3">
      <c r="A4" s="1" t="s">
        <v>19</v>
      </c>
      <c r="B4" s="2">
        <f>+BLESSING!B4</f>
        <v>44105</v>
      </c>
      <c r="C4" s="1"/>
      <c r="H4" s="37">
        <f>12200/4</f>
        <v>3050</v>
      </c>
    </row>
    <row r="5" spans="1:15" ht="16.5" x14ac:dyDescent="0.3">
      <c r="A5" s="1"/>
      <c r="B5" s="1"/>
      <c r="C5" s="1"/>
    </row>
    <row r="6" spans="1:15" ht="16.5" x14ac:dyDescent="0.2">
      <c r="A6" s="100" t="s">
        <v>3</v>
      </c>
      <c r="B6" s="898" t="s">
        <v>15</v>
      </c>
      <c r="C6" s="899"/>
      <c r="D6" s="898" t="s">
        <v>16</v>
      </c>
      <c r="E6" s="899"/>
      <c r="F6" s="898" t="s">
        <v>17</v>
      </c>
      <c r="G6" s="899"/>
      <c r="H6" s="2910" t="s">
        <v>52</v>
      </c>
      <c r="I6" s="2910" t="s">
        <v>53</v>
      </c>
      <c r="J6" s="2910" t="s">
        <v>119</v>
      </c>
      <c r="K6" s="2910" t="s">
        <v>18</v>
      </c>
      <c r="L6" s="3062" t="s">
        <v>416</v>
      </c>
      <c r="M6" s="2910" t="s">
        <v>60</v>
      </c>
      <c r="N6" s="2910" t="s">
        <v>55</v>
      </c>
      <c r="O6" s="2910" t="s">
        <v>120</v>
      </c>
    </row>
    <row r="7" spans="1:15" ht="16.5" x14ac:dyDescent="0.2">
      <c r="A7" s="103"/>
      <c r="B7" s="913">
        <v>650</v>
      </c>
      <c r="C7" s="914"/>
      <c r="D7" s="913">
        <v>600</v>
      </c>
      <c r="E7" s="914"/>
      <c r="F7" s="913">
        <v>350</v>
      </c>
      <c r="G7" s="914"/>
      <c r="H7" s="3059"/>
      <c r="I7" s="3059"/>
      <c r="J7" s="2911"/>
      <c r="K7" s="2911"/>
      <c r="L7" s="3064"/>
      <c r="M7" s="2911"/>
      <c r="N7" s="2911"/>
      <c r="O7" s="2911"/>
    </row>
    <row r="8" spans="1:15" ht="16.5" x14ac:dyDescent="0.25">
      <c r="A8" s="105"/>
      <c r="B8" s="106" t="s">
        <v>56</v>
      </c>
      <c r="C8" s="106" t="s">
        <v>37</v>
      </c>
      <c r="D8" s="107" t="s">
        <v>56</v>
      </c>
      <c r="E8" s="106" t="s">
        <v>37</v>
      </c>
      <c r="F8" s="106" t="s">
        <v>56</v>
      </c>
      <c r="G8" s="106" t="s">
        <v>37</v>
      </c>
      <c r="H8" s="896"/>
      <c r="I8" s="896"/>
      <c r="J8" s="897"/>
      <c r="K8" s="897"/>
      <c r="L8" s="897"/>
      <c r="M8" s="133"/>
      <c r="N8" s="136"/>
      <c r="O8" s="109">
        <f>N8</f>
        <v>0</v>
      </c>
    </row>
    <row r="9" spans="1:15" ht="16.5" x14ac:dyDescent="0.3">
      <c r="A9" s="110">
        <f>+BLESSING!A9</f>
        <v>44105</v>
      </c>
      <c r="B9" s="111">
        <f>C9/B$7</f>
        <v>0</v>
      </c>
      <c r="C9" s="112"/>
      <c r="D9" s="111">
        <f>+E9/D$7</f>
        <v>0</v>
      </c>
      <c r="E9" s="113"/>
      <c r="F9" s="111">
        <f>+G9/F$7</f>
        <v>0</v>
      </c>
      <c r="G9" s="114"/>
      <c r="H9" s="114"/>
      <c r="I9" s="114"/>
      <c r="J9" s="114"/>
      <c r="K9" s="115">
        <f t="shared" ref="K9:K39" si="0">C9+E9+G9+H9+I9+J9</f>
        <v>0</v>
      </c>
      <c r="L9" s="115"/>
      <c r="M9" s="113"/>
      <c r="N9" s="114">
        <f>K9-M9</f>
        <v>0</v>
      </c>
      <c r="O9" s="114">
        <f>+O8+K9-M9</f>
        <v>0</v>
      </c>
    </row>
    <row r="10" spans="1:15"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115"/>
      <c r="M10" s="86"/>
      <c r="N10" s="114">
        <f t="shared" ref="N10:N39" si="3">K10-M10</f>
        <v>0</v>
      </c>
      <c r="O10" s="114">
        <f t="shared" ref="O10:O37" si="4">+O9+K10-M10</f>
        <v>0</v>
      </c>
    </row>
    <row r="11" spans="1:15" ht="16.5" x14ac:dyDescent="0.25">
      <c r="A11" s="110">
        <f t="shared" ref="A11:A39" si="5">+A10+1</f>
        <v>44107</v>
      </c>
      <c r="B11" s="111">
        <f t="shared" si="1"/>
        <v>0</v>
      </c>
      <c r="C11" s="113"/>
      <c r="D11" s="111">
        <f t="shared" si="2"/>
        <v>0</v>
      </c>
      <c r="E11" s="113"/>
      <c r="F11" s="111">
        <f t="shared" si="2"/>
        <v>0</v>
      </c>
      <c r="G11" s="114"/>
      <c r="H11" s="114"/>
      <c r="I11" s="114"/>
      <c r="J11" s="114"/>
      <c r="K11" s="115">
        <f t="shared" si="0"/>
        <v>0</v>
      </c>
      <c r="L11" s="115"/>
      <c r="M11" s="86"/>
      <c r="N11" s="114">
        <f t="shared" si="3"/>
        <v>0</v>
      </c>
      <c r="O11" s="114">
        <f t="shared" si="4"/>
        <v>0</v>
      </c>
    </row>
    <row r="12" spans="1:15" ht="16.5" x14ac:dyDescent="0.25">
      <c r="A12" s="110">
        <f t="shared" si="5"/>
        <v>44108</v>
      </c>
      <c r="B12" s="111">
        <f t="shared" si="1"/>
        <v>0</v>
      </c>
      <c r="C12" s="113"/>
      <c r="D12" s="111">
        <f t="shared" si="2"/>
        <v>0</v>
      </c>
      <c r="E12" s="113"/>
      <c r="F12" s="111">
        <f t="shared" si="2"/>
        <v>0</v>
      </c>
      <c r="G12" s="114"/>
      <c r="H12" s="114"/>
      <c r="I12" s="114"/>
      <c r="J12" s="114"/>
      <c r="K12" s="115">
        <f t="shared" si="0"/>
        <v>0</v>
      </c>
      <c r="L12" s="115"/>
      <c r="M12" s="86"/>
      <c r="N12" s="114">
        <f t="shared" si="3"/>
        <v>0</v>
      </c>
      <c r="O12" s="114">
        <f t="shared" si="4"/>
        <v>0</v>
      </c>
    </row>
    <row r="13" spans="1:15" ht="16.5" x14ac:dyDescent="0.3">
      <c r="A13" s="110">
        <f t="shared" si="5"/>
        <v>44109</v>
      </c>
      <c r="B13" s="111">
        <f t="shared" si="1"/>
        <v>0</v>
      </c>
      <c r="C13" s="112"/>
      <c r="D13" s="111">
        <f t="shared" si="2"/>
        <v>0</v>
      </c>
      <c r="E13" s="113"/>
      <c r="F13" s="111">
        <f t="shared" si="2"/>
        <v>0</v>
      </c>
      <c r="G13" s="114"/>
      <c r="H13" s="114"/>
      <c r="I13" s="114"/>
      <c r="J13" s="114"/>
      <c r="K13" s="115">
        <f t="shared" si="0"/>
        <v>0</v>
      </c>
      <c r="L13" s="115"/>
      <c r="M13" s="86"/>
      <c r="N13" s="114">
        <f t="shared" si="3"/>
        <v>0</v>
      </c>
      <c r="O13" s="114">
        <f t="shared" si="4"/>
        <v>0</v>
      </c>
    </row>
    <row r="14" spans="1:15" ht="16.5" x14ac:dyDescent="0.3">
      <c r="A14" s="110">
        <f t="shared" si="5"/>
        <v>44110</v>
      </c>
      <c r="B14" s="111">
        <f t="shared" si="1"/>
        <v>0</v>
      </c>
      <c r="C14" s="112"/>
      <c r="D14" s="111">
        <f t="shared" si="2"/>
        <v>0</v>
      </c>
      <c r="E14" s="113"/>
      <c r="F14" s="111">
        <f t="shared" si="2"/>
        <v>0</v>
      </c>
      <c r="G14" s="114"/>
      <c r="H14" s="114"/>
      <c r="I14" s="114"/>
      <c r="J14" s="114"/>
      <c r="K14" s="115">
        <f t="shared" si="0"/>
        <v>0</v>
      </c>
      <c r="L14" s="115"/>
      <c r="M14" s="86"/>
      <c r="N14" s="114">
        <f t="shared" si="3"/>
        <v>0</v>
      </c>
      <c r="O14" s="114">
        <f t="shared" si="4"/>
        <v>0</v>
      </c>
    </row>
    <row r="15" spans="1:15" ht="16.5" x14ac:dyDescent="0.25">
      <c r="A15" s="110">
        <f t="shared" si="5"/>
        <v>44111</v>
      </c>
      <c r="B15" s="111">
        <f t="shared" si="1"/>
        <v>0</v>
      </c>
      <c r="C15" s="113"/>
      <c r="D15" s="111">
        <f t="shared" si="2"/>
        <v>0</v>
      </c>
      <c r="E15" s="113"/>
      <c r="F15" s="111">
        <f t="shared" si="2"/>
        <v>0</v>
      </c>
      <c r="G15" s="114"/>
      <c r="H15" s="114"/>
      <c r="I15" s="114"/>
      <c r="J15" s="114"/>
      <c r="K15" s="115">
        <f t="shared" si="0"/>
        <v>0</v>
      </c>
      <c r="L15" s="115"/>
      <c r="M15" s="86"/>
      <c r="N15" s="114">
        <f t="shared" si="3"/>
        <v>0</v>
      </c>
      <c r="O15" s="114">
        <f t="shared" si="4"/>
        <v>0</v>
      </c>
    </row>
    <row r="16" spans="1:15" ht="16.5" x14ac:dyDescent="0.25">
      <c r="A16" s="110">
        <f t="shared" si="5"/>
        <v>44112</v>
      </c>
      <c r="B16" s="111">
        <f t="shared" si="1"/>
        <v>0</v>
      </c>
      <c r="C16" s="113"/>
      <c r="D16" s="111">
        <f t="shared" si="2"/>
        <v>0</v>
      </c>
      <c r="E16" s="113"/>
      <c r="F16" s="111">
        <f t="shared" si="2"/>
        <v>0</v>
      </c>
      <c r="G16" s="114"/>
      <c r="H16" s="114"/>
      <c r="I16" s="114"/>
      <c r="J16" s="114"/>
      <c r="K16" s="115">
        <f t="shared" si="0"/>
        <v>0</v>
      </c>
      <c r="L16" s="115"/>
      <c r="M16" s="86"/>
      <c r="N16" s="114">
        <f t="shared" si="3"/>
        <v>0</v>
      </c>
      <c r="O16" s="114">
        <f t="shared" si="4"/>
        <v>0</v>
      </c>
    </row>
    <row r="17" spans="1:15" ht="16.5" x14ac:dyDescent="0.25">
      <c r="A17" s="110">
        <f t="shared" si="5"/>
        <v>44113</v>
      </c>
      <c r="B17" s="117">
        <f t="shared" si="1"/>
        <v>0</v>
      </c>
      <c r="C17" s="86"/>
      <c r="D17" s="117">
        <f t="shared" si="2"/>
        <v>0</v>
      </c>
      <c r="E17" s="113"/>
      <c r="F17" s="111">
        <f t="shared" si="2"/>
        <v>0</v>
      </c>
      <c r="G17" s="118"/>
      <c r="H17" s="118"/>
      <c r="I17" s="118"/>
      <c r="J17" s="118"/>
      <c r="K17" s="134">
        <f t="shared" si="0"/>
        <v>0</v>
      </c>
      <c r="L17" s="134"/>
      <c r="M17" s="86"/>
      <c r="N17" s="114">
        <f t="shared" si="3"/>
        <v>0</v>
      </c>
      <c r="O17" s="114">
        <f t="shared" si="4"/>
        <v>0</v>
      </c>
    </row>
    <row r="18" spans="1:15" ht="16.5" x14ac:dyDescent="0.25">
      <c r="A18" s="110">
        <f t="shared" si="5"/>
        <v>44114</v>
      </c>
      <c r="B18" s="117">
        <f t="shared" si="1"/>
        <v>0</v>
      </c>
      <c r="C18" s="86"/>
      <c r="D18" s="117">
        <f t="shared" si="2"/>
        <v>0</v>
      </c>
      <c r="E18" s="113"/>
      <c r="F18" s="111">
        <f t="shared" si="2"/>
        <v>0</v>
      </c>
      <c r="G18" s="118"/>
      <c r="H18" s="118"/>
      <c r="I18" s="118"/>
      <c r="J18" s="118"/>
      <c r="K18" s="134">
        <f t="shared" si="0"/>
        <v>0</v>
      </c>
      <c r="L18" s="134"/>
      <c r="M18" s="86"/>
      <c r="N18" s="114">
        <f t="shared" si="3"/>
        <v>0</v>
      </c>
      <c r="O18" s="114">
        <f t="shared" si="4"/>
        <v>0</v>
      </c>
    </row>
    <row r="19" spans="1:15" ht="16.5" x14ac:dyDescent="0.25">
      <c r="A19" s="110">
        <f t="shared" si="5"/>
        <v>44115</v>
      </c>
      <c r="B19" s="117">
        <f t="shared" si="1"/>
        <v>0</v>
      </c>
      <c r="C19" s="86"/>
      <c r="D19" s="117">
        <f t="shared" si="2"/>
        <v>0</v>
      </c>
      <c r="E19" s="113"/>
      <c r="F19" s="111">
        <f t="shared" si="2"/>
        <v>0</v>
      </c>
      <c r="G19" s="118"/>
      <c r="H19" s="118"/>
      <c r="I19" s="118"/>
      <c r="J19" s="118"/>
      <c r="K19" s="134">
        <f>C19+E19+G19+H19+I19+J19</f>
        <v>0</v>
      </c>
      <c r="L19" s="134"/>
      <c r="M19" s="86"/>
      <c r="N19" s="114">
        <f t="shared" si="3"/>
        <v>0</v>
      </c>
      <c r="O19" s="114">
        <f>+O18+K19-M19</f>
        <v>0</v>
      </c>
    </row>
    <row r="20" spans="1:15" ht="16.5" x14ac:dyDescent="0.25">
      <c r="A20" s="110">
        <f t="shared" si="5"/>
        <v>44116</v>
      </c>
      <c r="B20" s="117">
        <f t="shared" si="1"/>
        <v>0</v>
      </c>
      <c r="C20" s="86"/>
      <c r="D20" s="117">
        <f t="shared" si="2"/>
        <v>0</v>
      </c>
      <c r="E20" s="113"/>
      <c r="F20" s="111">
        <f t="shared" si="2"/>
        <v>0</v>
      </c>
      <c r="G20" s="118"/>
      <c r="H20" s="118"/>
      <c r="I20" s="118"/>
      <c r="J20" s="118"/>
      <c r="K20" s="134">
        <f t="shared" si="0"/>
        <v>0</v>
      </c>
      <c r="L20" s="134"/>
      <c r="M20" s="86"/>
      <c r="N20" s="114">
        <f t="shared" si="3"/>
        <v>0</v>
      </c>
      <c r="O20" s="114">
        <f t="shared" si="4"/>
        <v>0</v>
      </c>
    </row>
    <row r="21" spans="1:15" ht="16.5" x14ac:dyDescent="0.25">
      <c r="A21" s="110">
        <f t="shared" si="5"/>
        <v>44117</v>
      </c>
      <c r="B21" s="117">
        <f t="shared" si="1"/>
        <v>0</v>
      </c>
      <c r="C21" s="86"/>
      <c r="D21" s="117">
        <f t="shared" si="2"/>
        <v>0</v>
      </c>
      <c r="E21" s="113"/>
      <c r="F21" s="111">
        <f t="shared" si="2"/>
        <v>0</v>
      </c>
      <c r="G21" s="118"/>
      <c r="H21" s="118"/>
      <c r="I21" s="118"/>
      <c r="J21" s="118"/>
      <c r="K21" s="134">
        <f t="shared" si="0"/>
        <v>0</v>
      </c>
      <c r="L21" s="134"/>
      <c r="M21" s="86"/>
      <c r="N21" s="114">
        <f t="shared" si="3"/>
        <v>0</v>
      </c>
      <c r="O21" s="114">
        <f t="shared" si="4"/>
        <v>0</v>
      </c>
    </row>
    <row r="22" spans="1:15" ht="16.5" x14ac:dyDescent="0.25">
      <c r="A22" s="110">
        <f t="shared" si="5"/>
        <v>44118</v>
      </c>
      <c r="B22" s="117">
        <f t="shared" si="1"/>
        <v>0</v>
      </c>
      <c r="C22" s="86"/>
      <c r="D22" s="117">
        <f t="shared" si="2"/>
        <v>0</v>
      </c>
      <c r="E22" s="86"/>
      <c r="F22" s="111">
        <f t="shared" si="2"/>
        <v>0</v>
      </c>
      <c r="G22" s="118"/>
      <c r="H22" s="118"/>
      <c r="I22" s="118"/>
      <c r="J22" s="118"/>
      <c r="K22" s="134">
        <f t="shared" si="0"/>
        <v>0</v>
      </c>
      <c r="L22" s="134"/>
      <c r="M22" s="86"/>
      <c r="N22" s="114">
        <f t="shared" si="3"/>
        <v>0</v>
      </c>
      <c r="O22" s="114">
        <f t="shared" si="4"/>
        <v>0</v>
      </c>
    </row>
    <row r="23" spans="1:15" ht="16.5" x14ac:dyDescent="0.25">
      <c r="A23" s="110">
        <f t="shared" si="5"/>
        <v>44119</v>
      </c>
      <c r="B23" s="117">
        <f t="shared" si="1"/>
        <v>0</v>
      </c>
      <c r="C23" s="86"/>
      <c r="D23" s="117">
        <f t="shared" si="2"/>
        <v>0</v>
      </c>
      <c r="E23" s="113"/>
      <c r="F23" s="117">
        <f t="shared" si="2"/>
        <v>0</v>
      </c>
      <c r="G23" s="118"/>
      <c r="H23" s="118"/>
      <c r="I23" s="118"/>
      <c r="J23" s="118"/>
      <c r="K23" s="134">
        <f t="shared" si="0"/>
        <v>0</v>
      </c>
      <c r="L23" s="134"/>
      <c r="M23" s="86"/>
      <c r="N23" s="114">
        <f t="shared" si="3"/>
        <v>0</v>
      </c>
      <c r="O23" s="114">
        <f t="shared" si="4"/>
        <v>0</v>
      </c>
    </row>
    <row r="24" spans="1:15" ht="16.5" x14ac:dyDescent="0.25">
      <c r="A24" s="110">
        <f t="shared" si="5"/>
        <v>44120</v>
      </c>
      <c r="B24" s="117">
        <f t="shared" si="1"/>
        <v>0</v>
      </c>
      <c r="C24" s="86"/>
      <c r="D24" s="117">
        <f t="shared" si="2"/>
        <v>0</v>
      </c>
      <c r="E24" s="113"/>
      <c r="F24" s="117">
        <f t="shared" si="2"/>
        <v>0</v>
      </c>
      <c r="G24" s="118"/>
      <c r="H24" s="118"/>
      <c r="I24" s="118"/>
      <c r="J24" s="118"/>
      <c r="K24" s="134">
        <f t="shared" si="0"/>
        <v>0</v>
      </c>
      <c r="L24" s="134"/>
      <c r="M24" s="113"/>
      <c r="N24" s="114">
        <f t="shared" si="3"/>
        <v>0</v>
      </c>
      <c r="O24" s="114">
        <f t="shared" si="4"/>
        <v>0</v>
      </c>
    </row>
    <row r="25" spans="1:15" ht="16.5" x14ac:dyDescent="0.25">
      <c r="A25" s="110">
        <f t="shared" si="5"/>
        <v>44121</v>
      </c>
      <c r="B25" s="117">
        <f t="shared" si="1"/>
        <v>0</v>
      </c>
      <c r="C25" s="86"/>
      <c r="D25" s="117">
        <f t="shared" si="2"/>
        <v>0</v>
      </c>
      <c r="E25" s="113"/>
      <c r="F25" s="117">
        <f t="shared" si="2"/>
        <v>0</v>
      </c>
      <c r="G25" s="118"/>
      <c r="H25" s="118"/>
      <c r="I25" s="118"/>
      <c r="J25" s="118"/>
      <c r="K25" s="134">
        <f t="shared" si="0"/>
        <v>0</v>
      </c>
      <c r="L25" s="134"/>
      <c r="M25" s="113"/>
      <c r="N25" s="114">
        <f t="shared" si="3"/>
        <v>0</v>
      </c>
      <c r="O25" s="114">
        <f t="shared" si="4"/>
        <v>0</v>
      </c>
    </row>
    <row r="26" spans="1:15" ht="16.5" x14ac:dyDescent="0.25">
      <c r="A26" s="110">
        <f t="shared" si="5"/>
        <v>44122</v>
      </c>
      <c r="B26" s="117">
        <f t="shared" si="1"/>
        <v>0</v>
      </c>
      <c r="C26" s="86"/>
      <c r="D26" s="117">
        <f t="shared" ref="D26:F39" si="6">+E26/D$7</f>
        <v>0</v>
      </c>
      <c r="E26" s="113"/>
      <c r="F26" s="117">
        <f t="shared" si="6"/>
        <v>0</v>
      </c>
      <c r="G26" s="118"/>
      <c r="H26" s="118"/>
      <c r="I26" s="118"/>
      <c r="J26" s="118"/>
      <c r="K26" s="134">
        <f t="shared" si="0"/>
        <v>0</v>
      </c>
      <c r="L26" s="134"/>
      <c r="M26" s="113"/>
      <c r="N26" s="114">
        <f t="shared" si="3"/>
        <v>0</v>
      </c>
      <c r="O26" s="114">
        <f t="shared" si="4"/>
        <v>0</v>
      </c>
    </row>
    <row r="27" spans="1:15" ht="16.5" x14ac:dyDescent="0.25">
      <c r="A27" s="110">
        <f t="shared" si="5"/>
        <v>44123</v>
      </c>
      <c r="B27" s="117">
        <f t="shared" si="1"/>
        <v>0</v>
      </c>
      <c r="C27" s="86"/>
      <c r="D27" s="117">
        <f t="shared" si="6"/>
        <v>0</v>
      </c>
      <c r="E27" s="113"/>
      <c r="F27" s="117">
        <f t="shared" si="6"/>
        <v>0</v>
      </c>
      <c r="G27" s="118"/>
      <c r="H27" s="118"/>
      <c r="I27" s="118"/>
      <c r="J27" s="118"/>
      <c r="K27" s="134">
        <f t="shared" si="0"/>
        <v>0</v>
      </c>
      <c r="L27" s="134"/>
      <c r="M27" s="113"/>
      <c r="N27" s="114">
        <f t="shared" si="3"/>
        <v>0</v>
      </c>
      <c r="O27" s="114">
        <f t="shared" si="4"/>
        <v>0</v>
      </c>
    </row>
    <row r="28" spans="1:15" ht="16.5" x14ac:dyDescent="0.25">
      <c r="A28" s="110">
        <f t="shared" si="5"/>
        <v>44124</v>
      </c>
      <c r="B28" s="117">
        <f t="shared" si="1"/>
        <v>0</v>
      </c>
      <c r="C28" s="86"/>
      <c r="D28" s="117">
        <f t="shared" si="6"/>
        <v>0</v>
      </c>
      <c r="E28" s="113"/>
      <c r="F28" s="117">
        <f t="shared" si="6"/>
        <v>0</v>
      </c>
      <c r="G28" s="118"/>
      <c r="H28" s="118"/>
      <c r="I28" s="118"/>
      <c r="J28" s="118"/>
      <c r="K28" s="134">
        <f t="shared" si="0"/>
        <v>0</v>
      </c>
      <c r="L28" s="134"/>
      <c r="M28" s="113"/>
      <c r="N28" s="114">
        <f t="shared" si="3"/>
        <v>0</v>
      </c>
      <c r="O28" s="114">
        <f t="shared" si="4"/>
        <v>0</v>
      </c>
    </row>
    <row r="29" spans="1:15" ht="16.5" x14ac:dyDescent="0.25">
      <c r="A29" s="110">
        <f t="shared" si="5"/>
        <v>44125</v>
      </c>
      <c r="B29" s="117">
        <f t="shared" si="1"/>
        <v>0</v>
      </c>
      <c r="C29" s="86"/>
      <c r="D29" s="117">
        <f t="shared" si="6"/>
        <v>0</v>
      </c>
      <c r="E29" s="113"/>
      <c r="F29" s="117">
        <f t="shared" si="6"/>
        <v>0</v>
      </c>
      <c r="G29" s="118"/>
      <c r="H29" s="118"/>
      <c r="I29" s="118"/>
      <c r="J29" s="118"/>
      <c r="K29" s="134">
        <f t="shared" si="0"/>
        <v>0</v>
      </c>
      <c r="L29" s="134"/>
      <c r="M29" s="113"/>
      <c r="N29" s="114">
        <f t="shared" si="3"/>
        <v>0</v>
      </c>
      <c r="O29" s="114">
        <f t="shared" si="4"/>
        <v>0</v>
      </c>
    </row>
    <row r="30" spans="1:15" ht="16.5" x14ac:dyDescent="0.25">
      <c r="A30" s="110">
        <f t="shared" si="5"/>
        <v>44126</v>
      </c>
      <c r="B30" s="117">
        <f t="shared" si="1"/>
        <v>0</v>
      </c>
      <c r="C30" s="86"/>
      <c r="D30" s="117">
        <f t="shared" si="6"/>
        <v>0</v>
      </c>
      <c r="E30" s="113"/>
      <c r="F30" s="117">
        <f t="shared" si="6"/>
        <v>0</v>
      </c>
      <c r="G30" s="118"/>
      <c r="H30" s="118"/>
      <c r="I30" s="118"/>
      <c r="J30" s="118"/>
      <c r="K30" s="134">
        <f t="shared" si="0"/>
        <v>0</v>
      </c>
      <c r="L30" s="134"/>
      <c r="M30" s="113"/>
      <c r="N30" s="114">
        <f t="shared" si="3"/>
        <v>0</v>
      </c>
      <c r="O30" s="114">
        <f t="shared" si="4"/>
        <v>0</v>
      </c>
    </row>
    <row r="31" spans="1:15" s="1555" customFormat="1" ht="16.5" x14ac:dyDescent="0.25">
      <c r="A31" s="1547">
        <f t="shared" si="5"/>
        <v>44127</v>
      </c>
      <c r="B31" s="1549">
        <f t="shared" si="1"/>
        <v>0</v>
      </c>
      <c r="C31" s="1532"/>
      <c r="D31" s="1549">
        <f t="shared" si="6"/>
        <v>0</v>
      </c>
      <c r="E31" s="1532"/>
      <c r="F31" s="1549">
        <f t="shared" si="6"/>
        <v>0</v>
      </c>
      <c r="G31" s="1548"/>
      <c r="H31" s="1548"/>
      <c r="I31" s="1548"/>
      <c r="J31" s="1548"/>
      <c r="K31" s="1550">
        <f t="shared" si="0"/>
        <v>0</v>
      </c>
      <c r="L31" s="1550"/>
      <c r="M31" s="1532"/>
      <c r="N31" s="1548">
        <f t="shared" si="3"/>
        <v>0</v>
      </c>
      <c r="O31" s="1548">
        <f t="shared" si="4"/>
        <v>0</v>
      </c>
    </row>
    <row r="32" spans="1:15" ht="16.5" x14ac:dyDescent="0.25">
      <c r="A32" s="110">
        <f t="shared" si="5"/>
        <v>44128</v>
      </c>
      <c r="B32" s="111">
        <f t="shared" si="1"/>
        <v>0</v>
      </c>
      <c r="C32" s="113"/>
      <c r="D32" s="111">
        <f t="shared" si="6"/>
        <v>0</v>
      </c>
      <c r="E32" s="113"/>
      <c r="F32" s="111">
        <f t="shared" si="6"/>
        <v>0</v>
      </c>
      <c r="G32" s="114"/>
      <c r="H32" s="114"/>
      <c r="I32" s="114"/>
      <c r="J32" s="114"/>
      <c r="K32" s="115">
        <f t="shared" si="0"/>
        <v>0</v>
      </c>
      <c r="L32" s="115"/>
      <c r="M32" s="113"/>
      <c r="N32" s="114">
        <f t="shared" si="3"/>
        <v>0</v>
      </c>
      <c r="O32" s="114">
        <f t="shared" si="4"/>
        <v>0</v>
      </c>
    </row>
    <row r="33" spans="1:15" ht="16.5" x14ac:dyDescent="0.25">
      <c r="A33" s="110">
        <f t="shared" si="5"/>
        <v>44129</v>
      </c>
      <c r="B33" s="111">
        <f t="shared" si="1"/>
        <v>0</v>
      </c>
      <c r="C33" s="113"/>
      <c r="D33" s="111">
        <f>+E33/D$7</f>
        <v>0</v>
      </c>
      <c r="E33" s="113"/>
      <c r="F33" s="111">
        <f t="shared" si="6"/>
        <v>0</v>
      </c>
      <c r="G33" s="114"/>
      <c r="H33" s="114"/>
      <c r="I33" s="114"/>
      <c r="J33" s="114"/>
      <c r="K33" s="115">
        <f t="shared" si="0"/>
        <v>0</v>
      </c>
      <c r="L33" s="115"/>
      <c r="M33" s="113"/>
      <c r="N33" s="114">
        <f t="shared" si="3"/>
        <v>0</v>
      </c>
      <c r="O33" s="114">
        <f t="shared" si="4"/>
        <v>0</v>
      </c>
    </row>
    <row r="34" spans="1:15" ht="16.5" x14ac:dyDescent="0.25">
      <c r="A34" s="110">
        <f t="shared" si="5"/>
        <v>44130</v>
      </c>
      <c r="B34" s="111">
        <f t="shared" si="1"/>
        <v>0</v>
      </c>
      <c r="C34" s="113"/>
      <c r="D34" s="111">
        <f t="shared" si="6"/>
        <v>0</v>
      </c>
      <c r="E34" s="113"/>
      <c r="F34" s="111">
        <f t="shared" si="6"/>
        <v>0</v>
      </c>
      <c r="G34" s="114"/>
      <c r="H34" s="114"/>
      <c r="I34" s="114"/>
      <c r="J34" s="114"/>
      <c r="K34" s="115">
        <f t="shared" si="0"/>
        <v>0</v>
      </c>
      <c r="L34" s="115"/>
      <c r="M34" s="113"/>
      <c r="N34" s="114">
        <f t="shared" si="3"/>
        <v>0</v>
      </c>
      <c r="O34" s="114">
        <f t="shared" si="4"/>
        <v>0</v>
      </c>
    </row>
    <row r="35" spans="1:15" ht="16.5" x14ac:dyDescent="0.25">
      <c r="A35" s="110">
        <f t="shared" si="5"/>
        <v>44131</v>
      </c>
      <c r="B35" s="111">
        <f t="shared" si="1"/>
        <v>0</v>
      </c>
      <c r="C35" s="113"/>
      <c r="D35" s="111">
        <f t="shared" si="6"/>
        <v>0</v>
      </c>
      <c r="E35" s="113"/>
      <c r="F35" s="111">
        <f t="shared" si="6"/>
        <v>0</v>
      </c>
      <c r="G35" s="114"/>
      <c r="H35" s="114"/>
      <c r="I35" s="114"/>
      <c r="J35" s="114"/>
      <c r="K35" s="115">
        <f t="shared" si="0"/>
        <v>0</v>
      </c>
      <c r="L35" s="115"/>
      <c r="M35" s="113"/>
      <c r="N35" s="114">
        <f t="shared" si="3"/>
        <v>0</v>
      </c>
      <c r="O35" s="114">
        <f t="shared" si="4"/>
        <v>0</v>
      </c>
    </row>
    <row r="36" spans="1:15" ht="16.5" x14ac:dyDescent="0.25">
      <c r="A36" s="110">
        <f t="shared" si="5"/>
        <v>44132</v>
      </c>
      <c r="B36" s="111">
        <f t="shared" si="1"/>
        <v>0</v>
      </c>
      <c r="C36" s="113"/>
      <c r="D36" s="111">
        <f t="shared" si="6"/>
        <v>0</v>
      </c>
      <c r="E36" s="113"/>
      <c r="F36" s="111">
        <f t="shared" si="6"/>
        <v>0</v>
      </c>
      <c r="G36" s="114"/>
      <c r="H36" s="114"/>
      <c r="I36" s="114"/>
      <c r="J36" s="114"/>
      <c r="K36" s="115">
        <f t="shared" si="0"/>
        <v>0</v>
      </c>
      <c r="L36" s="115"/>
      <c r="M36" s="113"/>
      <c r="N36" s="114">
        <f t="shared" si="3"/>
        <v>0</v>
      </c>
      <c r="O36" s="114">
        <f t="shared" si="4"/>
        <v>0</v>
      </c>
    </row>
    <row r="37" spans="1:15" ht="16.5" x14ac:dyDescent="0.25">
      <c r="A37" s="110">
        <f t="shared" si="5"/>
        <v>44133</v>
      </c>
      <c r="B37" s="111">
        <f t="shared" si="1"/>
        <v>0</v>
      </c>
      <c r="C37" s="113"/>
      <c r="D37" s="111">
        <f t="shared" si="6"/>
        <v>0</v>
      </c>
      <c r="E37" s="113"/>
      <c r="F37" s="111">
        <f t="shared" si="6"/>
        <v>0</v>
      </c>
      <c r="G37" s="114"/>
      <c r="H37" s="114"/>
      <c r="I37" s="114"/>
      <c r="J37" s="114"/>
      <c r="K37" s="115">
        <f t="shared" si="0"/>
        <v>0</v>
      </c>
      <c r="L37" s="115"/>
      <c r="M37" s="113"/>
      <c r="N37" s="114">
        <f t="shared" si="3"/>
        <v>0</v>
      </c>
      <c r="O37" s="114">
        <f t="shared" si="4"/>
        <v>0</v>
      </c>
    </row>
    <row r="38" spans="1:15" ht="16.5" x14ac:dyDescent="0.25">
      <c r="A38" s="110">
        <f t="shared" si="5"/>
        <v>44134</v>
      </c>
      <c r="B38" s="111">
        <f t="shared" si="1"/>
        <v>0</v>
      </c>
      <c r="C38" s="113"/>
      <c r="D38" s="111">
        <f t="shared" si="6"/>
        <v>0</v>
      </c>
      <c r="E38" s="113"/>
      <c r="F38" s="111">
        <f t="shared" si="6"/>
        <v>0</v>
      </c>
      <c r="G38" s="114"/>
      <c r="H38" s="114"/>
      <c r="I38" s="114"/>
      <c r="J38" s="114"/>
      <c r="K38" s="115">
        <f>C38+E38+G38+H38+I38+J38</f>
        <v>0</v>
      </c>
      <c r="L38" s="115"/>
      <c r="M38" s="113"/>
      <c r="N38" s="114">
        <f t="shared" si="3"/>
        <v>0</v>
      </c>
      <c r="O38" s="114">
        <f>+O37+K38-M38</f>
        <v>0</v>
      </c>
    </row>
    <row r="39" spans="1:15" ht="16.5" x14ac:dyDescent="0.25">
      <c r="A39" s="110">
        <f t="shared" si="5"/>
        <v>44135</v>
      </c>
      <c r="B39" s="111">
        <f t="shared" si="1"/>
        <v>0</v>
      </c>
      <c r="C39" s="113"/>
      <c r="D39" s="111">
        <f t="shared" si="6"/>
        <v>0</v>
      </c>
      <c r="E39" s="113"/>
      <c r="F39" s="111">
        <f t="shared" si="6"/>
        <v>0</v>
      </c>
      <c r="G39" s="114"/>
      <c r="H39" s="114"/>
      <c r="I39" s="114"/>
      <c r="J39" s="114"/>
      <c r="K39" s="115">
        <f t="shared" si="0"/>
        <v>0</v>
      </c>
      <c r="L39" s="115"/>
      <c r="M39" s="113"/>
      <c r="N39" s="114">
        <f t="shared" si="3"/>
        <v>0</v>
      </c>
      <c r="O39" s="120">
        <f>+O38+K39-M39</f>
        <v>0</v>
      </c>
    </row>
    <row r="40" spans="1:15" ht="16.5" x14ac:dyDescent="0.2">
      <c r="A40" s="121" t="s">
        <v>18</v>
      </c>
      <c r="B40" s="137">
        <f>SUM(B9:B39)</f>
        <v>0</v>
      </c>
      <c r="C40" s="115">
        <f>SUM(C9:C39)</f>
        <v>0</v>
      </c>
      <c r="D40" s="122">
        <f t="shared" ref="D40:M40" si="7">SUM(D9:D39)</f>
        <v>0</v>
      </c>
      <c r="E40" s="115">
        <f>SUM(E9:E39)</f>
        <v>0</v>
      </c>
      <c r="F40" s="115">
        <f t="shared" si="7"/>
        <v>0</v>
      </c>
      <c r="G40" s="115">
        <f t="shared" si="7"/>
        <v>0</v>
      </c>
      <c r="H40" s="115">
        <f t="shared" si="7"/>
        <v>0</v>
      </c>
      <c r="I40" s="115">
        <f t="shared" si="7"/>
        <v>0</v>
      </c>
      <c r="J40" s="115">
        <f t="shared" si="7"/>
        <v>0</v>
      </c>
      <c r="K40" s="115">
        <f t="shared" si="7"/>
        <v>0</v>
      </c>
      <c r="L40" s="115"/>
      <c r="M40" s="115">
        <f t="shared" si="7"/>
        <v>0</v>
      </c>
      <c r="N40" s="120">
        <f>SUM(N8:N39)-M40</f>
        <v>0</v>
      </c>
      <c r="O40" s="123"/>
    </row>
  </sheetData>
  <mergeCells count="8">
    <mergeCell ref="N6:N7"/>
    <mergeCell ref="O6:O7"/>
    <mergeCell ref="H6:H7"/>
    <mergeCell ref="I6:I7"/>
    <mergeCell ref="J6:J7"/>
    <mergeCell ref="K6:K7"/>
    <mergeCell ref="L6:L7"/>
    <mergeCell ref="M6:M7"/>
  </mergeCells>
  <pageMargins left="0.39370078740157483" right="0.39370078740157483" top="0.74803149606299213" bottom="0.39370078740157483" header="0.31496062992125984" footer="0.31496062992125984"/>
  <pageSetup paperSize="9" scale="74"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4">
    <tabColor theme="4" tint="-0.249977111117893"/>
    <pageSetUpPr fitToPage="1"/>
  </sheetPr>
  <dimension ref="A1:O41"/>
  <sheetViews>
    <sheetView zoomScaleNormal="100" workbookViewId="0">
      <selection activeCell="H26" sqref="H26"/>
    </sheetView>
  </sheetViews>
  <sheetFormatPr baseColWidth="10" defaultRowHeight="18" x14ac:dyDescent="0.25"/>
  <cols>
    <col min="1" max="1" width="11.42578125" style="38"/>
    <col min="2" max="2" width="13.28515625" style="38" customWidth="1"/>
    <col min="3" max="3" width="12.7109375" style="38" bestFit="1" customWidth="1"/>
    <col min="4" max="4" width="14" style="38" customWidth="1"/>
    <col min="5" max="5" width="16.140625" style="38" customWidth="1"/>
    <col min="6" max="7" width="11.42578125" style="38"/>
    <col min="8" max="8" width="13.85546875" style="38" bestFit="1" customWidth="1"/>
    <col min="9" max="10" width="11.42578125" style="38"/>
    <col min="11" max="11" width="15.7109375" style="38" customWidth="1"/>
    <col min="12" max="12" width="15.85546875" style="38" customWidth="1"/>
    <col min="13" max="13" width="16.28515625" style="38" customWidth="1"/>
    <col min="14" max="14" width="16.7109375" style="38" customWidth="1"/>
    <col min="15" max="15" width="19.7109375" style="38" customWidth="1"/>
    <col min="16" max="16384" width="11.42578125" style="38"/>
  </cols>
  <sheetData>
    <row r="1" spans="1:15" ht="18.75" x14ac:dyDescent="0.3">
      <c r="A1" s="36" t="s">
        <v>118</v>
      </c>
      <c r="B1" s="36"/>
      <c r="C1" s="38" t="s">
        <v>224</v>
      </c>
    </row>
    <row r="2" spans="1:15" ht="13.5" customHeight="1" x14ac:dyDescent="0.35">
      <c r="C2" s="159"/>
      <c r="K2" s="148"/>
      <c r="L2" s="148"/>
    </row>
    <row r="3" spans="1:15" ht="16.5" customHeight="1" x14ac:dyDescent="0.3">
      <c r="A3" s="36" t="s">
        <v>19</v>
      </c>
      <c r="B3" s="142"/>
      <c r="C3" s="142">
        <f>+BONIMEX!B4</f>
        <v>43160</v>
      </c>
      <c r="N3" s="37"/>
    </row>
    <row r="4" spans="1:15" ht="13.5" customHeight="1" x14ac:dyDescent="0.3">
      <c r="A4" s="36"/>
      <c r="B4" s="36"/>
      <c r="C4" s="36"/>
    </row>
    <row r="5" spans="1:15" ht="13.5" customHeight="1" x14ac:dyDescent="0.25">
      <c r="A5" s="3101" t="s">
        <v>3</v>
      </c>
      <c r="B5" s="161" t="s">
        <v>15</v>
      </c>
      <c r="C5" s="162"/>
      <c r="D5" s="161" t="s">
        <v>16</v>
      </c>
      <c r="E5" s="162"/>
      <c r="F5" s="161" t="s">
        <v>17</v>
      </c>
      <c r="G5" s="162"/>
      <c r="H5" s="2901" t="s">
        <v>52</v>
      </c>
      <c r="I5" s="2901" t="s">
        <v>53</v>
      </c>
      <c r="J5" s="2901" t="s">
        <v>119</v>
      </c>
      <c r="K5" s="2901" t="s">
        <v>18</v>
      </c>
      <c r="L5" s="3062" t="s">
        <v>416</v>
      </c>
      <c r="M5" s="2901" t="s">
        <v>60</v>
      </c>
      <c r="N5" s="2901" t="s">
        <v>55</v>
      </c>
      <c r="O5" s="2901" t="s">
        <v>120</v>
      </c>
    </row>
    <row r="6" spans="1:15" ht="19.5" customHeight="1" x14ac:dyDescent="0.25">
      <c r="A6" s="3102"/>
      <c r="B6" s="915">
        <v>650</v>
      </c>
      <c r="C6" s="916"/>
      <c r="D6" s="915">
        <v>600</v>
      </c>
      <c r="E6" s="916"/>
      <c r="F6" s="915">
        <v>350</v>
      </c>
      <c r="G6" s="916"/>
      <c r="H6" s="3070"/>
      <c r="I6" s="3070"/>
      <c r="J6" s="2902"/>
      <c r="K6" s="2902"/>
      <c r="L6" s="3064"/>
      <c r="M6" s="2902"/>
      <c r="N6" s="2902"/>
      <c r="O6" s="2902"/>
    </row>
    <row r="7" spans="1:15" ht="19.5" x14ac:dyDescent="0.25">
      <c r="B7" s="174">
        <f t="shared" ref="B7:B16" si="0">+C7/569</f>
        <v>0</v>
      </c>
      <c r="C7" s="173"/>
      <c r="D7" s="174">
        <f t="shared" ref="D7:D38" si="1">+E7/520</f>
        <v>0</v>
      </c>
      <c r="E7" s="423"/>
      <c r="F7" s="169"/>
      <c r="G7" s="172"/>
      <c r="H7" s="172"/>
      <c r="I7" s="172"/>
      <c r="J7" s="172"/>
      <c r="K7" s="173">
        <f t="shared" ref="K7:K38" si="2">C7+E7+G7+H7+I7+J7</f>
        <v>0</v>
      </c>
      <c r="L7" s="173"/>
      <c r="M7" s="172"/>
      <c r="N7" s="172">
        <v>-207454</v>
      </c>
      <c r="O7" s="168">
        <f>N7</f>
        <v>-207454</v>
      </c>
    </row>
    <row r="8" spans="1:15" ht="19.5" x14ac:dyDescent="0.25">
      <c r="A8" s="110">
        <f>+GSCI!A10</f>
        <v>44105</v>
      </c>
      <c r="B8" s="174"/>
      <c r="C8" s="173"/>
      <c r="D8" s="174">
        <f>+E8/520</f>
        <v>0</v>
      </c>
      <c r="E8" s="423"/>
      <c r="F8" s="169"/>
      <c r="G8" s="172"/>
      <c r="H8" s="172"/>
      <c r="I8" s="172"/>
      <c r="J8" s="172"/>
      <c r="K8" s="173">
        <f t="shared" si="2"/>
        <v>0</v>
      </c>
      <c r="L8" s="173"/>
      <c r="M8" s="172"/>
      <c r="N8" s="172">
        <f t="shared" ref="N8:N38" si="3">K8-M8</f>
        <v>0</v>
      </c>
      <c r="O8" s="172">
        <f>+O7+K8-M8</f>
        <v>-207454</v>
      </c>
    </row>
    <row r="9" spans="1:15" ht="19.5" customHeight="1" x14ac:dyDescent="0.25">
      <c r="A9" s="110">
        <f>+A8+1</f>
        <v>44106</v>
      </c>
      <c r="B9" s="174">
        <f t="shared" si="0"/>
        <v>0</v>
      </c>
      <c r="C9" s="173"/>
      <c r="D9" s="174">
        <f t="shared" si="1"/>
        <v>0</v>
      </c>
      <c r="E9" s="175"/>
      <c r="F9" s="169"/>
      <c r="G9" s="172"/>
      <c r="H9" s="172"/>
      <c r="I9" s="172"/>
      <c r="J9" s="172"/>
      <c r="K9" s="173">
        <f>C9+E9+G9+H9+I9+J9</f>
        <v>0</v>
      </c>
      <c r="L9" s="173"/>
      <c r="M9" s="175"/>
      <c r="N9" s="172">
        <f>K9-M9</f>
        <v>0</v>
      </c>
      <c r="O9" s="172">
        <f>+O8+K9-M9</f>
        <v>-207454</v>
      </c>
    </row>
    <row r="10" spans="1:15" ht="19.5" customHeight="1" x14ac:dyDescent="0.25">
      <c r="A10" s="110">
        <f t="shared" ref="A10:A38" si="4">+A9+1</f>
        <v>44107</v>
      </c>
      <c r="B10" s="174">
        <f t="shared" si="0"/>
        <v>0</v>
      </c>
      <c r="C10" s="172"/>
      <c r="D10" s="174">
        <f t="shared" si="1"/>
        <v>0</v>
      </c>
      <c r="E10" s="423"/>
      <c r="F10" s="169"/>
      <c r="G10" s="172"/>
      <c r="H10" s="172"/>
      <c r="I10" s="172"/>
      <c r="J10" s="172"/>
      <c r="K10" s="173">
        <f t="shared" si="2"/>
        <v>0</v>
      </c>
      <c r="L10" s="173"/>
      <c r="M10" s="175"/>
      <c r="N10" s="172">
        <f t="shared" si="3"/>
        <v>0</v>
      </c>
      <c r="O10" s="172">
        <f t="shared" ref="O10:O36" si="5">+O9+K10-M10</f>
        <v>-207454</v>
      </c>
    </row>
    <row r="11" spans="1:15" ht="19.5" x14ac:dyDescent="0.25">
      <c r="A11" s="110">
        <f t="shared" si="4"/>
        <v>44108</v>
      </c>
      <c r="B11" s="174">
        <f t="shared" si="0"/>
        <v>0</v>
      </c>
      <c r="C11" s="172"/>
      <c r="D11" s="174">
        <f t="shared" si="1"/>
        <v>0</v>
      </c>
      <c r="E11" s="423"/>
      <c r="F11" s="169"/>
      <c r="G11" s="172"/>
      <c r="H11" s="172"/>
      <c r="I11" s="172"/>
      <c r="J11" s="172"/>
      <c r="K11" s="173">
        <f t="shared" si="2"/>
        <v>0</v>
      </c>
      <c r="L11" s="173"/>
      <c r="M11" s="175"/>
      <c r="N11" s="172">
        <f t="shared" si="3"/>
        <v>0</v>
      </c>
      <c r="O11" s="172">
        <f t="shared" si="5"/>
        <v>-207454</v>
      </c>
    </row>
    <row r="12" spans="1:15" ht="19.5" customHeight="1" x14ac:dyDescent="0.25">
      <c r="A12" s="110">
        <f t="shared" si="4"/>
        <v>44109</v>
      </c>
      <c r="B12" s="174">
        <f t="shared" si="0"/>
        <v>0</v>
      </c>
      <c r="C12" s="173"/>
      <c r="D12" s="174">
        <f t="shared" si="1"/>
        <v>0</v>
      </c>
      <c r="E12" s="423"/>
      <c r="F12" s="169"/>
      <c r="G12" s="172"/>
      <c r="H12" s="172"/>
      <c r="I12" s="172"/>
      <c r="J12" s="172"/>
      <c r="K12" s="173">
        <f t="shared" si="2"/>
        <v>0</v>
      </c>
      <c r="L12" s="173"/>
      <c r="M12" s="175"/>
      <c r="N12" s="172">
        <f t="shared" si="3"/>
        <v>0</v>
      </c>
      <c r="O12" s="172">
        <f t="shared" si="5"/>
        <v>-207454</v>
      </c>
    </row>
    <row r="13" spans="1:15" ht="19.5" customHeight="1" x14ac:dyDescent="0.25">
      <c r="A13" s="110">
        <f t="shared" si="4"/>
        <v>44110</v>
      </c>
      <c r="B13" s="174">
        <f t="shared" si="0"/>
        <v>0</v>
      </c>
      <c r="C13" s="173"/>
      <c r="D13" s="174">
        <f t="shared" si="1"/>
        <v>0</v>
      </c>
      <c r="E13" s="423"/>
      <c r="F13" s="169"/>
      <c r="G13" s="172"/>
      <c r="H13" s="172"/>
      <c r="I13" s="172"/>
      <c r="J13" s="172"/>
      <c r="K13" s="173">
        <f t="shared" si="2"/>
        <v>0</v>
      </c>
      <c r="L13" s="173"/>
      <c r="M13" s="175"/>
      <c r="N13" s="172">
        <f t="shared" si="3"/>
        <v>0</v>
      </c>
      <c r="O13" s="172">
        <f t="shared" si="5"/>
        <v>-207454</v>
      </c>
    </row>
    <row r="14" spans="1:15" ht="19.5" customHeight="1" x14ac:dyDescent="0.25">
      <c r="A14" s="110">
        <f t="shared" si="4"/>
        <v>44111</v>
      </c>
      <c r="B14" s="174">
        <f t="shared" si="0"/>
        <v>0</v>
      </c>
      <c r="C14" s="172"/>
      <c r="D14" s="174">
        <f t="shared" si="1"/>
        <v>0</v>
      </c>
      <c r="E14" s="423"/>
      <c r="F14" s="169"/>
      <c r="G14" s="172"/>
      <c r="H14" s="172"/>
      <c r="I14" s="172"/>
      <c r="J14" s="172"/>
      <c r="K14" s="173">
        <f t="shared" si="2"/>
        <v>0</v>
      </c>
      <c r="L14" s="173"/>
      <c r="M14" s="175"/>
      <c r="N14" s="172">
        <f t="shared" si="3"/>
        <v>0</v>
      </c>
      <c r="O14" s="172">
        <f t="shared" si="5"/>
        <v>-207454</v>
      </c>
    </row>
    <row r="15" spans="1:15" ht="19.5" customHeight="1" x14ac:dyDescent="0.25">
      <c r="A15" s="110">
        <f t="shared" si="4"/>
        <v>44112</v>
      </c>
      <c r="B15" s="174">
        <f t="shared" si="0"/>
        <v>0</v>
      </c>
      <c r="C15" s="172"/>
      <c r="D15" s="174">
        <f t="shared" si="1"/>
        <v>0</v>
      </c>
      <c r="E15" s="423"/>
      <c r="F15" s="169"/>
      <c r="G15" s="172"/>
      <c r="H15" s="172"/>
      <c r="I15" s="172"/>
      <c r="J15" s="172"/>
      <c r="K15" s="173">
        <f t="shared" si="2"/>
        <v>0</v>
      </c>
      <c r="L15" s="173"/>
      <c r="M15" s="175"/>
      <c r="N15" s="172">
        <f t="shared" si="3"/>
        <v>0</v>
      </c>
      <c r="O15" s="172">
        <f t="shared" si="5"/>
        <v>-207454</v>
      </c>
    </row>
    <row r="16" spans="1:15" ht="19.5" customHeight="1" x14ac:dyDescent="0.25">
      <c r="A16" s="110">
        <f t="shared" si="4"/>
        <v>44113</v>
      </c>
      <c r="B16" s="174">
        <f t="shared" si="0"/>
        <v>0</v>
      </c>
      <c r="C16" s="175"/>
      <c r="D16" s="174">
        <f t="shared" si="1"/>
        <v>0</v>
      </c>
      <c r="E16" s="423"/>
      <c r="F16" s="169"/>
      <c r="G16" s="175"/>
      <c r="H16" s="175"/>
      <c r="I16" s="175"/>
      <c r="J16" s="175"/>
      <c r="K16" s="184">
        <f t="shared" si="2"/>
        <v>0</v>
      </c>
      <c r="L16" s="184"/>
      <c r="M16" s="175"/>
      <c r="N16" s="172">
        <f t="shared" si="3"/>
        <v>0</v>
      </c>
      <c r="O16" s="172">
        <f t="shared" si="5"/>
        <v>-207454</v>
      </c>
    </row>
    <row r="17" spans="1:15" ht="19.5" customHeight="1" x14ac:dyDescent="0.25">
      <c r="A17" s="110">
        <f t="shared" si="4"/>
        <v>44114</v>
      </c>
      <c r="B17" s="174">
        <f>+C17/569</f>
        <v>0</v>
      </c>
      <c r="C17" s="175"/>
      <c r="D17" s="174">
        <f>+E17/520</f>
        <v>0</v>
      </c>
      <c r="E17" s="423"/>
      <c r="F17" s="169"/>
      <c r="G17" s="175"/>
      <c r="H17" s="175"/>
      <c r="I17" s="175"/>
      <c r="J17" s="175"/>
      <c r="K17" s="184">
        <f t="shared" si="2"/>
        <v>0</v>
      </c>
      <c r="L17" s="184"/>
      <c r="M17" s="175"/>
      <c r="N17" s="172">
        <f t="shared" si="3"/>
        <v>0</v>
      </c>
      <c r="O17" s="172">
        <f t="shared" si="5"/>
        <v>-207454</v>
      </c>
    </row>
    <row r="18" spans="1:15" ht="19.5" customHeight="1" x14ac:dyDescent="0.25">
      <c r="A18" s="110">
        <f t="shared" si="4"/>
        <v>44115</v>
      </c>
      <c r="B18" s="174">
        <f t="shared" ref="B18:B38" si="6">+C18/569</f>
        <v>0</v>
      </c>
      <c r="C18" s="175"/>
      <c r="D18" s="174">
        <f t="shared" si="1"/>
        <v>0</v>
      </c>
      <c r="E18" s="423"/>
      <c r="F18" s="169"/>
      <c r="G18" s="175"/>
      <c r="H18" s="175"/>
      <c r="I18" s="175"/>
      <c r="J18" s="175"/>
      <c r="K18" s="184">
        <f>C18+E18+G18+H18+I18+J18</f>
        <v>0</v>
      </c>
      <c r="L18" s="184"/>
      <c r="M18" s="175"/>
      <c r="N18" s="172">
        <f t="shared" si="3"/>
        <v>0</v>
      </c>
      <c r="O18" s="172">
        <f>+O17+K18-M18</f>
        <v>-207454</v>
      </c>
    </row>
    <row r="19" spans="1:15" ht="19.5" x14ac:dyDescent="0.25">
      <c r="A19" s="110">
        <f t="shared" si="4"/>
        <v>44116</v>
      </c>
      <c r="B19" s="174">
        <f t="shared" si="6"/>
        <v>0</v>
      </c>
      <c r="C19" s="175"/>
      <c r="D19" s="174">
        <f t="shared" si="1"/>
        <v>0</v>
      </c>
      <c r="E19" s="423"/>
      <c r="F19" s="169"/>
      <c r="G19" s="175"/>
      <c r="H19" s="175"/>
      <c r="I19" s="175"/>
      <c r="J19" s="175"/>
      <c r="K19" s="184">
        <f t="shared" si="2"/>
        <v>0</v>
      </c>
      <c r="L19" s="184"/>
      <c r="M19" s="175"/>
      <c r="N19" s="172">
        <f t="shared" si="3"/>
        <v>0</v>
      </c>
      <c r="O19" s="172">
        <f t="shared" si="5"/>
        <v>-207454</v>
      </c>
    </row>
    <row r="20" spans="1:15" ht="19.5" x14ac:dyDescent="0.25">
      <c r="A20" s="110">
        <f t="shared" si="4"/>
        <v>44117</v>
      </c>
      <c r="B20" s="174">
        <f t="shared" si="6"/>
        <v>0</v>
      </c>
      <c r="C20" s="175"/>
      <c r="D20" s="174">
        <f t="shared" si="1"/>
        <v>0</v>
      </c>
      <c r="E20" s="423"/>
      <c r="F20" s="169"/>
      <c r="G20" s="175"/>
      <c r="H20" s="175"/>
      <c r="I20" s="175"/>
      <c r="J20" s="175"/>
      <c r="K20" s="184">
        <f t="shared" si="2"/>
        <v>0</v>
      </c>
      <c r="L20" s="184"/>
      <c r="M20" s="175"/>
      <c r="N20" s="172">
        <f t="shared" si="3"/>
        <v>0</v>
      </c>
      <c r="O20" s="172">
        <f t="shared" si="5"/>
        <v>-207454</v>
      </c>
    </row>
    <row r="21" spans="1:15" ht="19.5" x14ac:dyDescent="0.25">
      <c r="A21" s="110">
        <f t="shared" si="4"/>
        <v>44118</v>
      </c>
      <c r="B21" s="174">
        <f t="shared" si="6"/>
        <v>0</v>
      </c>
      <c r="C21" s="175"/>
      <c r="D21" s="174">
        <f t="shared" si="1"/>
        <v>0</v>
      </c>
      <c r="E21" s="423"/>
      <c r="F21" s="169"/>
      <c r="G21" s="175"/>
      <c r="H21" s="175"/>
      <c r="I21" s="175"/>
      <c r="J21" s="175"/>
      <c r="K21" s="184">
        <f t="shared" si="2"/>
        <v>0</v>
      </c>
      <c r="L21" s="184"/>
      <c r="M21" s="175"/>
      <c r="N21" s="172">
        <f t="shared" si="3"/>
        <v>0</v>
      </c>
      <c r="O21" s="172">
        <f t="shared" si="5"/>
        <v>-207454</v>
      </c>
    </row>
    <row r="22" spans="1:15" ht="19.5" x14ac:dyDescent="0.25">
      <c r="A22" s="110">
        <f t="shared" si="4"/>
        <v>44119</v>
      </c>
      <c r="B22" s="174">
        <f t="shared" si="6"/>
        <v>0</v>
      </c>
      <c r="C22" s="175"/>
      <c r="D22" s="174">
        <f t="shared" si="1"/>
        <v>0</v>
      </c>
      <c r="E22" s="423"/>
      <c r="F22" s="174"/>
      <c r="G22" s="175"/>
      <c r="H22" s="175"/>
      <c r="I22" s="175"/>
      <c r="J22" s="175"/>
      <c r="K22" s="184">
        <f t="shared" si="2"/>
        <v>0</v>
      </c>
      <c r="L22" s="184"/>
      <c r="M22" s="175"/>
      <c r="N22" s="172">
        <f t="shared" si="3"/>
        <v>0</v>
      </c>
      <c r="O22" s="172">
        <f t="shared" si="5"/>
        <v>-207454</v>
      </c>
    </row>
    <row r="23" spans="1:15" ht="13.5" customHeight="1" x14ac:dyDescent="0.25">
      <c r="A23" s="110">
        <f t="shared" si="4"/>
        <v>44120</v>
      </c>
      <c r="B23" s="174">
        <f t="shared" si="6"/>
        <v>0</v>
      </c>
      <c r="C23" s="175"/>
      <c r="D23" s="174">
        <f t="shared" si="1"/>
        <v>0</v>
      </c>
      <c r="E23" s="423"/>
      <c r="F23" s="174"/>
      <c r="G23" s="175"/>
      <c r="H23" s="175"/>
      <c r="I23" s="175"/>
      <c r="J23" s="175"/>
      <c r="K23" s="184">
        <f t="shared" si="2"/>
        <v>0</v>
      </c>
      <c r="L23" s="184"/>
      <c r="M23" s="172"/>
      <c r="N23" s="172">
        <f t="shared" si="3"/>
        <v>0</v>
      </c>
      <c r="O23" s="172">
        <f t="shared" si="5"/>
        <v>-207454</v>
      </c>
    </row>
    <row r="24" spans="1:15" ht="19.5" x14ac:dyDescent="0.25">
      <c r="A24" s="110">
        <f t="shared" si="4"/>
        <v>44121</v>
      </c>
      <c r="B24" s="174">
        <f t="shared" si="6"/>
        <v>0</v>
      </c>
      <c r="C24" s="175"/>
      <c r="D24" s="174">
        <f t="shared" si="1"/>
        <v>0</v>
      </c>
      <c r="E24" s="423"/>
      <c r="F24" s="174"/>
      <c r="G24" s="175"/>
      <c r="H24" s="175"/>
      <c r="I24" s="175"/>
      <c r="J24" s="175"/>
      <c r="K24" s="184">
        <f t="shared" si="2"/>
        <v>0</v>
      </c>
      <c r="L24" s="184"/>
      <c r="M24" s="172"/>
      <c r="N24" s="172">
        <f t="shared" si="3"/>
        <v>0</v>
      </c>
      <c r="O24" s="172">
        <f t="shared" si="5"/>
        <v>-207454</v>
      </c>
    </row>
    <row r="25" spans="1:15" ht="19.5" x14ac:dyDescent="0.25">
      <c r="A25" s="110">
        <f t="shared" si="4"/>
        <v>44122</v>
      </c>
      <c r="B25" s="174">
        <f t="shared" si="6"/>
        <v>0</v>
      </c>
      <c r="C25" s="175"/>
      <c r="D25" s="174">
        <f t="shared" si="1"/>
        <v>0</v>
      </c>
      <c r="E25" s="423"/>
      <c r="F25" s="174"/>
      <c r="G25" s="175"/>
      <c r="H25" s="175"/>
      <c r="I25" s="175"/>
      <c r="J25" s="175"/>
      <c r="K25" s="184">
        <f t="shared" si="2"/>
        <v>0</v>
      </c>
      <c r="L25" s="184"/>
      <c r="M25" s="172"/>
      <c r="N25" s="172">
        <f t="shared" si="3"/>
        <v>0</v>
      </c>
      <c r="O25" s="172">
        <f t="shared" si="5"/>
        <v>-207454</v>
      </c>
    </row>
    <row r="26" spans="1:15" ht="19.5" x14ac:dyDescent="0.25">
      <c r="A26" s="110">
        <f t="shared" si="4"/>
        <v>44123</v>
      </c>
      <c r="B26" s="174">
        <f t="shared" si="6"/>
        <v>0</v>
      </c>
      <c r="C26" s="175"/>
      <c r="D26" s="174">
        <f t="shared" si="1"/>
        <v>0</v>
      </c>
      <c r="E26" s="423"/>
      <c r="F26" s="174"/>
      <c r="G26" s="175"/>
      <c r="H26" s="175"/>
      <c r="I26" s="175"/>
      <c r="J26" s="175"/>
      <c r="K26" s="184">
        <f t="shared" si="2"/>
        <v>0</v>
      </c>
      <c r="L26" s="184"/>
      <c r="M26" s="172"/>
      <c r="N26" s="172">
        <f t="shared" si="3"/>
        <v>0</v>
      </c>
      <c r="O26" s="172">
        <f t="shared" si="5"/>
        <v>-207454</v>
      </c>
    </row>
    <row r="27" spans="1:15" ht="19.5" x14ac:dyDescent="0.25">
      <c r="A27" s="110">
        <f t="shared" si="4"/>
        <v>44124</v>
      </c>
      <c r="B27" s="174">
        <f t="shared" si="6"/>
        <v>0</v>
      </c>
      <c r="C27" s="175"/>
      <c r="D27" s="174">
        <f t="shared" si="1"/>
        <v>0</v>
      </c>
      <c r="E27" s="423"/>
      <c r="F27" s="174"/>
      <c r="G27" s="175"/>
      <c r="H27" s="175"/>
      <c r="I27" s="175"/>
      <c r="J27" s="175"/>
      <c r="K27" s="184">
        <f t="shared" si="2"/>
        <v>0</v>
      </c>
      <c r="L27" s="184"/>
      <c r="M27" s="172"/>
      <c r="N27" s="172">
        <f t="shared" si="3"/>
        <v>0</v>
      </c>
      <c r="O27" s="172">
        <f t="shared" si="5"/>
        <v>-207454</v>
      </c>
    </row>
    <row r="28" spans="1:15" ht="19.5" x14ac:dyDescent="0.25">
      <c r="A28" s="110">
        <f t="shared" si="4"/>
        <v>44125</v>
      </c>
      <c r="B28" s="174">
        <f t="shared" si="6"/>
        <v>0</v>
      </c>
      <c r="C28" s="175"/>
      <c r="D28" s="174">
        <f t="shared" si="1"/>
        <v>0</v>
      </c>
      <c r="E28" s="423"/>
      <c r="F28" s="174"/>
      <c r="G28" s="175"/>
      <c r="H28" s="175"/>
      <c r="I28" s="175"/>
      <c r="J28" s="175"/>
      <c r="K28" s="184">
        <f t="shared" si="2"/>
        <v>0</v>
      </c>
      <c r="L28" s="184"/>
      <c r="M28" s="172"/>
      <c r="N28" s="172">
        <f t="shared" si="3"/>
        <v>0</v>
      </c>
      <c r="O28" s="172">
        <f t="shared" si="5"/>
        <v>-207454</v>
      </c>
    </row>
    <row r="29" spans="1:15" ht="13.5" customHeight="1" x14ac:dyDescent="0.25">
      <c r="A29" s="110">
        <f t="shared" si="4"/>
        <v>44126</v>
      </c>
      <c r="B29" s="174">
        <f t="shared" si="6"/>
        <v>0</v>
      </c>
      <c r="C29" s="175"/>
      <c r="D29" s="174">
        <f t="shared" si="1"/>
        <v>0</v>
      </c>
      <c r="E29" s="175"/>
      <c r="F29" s="174"/>
      <c r="G29" s="175"/>
      <c r="H29" s="175"/>
      <c r="I29" s="175"/>
      <c r="J29" s="175"/>
      <c r="K29" s="184">
        <f t="shared" si="2"/>
        <v>0</v>
      </c>
      <c r="L29" s="184"/>
      <c r="M29" s="172"/>
      <c r="N29" s="172">
        <f t="shared" si="3"/>
        <v>0</v>
      </c>
      <c r="O29" s="172">
        <f t="shared" si="5"/>
        <v>-207454</v>
      </c>
    </row>
    <row r="30" spans="1:15" ht="13.5" customHeight="1" x14ac:dyDescent="0.25">
      <c r="A30" s="110">
        <f t="shared" si="4"/>
        <v>44127</v>
      </c>
      <c r="B30" s="174">
        <f t="shared" si="6"/>
        <v>0</v>
      </c>
      <c r="C30" s="175"/>
      <c r="D30" s="174">
        <f t="shared" si="1"/>
        <v>0</v>
      </c>
      <c r="E30" s="175"/>
      <c r="F30" s="174"/>
      <c r="G30" s="175"/>
      <c r="H30" s="175"/>
      <c r="I30" s="175"/>
      <c r="J30" s="175"/>
      <c r="K30" s="184">
        <f t="shared" si="2"/>
        <v>0</v>
      </c>
      <c r="L30" s="184"/>
      <c r="M30" s="172"/>
      <c r="N30" s="172">
        <f t="shared" si="3"/>
        <v>0</v>
      </c>
      <c r="O30" s="172">
        <f t="shared" si="5"/>
        <v>-207454</v>
      </c>
    </row>
    <row r="31" spans="1:15" ht="13.5" customHeight="1" x14ac:dyDescent="0.25">
      <c r="A31" s="110">
        <f t="shared" si="4"/>
        <v>44128</v>
      </c>
      <c r="B31" s="174">
        <f t="shared" si="6"/>
        <v>0</v>
      </c>
      <c r="C31" s="172"/>
      <c r="D31" s="174">
        <f t="shared" si="1"/>
        <v>0</v>
      </c>
      <c r="E31" s="175"/>
      <c r="F31" s="169"/>
      <c r="G31" s="172"/>
      <c r="H31" s="172"/>
      <c r="I31" s="172"/>
      <c r="J31" s="172"/>
      <c r="K31" s="173">
        <f t="shared" si="2"/>
        <v>0</v>
      </c>
      <c r="L31" s="173"/>
      <c r="M31" s="172"/>
      <c r="N31" s="172">
        <f t="shared" si="3"/>
        <v>0</v>
      </c>
      <c r="O31" s="172">
        <f t="shared" si="5"/>
        <v>-207454</v>
      </c>
    </row>
    <row r="32" spans="1:15" ht="13.5" customHeight="1" x14ac:dyDescent="0.25">
      <c r="A32" s="110">
        <f t="shared" si="4"/>
        <v>44129</v>
      </c>
      <c r="B32" s="174">
        <f t="shared" si="6"/>
        <v>0</v>
      </c>
      <c r="C32" s="172"/>
      <c r="D32" s="174">
        <f t="shared" si="1"/>
        <v>0</v>
      </c>
      <c r="E32" s="175"/>
      <c r="F32" s="169"/>
      <c r="G32" s="172"/>
      <c r="H32" s="172"/>
      <c r="I32" s="172"/>
      <c r="J32" s="172"/>
      <c r="K32" s="173">
        <f t="shared" si="2"/>
        <v>0</v>
      </c>
      <c r="L32" s="173"/>
      <c r="M32" s="172"/>
      <c r="N32" s="172">
        <f t="shared" si="3"/>
        <v>0</v>
      </c>
      <c r="O32" s="172">
        <f t="shared" si="5"/>
        <v>-207454</v>
      </c>
    </row>
    <row r="33" spans="1:15" ht="19.5" x14ac:dyDescent="0.25">
      <c r="A33" s="110">
        <f t="shared" si="4"/>
        <v>44130</v>
      </c>
      <c r="B33" s="174">
        <f t="shared" si="6"/>
        <v>0</v>
      </c>
      <c r="C33" s="172"/>
      <c r="D33" s="174">
        <f t="shared" si="1"/>
        <v>0</v>
      </c>
      <c r="E33" s="175"/>
      <c r="F33" s="169"/>
      <c r="G33" s="172"/>
      <c r="H33" s="172"/>
      <c r="I33" s="172"/>
      <c r="J33" s="172"/>
      <c r="K33" s="173">
        <f t="shared" si="2"/>
        <v>0</v>
      </c>
      <c r="L33" s="173"/>
      <c r="M33" s="172"/>
      <c r="N33" s="172">
        <f t="shared" si="3"/>
        <v>0</v>
      </c>
      <c r="O33" s="172">
        <f t="shared" si="5"/>
        <v>-207454</v>
      </c>
    </row>
    <row r="34" spans="1:15" ht="19.5" x14ac:dyDescent="0.25">
      <c r="A34" s="110">
        <f t="shared" si="4"/>
        <v>44131</v>
      </c>
      <c r="B34" s="174">
        <f t="shared" si="6"/>
        <v>0</v>
      </c>
      <c r="C34" s="172"/>
      <c r="D34" s="174">
        <f t="shared" si="1"/>
        <v>0</v>
      </c>
      <c r="E34" s="175"/>
      <c r="F34" s="169"/>
      <c r="G34" s="172"/>
      <c r="H34" s="172"/>
      <c r="I34" s="172"/>
      <c r="J34" s="172"/>
      <c r="K34" s="173">
        <f t="shared" si="2"/>
        <v>0</v>
      </c>
      <c r="L34" s="173"/>
      <c r="M34" s="172"/>
      <c r="N34" s="172">
        <f t="shared" si="3"/>
        <v>0</v>
      </c>
      <c r="O34" s="172">
        <f t="shared" si="5"/>
        <v>-207454</v>
      </c>
    </row>
    <row r="35" spans="1:15" ht="19.5" x14ac:dyDescent="0.25">
      <c r="A35" s="110">
        <f t="shared" si="4"/>
        <v>44132</v>
      </c>
      <c r="B35" s="174">
        <f t="shared" si="6"/>
        <v>0</v>
      </c>
      <c r="C35" s="172"/>
      <c r="D35" s="174">
        <f t="shared" si="1"/>
        <v>0</v>
      </c>
      <c r="E35" s="175"/>
      <c r="F35" s="169"/>
      <c r="G35" s="172"/>
      <c r="H35" s="172"/>
      <c r="I35" s="172"/>
      <c r="J35" s="172"/>
      <c r="K35" s="173">
        <f t="shared" si="2"/>
        <v>0</v>
      </c>
      <c r="L35" s="173"/>
      <c r="M35" s="172"/>
      <c r="N35" s="172">
        <f t="shared" si="3"/>
        <v>0</v>
      </c>
      <c r="O35" s="172">
        <f t="shared" si="5"/>
        <v>-207454</v>
      </c>
    </row>
    <row r="36" spans="1:15" ht="19.5" x14ac:dyDescent="0.25">
      <c r="A36" s="110">
        <f t="shared" si="4"/>
        <v>44133</v>
      </c>
      <c r="B36" s="174">
        <f t="shared" si="6"/>
        <v>0</v>
      </c>
      <c r="C36" s="172"/>
      <c r="D36" s="174">
        <f t="shared" si="1"/>
        <v>0</v>
      </c>
      <c r="E36" s="175"/>
      <c r="F36" s="169"/>
      <c r="G36" s="172"/>
      <c r="H36" s="172"/>
      <c r="I36" s="172"/>
      <c r="J36" s="172"/>
      <c r="K36" s="173">
        <f t="shared" si="2"/>
        <v>0</v>
      </c>
      <c r="L36" s="173"/>
      <c r="M36" s="172"/>
      <c r="N36" s="172">
        <f t="shared" si="3"/>
        <v>0</v>
      </c>
      <c r="O36" s="172">
        <f t="shared" si="5"/>
        <v>-207454</v>
      </c>
    </row>
    <row r="37" spans="1:15" ht="19.5" x14ac:dyDescent="0.25">
      <c r="A37" s="110">
        <f t="shared" si="4"/>
        <v>44134</v>
      </c>
      <c r="B37" s="174">
        <f t="shared" si="6"/>
        <v>0</v>
      </c>
      <c r="C37" s="172"/>
      <c r="D37" s="174">
        <f t="shared" si="1"/>
        <v>0</v>
      </c>
      <c r="E37" s="175"/>
      <c r="F37" s="169"/>
      <c r="G37" s="172"/>
      <c r="H37" s="172"/>
      <c r="I37" s="172"/>
      <c r="J37" s="172"/>
      <c r="K37" s="173">
        <f t="shared" si="2"/>
        <v>0</v>
      </c>
      <c r="L37" s="173"/>
      <c r="M37" s="172"/>
      <c r="N37" s="172">
        <f t="shared" si="3"/>
        <v>0</v>
      </c>
      <c r="O37" s="172">
        <f>+O36+K37-M37</f>
        <v>-207454</v>
      </c>
    </row>
    <row r="38" spans="1:15" ht="19.5" x14ac:dyDescent="0.25">
      <c r="A38" s="110">
        <f t="shared" si="4"/>
        <v>44135</v>
      </c>
      <c r="B38" s="174">
        <f t="shared" si="6"/>
        <v>0</v>
      </c>
      <c r="C38" s="172"/>
      <c r="D38" s="174">
        <f t="shared" si="1"/>
        <v>0</v>
      </c>
      <c r="E38" s="175"/>
      <c r="F38" s="169"/>
      <c r="G38" s="172"/>
      <c r="H38" s="172"/>
      <c r="I38" s="172"/>
      <c r="J38" s="172"/>
      <c r="K38" s="173">
        <f t="shared" si="2"/>
        <v>0</v>
      </c>
      <c r="L38" s="173"/>
      <c r="M38" s="172"/>
      <c r="N38" s="172">
        <f t="shared" si="3"/>
        <v>0</v>
      </c>
      <c r="O38" s="177">
        <f>+O37+K38-M38</f>
        <v>-207454</v>
      </c>
    </row>
    <row r="39" spans="1:15" ht="19.5" x14ac:dyDescent="0.25">
      <c r="A39" s="178" t="s">
        <v>18</v>
      </c>
      <c r="B39" s="185">
        <f>SUM(B7:B38)</f>
        <v>0</v>
      </c>
      <c r="C39" s="173">
        <f>SUM(C7:C38)</f>
        <v>0</v>
      </c>
      <c r="D39" s="179">
        <f t="shared" ref="D39:K39" si="7">SUM(D7:D38)</f>
        <v>0</v>
      </c>
      <c r="E39" s="173">
        <f t="shared" si="7"/>
        <v>0</v>
      </c>
      <c r="F39" s="173">
        <f t="shared" si="7"/>
        <v>0</v>
      </c>
      <c r="G39" s="173">
        <f t="shared" si="7"/>
        <v>0</v>
      </c>
      <c r="H39" s="173">
        <f t="shared" si="7"/>
        <v>0</v>
      </c>
      <c r="I39" s="173">
        <f t="shared" si="7"/>
        <v>0</v>
      </c>
      <c r="J39" s="173">
        <f t="shared" si="7"/>
        <v>0</v>
      </c>
      <c r="K39" s="173">
        <f t="shared" si="7"/>
        <v>0</v>
      </c>
      <c r="L39" s="173"/>
      <c r="M39" s="173">
        <f>SUM(M7:M38)</f>
        <v>0</v>
      </c>
      <c r="N39" s="177">
        <f>SUM(N7:N38)</f>
        <v>-207454</v>
      </c>
      <c r="O39" s="180"/>
    </row>
    <row r="41" spans="1:15" x14ac:dyDescent="0.25">
      <c r="D41" s="38">
        <f>800*650</f>
        <v>520000</v>
      </c>
    </row>
  </sheetData>
  <mergeCells count="9">
    <mergeCell ref="A5:A6"/>
    <mergeCell ref="O5:O6"/>
    <mergeCell ref="H5:H6"/>
    <mergeCell ref="I5:I6"/>
    <mergeCell ref="J5:J6"/>
    <mergeCell ref="K5:K6"/>
    <mergeCell ref="M5:M6"/>
    <mergeCell ref="N5:N6"/>
    <mergeCell ref="L5:L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5">
    <tabColor rgb="FFFF0000"/>
    <pageSetUpPr fitToPage="1"/>
  </sheetPr>
  <dimension ref="A1:N39"/>
  <sheetViews>
    <sheetView zoomScaleNormal="100" workbookViewId="0">
      <selection activeCell="B3" sqref="B3"/>
    </sheetView>
  </sheetViews>
  <sheetFormatPr baseColWidth="10" defaultRowHeight="18" x14ac:dyDescent="0.25"/>
  <cols>
    <col min="1" max="1" width="11.42578125" style="38"/>
    <col min="2" max="2" width="12.42578125" style="38" bestFit="1" customWidth="1"/>
    <col min="3" max="3" width="13.7109375" style="38" bestFit="1" customWidth="1"/>
    <col min="4" max="4" width="12.28515625" style="38" bestFit="1" customWidth="1"/>
    <col min="5" max="5" width="13.85546875" style="38" bestFit="1" customWidth="1"/>
    <col min="6" max="10" width="11.5703125" style="38" bestFit="1" customWidth="1"/>
    <col min="11" max="11" width="13.85546875" style="38" customWidth="1"/>
    <col min="12" max="12" width="15.28515625" style="38" customWidth="1"/>
    <col min="13" max="13" width="13.85546875" style="38" bestFit="1" customWidth="1"/>
    <col min="14" max="14" width="18.42578125" style="38" bestFit="1" customWidth="1"/>
    <col min="15" max="16384" width="11.42578125" style="38"/>
  </cols>
  <sheetData>
    <row r="1" spans="1:14" ht="18.75" x14ac:dyDescent="0.3">
      <c r="A1" s="36" t="s">
        <v>118</v>
      </c>
      <c r="B1" s="36"/>
      <c r="C1" s="38" t="s">
        <v>252</v>
      </c>
    </row>
    <row r="2" spans="1:14" ht="13.5" customHeight="1" x14ac:dyDescent="0.35">
      <c r="C2" s="159"/>
      <c r="K2" s="148"/>
    </row>
    <row r="3" spans="1:14" ht="16.5" customHeight="1" x14ac:dyDescent="0.3">
      <c r="A3" s="36" t="s">
        <v>19</v>
      </c>
      <c r="B3" s="142">
        <v>44075</v>
      </c>
      <c r="C3" s="36"/>
      <c r="M3" s="37"/>
    </row>
    <row r="4" spans="1:14" ht="13.5" customHeight="1" x14ac:dyDescent="0.3">
      <c r="A4" s="36"/>
      <c r="B4" s="36"/>
      <c r="C4" s="36"/>
    </row>
    <row r="5" spans="1:14" ht="13.5" customHeight="1" x14ac:dyDescent="0.25">
      <c r="A5" s="160" t="s">
        <v>3</v>
      </c>
      <c r="B5" s="161" t="s">
        <v>15</v>
      </c>
      <c r="C5" s="162"/>
      <c r="D5" s="161" t="s">
        <v>16</v>
      </c>
      <c r="E5" s="162"/>
      <c r="F5" s="161" t="s">
        <v>17</v>
      </c>
      <c r="G5" s="162"/>
      <c r="H5" s="2901" t="s">
        <v>52</v>
      </c>
      <c r="I5" s="2901" t="s">
        <v>53</v>
      </c>
      <c r="J5" s="2901" t="s">
        <v>119</v>
      </c>
      <c r="K5" s="2901" t="s">
        <v>18</v>
      </c>
      <c r="L5" s="2901" t="s">
        <v>60</v>
      </c>
      <c r="M5" s="2901" t="s">
        <v>55</v>
      </c>
      <c r="N5" s="2901" t="s">
        <v>120</v>
      </c>
    </row>
    <row r="6" spans="1:14" ht="21" x14ac:dyDescent="0.25">
      <c r="A6" s="163"/>
      <c r="B6" s="915">
        <v>650</v>
      </c>
      <c r="C6" s="916"/>
      <c r="D6" s="915">
        <v>600</v>
      </c>
      <c r="E6" s="916"/>
      <c r="F6" s="915">
        <v>350</v>
      </c>
      <c r="G6" s="916"/>
      <c r="H6" s="3070"/>
      <c r="I6" s="3070"/>
      <c r="J6" s="2902"/>
      <c r="K6" s="2902"/>
      <c r="L6" s="2902"/>
      <c r="M6" s="2902"/>
      <c r="N6" s="2902"/>
    </row>
    <row r="7" spans="1:14" ht="19.5" x14ac:dyDescent="0.35">
      <c r="A7" s="165"/>
      <c r="B7" s="166" t="s">
        <v>56</v>
      </c>
      <c r="C7" s="166" t="s">
        <v>37</v>
      </c>
      <c r="D7" s="167" t="s">
        <v>56</v>
      </c>
      <c r="E7" s="166" t="s">
        <v>37</v>
      </c>
      <c r="F7" s="166" t="s">
        <v>56</v>
      </c>
      <c r="G7" s="166" t="s">
        <v>37</v>
      </c>
      <c r="H7" s="348"/>
      <c r="I7" s="348"/>
      <c r="J7" s="181"/>
      <c r="K7" s="181"/>
      <c r="L7" s="182"/>
      <c r="M7" s="183"/>
      <c r="N7" s="168">
        <f>M7</f>
        <v>0</v>
      </c>
    </row>
    <row r="8" spans="1:14" ht="19.5" x14ac:dyDescent="0.35">
      <c r="A8" s="110">
        <f>+SOFOCAM!A9</f>
        <v>44105</v>
      </c>
      <c r="B8" s="174">
        <f t="shared" ref="B8:B16" si="0">+C8/569</f>
        <v>0</v>
      </c>
      <c r="C8" s="170"/>
      <c r="D8" s="175">
        <f t="shared" ref="D8:D38" si="1">+E8/520</f>
        <v>0</v>
      </c>
      <c r="E8" s="171"/>
      <c r="F8" s="169"/>
      <c r="G8" s="172"/>
      <c r="H8" s="172"/>
      <c r="I8" s="172"/>
      <c r="J8" s="172"/>
      <c r="K8" s="115">
        <f t="shared" ref="K8:K38" si="2">C8+E8+G8+H8+I8+J8</f>
        <v>0</v>
      </c>
      <c r="L8" s="171"/>
      <c r="M8" s="172">
        <f>K8-L8</f>
        <v>0</v>
      </c>
      <c r="N8" s="172">
        <f>+N7+K8-L8</f>
        <v>0</v>
      </c>
    </row>
    <row r="9" spans="1:14" ht="13.5" customHeight="1" x14ac:dyDescent="0.35">
      <c r="A9" s="110">
        <f>+A8+1</f>
        <v>44106</v>
      </c>
      <c r="B9" s="174">
        <f t="shared" si="0"/>
        <v>0</v>
      </c>
      <c r="C9" s="170"/>
      <c r="D9" s="174">
        <f t="shared" si="1"/>
        <v>0</v>
      </c>
      <c r="E9" s="171"/>
      <c r="F9" s="169"/>
      <c r="G9" s="172"/>
      <c r="H9" s="172"/>
      <c r="I9" s="172"/>
      <c r="J9" s="172"/>
      <c r="K9" s="115">
        <f t="shared" si="2"/>
        <v>0</v>
      </c>
      <c r="L9" s="147"/>
      <c r="M9" s="172">
        <f t="shared" ref="M9:M38" si="3">K9-L9</f>
        <v>0</v>
      </c>
      <c r="N9" s="172">
        <f t="shared" ref="N9:N36" si="4">+N8+K9-L9</f>
        <v>0</v>
      </c>
    </row>
    <row r="10" spans="1:14" ht="13.5" customHeight="1" x14ac:dyDescent="0.35">
      <c r="A10" s="110">
        <f t="shared" ref="A10:A38" si="5">+A9+1</f>
        <v>44107</v>
      </c>
      <c r="B10" s="174">
        <f t="shared" si="0"/>
        <v>0</v>
      </c>
      <c r="C10" s="171"/>
      <c r="D10" s="174">
        <f t="shared" si="1"/>
        <v>0</v>
      </c>
      <c r="E10" s="171"/>
      <c r="F10" s="169"/>
      <c r="G10" s="172"/>
      <c r="H10" s="172"/>
      <c r="I10" s="172"/>
      <c r="J10" s="172"/>
      <c r="K10" s="115">
        <f t="shared" si="2"/>
        <v>0</v>
      </c>
      <c r="L10" s="147"/>
      <c r="M10" s="172">
        <f t="shared" si="3"/>
        <v>0</v>
      </c>
      <c r="N10" s="172">
        <f t="shared" si="4"/>
        <v>0</v>
      </c>
    </row>
    <row r="11" spans="1:14" ht="13.5" customHeight="1" x14ac:dyDescent="0.35">
      <c r="A11" s="110">
        <f t="shared" si="5"/>
        <v>44108</v>
      </c>
      <c r="B11" s="174">
        <f t="shared" si="0"/>
        <v>0</v>
      </c>
      <c r="C11" s="171"/>
      <c r="D11" s="174">
        <f t="shared" si="1"/>
        <v>0</v>
      </c>
      <c r="E11" s="171"/>
      <c r="F11" s="169"/>
      <c r="G11" s="172"/>
      <c r="H11" s="172"/>
      <c r="I11" s="172"/>
      <c r="J11" s="172"/>
      <c r="K11" s="115">
        <f t="shared" si="2"/>
        <v>0</v>
      </c>
      <c r="L11" s="147"/>
      <c r="M11" s="172">
        <f t="shared" si="3"/>
        <v>0</v>
      </c>
      <c r="N11" s="172">
        <f t="shared" si="4"/>
        <v>0</v>
      </c>
    </row>
    <row r="12" spans="1:14" ht="13.5" customHeight="1" x14ac:dyDescent="0.35">
      <c r="A12" s="110">
        <f t="shared" si="5"/>
        <v>44109</v>
      </c>
      <c r="B12" s="174">
        <f t="shared" si="0"/>
        <v>0</v>
      </c>
      <c r="C12" s="219">
        <v>0</v>
      </c>
      <c r="D12" s="174">
        <f t="shared" si="1"/>
        <v>0</v>
      </c>
      <c r="E12" s="171"/>
      <c r="F12" s="169"/>
      <c r="G12" s="172"/>
      <c r="H12" s="172"/>
      <c r="I12" s="172"/>
      <c r="J12" s="172"/>
      <c r="K12" s="115">
        <f t="shared" si="2"/>
        <v>0</v>
      </c>
      <c r="L12" s="147"/>
      <c r="M12" s="172">
        <f t="shared" si="3"/>
        <v>0</v>
      </c>
      <c r="N12" s="172">
        <f t="shared" si="4"/>
        <v>0</v>
      </c>
    </row>
    <row r="13" spans="1:14" ht="15" customHeight="1" x14ac:dyDescent="0.35">
      <c r="A13" s="110">
        <f t="shared" si="5"/>
        <v>44110</v>
      </c>
      <c r="B13" s="174">
        <f t="shared" si="0"/>
        <v>0</v>
      </c>
      <c r="C13" s="170"/>
      <c r="D13" s="174">
        <f t="shared" si="1"/>
        <v>0</v>
      </c>
      <c r="E13" s="171"/>
      <c r="F13" s="169"/>
      <c r="G13" s="172"/>
      <c r="H13" s="172"/>
      <c r="I13" s="172"/>
      <c r="J13" s="172"/>
      <c r="K13" s="115">
        <f t="shared" si="2"/>
        <v>0</v>
      </c>
      <c r="L13" s="147"/>
      <c r="M13" s="172">
        <f t="shared" si="3"/>
        <v>0</v>
      </c>
      <c r="N13" s="172">
        <f t="shared" si="4"/>
        <v>0</v>
      </c>
    </row>
    <row r="14" spans="1:14" ht="13.5" customHeight="1" x14ac:dyDescent="0.35">
      <c r="A14" s="110">
        <f t="shared" si="5"/>
        <v>44111</v>
      </c>
      <c r="B14" s="174">
        <f t="shared" si="0"/>
        <v>0</v>
      </c>
      <c r="C14" s="171"/>
      <c r="D14" s="174">
        <f t="shared" si="1"/>
        <v>0</v>
      </c>
      <c r="E14" s="171"/>
      <c r="F14" s="169"/>
      <c r="G14" s="172"/>
      <c r="H14" s="172"/>
      <c r="I14" s="172"/>
      <c r="J14" s="172"/>
      <c r="K14" s="115">
        <f t="shared" si="2"/>
        <v>0</v>
      </c>
      <c r="L14" s="147"/>
      <c r="M14" s="172">
        <f t="shared" si="3"/>
        <v>0</v>
      </c>
      <c r="N14" s="172">
        <f t="shared" si="4"/>
        <v>0</v>
      </c>
    </row>
    <row r="15" spans="1:14" ht="13.5" customHeight="1" x14ac:dyDescent="0.35">
      <c r="A15" s="110">
        <f t="shared" si="5"/>
        <v>44112</v>
      </c>
      <c r="B15" s="174">
        <f t="shared" si="0"/>
        <v>0</v>
      </c>
      <c r="C15" s="171"/>
      <c r="D15" s="174">
        <f t="shared" si="1"/>
        <v>0</v>
      </c>
      <c r="E15" s="171"/>
      <c r="F15" s="169"/>
      <c r="G15" s="172"/>
      <c r="H15" s="172"/>
      <c r="I15" s="172"/>
      <c r="J15" s="172"/>
      <c r="K15" s="115">
        <f t="shared" si="2"/>
        <v>0</v>
      </c>
      <c r="L15" s="147"/>
      <c r="M15" s="172">
        <f t="shared" si="3"/>
        <v>0</v>
      </c>
      <c r="N15" s="172">
        <f t="shared" si="4"/>
        <v>0</v>
      </c>
    </row>
    <row r="16" spans="1:14" ht="13.5" customHeight="1" x14ac:dyDescent="0.35">
      <c r="A16" s="110">
        <f t="shared" si="5"/>
        <v>44113</v>
      </c>
      <c r="B16" s="174">
        <f t="shared" si="0"/>
        <v>0</v>
      </c>
      <c r="C16" s="147"/>
      <c r="D16" s="174">
        <f t="shared" si="1"/>
        <v>0</v>
      </c>
      <c r="E16" s="171"/>
      <c r="F16" s="169"/>
      <c r="G16" s="175"/>
      <c r="H16" s="175"/>
      <c r="I16" s="175"/>
      <c r="J16" s="175"/>
      <c r="K16" s="134">
        <f t="shared" si="2"/>
        <v>0</v>
      </c>
      <c r="L16" s="147"/>
      <c r="M16" s="172">
        <f t="shared" si="3"/>
        <v>0</v>
      </c>
      <c r="N16" s="172">
        <f t="shared" si="4"/>
        <v>0</v>
      </c>
    </row>
    <row r="17" spans="1:14" ht="13.5" customHeight="1" x14ac:dyDescent="0.35">
      <c r="A17" s="110">
        <f t="shared" si="5"/>
        <v>44114</v>
      </c>
      <c r="B17" s="174">
        <f>+C17/569</f>
        <v>0</v>
      </c>
      <c r="C17" s="147"/>
      <c r="D17" s="174">
        <f>+E17/520</f>
        <v>0</v>
      </c>
      <c r="E17" s="171"/>
      <c r="F17" s="169"/>
      <c r="G17" s="175"/>
      <c r="H17" s="175"/>
      <c r="I17" s="175"/>
      <c r="J17" s="175"/>
      <c r="K17" s="134">
        <f t="shared" si="2"/>
        <v>0</v>
      </c>
      <c r="L17" s="147"/>
      <c r="M17" s="172">
        <f t="shared" si="3"/>
        <v>0</v>
      </c>
      <c r="N17" s="172">
        <f t="shared" si="4"/>
        <v>0</v>
      </c>
    </row>
    <row r="18" spans="1:14" ht="13.5" customHeight="1" x14ac:dyDescent="0.35">
      <c r="A18" s="110">
        <f t="shared" si="5"/>
        <v>44115</v>
      </c>
      <c r="B18" s="174">
        <f t="shared" ref="B18:B38" si="6">+C18/569</f>
        <v>0</v>
      </c>
      <c r="C18" s="147"/>
      <c r="D18" s="174">
        <f t="shared" si="1"/>
        <v>0</v>
      </c>
      <c r="E18" s="171"/>
      <c r="F18" s="169"/>
      <c r="G18" s="175"/>
      <c r="H18" s="175"/>
      <c r="I18" s="175"/>
      <c r="J18" s="175"/>
      <c r="K18" s="134">
        <f>C18+E18+G18+H18+I18+J18</f>
        <v>0</v>
      </c>
      <c r="L18" s="147"/>
      <c r="M18" s="172">
        <f t="shared" si="3"/>
        <v>0</v>
      </c>
      <c r="N18" s="172">
        <f>+N17+K18-L18</f>
        <v>0</v>
      </c>
    </row>
    <row r="19" spans="1:14" ht="13.5" customHeight="1" x14ac:dyDescent="0.35">
      <c r="A19" s="110">
        <f t="shared" si="5"/>
        <v>44116</v>
      </c>
      <c r="B19" s="174">
        <f t="shared" si="6"/>
        <v>0</v>
      </c>
      <c r="C19" s="175"/>
      <c r="D19" s="174">
        <f t="shared" si="1"/>
        <v>0</v>
      </c>
      <c r="E19" s="171"/>
      <c r="F19" s="169"/>
      <c r="G19" s="175"/>
      <c r="H19" s="175"/>
      <c r="I19" s="175"/>
      <c r="J19" s="175"/>
      <c r="K19" s="134">
        <f t="shared" si="2"/>
        <v>0</v>
      </c>
      <c r="L19" s="147"/>
      <c r="M19" s="172">
        <f t="shared" si="3"/>
        <v>0</v>
      </c>
      <c r="N19" s="172">
        <f t="shared" si="4"/>
        <v>0</v>
      </c>
    </row>
    <row r="20" spans="1:14" ht="13.5" customHeight="1" x14ac:dyDescent="0.35">
      <c r="A20" s="110">
        <f t="shared" si="5"/>
        <v>44117</v>
      </c>
      <c r="B20" s="174">
        <f t="shared" si="6"/>
        <v>0</v>
      </c>
      <c r="C20" s="147"/>
      <c r="D20" s="174">
        <f t="shared" si="1"/>
        <v>0</v>
      </c>
      <c r="E20" s="171"/>
      <c r="F20" s="169"/>
      <c r="G20" s="175"/>
      <c r="H20" s="175"/>
      <c r="I20" s="175"/>
      <c r="J20" s="175"/>
      <c r="K20" s="134">
        <f t="shared" si="2"/>
        <v>0</v>
      </c>
      <c r="L20" s="147"/>
      <c r="M20" s="172">
        <f t="shared" si="3"/>
        <v>0</v>
      </c>
      <c r="N20" s="172">
        <f t="shared" si="4"/>
        <v>0</v>
      </c>
    </row>
    <row r="21" spans="1:14" ht="13.5" customHeight="1" x14ac:dyDescent="0.35">
      <c r="A21" s="110">
        <f t="shared" si="5"/>
        <v>44118</v>
      </c>
      <c r="B21" s="174">
        <f t="shared" si="6"/>
        <v>0</v>
      </c>
      <c r="C21" s="147"/>
      <c r="D21" s="174">
        <f t="shared" si="1"/>
        <v>0</v>
      </c>
      <c r="E21" s="171"/>
      <c r="F21" s="169"/>
      <c r="G21" s="175"/>
      <c r="H21" s="175"/>
      <c r="I21" s="175"/>
      <c r="J21" s="175"/>
      <c r="K21" s="134">
        <f t="shared" si="2"/>
        <v>0</v>
      </c>
      <c r="L21" s="147"/>
      <c r="M21" s="172">
        <f t="shared" si="3"/>
        <v>0</v>
      </c>
      <c r="N21" s="172">
        <f t="shared" si="4"/>
        <v>0</v>
      </c>
    </row>
    <row r="22" spans="1:14" ht="13.5" customHeight="1" x14ac:dyDescent="0.35">
      <c r="A22" s="110">
        <f t="shared" si="5"/>
        <v>44119</v>
      </c>
      <c r="B22" s="174">
        <f t="shared" si="6"/>
        <v>0</v>
      </c>
      <c r="C22" s="147"/>
      <c r="D22" s="174">
        <f t="shared" si="1"/>
        <v>0</v>
      </c>
      <c r="E22" s="171"/>
      <c r="F22" s="174"/>
      <c r="G22" s="175"/>
      <c r="H22" s="175"/>
      <c r="I22" s="175"/>
      <c r="J22" s="175"/>
      <c r="K22" s="134">
        <f t="shared" si="2"/>
        <v>0</v>
      </c>
      <c r="L22" s="147"/>
      <c r="M22" s="172">
        <f t="shared" si="3"/>
        <v>0</v>
      </c>
      <c r="N22" s="172">
        <f t="shared" si="4"/>
        <v>0</v>
      </c>
    </row>
    <row r="23" spans="1:14" ht="13.5" customHeight="1" x14ac:dyDescent="0.35">
      <c r="A23" s="110">
        <f t="shared" si="5"/>
        <v>44120</v>
      </c>
      <c r="B23" s="174">
        <f t="shared" si="6"/>
        <v>0</v>
      </c>
      <c r="C23" s="147"/>
      <c r="D23" s="174">
        <f t="shared" si="1"/>
        <v>0</v>
      </c>
      <c r="E23" s="171"/>
      <c r="F23" s="174"/>
      <c r="G23" s="175"/>
      <c r="H23" s="175"/>
      <c r="I23" s="175"/>
      <c r="J23" s="175"/>
      <c r="K23" s="134">
        <f t="shared" si="2"/>
        <v>0</v>
      </c>
      <c r="L23" s="171"/>
      <c r="M23" s="172">
        <f t="shared" si="3"/>
        <v>0</v>
      </c>
      <c r="N23" s="172">
        <f t="shared" si="4"/>
        <v>0</v>
      </c>
    </row>
    <row r="24" spans="1:14" ht="13.5" customHeight="1" x14ac:dyDescent="0.35">
      <c r="A24" s="110">
        <f t="shared" si="5"/>
        <v>44121</v>
      </c>
      <c r="B24" s="174">
        <f t="shared" si="6"/>
        <v>0</v>
      </c>
      <c r="C24" s="147"/>
      <c r="D24" s="174">
        <f t="shared" si="1"/>
        <v>0</v>
      </c>
      <c r="E24" s="171"/>
      <c r="F24" s="174"/>
      <c r="G24" s="175"/>
      <c r="H24" s="175"/>
      <c r="I24" s="175"/>
      <c r="J24" s="175"/>
      <c r="K24" s="134">
        <f t="shared" si="2"/>
        <v>0</v>
      </c>
      <c r="L24" s="171"/>
      <c r="M24" s="172">
        <f t="shared" si="3"/>
        <v>0</v>
      </c>
      <c r="N24" s="172">
        <f t="shared" si="4"/>
        <v>0</v>
      </c>
    </row>
    <row r="25" spans="1:14" ht="13.5" customHeight="1" x14ac:dyDescent="0.35">
      <c r="A25" s="110">
        <f t="shared" si="5"/>
        <v>44122</v>
      </c>
      <c r="B25" s="174">
        <f t="shared" si="6"/>
        <v>0</v>
      </c>
      <c r="C25" s="147"/>
      <c r="D25" s="174">
        <f t="shared" si="1"/>
        <v>0</v>
      </c>
      <c r="E25" s="171"/>
      <c r="F25" s="174"/>
      <c r="G25" s="175"/>
      <c r="H25" s="175"/>
      <c r="I25" s="175"/>
      <c r="J25" s="175"/>
      <c r="K25" s="134">
        <f t="shared" si="2"/>
        <v>0</v>
      </c>
      <c r="L25" s="172"/>
      <c r="M25" s="172"/>
      <c r="N25" s="172">
        <f t="shared" si="4"/>
        <v>0</v>
      </c>
    </row>
    <row r="26" spans="1:14" ht="13.5" customHeight="1" x14ac:dyDescent="0.35">
      <c r="A26" s="110">
        <f t="shared" si="5"/>
        <v>44123</v>
      </c>
      <c r="B26" s="174">
        <f t="shared" si="6"/>
        <v>0</v>
      </c>
      <c r="C26" s="147"/>
      <c r="D26" s="174">
        <f t="shared" si="1"/>
        <v>0</v>
      </c>
      <c r="E26" s="171"/>
      <c r="F26" s="174"/>
      <c r="G26" s="175"/>
      <c r="H26" s="175"/>
      <c r="I26" s="175"/>
      <c r="J26" s="175"/>
      <c r="K26" s="134">
        <f t="shared" si="2"/>
        <v>0</v>
      </c>
      <c r="L26" s="171"/>
      <c r="M26" s="172">
        <f t="shared" si="3"/>
        <v>0</v>
      </c>
      <c r="N26" s="172">
        <f t="shared" si="4"/>
        <v>0</v>
      </c>
    </row>
    <row r="27" spans="1:14" ht="13.5" customHeight="1" x14ac:dyDescent="0.35">
      <c r="A27" s="110">
        <f t="shared" si="5"/>
        <v>44124</v>
      </c>
      <c r="B27" s="174">
        <f t="shared" si="6"/>
        <v>0</v>
      </c>
      <c r="C27" s="147"/>
      <c r="D27" s="174">
        <f t="shared" si="1"/>
        <v>0</v>
      </c>
      <c r="E27" s="171"/>
      <c r="F27" s="174"/>
      <c r="G27" s="175"/>
      <c r="H27" s="175"/>
      <c r="I27" s="175"/>
      <c r="J27" s="175"/>
      <c r="K27" s="134">
        <f t="shared" si="2"/>
        <v>0</v>
      </c>
      <c r="L27" s="171"/>
      <c r="M27" s="172">
        <f t="shared" si="3"/>
        <v>0</v>
      </c>
      <c r="N27" s="172">
        <f t="shared" si="4"/>
        <v>0</v>
      </c>
    </row>
    <row r="28" spans="1:14" ht="13.5" customHeight="1" x14ac:dyDescent="0.35">
      <c r="A28" s="110">
        <f t="shared" si="5"/>
        <v>44125</v>
      </c>
      <c r="B28" s="174">
        <f t="shared" si="6"/>
        <v>0</v>
      </c>
      <c r="C28" s="147"/>
      <c r="D28" s="174">
        <f t="shared" si="1"/>
        <v>0</v>
      </c>
      <c r="E28" s="171"/>
      <c r="F28" s="174"/>
      <c r="G28" s="175"/>
      <c r="H28" s="175"/>
      <c r="I28" s="175"/>
      <c r="J28" s="175"/>
      <c r="K28" s="134">
        <f t="shared" si="2"/>
        <v>0</v>
      </c>
      <c r="L28" s="171"/>
      <c r="M28" s="172">
        <f t="shared" si="3"/>
        <v>0</v>
      </c>
      <c r="N28" s="172">
        <f t="shared" si="4"/>
        <v>0</v>
      </c>
    </row>
    <row r="29" spans="1:14" ht="13.5" customHeight="1" x14ac:dyDescent="0.35">
      <c r="A29" s="110">
        <f t="shared" si="5"/>
        <v>44126</v>
      </c>
      <c r="B29" s="174">
        <f t="shared" si="6"/>
        <v>0</v>
      </c>
      <c r="C29" s="147"/>
      <c r="D29" s="174">
        <f t="shared" si="1"/>
        <v>0</v>
      </c>
      <c r="E29" s="171"/>
      <c r="F29" s="174"/>
      <c r="G29" s="175"/>
      <c r="H29" s="175"/>
      <c r="I29" s="175"/>
      <c r="J29" s="175"/>
      <c r="K29" s="134">
        <f t="shared" si="2"/>
        <v>0</v>
      </c>
      <c r="L29" s="171"/>
      <c r="M29" s="172">
        <f t="shared" si="3"/>
        <v>0</v>
      </c>
      <c r="N29" s="172">
        <f t="shared" si="4"/>
        <v>0</v>
      </c>
    </row>
    <row r="30" spans="1:14" ht="13.5" customHeight="1" x14ac:dyDescent="0.35">
      <c r="A30" s="110">
        <f t="shared" si="5"/>
        <v>44127</v>
      </c>
      <c r="B30" s="174">
        <f t="shared" si="6"/>
        <v>0</v>
      </c>
      <c r="C30" s="147"/>
      <c r="D30" s="174">
        <f t="shared" si="1"/>
        <v>0</v>
      </c>
      <c r="E30" s="171"/>
      <c r="F30" s="174"/>
      <c r="G30" s="175"/>
      <c r="H30" s="175"/>
      <c r="I30" s="175"/>
      <c r="J30" s="175"/>
      <c r="K30" s="134">
        <f t="shared" si="2"/>
        <v>0</v>
      </c>
      <c r="L30" s="171"/>
      <c r="M30" s="172">
        <f t="shared" si="3"/>
        <v>0</v>
      </c>
      <c r="N30" s="172">
        <f t="shared" si="4"/>
        <v>0</v>
      </c>
    </row>
    <row r="31" spans="1:14" ht="13.5" customHeight="1" x14ac:dyDescent="0.35">
      <c r="A31" s="110">
        <f t="shared" si="5"/>
        <v>44128</v>
      </c>
      <c r="B31" s="174">
        <f t="shared" si="6"/>
        <v>0</v>
      </c>
      <c r="C31" s="171"/>
      <c r="D31" s="174">
        <f t="shared" si="1"/>
        <v>0</v>
      </c>
      <c r="E31" s="171"/>
      <c r="F31" s="169"/>
      <c r="G31" s="172"/>
      <c r="H31" s="172"/>
      <c r="I31" s="172"/>
      <c r="J31" s="172"/>
      <c r="K31" s="115">
        <f t="shared" si="2"/>
        <v>0</v>
      </c>
      <c r="L31" s="171"/>
      <c r="M31" s="172">
        <f t="shared" si="3"/>
        <v>0</v>
      </c>
      <c r="N31" s="172">
        <f t="shared" si="4"/>
        <v>0</v>
      </c>
    </row>
    <row r="32" spans="1:14" ht="13.5" customHeight="1" x14ac:dyDescent="0.35">
      <c r="A32" s="110">
        <f t="shared" si="5"/>
        <v>44129</v>
      </c>
      <c r="B32" s="174">
        <f t="shared" si="6"/>
        <v>0</v>
      </c>
      <c r="C32" s="171"/>
      <c r="D32" s="174">
        <f t="shared" si="1"/>
        <v>0</v>
      </c>
      <c r="E32" s="171"/>
      <c r="F32" s="169"/>
      <c r="G32" s="172"/>
      <c r="H32" s="172"/>
      <c r="I32" s="172"/>
      <c r="J32" s="172"/>
      <c r="K32" s="115">
        <f t="shared" si="2"/>
        <v>0</v>
      </c>
      <c r="L32" s="171"/>
      <c r="M32" s="172">
        <f t="shared" si="3"/>
        <v>0</v>
      </c>
      <c r="N32" s="172">
        <f t="shared" si="4"/>
        <v>0</v>
      </c>
    </row>
    <row r="33" spans="1:14" ht="19.5" x14ac:dyDescent="0.35">
      <c r="A33" s="110">
        <f t="shared" si="5"/>
        <v>44130</v>
      </c>
      <c r="B33" s="174">
        <f t="shared" si="6"/>
        <v>0</v>
      </c>
      <c r="C33" s="171"/>
      <c r="D33" s="174">
        <f t="shared" si="1"/>
        <v>0</v>
      </c>
      <c r="E33" s="171"/>
      <c r="F33" s="169"/>
      <c r="G33" s="172"/>
      <c r="H33" s="172"/>
      <c r="I33" s="172"/>
      <c r="J33" s="172"/>
      <c r="K33" s="115">
        <f t="shared" si="2"/>
        <v>0</v>
      </c>
      <c r="L33" s="171"/>
      <c r="M33" s="172">
        <f t="shared" si="3"/>
        <v>0</v>
      </c>
      <c r="N33" s="172">
        <f t="shared" si="4"/>
        <v>0</v>
      </c>
    </row>
    <row r="34" spans="1:14" ht="19.5" x14ac:dyDescent="0.35">
      <c r="A34" s="110">
        <f t="shared" si="5"/>
        <v>44131</v>
      </c>
      <c r="B34" s="174">
        <f t="shared" si="6"/>
        <v>0</v>
      </c>
      <c r="C34" s="171"/>
      <c r="D34" s="174">
        <f t="shared" si="1"/>
        <v>0</v>
      </c>
      <c r="E34" s="171"/>
      <c r="F34" s="169"/>
      <c r="G34" s="172"/>
      <c r="H34" s="172"/>
      <c r="I34" s="172"/>
      <c r="J34" s="172"/>
      <c r="K34" s="115">
        <f t="shared" si="2"/>
        <v>0</v>
      </c>
      <c r="L34" s="171"/>
      <c r="M34" s="172">
        <f t="shared" si="3"/>
        <v>0</v>
      </c>
      <c r="N34" s="172">
        <f t="shared" si="4"/>
        <v>0</v>
      </c>
    </row>
    <row r="35" spans="1:14" ht="19.5" x14ac:dyDescent="0.35">
      <c r="A35" s="110">
        <f t="shared" si="5"/>
        <v>44132</v>
      </c>
      <c r="B35" s="174">
        <f t="shared" si="6"/>
        <v>0</v>
      </c>
      <c r="C35" s="171"/>
      <c r="D35" s="174">
        <f t="shared" si="1"/>
        <v>0</v>
      </c>
      <c r="E35" s="171"/>
      <c r="F35" s="169"/>
      <c r="G35" s="172"/>
      <c r="H35" s="172"/>
      <c r="I35" s="172"/>
      <c r="J35" s="172"/>
      <c r="K35" s="115">
        <f t="shared" si="2"/>
        <v>0</v>
      </c>
      <c r="L35" s="171"/>
      <c r="M35" s="172">
        <f t="shared" si="3"/>
        <v>0</v>
      </c>
      <c r="N35" s="172">
        <f t="shared" si="4"/>
        <v>0</v>
      </c>
    </row>
    <row r="36" spans="1:14" ht="19.5" x14ac:dyDescent="0.35">
      <c r="A36" s="110">
        <f t="shared" si="5"/>
        <v>44133</v>
      </c>
      <c r="B36" s="174">
        <f t="shared" si="6"/>
        <v>0</v>
      </c>
      <c r="C36" s="171"/>
      <c r="D36" s="174">
        <f t="shared" si="1"/>
        <v>0</v>
      </c>
      <c r="E36" s="171"/>
      <c r="F36" s="169"/>
      <c r="G36" s="172"/>
      <c r="H36" s="172"/>
      <c r="I36" s="172"/>
      <c r="J36" s="172"/>
      <c r="K36" s="115">
        <f t="shared" si="2"/>
        <v>0</v>
      </c>
      <c r="L36" s="171"/>
      <c r="M36" s="172">
        <f t="shared" si="3"/>
        <v>0</v>
      </c>
      <c r="N36" s="172">
        <f t="shared" si="4"/>
        <v>0</v>
      </c>
    </row>
    <row r="37" spans="1:14" ht="19.5" x14ac:dyDescent="0.35">
      <c r="A37" s="110">
        <f t="shared" si="5"/>
        <v>44134</v>
      </c>
      <c r="B37" s="174">
        <f t="shared" si="6"/>
        <v>0</v>
      </c>
      <c r="C37" s="171"/>
      <c r="D37" s="174">
        <f t="shared" si="1"/>
        <v>0</v>
      </c>
      <c r="E37" s="171"/>
      <c r="F37" s="169"/>
      <c r="G37" s="172"/>
      <c r="H37" s="172"/>
      <c r="I37" s="172"/>
      <c r="J37" s="172"/>
      <c r="K37" s="115">
        <f t="shared" si="2"/>
        <v>0</v>
      </c>
      <c r="L37" s="171"/>
      <c r="M37" s="172">
        <f t="shared" si="3"/>
        <v>0</v>
      </c>
      <c r="N37" s="172">
        <f>+N36+K37-L37</f>
        <v>0</v>
      </c>
    </row>
    <row r="38" spans="1:14" ht="19.5" x14ac:dyDescent="0.35">
      <c r="A38" s="110">
        <f t="shared" si="5"/>
        <v>44135</v>
      </c>
      <c r="B38" s="174">
        <f t="shared" si="6"/>
        <v>0</v>
      </c>
      <c r="C38" s="171"/>
      <c r="D38" s="174">
        <f t="shared" si="1"/>
        <v>0</v>
      </c>
      <c r="E38" s="171"/>
      <c r="F38" s="169"/>
      <c r="G38" s="172"/>
      <c r="H38" s="172"/>
      <c r="I38" s="172"/>
      <c r="J38" s="172"/>
      <c r="K38" s="115">
        <f t="shared" si="2"/>
        <v>0</v>
      </c>
      <c r="L38" s="171"/>
      <c r="M38" s="172">
        <f t="shared" si="3"/>
        <v>0</v>
      </c>
      <c r="N38" s="177">
        <f>+N37+K38-L38</f>
        <v>0</v>
      </c>
    </row>
    <row r="39" spans="1:14" ht="19.5" x14ac:dyDescent="0.25">
      <c r="A39" s="178" t="s">
        <v>18</v>
      </c>
      <c r="B39" s="137">
        <f t="shared" ref="B39:L39" si="7">SUM(B8:B38)</f>
        <v>0</v>
      </c>
      <c r="C39" s="115">
        <f t="shared" si="7"/>
        <v>0</v>
      </c>
      <c r="D39" s="122">
        <f t="shared" si="7"/>
        <v>0</v>
      </c>
      <c r="E39" s="115">
        <f t="shared" si="7"/>
        <v>0</v>
      </c>
      <c r="F39" s="115">
        <f t="shared" si="7"/>
        <v>0</v>
      </c>
      <c r="G39" s="115">
        <f t="shared" si="7"/>
        <v>0</v>
      </c>
      <c r="H39" s="115">
        <f t="shared" si="7"/>
        <v>0</v>
      </c>
      <c r="I39" s="115">
        <f t="shared" si="7"/>
        <v>0</v>
      </c>
      <c r="J39" s="115">
        <f t="shared" si="7"/>
        <v>0</v>
      </c>
      <c r="K39" s="115">
        <f t="shared" si="7"/>
        <v>0</v>
      </c>
      <c r="L39" s="115">
        <f t="shared" si="7"/>
        <v>0</v>
      </c>
      <c r="M39" s="177">
        <f>SUM(M7:M38)</f>
        <v>0</v>
      </c>
      <c r="N39" s="180"/>
    </row>
  </sheetData>
  <mergeCells count="7">
    <mergeCell ref="N5:N6"/>
    <mergeCell ref="H5:H6"/>
    <mergeCell ref="I5:I6"/>
    <mergeCell ref="J5:J6"/>
    <mergeCell ref="K5:K6"/>
    <mergeCell ref="L5:L6"/>
    <mergeCell ref="M5:M6"/>
  </mergeCells>
  <pageMargins left="0.39370078740157483" right="0.39370078740157483" top="0.74803149606299213" bottom="0.74803149606299213" header="0.31496062992125984" footer="0.31496062992125984"/>
  <pageSetup paperSize="9" scale="77" orientation="landscape" r:id="rId1"/>
  <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2">
    <tabColor theme="4" tint="-0.249977111117893"/>
    <pageSetUpPr fitToPage="1"/>
  </sheetPr>
  <dimension ref="A2:R48"/>
  <sheetViews>
    <sheetView zoomScaleNormal="100" workbookViewId="0">
      <selection activeCell="B4" sqref="B4"/>
    </sheetView>
  </sheetViews>
  <sheetFormatPr baseColWidth="10" defaultRowHeight="18" x14ac:dyDescent="0.25"/>
  <cols>
    <col min="1" max="1" width="11.140625" style="51" customWidth="1"/>
    <col min="2" max="2" width="12.42578125" style="51" bestFit="1" customWidth="1"/>
    <col min="3" max="3" width="11.140625" style="51" customWidth="1"/>
    <col min="4" max="5" width="13.85546875" style="51" bestFit="1" customWidth="1"/>
    <col min="6" max="7" width="11.140625" style="51" customWidth="1"/>
    <col min="8" max="8" width="13.7109375" style="51" bestFit="1" customWidth="1"/>
    <col min="9" max="9" width="10.28515625" style="51" bestFit="1" customWidth="1"/>
    <col min="10" max="10" width="11.28515625" style="51" bestFit="1" customWidth="1"/>
    <col min="11" max="11" width="13.85546875" style="51" bestFit="1" customWidth="1"/>
    <col min="12" max="12" width="13.5703125" style="51" bestFit="1" customWidth="1"/>
    <col min="13" max="13" width="14.7109375" style="51" bestFit="1" customWidth="1"/>
    <col min="14" max="14" width="15.7109375" style="51" bestFit="1" customWidth="1"/>
    <col min="15" max="16384" width="11.42578125" style="38"/>
  </cols>
  <sheetData>
    <row r="2" spans="1:18" x14ac:dyDescent="0.25">
      <c r="A2" s="238" t="s">
        <v>118</v>
      </c>
      <c r="B2" s="238" t="s">
        <v>221</v>
      </c>
    </row>
    <row r="3" spans="1:18" x14ac:dyDescent="0.25">
      <c r="C3" s="239"/>
    </row>
    <row r="4" spans="1:18" ht="18.75" x14ac:dyDescent="0.3">
      <c r="A4" s="238" t="s">
        <v>19</v>
      </c>
      <c r="B4" s="2">
        <f>+JEAB!D3</f>
        <v>43160</v>
      </c>
      <c r="C4" s="238"/>
      <c r="L4" s="37"/>
    </row>
    <row r="5" spans="1:18" x14ac:dyDescent="0.25">
      <c r="A5" s="238"/>
      <c r="B5" s="238"/>
      <c r="C5" s="238"/>
    </row>
    <row r="6" spans="1:18" x14ac:dyDescent="0.25">
      <c r="A6" s="100" t="s">
        <v>3</v>
      </c>
      <c r="B6" s="101" t="s">
        <v>15</v>
      </c>
      <c r="C6" s="102"/>
      <c r="D6" s="101" t="s">
        <v>16</v>
      </c>
      <c r="E6" s="102"/>
      <c r="F6" s="101" t="s">
        <v>17</v>
      </c>
      <c r="G6" s="102"/>
      <c r="H6" s="2910" t="s">
        <v>52</v>
      </c>
      <c r="I6" s="2910" t="s">
        <v>53</v>
      </c>
      <c r="J6" s="2910" t="s">
        <v>119</v>
      </c>
      <c r="K6" s="2910" t="s">
        <v>18</v>
      </c>
      <c r="L6" s="3065" t="s">
        <v>60</v>
      </c>
      <c r="M6" s="2910" t="s">
        <v>55</v>
      </c>
      <c r="N6" s="2910" t="s">
        <v>120</v>
      </c>
    </row>
    <row r="7" spans="1:18" ht="21" x14ac:dyDescent="0.25">
      <c r="A7" s="103"/>
      <c r="B7" s="915">
        <v>650</v>
      </c>
      <c r="C7" s="916"/>
      <c r="D7" s="915">
        <v>600</v>
      </c>
      <c r="E7" s="916"/>
      <c r="F7" s="915">
        <v>350</v>
      </c>
      <c r="G7" s="916"/>
      <c r="H7" s="3059"/>
      <c r="I7" s="3059"/>
      <c r="J7" s="3059"/>
      <c r="K7" s="3059"/>
      <c r="L7" s="3066"/>
      <c r="M7" s="2911"/>
      <c r="N7" s="2911"/>
    </row>
    <row r="8" spans="1:18" x14ac:dyDescent="0.25">
      <c r="A8" s="105"/>
      <c r="B8" s="106" t="s">
        <v>56</v>
      </c>
      <c r="C8" s="106" t="s">
        <v>37</v>
      </c>
      <c r="D8" s="107" t="s">
        <v>56</v>
      </c>
      <c r="E8" s="106" t="s">
        <v>37</v>
      </c>
      <c r="F8" s="106" t="s">
        <v>56</v>
      </c>
      <c r="G8" s="106" t="s">
        <v>37</v>
      </c>
      <c r="H8" s="2911"/>
      <c r="I8" s="2911"/>
      <c r="J8" s="2911"/>
      <c r="K8" s="2911"/>
      <c r="L8" s="133"/>
      <c r="M8" s="259">
        <v>0</v>
      </c>
      <c r="N8" s="259">
        <f>M8</f>
        <v>0</v>
      </c>
    </row>
    <row r="9" spans="1:18" s="237" customFormat="1" ht="18.75" x14ac:dyDescent="0.3">
      <c r="A9" s="110">
        <f>+JEAB!A10</f>
        <v>44105</v>
      </c>
      <c r="B9" s="277">
        <f t="shared" ref="B9:B39" si="0">C9/B$7</f>
        <v>0</v>
      </c>
      <c r="C9" s="278"/>
      <c r="D9" s="277">
        <f>+E9/D$7</f>
        <v>0</v>
      </c>
      <c r="E9" s="86"/>
      <c r="F9" s="277">
        <f>+G9/F$7</f>
        <v>0</v>
      </c>
      <c r="G9" s="259"/>
      <c r="H9" s="259"/>
      <c r="I9" s="259"/>
      <c r="J9" s="259"/>
      <c r="K9" s="133">
        <f t="shared" ref="K9:K39" si="1">C9+E9+G9+H9+I9+J9</f>
        <v>0</v>
      </c>
      <c r="L9" s="279"/>
      <c r="M9" s="259">
        <f t="shared" ref="M9:M39" si="2">K9-L9</f>
        <v>0</v>
      </c>
      <c r="N9" s="259">
        <f>+N8+K9-L9</f>
        <v>0</v>
      </c>
      <c r="O9" s="149"/>
      <c r="P9" s="149"/>
      <c r="Q9" s="149"/>
      <c r="R9" s="149"/>
    </row>
    <row r="10" spans="1:18" s="237" customFormat="1" ht="18.75" x14ac:dyDescent="0.3">
      <c r="A10" s="110">
        <f>+A9+1</f>
        <v>44106</v>
      </c>
      <c r="B10" s="277">
        <f t="shared" si="0"/>
        <v>0</v>
      </c>
      <c r="C10" s="278"/>
      <c r="D10" s="277">
        <f t="shared" ref="D10:D39" si="3">+E10/D$7</f>
        <v>0</v>
      </c>
      <c r="E10" s="86"/>
      <c r="F10" s="277">
        <f>+G10/F$7</f>
        <v>0</v>
      </c>
      <c r="G10" s="259"/>
      <c r="H10" s="259"/>
      <c r="I10" s="259"/>
      <c r="J10" s="259"/>
      <c r="K10" s="133">
        <f t="shared" si="1"/>
        <v>0</v>
      </c>
      <c r="L10" s="279"/>
      <c r="M10" s="259">
        <f t="shared" si="2"/>
        <v>0</v>
      </c>
      <c r="N10" s="259">
        <f t="shared" ref="N10:N37" si="4">+N9+K10-L10</f>
        <v>0</v>
      </c>
      <c r="O10" s="149"/>
      <c r="P10" s="149"/>
      <c r="Q10" s="149"/>
      <c r="R10" s="149"/>
    </row>
    <row r="11" spans="1:18" s="237" customFormat="1" x14ac:dyDescent="0.25">
      <c r="A11" s="110">
        <f t="shared" ref="A11:A39" si="5">+A10+1</f>
        <v>44107</v>
      </c>
      <c r="B11" s="277">
        <f t="shared" si="0"/>
        <v>0</v>
      </c>
      <c r="C11" s="279"/>
      <c r="D11" s="277">
        <f t="shared" si="3"/>
        <v>0</v>
      </c>
      <c r="E11" s="86"/>
      <c r="F11" s="277">
        <f t="shared" ref="F11:F39" si="6">+G11/F$7</f>
        <v>0</v>
      </c>
      <c r="G11" s="259"/>
      <c r="H11" s="259"/>
      <c r="I11" s="259"/>
      <c r="J11" s="259"/>
      <c r="K11" s="133">
        <f t="shared" si="1"/>
        <v>0</v>
      </c>
      <c r="L11" s="279"/>
      <c r="M11" s="259">
        <f t="shared" si="2"/>
        <v>0</v>
      </c>
      <c r="N11" s="259">
        <f t="shared" si="4"/>
        <v>0</v>
      </c>
      <c r="O11" s="149"/>
      <c r="P11" s="149"/>
      <c r="Q11" s="149"/>
      <c r="R11" s="149"/>
    </row>
    <row r="12" spans="1:18" s="237" customFormat="1" ht="19.5" x14ac:dyDescent="0.35">
      <c r="A12" s="110">
        <f t="shared" si="5"/>
        <v>44108</v>
      </c>
      <c r="B12" s="277">
        <f t="shared" si="0"/>
        <v>0</v>
      </c>
      <c r="C12" s="279"/>
      <c r="D12" s="277">
        <f t="shared" si="3"/>
        <v>0</v>
      </c>
      <c r="E12" s="86"/>
      <c r="F12" s="277">
        <f t="shared" si="6"/>
        <v>0</v>
      </c>
      <c r="G12" s="259"/>
      <c r="H12" s="259"/>
      <c r="I12" s="259"/>
      <c r="J12" s="259"/>
      <c r="K12" s="133">
        <f t="shared" si="1"/>
        <v>0</v>
      </c>
      <c r="L12" s="279"/>
      <c r="M12" s="259">
        <f t="shared" si="2"/>
        <v>0</v>
      </c>
      <c r="N12" s="259">
        <f t="shared" si="4"/>
        <v>0</v>
      </c>
      <c r="O12" s="150"/>
      <c r="P12" s="149"/>
      <c r="Q12" s="149"/>
      <c r="R12" s="149"/>
    </row>
    <row r="13" spans="1:18" s="237" customFormat="1" ht="18.75" x14ac:dyDescent="0.3">
      <c r="A13" s="110">
        <f t="shared" si="5"/>
        <v>44109</v>
      </c>
      <c r="B13" s="277">
        <f t="shared" si="0"/>
        <v>0</v>
      </c>
      <c r="C13" s="278"/>
      <c r="D13" s="277">
        <f t="shared" si="3"/>
        <v>0</v>
      </c>
      <c r="E13" s="86"/>
      <c r="F13" s="277">
        <f t="shared" si="6"/>
        <v>0</v>
      </c>
      <c r="G13" s="259"/>
      <c r="H13" s="259"/>
      <c r="I13" s="259"/>
      <c r="J13" s="259"/>
      <c r="K13" s="133">
        <f t="shared" si="1"/>
        <v>0</v>
      </c>
      <c r="L13" s="279"/>
      <c r="M13" s="259">
        <f t="shared" si="2"/>
        <v>0</v>
      </c>
      <c r="N13" s="259">
        <f t="shared" si="4"/>
        <v>0</v>
      </c>
      <c r="O13" s="149"/>
      <c r="P13" s="149"/>
      <c r="Q13" s="149"/>
      <c r="R13" s="149"/>
    </row>
    <row r="14" spans="1:18" s="237" customFormat="1" ht="18.75" x14ac:dyDescent="0.3">
      <c r="A14" s="110">
        <f t="shared" si="5"/>
        <v>44110</v>
      </c>
      <c r="B14" s="277">
        <f t="shared" si="0"/>
        <v>0</v>
      </c>
      <c r="C14" s="278"/>
      <c r="D14" s="277">
        <f t="shared" si="3"/>
        <v>0</v>
      </c>
      <c r="E14" s="86"/>
      <c r="F14" s="277">
        <f t="shared" si="6"/>
        <v>0</v>
      </c>
      <c r="G14" s="259"/>
      <c r="H14" s="259"/>
      <c r="I14" s="259"/>
      <c r="J14" s="259"/>
      <c r="K14" s="259">
        <f t="shared" si="1"/>
        <v>0</v>
      </c>
      <c r="L14" s="279"/>
      <c r="M14" s="259">
        <f t="shared" si="2"/>
        <v>0</v>
      </c>
      <c r="N14" s="259">
        <f t="shared" si="4"/>
        <v>0</v>
      </c>
      <c r="O14" s="149"/>
      <c r="P14" s="149"/>
      <c r="Q14" s="149"/>
      <c r="R14" s="149"/>
    </row>
    <row r="15" spans="1:18" s="237" customFormat="1" ht="18.75" x14ac:dyDescent="0.3">
      <c r="A15" s="110">
        <f t="shared" si="5"/>
        <v>44111</v>
      </c>
      <c r="B15" s="277">
        <f t="shared" si="0"/>
        <v>0</v>
      </c>
      <c r="C15" s="279"/>
      <c r="D15" s="277">
        <f t="shared" si="3"/>
        <v>0</v>
      </c>
      <c r="E15" s="86"/>
      <c r="F15" s="277">
        <f t="shared" si="6"/>
        <v>0</v>
      </c>
      <c r="G15" s="259"/>
      <c r="H15" s="259"/>
      <c r="I15" s="259"/>
      <c r="J15" s="259"/>
      <c r="K15" s="133">
        <f t="shared" si="1"/>
        <v>0</v>
      </c>
      <c r="L15" s="278"/>
      <c r="M15" s="259">
        <f t="shared" si="2"/>
        <v>0</v>
      </c>
      <c r="N15" s="259">
        <f t="shared" si="4"/>
        <v>0</v>
      </c>
      <c r="O15" s="149"/>
      <c r="P15" s="149"/>
      <c r="Q15" s="149"/>
      <c r="R15" s="149"/>
    </row>
    <row r="16" spans="1:18" s="237" customFormat="1" x14ac:dyDescent="0.25">
      <c r="A16" s="110">
        <f t="shared" si="5"/>
        <v>44112</v>
      </c>
      <c r="B16" s="277">
        <f t="shared" si="0"/>
        <v>0</v>
      </c>
      <c r="C16" s="279"/>
      <c r="D16" s="277">
        <f t="shared" si="3"/>
        <v>0</v>
      </c>
      <c r="E16" s="86"/>
      <c r="F16" s="277">
        <f t="shared" si="6"/>
        <v>0</v>
      </c>
      <c r="G16" s="259"/>
      <c r="H16" s="259"/>
      <c r="I16" s="259"/>
      <c r="J16" s="259"/>
      <c r="K16" s="133">
        <f t="shared" si="1"/>
        <v>0</v>
      </c>
      <c r="L16" s="279"/>
      <c r="M16" s="259">
        <f t="shared" si="2"/>
        <v>0</v>
      </c>
      <c r="N16" s="259">
        <f t="shared" si="4"/>
        <v>0</v>
      </c>
      <c r="O16" s="149"/>
      <c r="P16" s="149"/>
      <c r="Q16" s="149"/>
      <c r="R16" s="149"/>
    </row>
    <row r="17" spans="1:18" s="237" customFormat="1" x14ac:dyDescent="0.25">
      <c r="A17" s="110">
        <f t="shared" si="5"/>
        <v>44113</v>
      </c>
      <c r="B17" s="277">
        <f t="shared" si="0"/>
        <v>0</v>
      </c>
      <c r="C17" s="279"/>
      <c r="D17" s="277">
        <f t="shared" si="3"/>
        <v>0</v>
      </c>
      <c r="E17" s="86"/>
      <c r="F17" s="277">
        <f t="shared" si="6"/>
        <v>0</v>
      </c>
      <c r="G17" s="259"/>
      <c r="H17" s="259"/>
      <c r="I17" s="259"/>
      <c r="J17" s="259"/>
      <c r="K17" s="133">
        <f t="shared" si="1"/>
        <v>0</v>
      </c>
      <c r="L17" s="279"/>
      <c r="M17" s="259">
        <f t="shared" si="2"/>
        <v>0</v>
      </c>
      <c r="N17" s="259">
        <f t="shared" si="4"/>
        <v>0</v>
      </c>
      <c r="O17" s="149"/>
      <c r="P17" s="149"/>
      <c r="Q17" s="149"/>
      <c r="R17" s="149"/>
    </row>
    <row r="18" spans="1:18" s="237" customFormat="1" x14ac:dyDescent="0.25">
      <c r="A18" s="110">
        <f t="shared" si="5"/>
        <v>44114</v>
      </c>
      <c r="B18" s="277">
        <f t="shared" si="0"/>
        <v>0</v>
      </c>
      <c r="C18" s="279"/>
      <c r="D18" s="277">
        <f t="shared" si="3"/>
        <v>0</v>
      </c>
      <c r="E18" s="86"/>
      <c r="F18" s="277">
        <f t="shared" si="6"/>
        <v>0</v>
      </c>
      <c r="G18" s="259"/>
      <c r="H18" s="259"/>
      <c r="I18" s="259"/>
      <c r="J18" s="259"/>
      <c r="K18" s="133">
        <f t="shared" si="1"/>
        <v>0</v>
      </c>
      <c r="L18" s="279"/>
      <c r="M18" s="259">
        <f t="shared" si="2"/>
        <v>0</v>
      </c>
      <c r="N18" s="259">
        <f>+N17+K18-L18</f>
        <v>0</v>
      </c>
      <c r="O18" s="149"/>
      <c r="P18" s="149"/>
      <c r="Q18" s="149"/>
      <c r="R18" s="149"/>
    </row>
    <row r="19" spans="1:18" x14ac:dyDescent="0.25">
      <c r="A19" s="110">
        <f t="shared" si="5"/>
        <v>44115</v>
      </c>
      <c r="B19" s="117">
        <f t="shared" si="0"/>
        <v>0</v>
      </c>
      <c r="C19" s="86"/>
      <c r="D19" s="111">
        <f t="shared" si="3"/>
        <v>0</v>
      </c>
      <c r="E19" s="86"/>
      <c r="F19" s="111">
        <f t="shared" si="6"/>
        <v>0</v>
      </c>
      <c r="G19" s="118"/>
      <c r="H19" s="118"/>
      <c r="I19" s="118"/>
      <c r="J19" s="118"/>
      <c r="K19" s="115">
        <f t="shared" si="1"/>
        <v>0</v>
      </c>
      <c r="L19" s="86"/>
      <c r="M19" s="259">
        <f t="shared" si="2"/>
        <v>0</v>
      </c>
      <c r="N19" s="118">
        <f t="shared" si="4"/>
        <v>0</v>
      </c>
    </row>
    <row r="20" spans="1:18" x14ac:dyDescent="0.25">
      <c r="A20" s="110">
        <f t="shared" si="5"/>
        <v>44116</v>
      </c>
      <c r="B20" s="117">
        <f t="shared" si="0"/>
        <v>0</v>
      </c>
      <c r="C20" s="86"/>
      <c r="D20" s="111">
        <f t="shared" si="3"/>
        <v>0</v>
      </c>
      <c r="E20" s="86"/>
      <c r="F20" s="111">
        <f t="shared" si="6"/>
        <v>0</v>
      </c>
      <c r="G20" s="118"/>
      <c r="H20" s="118"/>
      <c r="I20" s="118"/>
      <c r="J20" s="118"/>
      <c r="K20" s="115">
        <f t="shared" si="1"/>
        <v>0</v>
      </c>
      <c r="L20" s="86"/>
      <c r="M20" s="259">
        <f t="shared" si="2"/>
        <v>0</v>
      </c>
      <c r="N20" s="118">
        <f>+N19+K20-L20</f>
        <v>0</v>
      </c>
    </row>
    <row r="21" spans="1:18" x14ac:dyDescent="0.25">
      <c r="A21" s="110">
        <f t="shared" si="5"/>
        <v>44117</v>
      </c>
      <c r="B21" s="117">
        <f t="shared" si="0"/>
        <v>0</v>
      </c>
      <c r="C21" s="86"/>
      <c r="D21" s="111">
        <f t="shared" si="3"/>
        <v>0</v>
      </c>
      <c r="E21" s="86"/>
      <c r="F21" s="111">
        <f t="shared" si="6"/>
        <v>0</v>
      </c>
      <c r="G21" s="118"/>
      <c r="H21" s="118"/>
      <c r="I21" s="118"/>
      <c r="J21" s="118"/>
      <c r="K21" s="115">
        <f t="shared" si="1"/>
        <v>0</v>
      </c>
      <c r="L21" s="86"/>
      <c r="M21" s="259">
        <f t="shared" si="2"/>
        <v>0</v>
      </c>
      <c r="N21" s="118">
        <f t="shared" si="4"/>
        <v>0</v>
      </c>
    </row>
    <row r="22" spans="1:18" x14ac:dyDescent="0.25">
      <c r="A22" s="110">
        <f t="shared" si="5"/>
        <v>44118</v>
      </c>
      <c r="B22" s="117">
        <f t="shared" si="0"/>
        <v>0</v>
      </c>
      <c r="C22" s="86"/>
      <c r="D22" s="111">
        <f t="shared" si="3"/>
        <v>0</v>
      </c>
      <c r="E22" s="86"/>
      <c r="F22" s="111">
        <f t="shared" si="6"/>
        <v>0</v>
      </c>
      <c r="G22" s="118"/>
      <c r="H22" s="118"/>
      <c r="I22" s="118"/>
      <c r="J22" s="118"/>
      <c r="K22" s="115">
        <f t="shared" si="1"/>
        <v>0</v>
      </c>
      <c r="L22" s="86"/>
      <c r="M22" s="259">
        <f t="shared" si="2"/>
        <v>0</v>
      </c>
      <c r="N22" s="118">
        <f t="shared" si="4"/>
        <v>0</v>
      </c>
    </row>
    <row r="23" spans="1:18" x14ac:dyDescent="0.25">
      <c r="A23" s="110">
        <f t="shared" si="5"/>
        <v>44119</v>
      </c>
      <c r="B23" s="117"/>
      <c r="C23" s="86"/>
      <c r="D23" s="111">
        <f t="shared" si="3"/>
        <v>0</v>
      </c>
      <c r="E23" s="86"/>
      <c r="F23" s="117">
        <f t="shared" si="6"/>
        <v>0</v>
      </c>
      <c r="G23" s="118"/>
      <c r="H23" s="118"/>
      <c r="I23" s="118"/>
      <c r="J23" s="118"/>
      <c r="K23" s="115">
        <f t="shared" si="1"/>
        <v>0</v>
      </c>
      <c r="L23" s="86"/>
      <c r="M23" s="259">
        <f t="shared" si="2"/>
        <v>0</v>
      </c>
      <c r="N23" s="118">
        <f t="shared" si="4"/>
        <v>0</v>
      </c>
    </row>
    <row r="24" spans="1:18" x14ac:dyDescent="0.25">
      <c r="A24" s="110">
        <f t="shared" si="5"/>
        <v>44120</v>
      </c>
      <c r="B24" s="117">
        <f t="shared" si="0"/>
        <v>0</v>
      </c>
      <c r="C24" s="86"/>
      <c r="D24" s="111">
        <f t="shared" si="3"/>
        <v>0</v>
      </c>
      <c r="E24" s="86"/>
      <c r="F24" s="117">
        <f t="shared" si="6"/>
        <v>0</v>
      </c>
      <c r="G24" s="118"/>
      <c r="H24" s="118"/>
      <c r="I24" s="118"/>
      <c r="J24" s="118"/>
      <c r="K24" s="115">
        <f t="shared" si="1"/>
        <v>0</v>
      </c>
      <c r="L24" s="86"/>
      <c r="M24" s="259">
        <f t="shared" si="2"/>
        <v>0</v>
      </c>
      <c r="N24" s="118">
        <f t="shared" si="4"/>
        <v>0</v>
      </c>
    </row>
    <row r="25" spans="1:18" x14ac:dyDescent="0.25">
      <c r="A25" s="110">
        <f t="shared" si="5"/>
        <v>44121</v>
      </c>
      <c r="B25" s="117">
        <f t="shared" si="0"/>
        <v>0</v>
      </c>
      <c r="C25" s="86"/>
      <c r="D25" s="111">
        <f t="shared" si="3"/>
        <v>0</v>
      </c>
      <c r="E25" s="86"/>
      <c r="F25" s="117">
        <f t="shared" si="6"/>
        <v>0</v>
      </c>
      <c r="G25" s="118"/>
      <c r="H25" s="118"/>
      <c r="I25" s="118"/>
      <c r="J25" s="118"/>
      <c r="K25" s="115">
        <f t="shared" si="1"/>
        <v>0</v>
      </c>
      <c r="L25" s="86"/>
      <c r="M25" s="259">
        <f t="shared" si="2"/>
        <v>0</v>
      </c>
      <c r="N25" s="118">
        <f t="shared" si="4"/>
        <v>0</v>
      </c>
    </row>
    <row r="26" spans="1:18" ht="18.75" x14ac:dyDescent="0.3">
      <c r="A26" s="110">
        <f t="shared" si="5"/>
        <v>44122</v>
      </c>
      <c r="B26" s="117">
        <f t="shared" si="0"/>
        <v>0</v>
      </c>
      <c r="C26" s="86"/>
      <c r="D26" s="111">
        <f t="shared" si="3"/>
        <v>0</v>
      </c>
      <c r="E26" s="86"/>
      <c r="F26" s="117">
        <f t="shared" si="6"/>
        <v>0</v>
      </c>
      <c r="G26" s="118"/>
      <c r="H26" s="118"/>
      <c r="I26" s="118"/>
      <c r="J26" s="118"/>
      <c r="K26" s="115">
        <f t="shared" si="1"/>
        <v>0</v>
      </c>
      <c r="L26" s="86"/>
      <c r="M26" s="259">
        <f t="shared" si="2"/>
        <v>0</v>
      </c>
      <c r="N26" s="118">
        <f t="shared" si="4"/>
        <v>0</v>
      </c>
      <c r="O26" s="176"/>
    </row>
    <row r="27" spans="1:18" x14ac:dyDescent="0.25">
      <c r="A27" s="110">
        <f t="shared" si="5"/>
        <v>44123</v>
      </c>
      <c r="B27" s="117">
        <f t="shared" si="0"/>
        <v>0</v>
      </c>
      <c r="C27" s="86"/>
      <c r="D27" s="111">
        <f t="shared" si="3"/>
        <v>0</v>
      </c>
      <c r="E27" s="86"/>
      <c r="F27" s="117">
        <f t="shared" si="6"/>
        <v>0</v>
      </c>
      <c r="G27" s="118"/>
      <c r="H27" s="118"/>
      <c r="I27" s="118"/>
      <c r="J27" s="118"/>
      <c r="K27" s="115">
        <f t="shared" si="1"/>
        <v>0</v>
      </c>
      <c r="L27" s="86"/>
      <c r="M27" s="259">
        <f t="shared" si="2"/>
        <v>0</v>
      </c>
      <c r="N27" s="118">
        <f t="shared" si="4"/>
        <v>0</v>
      </c>
    </row>
    <row r="28" spans="1:18" x14ac:dyDescent="0.25">
      <c r="A28" s="110">
        <f t="shared" si="5"/>
        <v>44124</v>
      </c>
      <c r="B28" s="117">
        <f t="shared" si="0"/>
        <v>0</v>
      </c>
      <c r="C28" s="86"/>
      <c r="D28" s="111">
        <f t="shared" si="3"/>
        <v>0</v>
      </c>
      <c r="E28" s="86"/>
      <c r="F28" s="117">
        <f t="shared" si="6"/>
        <v>0</v>
      </c>
      <c r="G28" s="118"/>
      <c r="H28" s="118"/>
      <c r="I28" s="118"/>
      <c r="J28" s="118"/>
      <c r="K28" s="115">
        <f t="shared" si="1"/>
        <v>0</v>
      </c>
      <c r="L28" s="86"/>
      <c r="M28" s="259">
        <f t="shared" si="2"/>
        <v>0</v>
      </c>
      <c r="N28" s="118">
        <f t="shared" si="4"/>
        <v>0</v>
      </c>
    </row>
    <row r="29" spans="1:18" x14ac:dyDescent="0.25">
      <c r="A29" s="110">
        <f t="shared" si="5"/>
        <v>44125</v>
      </c>
      <c r="B29" s="117">
        <f t="shared" si="0"/>
        <v>0</v>
      </c>
      <c r="C29" s="86"/>
      <c r="D29" s="111">
        <f t="shared" si="3"/>
        <v>0</v>
      </c>
      <c r="E29" s="86"/>
      <c r="F29" s="117">
        <f t="shared" si="6"/>
        <v>0</v>
      </c>
      <c r="G29" s="118"/>
      <c r="H29" s="118"/>
      <c r="I29" s="118"/>
      <c r="J29" s="118"/>
      <c r="K29" s="115">
        <f t="shared" si="1"/>
        <v>0</v>
      </c>
      <c r="L29" s="86"/>
      <c r="M29" s="259">
        <f t="shared" si="2"/>
        <v>0</v>
      </c>
      <c r="N29" s="118">
        <f t="shared" si="4"/>
        <v>0</v>
      </c>
    </row>
    <row r="30" spans="1:18" x14ac:dyDescent="0.25">
      <c r="A30" s="110">
        <f t="shared" si="5"/>
        <v>44126</v>
      </c>
      <c r="B30" s="117">
        <f t="shared" si="0"/>
        <v>0</v>
      </c>
      <c r="C30" s="86"/>
      <c r="D30" s="111">
        <f t="shared" si="3"/>
        <v>0</v>
      </c>
      <c r="E30" s="86"/>
      <c r="F30" s="117">
        <f t="shared" si="6"/>
        <v>0</v>
      </c>
      <c r="G30" s="118"/>
      <c r="H30" s="118"/>
      <c r="I30" s="118"/>
      <c r="J30" s="118"/>
      <c r="K30" s="115">
        <f t="shared" si="1"/>
        <v>0</v>
      </c>
      <c r="L30" s="86"/>
      <c r="M30" s="259">
        <f t="shared" si="2"/>
        <v>0</v>
      </c>
      <c r="N30" s="118">
        <f>+N29+K30-L30</f>
        <v>0</v>
      </c>
    </row>
    <row r="31" spans="1:18" s="1554" customFormat="1" x14ac:dyDescent="0.25">
      <c r="A31" s="1547">
        <f t="shared" si="5"/>
        <v>44127</v>
      </c>
      <c r="B31" s="1549">
        <f t="shared" si="0"/>
        <v>0</v>
      </c>
      <c r="C31" s="1532"/>
      <c r="D31" s="1549">
        <f t="shared" si="3"/>
        <v>0</v>
      </c>
      <c r="E31" s="1532"/>
      <c r="F31" s="1549">
        <f t="shared" si="6"/>
        <v>0</v>
      </c>
      <c r="G31" s="1548"/>
      <c r="H31" s="1548"/>
      <c r="I31" s="1548"/>
      <c r="J31" s="1548"/>
      <c r="K31" s="1550">
        <f t="shared" si="1"/>
        <v>0</v>
      </c>
      <c r="L31" s="1532"/>
      <c r="M31" s="1548">
        <f t="shared" si="2"/>
        <v>0</v>
      </c>
      <c r="N31" s="1548">
        <f t="shared" si="4"/>
        <v>0</v>
      </c>
    </row>
    <row r="32" spans="1:18" ht="19.5" x14ac:dyDescent="0.35">
      <c r="A32" s="110">
        <f t="shared" si="5"/>
        <v>44128</v>
      </c>
      <c r="B32" s="111">
        <f t="shared" si="0"/>
        <v>0</v>
      </c>
      <c r="C32" s="113"/>
      <c r="D32" s="111">
        <f t="shared" si="3"/>
        <v>0</v>
      </c>
      <c r="E32" s="86"/>
      <c r="F32" s="111">
        <f t="shared" si="6"/>
        <v>0</v>
      </c>
      <c r="G32" s="114"/>
      <c r="H32" s="114"/>
      <c r="I32" s="114"/>
      <c r="J32" s="114"/>
      <c r="K32" s="115">
        <f t="shared" si="1"/>
        <v>0</v>
      </c>
      <c r="L32" s="86"/>
      <c r="M32" s="259">
        <f t="shared" si="2"/>
        <v>0</v>
      </c>
      <c r="N32" s="114">
        <f t="shared" si="4"/>
        <v>0</v>
      </c>
      <c r="O32" s="18" t="s">
        <v>62</v>
      </c>
    </row>
    <row r="33" spans="1:14" x14ac:dyDescent="0.25">
      <c r="A33" s="110">
        <f t="shared" si="5"/>
        <v>44129</v>
      </c>
      <c r="B33" s="111">
        <f t="shared" si="0"/>
        <v>0</v>
      </c>
      <c r="C33" s="113"/>
      <c r="D33" s="111">
        <f t="shared" si="3"/>
        <v>0</v>
      </c>
      <c r="E33" s="86"/>
      <c r="F33" s="111">
        <f t="shared" si="6"/>
        <v>0</v>
      </c>
      <c r="G33" s="114"/>
      <c r="H33" s="114"/>
      <c r="I33" s="114"/>
      <c r="J33" s="114"/>
      <c r="K33" s="115">
        <f t="shared" si="1"/>
        <v>0</v>
      </c>
      <c r="L33" s="86"/>
      <c r="M33" s="259">
        <f t="shared" si="2"/>
        <v>0</v>
      </c>
      <c r="N33" s="114">
        <f t="shared" si="4"/>
        <v>0</v>
      </c>
    </row>
    <row r="34" spans="1:14" x14ac:dyDescent="0.25">
      <c r="A34" s="110">
        <f t="shared" si="5"/>
        <v>44130</v>
      </c>
      <c r="B34" s="111">
        <f t="shared" si="0"/>
        <v>0</v>
      </c>
      <c r="C34" s="113"/>
      <c r="D34" s="111">
        <f t="shared" si="3"/>
        <v>0</v>
      </c>
      <c r="E34" s="86"/>
      <c r="F34" s="111">
        <f t="shared" si="6"/>
        <v>0</v>
      </c>
      <c r="G34" s="114"/>
      <c r="H34" s="114"/>
      <c r="I34" s="114"/>
      <c r="J34" s="114"/>
      <c r="K34" s="115">
        <f t="shared" si="1"/>
        <v>0</v>
      </c>
      <c r="L34" s="86"/>
      <c r="M34" s="259">
        <f t="shared" si="2"/>
        <v>0</v>
      </c>
      <c r="N34" s="114">
        <f t="shared" si="4"/>
        <v>0</v>
      </c>
    </row>
    <row r="35" spans="1:14" ht="18.75" x14ac:dyDescent="0.3">
      <c r="A35" s="110">
        <f t="shared" si="5"/>
        <v>44131</v>
      </c>
      <c r="B35" s="111">
        <f t="shared" si="0"/>
        <v>0</v>
      </c>
      <c r="C35" s="113"/>
      <c r="D35" s="111">
        <f t="shared" si="3"/>
        <v>0</v>
      </c>
      <c r="E35" s="86"/>
      <c r="F35" s="111">
        <f t="shared" si="6"/>
        <v>0</v>
      </c>
      <c r="G35" s="114"/>
      <c r="H35" s="114"/>
      <c r="I35" s="114"/>
      <c r="J35" s="114"/>
      <c r="K35" s="115">
        <f t="shared" si="1"/>
        <v>0</v>
      </c>
      <c r="L35" s="112"/>
      <c r="M35" s="259">
        <f t="shared" si="2"/>
        <v>0</v>
      </c>
      <c r="N35" s="114">
        <f t="shared" si="4"/>
        <v>0</v>
      </c>
    </row>
    <row r="36" spans="1:14" x14ac:dyDescent="0.25">
      <c r="A36" s="110">
        <f t="shared" si="5"/>
        <v>44132</v>
      </c>
      <c r="B36" s="111">
        <f t="shared" si="0"/>
        <v>0</v>
      </c>
      <c r="C36" s="113"/>
      <c r="D36" s="111">
        <f t="shared" si="3"/>
        <v>0</v>
      </c>
      <c r="E36" s="86"/>
      <c r="F36" s="111">
        <f t="shared" si="6"/>
        <v>0</v>
      </c>
      <c r="G36" s="114"/>
      <c r="H36" s="114"/>
      <c r="I36" s="114"/>
      <c r="J36" s="114"/>
      <c r="K36" s="115">
        <f t="shared" si="1"/>
        <v>0</v>
      </c>
      <c r="L36" s="113"/>
      <c r="M36" s="259">
        <f t="shared" si="2"/>
        <v>0</v>
      </c>
      <c r="N36" s="114">
        <f t="shared" si="4"/>
        <v>0</v>
      </c>
    </row>
    <row r="37" spans="1:14" x14ac:dyDescent="0.25">
      <c r="A37" s="110">
        <f t="shared" si="5"/>
        <v>44133</v>
      </c>
      <c r="B37" s="111">
        <f t="shared" si="0"/>
        <v>0</v>
      </c>
      <c r="C37" s="113"/>
      <c r="D37" s="111">
        <f t="shared" si="3"/>
        <v>0</v>
      </c>
      <c r="E37" s="86"/>
      <c r="F37" s="111">
        <f t="shared" si="6"/>
        <v>0</v>
      </c>
      <c r="G37" s="114"/>
      <c r="H37" s="114"/>
      <c r="I37" s="114"/>
      <c r="J37" s="114"/>
      <c r="K37" s="115">
        <f t="shared" si="1"/>
        <v>0</v>
      </c>
      <c r="L37" s="113"/>
      <c r="M37" s="259">
        <f t="shared" si="2"/>
        <v>0</v>
      </c>
      <c r="N37" s="114">
        <f t="shared" si="4"/>
        <v>0</v>
      </c>
    </row>
    <row r="38" spans="1:14" x14ac:dyDescent="0.25">
      <c r="A38" s="110">
        <f t="shared" si="5"/>
        <v>44134</v>
      </c>
      <c r="B38" s="111">
        <f t="shared" si="0"/>
        <v>0</v>
      </c>
      <c r="C38" s="113"/>
      <c r="D38" s="111">
        <f t="shared" si="3"/>
        <v>0</v>
      </c>
      <c r="E38" s="86"/>
      <c r="F38" s="111">
        <f t="shared" si="6"/>
        <v>0</v>
      </c>
      <c r="G38" s="114"/>
      <c r="H38" s="114"/>
      <c r="I38" s="114"/>
      <c r="J38" s="114"/>
      <c r="K38" s="115">
        <f t="shared" si="1"/>
        <v>0</v>
      </c>
      <c r="L38" s="113"/>
      <c r="M38" s="259">
        <f t="shared" si="2"/>
        <v>0</v>
      </c>
      <c r="N38" s="114">
        <f>+N37+K38-L38</f>
        <v>0</v>
      </c>
    </row>
    <row r="39" spans="1:14" x14ac:dyDescent="0.25">
      <c r="A39" s="110">
        <f t="shared" si="5"/>
        <v>44135</v>
      </c>
      <c r="B39" s="111">
        <f t="shared" si="0"/>
        <v>0</v>
      </c>
      <c r="C39" s="113"/>
      <c r="D39" s="111">
        <f t="shared" si="3"/>
        <v>0</v>
      </c>
      <c r="E39" s="113"/>
      <c r="F39" s="111">
        <f t="shared" si="6"/>
        <v>0</v>
      </c>
      <c r="G39" s="114"/>
      <c r="H39" s="114"/>
      <c r="I39" s="114"/>
      <c r="J39" s="114"/>
      <c r="K39" s="115">
        <f t="shared" si="1"/>
        <v>0</v>
      </c>
      <c r="L39" s="113"/>
      <c r="M39" s="259">
        <f t="shared" si="2"/>
        <v>0</v>
      </c>
      <c r="N39" s="120">
        <f>+N38+K39-L39</f>
        <v>0</v>
      </c>
    </row>
    <row r="40" spans="1:14" x14ac:dyDescent="0.25">
      <c r="A40" s="121" t="s">
        <v>18</v>
      </c>
      <c r="B40" s="115">
        <f t="shared" ref="B40:L40" si="7">SUM(B9:B39)</f>
        <v>0</v>
      </c>
      <c r="C40" s="115">
        <f t="shared" si="7"/>
        <v>0</v>
      </c>
      <c r="D40" s="122">
        <f t="shared" si="7"/>
        <v>0</v>
      </c>
      <c r="E40" s="115">
        <f t="shared" si="7"/>
        <v>0</v>
      </c>
      <c r="F40" s="115">
        <f t="shared" si="7"/>
        <v>0</v>
      </c>
      <c r="G40" s="115">
        <f t="shared" si="7"/>
        <v>0</v>
      </c>
      <c r="H40" s="115">
        <f t="shared" si="7"/>
        <v>0</v>
      </c>
      <c r="I40" s="115">
        <f t="shared" si="7"/>
        <v>0</v>
      </c>
      <c r="J40" s="115">
        <f t="shared" si="7"/>
        <v>0</v>
      </c>
      <c r="K40" s="115">
        <f t="shared" si="7"/>
        <v>0</v>
      </c>
      <c r="L40" s="115">
        <f t="shared" si="7"/>
        <v>0</v>
      </c>
      <c r="M40" s="120">
        <f>SUM(M8:M39)</f>
        <v>0</v>
      </c>
      <c r="N40" s="123"/>
    </row>
    <row r="41" spans="1:14" x14ac:dyDescent="0.25">
      <c r="A41" s="241"/>
      <c r="B41" s="241"/>
      <c r="C41" s="241"/>
      <c r="D41" s="242"/>
      <c r="E41" s="241"/>
      <c r="F41" s="241"/>
      <c r="G41" s="241"/>
      <c r="H41" s="241"/>
      <c r="I41" s="241"/>
      <c r="J41" s="241"/>
      <c r="K41" s="241"/>
      <c r="L41" s="241"/>
      <c r="M41" s="241"/>
      <c r="N41" s="241"/>
    </row>
    <row r="42" spans="1:14" x14ac:dyDescent="0.25">
      <c r="A42" s="243" t="s">
        <v>121</v>
      </c>
      <c r="B42" s="243" t="s">
        <v>61</v>
      </c>
      <c r="C42" s="243" t="s">
        <v>122</v>
      </c>
      <c r="D42" s="244" t="s">
        <v>39</v>
      </c>
    </row>
    <row r="43" spans="1:14" x14ac:dyDescent="0.25">
      <c r="A43" s="243" t="s">
        <v>15</v>
      </c>
      <c r="B43" s="245">
        <f>B40</f>
        <v>0</v>
      </c>
      <c r="C43" s="243"/>
      <c r="D43" s="244">
        <f>B43*C43</f>
        <v>0</v>
      </c>
    </row>
    <row r="44" spans="1:14" x14ac:dyDescent="0.25">
      <c r="A44" s="243" t="s">
        <v>16</v>
      </c>
      <c r="B44" s="244">
        <f>D40</f>
        <v>0</v>
      </c>
      <c r="C44" s="243">
        <v>5</v>
      </c>
      <c r="D44" s="244">
        <f>B44*C44</f>
        <v>0</v>
      </c>
      <c r="H44" s="246"/>
      <c r="K44" s="246"/>
      <c r="L44" s="246"/>
      <c r="M44" s="246"/>
    </row>
    <row r="45" spans="1:14" x14ac:dyDescent="0.25">
      <c r="A45" s="243" t="s">
        <v>17</v>
      </c>
      <c r="B45" s="245">
        <f>F40</f>
        <v>0</v>
      </c>
      <c r="C45" s="243"/>
      <c r="D45" s="244">
        <f>B45*C45</f>
        <v>0</v>
      </c>
      <c r="E45" s="239"/>
      <c r="N45" s="246"/>
    </row>
    <row r="46" spans="1:14" x14ac:dyDescent="0.25">
      <c r="A46" s="247" t="s">
        <v>18</v>
      </c>
      <c r="B46" s="248"/>
      <c r="C46" s="249"/>
      <c r="D46" s="244">
        <f>SUM(D43:D45)</f>
        <v>0</v>
      </c>
      <c r="N46" s="246"/>
    </row>
    <row r="48" spans="1:14" x14ac:dyDescent="0.25">
      <c r="C48" s="238" t="s">
        <v>174</v>
      </c>
    </row>
  </sheetData>
  <mergeCells count="7">
    <mergeCell ref="N6:N7"/>
    <mergeCell ref="H6:H8"/>
    <mergeCell ref="I6:I8"/>
    <mergeCell ref="J6:J8"/>
    <mergeCell ref="K6:K8"/>
    <mergeCell ref="L6:L7"/>
    <mergeCell ref="M6:M7"/>
  </mergeCells>
  <pageMargins left="0.55118110236220474" right="0.27559055118110237" top="0.47244094488188981" bottom="0.47244094488188981" header="0.31496062992125984" footer="0.31496062992125984"/>
  <pageSetup paperSize="9" scale="62" orientation="landscape" r:id="rId1"/>
  <drawing r:id="rId2"/>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1">
    <tabColor theme="4" tint="-0.249977111117893"/>
  </sheetPr>
  <dimension ref="A2:Q43"/>
  <sheetViews>
    <sheetView zoomScaleNormal="100" workbookViewId="0">
      <selection activeCell="P19" sqref="P19"/>
    </sheetView>
  </sheetViews>
  <sheetFormatPr baseColWidth="10" defaultRowHeight="15" x14ac:dyDescent="0.2"/>
  <cols>
    <col min="1" max="4" width="11.42578125" style="37"/>
    <col min="5" max="5" width="12.140625" style="37" bestFit="1" customWidth="1"/>
    <col min="6" max="10" width="11.42578125" style="37"/>
    <col min="11" max="11" width="12.140625" style="37" bestFit="1" customWidth="1"/>
    <col min="12" max="12" width="14.140625" style="37" bestFit="1" customWidth="1"/>
    <col min="13" max="13" width="15.28515625" style="37" customWidth="1"/>
    <col min="14" max="14" width="16.85546875" style="37" customWidth="1"/>
    <col min="15" max="16384" width="11.42578125" style="37"/>
  </cols>
  <sheetData>
    <row r="2" spans="1:14" ht="21" x14ac:dyDescent="0.35">
      <c r="A2" s="1" t="s">
        <v>118</v>
      </c>
      <c r="B2" s="52" t="s">
        <v>190</v>
      </c>
    </row>
    <row r="3" spans="1:14" ht="15.75" x14ac:dyDescent="0.25">
      <c r="C3" s="99"/>
      <c r="K3" s="116"/>
    </row>
    <row r="4" spans="1:14" ht="18.75" x14ac:dyDescent="0.3">
      <c r="A4" s="1" t="s">
        <v>19</v>
      </c>
      <c r="B4" s="142">
        <v>44105</v>
      </c>
      <c r="C4" s="1"/>
    </row>
    <row r="5" spans="1:14" ht="16.5" x14ac:dyDescent="0.3">
      <c r="A5" s="1"/>
      <c r="B5" s="1"/>
      <c r="C5" s="1"/>
    </row>
    <row r="6" spans="1:14" ht="16.5" x14ac:dyDescent="0.2">
      <c r="A6" s="100" t="s">
        <v>3</v>
      </c>
      <c r="B6" s="101" t="s">
        <v>15</v>
      </c>
      <c r="C6" s="102"/>
      <c r="D6" s="101" t="s">
        <v>16</v>
      </c>
      <c r="E6" s="102"/>
      <c r="F6" s="101" t="s">
        <v>17</v>
      </c>
      <c r="G6" s="102"/>
      <c r="H6" s="3065" t="s">
        <v>52</v>
      </c>
      <c r="I6" s="3065" t="s">
        <v>53</v>
      </c>
      <c r="J6" s="3065" t="s">
        <v>119</v>
      </c>
      <c r="K6" s="2910" t="s">
        <v>18</v>
      </c>
      <c r="L6" s="2910" t="s">
        <v>60</v>
      </c>
      <c r="M6" s="2910" t="s">
        <v>55</v>
      </c>
      <c r="N6" s="2910" t="s">
        <v>120</v>
      </c>
    </row>
    <row r="7" spans="1:14" ht="21" x14ac:dyDescent="0.2">
      <c r="A7" s="103"/>
      <c r="B7" s="915">
        <v>650</v>
      </c>
      <c r="C7" s="916"/>
      <c r="D7" s="915">
        <v>600</v>
      </c>
      <c r="E7" s="916"/>
      <c r="F7" s="915">
        <v>350</v>
      </c>
      <c r="G7" s="916"/>
      <c r="H7" s="3071"/>
      <c r="I7" s="3071"/>
      <c r="J7" s="3071"/>
      <c r="K7" s="2911"/>
      <c r="L7" s="2911"/>
      <c r="M7" s="2911"/>
      <c r="N7" s="2911"/>
    </row>
    <row r="8" spans="1:14" ht="16.5" x14ac:dyDescent="0.2">
      <c r="A8" s="105"/>
      <c r="B8" s="106" t="s">
        <v>56</v>
      </c>
      <c r="C8" s="106" t="s">
        <v>37</v>
      </c>
      <c r="D8" s="107" t="s">
        <v>56</v>
      </c>
      <c r="E8" s="106" t="s">
        <v>37</v>
      </c>
      <c r="F8" s="106" t="s">
        <v>56</v>
      </c>
      <c r="G8" s="106" t="s">
        <v>37</v>
      </c>
      <c r="H8" s="3066"/>
      <c r="I8" s="3066"/>
      <c r="J8" s="3066"/>
      <c r="K8" s="132"/>
      <c r="L8" s="133"/>
      <c r="M8" s="114">
        <v>707905</v>
      </c>
      <c r="N8" s="118">
        <f>M8</f>
        <v>707905</v>
      </c>
    </row>
    <row r="9" spans="1:14" ht="16.5" x14ac:dyDescent="0.3">
      <c r="A9" s="110">
        <f>+'GREEN OIL'!A9</f>
        <v>44105</v>
      </c>
      <c r="B9" s="111">
        <f>C9/B$7</f>
        <v>0</v>
      </c>
      <c r="C9" s="112"/>
      <c r="D9" s="111">
        <f>+E9/D$7</f>
        <v>0</v>
      </c>
      <c r="E9" s="113"/>
      <c r="F9" s="111">
        <f>+G9/F$7</f>
        <v>0</v>
      </c>
      <c r="G9" s="114"/>
      <c r="H9" s="114"/>
      <c r="I9" s="114"/>
      <c r="J9" s="114"/>
      <c r="K9" s="115">
        <f t="shared" ref="K9:K39" si="0">C9+E9+G9+H9+I9+J9</f>
        <v>0</v>
      </c>
      <c r="L9" s="113"/>
      <c r="M9" s="257">
        <f>K9-L9</f>
        <v>0</v>
      </c>
      <c r="N9" s="118">
        <f>+N8+K9-L9</f>
        <v>707905</v>
      </c>
    </row>
    <row r="10" spans="1:14" ht="16.5" x14ac:dyDescent="0.3">
      <c r="A10" s="110">
        <f>+A9+1</f>
        <v>44106</v>
      </c>
      <c r="B10" s="111">
        <f t="shared" ref="B10:B39" si="1">C10/B$7</f>
        <v>0</v>
      </c>
      <c r="C10" s="112"/>
      <c r="D10" s="111">
        <f t="shared" ref="D10:F25" si="2">+E10/D$7</f>
        <v>0</v>
      </c>
      <c r="E10" s="113"/>
      <c r="F10" s="111">
        <f>+G10/F$7</f>
        <v>0</v>
      </c>
      <c r="G10" s="114"/>
      <c r="H10" s="114"/>
      <c r="I10" s="114"/>
      <c r="J10" s="114"/>
      <c r="K10" s="115">
        <f t="shared" si="0"/>
        <v>0</v>
      </c>
      <c r="L10" s="86"/>
      <c r="M10" s="257">
        <f t="shared" ref="M10:M39" si="3">K10-L10</f>
        <v>0</v>
      </c>
      <c r="N10" s="114">
        <f t="shared" ref="N10:N38" si="4">+N9+K10-L10</f>
        <v>707905</v>
      </c>
    </row>
    <row r="11" spans="1:14" ht="16.5" x14ac:dyDescent="0.25">
      <c r="A11" s="110">
        <f t="shared" ref="A11:A39" si="5">+A10+1</f>
        <v>44107</v>
      </c>
      <c r="B11" s="111">
        <f t="shared" si="1"/>
        <v>0</v>
      </c>
      <c r="C11" s="113"/>
      <c r="D11" s="111">
        <f t="shared" si="2"/>
        <v>0</v>
      </c>
      <c r="E11" s="113"/>
      <c r="F11" s="111">
        <f t="shared" si="2"/>
        <v>0</v>
      </c>
      <c r="G11" s="114"/>
      <c r="H11" s="114"/>
      <c r="I11" s="114"/>
      <c r="J11" s="114"/>
      <c r="K11" s="115">
        <f t="shared" si="0"/>
        <v>0</v>
      </c>
      <c r="L11" s="86"/>
      <c r="M11" s="257">
        <f t="shared" si="3"/>
        <v>0</v>
      </c>
      <c r="N11" s="114">
        <f t="shared" si="4"/>
        <v>707905</v>
      </c>
    </row>
    <row r="12" spans="1:14" ht="16.5" x14ac:dyDescent="0.25">
      <c r="A12" s="110">
        <f t="shared" si="5"/>
        <v>44108</v>
      </c>
      <c r="B12" s="111">
        <f t="shared" si="1"/>
        <v>0</v>
      </c>
      <c r="C12" s="113"/>
      <c r="D12" s="111">
        <f t="shared" si="2"/>
        <v>0</v>
      </c>
      <c r="E12" s="113"/>
      <c r="F12" s="111">
        <f t="shared" si="2"/>
        <v>0</v>
      </c>
      <c r="G12" s="114"/>
      <c r="H12" s="114"/>
      <c r="I12" s="114"/>
      <c r="J12" s="114"/>
      <c r="K12" s="115">
        <f t="shared" si="0"/>
        <v>0</v>
      </c>
      <c r="L12" s="86"/>
      <c r="M12" s="257">
        <f t="shared" si="3"/>
        <v>0</v>
      </c>
      <c r="N12" s="114">
        <f t="shared" si="4"/>
        <v>707905</v>
      </c>
    </row>
    <row r="13" spans="1:14" ht="16.5" x14ac:dyDescent="0.3">
      <c r="A13" s="110">
        <f t="shared" si="5"/>
        <v>44109</v>
      </c>
      <c r="B13" s="111">
        <f t="shared" si="1"/>
        <v>0</v>
      </c>
      <c r="C13" s="112"/>
      <c r="D13" s="111">
        <f t="shared" si="2"/>
        <v>0</v>
      </c>
      <c r="E13" s="113"/>
      <c r="F13" s="111">
        <f t="shared" si="2"/>
        <v>0</v>
      </c>
      <c r="G13" s="114"/>
      <c r="H13" s="114"/>
      <c r="I13" s="114"/>
      <c r="J13" s="114"/>
      <c r="K13" s="115">
        <f t="shared" si="0"/>
        <v>0</v>
      </c>
      <c r="L13" s="86"/>
      <c r="M13" s="257">
        <f t="shared" si="3"/>
        <v>0</v>
      </c>
      <c r="N13" s="114">
        <f t="shared" si="4"/>
        <v>707905</v>
      </c>
    </row>
    <row r="14" spans="1:14" ht="16.5" x14ac:dyDescent="0.3">
      <c r="A14" s="110">
        <f t="shared" si="5"/>
        <v>44110</v>
      </c>
      <c r="B14" s="111">
        <f t="shared" si="1"/>
        <v>0</v>
      </c>
      <c r="C14" s="112"/>
      <c r="D14" s="111">
        <f t="shared" si="2"/>
        <v>0</v>
      </c>
      <c r="E14" s="113"/>
      <c r="F14" s="111">
        <f t="shared" si="2"/>
        <v>0</v>
      </c>
      <c r="G14" s="114"/>
      <c r="H14" s="114"/>
      <c r="I14" s="114"/>
      <c r="J14" s="114"/>
      <c r="K14" s="115">
        <f t="shared" si="0"/>
        <v>0</v>
      </c>
      <c r="L14" s="86"/>
      <c r="M14" s="257">
        <f t="shared" si="3"/>
        <v>0</v>
      </c>
      <c r="N14" s="114">
        <f t="shared" si="4"/>
        <v>707905</v>
      </c>
    </row>
    <row r="15" spans="1:14" ht="16.5" x14ac:dyDescent="0.25">
      <c r="A15" s="110">
        <f t="shared" si="5"/>
        <v>44111</v>
      </c>
      <c r="B15" s="111">
        <f t="shared" si="1"/>
        <v>0</v>
      </c>
      <c r="C15" s="113"/>
      <c r="D15" s="111">
        <f t="shared" si="2"/>
        <v>0</v>
      </c>
      <c r="E15" s="113"/>
      <c r="F15" s="111">
        <f t="shared" si="2"/>
        <v>0</v>
      </c>
      <c r="G15" s="114"/>
      <c r="H15" s="114"/>
      <c r="I15" s="114"/>
      <c r="J15" s="114"/>
      <c r="K15" s="115">
        <f t="shared" si="0"/>
        <v>0</v>
      </c>
      <c r="L15" s="86"/>
      <c r="M15" s="257">
        <f t="shared" si="3"/>
        <v>0</v>
      </c>
      <c r="N15" s="114">
        <f t="shared" si="4"/>
        <v>707905</v>
      </c>
    </row>
    <row r="16" spans="1:14" ht="16.5" x14ac:dyDescent="0.25">
      <c r="A16" s="110">
        <f t="shared" si="5"/>
        <v>44112</v>
      </c>
      <c r="B16" s="111"/>
      <c r="C16" s="113"/>
      <c r="D16" s="111">
        <f t="shared" si="2"/>
        <v>0</v>
      </c>
      <c r="E16" s="86"/>
      <c r="F16" s="111">
        <f t="shared" si="2"/>
        <v>0</v>
      </c>
      <c r="G16" s="114"/>
      <c r="H16" s="114"/>
      <c r="I16" s="114"/>
      <c r="J16" s="114"/>
      <c r="K16" s="115">
        <f t="shared" si="0"/>
        <v>0</v>
      </c>
      <c r="L16" s="86"/>
      <c r="M16" s="257">
        <f t="shared" si="3"/>
        <v>0</v>
      </c>
      <c r="N16" s="114">
        <f t="shared" si="4"/>
        <v>707905</v>
      </c>
    </row>
    <row r="17" spans="1:17" ht="16.5" x14ac:dyDescent="0.25">
      <c r="A17" s="110">
        <f t="shared" si="5"/>
        <v>44113</v>
      </c>
      <c r="B17" s="117">
        <f t="shared" si="1"/>
        <v>0</v>
      </c>
      <c r="C17" s="86"/>
      <c r="D17" s="117">
        <f t="shared" si="2"/>
        <v>0</v>
      </c>
      <c r="E17" s="86"/>
      <c r="F17" s="111">
        <f t="shared" si="2"/>
        <v>0</v>
      </c>
      <c r="G17" s="118"/>
      <c r="H17" s="118"/>
      <c r="I17" s="118"/>
      <c r="J17" s="118"/>
      <c r="K17" s="134">
        <f t="shared" si="0"/>
        <v>0</v>
      </c>
      <c r="L17" s="86"/>
      <c r="M17" s="257">
        <f t="shared" si="3"/>
        <v>0</v>
      </c>
      <c r="N17" s="114">
        <f t="shared" si="4"/>
        <v>707905</v>
      </c>
    </row>
    <row r="18" spans="1:17" ht="16.5" x14ac:dyDescent="0.25">
      <c r="A18" s="110">
        <f t="shared" si="5"/>
        <v>44114</v>
      </c>
      <c r="B18" s="117">
        <f t="shared" si="1"/>
        <v>0</v>
      </c>
      <c r="C18" s="86"/>
      <c r="D18" s="117">
        <f t="shared" si="2"/>
        <v>0</v>
      </c>
      <c r="E18" s="86"/>
      <c r="F18" s="111">
        <f t="shared" si="2"/>
        <v>0</v>
      </c>
      <c r="G18" s="118"/>
      <c r="H18" s="118"/>
      <c r="I18" s="118"/>
      <c r="J18" s="118"/>
      <c r="K18" s="134">
        <f t="shared" si="0"/>
        <v>0</v>
      </c>
      <c r="L18" s="86"/>
      <c r="M18" s="257">
        <f t="shared" si="3"/>
        <v>0</v>
      </c>
      <c r="N18" s="114">
        <f t="shared" si="4"/>
        <v>707905</v>
      </c>
    </row>
    <row r="19" spans="1:17" ht="16.5" x14ac:dyDescent="0.25">
      <c r="A19" s="110">
        <f t="shared" si="5"/>
        <v>44115</v>
      </c>
      <c r="B19" s="117">
        <f t="shared" si="1"/>
        <v>0</v>
      </c>
      <c r="C19" s="86"/>
      <c r="D19" s="117">
        <f t="shared" si="2"/>
        <v>0</v>
      </c>
      <c r="E19" s="86"/>
      <c r="F19" s="111">
        <f t="shared" si="2"/>
        <v>0</v>
      </c>
      <c r="G19" s="118"/>
      <c r="H19" s="118"/>
      <c r="I19" s="118"/>
      <c r="J19" s="118"/>
      <c r="K19" s="134">
        <f>C19+E19+G19+H19+I19+J19</f>
        <v>0</v>
      </c>
      <c r="L19" s="86"/>
      <c r="M19" s="257">
        <f t="shared" si="3"/>
        <v>0</v>
      </c>
      <c r="N19" s="114">
        <f>+N18+K19-L19</f>
        <v>707905</v>
      </c>
    </row>
    <row r="20" spans="1:17" ht="16.5" x14ac:dyDescent="0.25">
      <c r="A20" s="110">
        <f t="shared" si="5"/>
        <v>44116</v>
      </c>
      <c r="B20" s="117">
        <f t="shared" si="1"/>
        <v>0</v>
      </c>
      <c r="C20" s="86"/>
      <c r="D20" s="117">
        <f t="shared" si="2"/>
        <v>0</v>
      </c>
      <c r="E20" s="86"/>
      <c r="F20" s="111">
        <f t="shared" si="2"/>
        <v>0</v>
      </c>
      <c r="G20" s="118"/>
      <c r="H20" s="118"/>
      <c r="I20" s="118"/>
      <c r="J20" s="118"/>
      <c r="K20" s="134">
        <f t="shared" si="0"/>
        <v>0</v>
      </c>
      <c r="L20" s="86"/>
      <c r="M20" s="257">
        <f t="shared" si="3"/>
        <v>0</v>
      </c>
      <c r="N20" s="114">
        <f t="shared" si="4"/>
        <v>707905</v>
      </c>
      <c r="Q20" s="37" t="s">
        <v>169</v>
      </c>
    </row>
    <row r="21" spans="1:17" ht="16.5" x14ac:dyDescent="0.25">
      <c r="A21" s="110">
        <f t="shared" si="5"/>
        <v>44117</v>
      </c>
      <c r="B21" s="117">
        <f t="shared" si="1"/>
        <v>0</v>
      </c>
      <c r="C21" s="86"/>
      <c r="D21" s="117">
        <f t="shared" si="2"/>
        <v>0</v>
      </c>
      <c r="E21" s="86"/>
      <c r="F21" s="111">
        <f t="shared" si="2"/>
        <v>0</v>
      </c>
      <c r="G21" s="118"/>
      <c r="H21" s="118"/>
      <c r="I21" s="118"/>
      <c r="J21" s="118"/>
      <c r="K21" s="134">
        <f t="shared" si="0"/>
        <v>0</v>
      </c>
      <c r="L21" s="86"/>
      <c r="M21" s="257">
        <f t="shared" si="3"/>
        <v>0</v>
      </c>
      <c r="N21" s="114">
        <f t="shared" si="4"/>
        <v>707905</v>
      </c>
    </row>
    <row r="22" spans="1:17" ht="16.5" x14ac:dyDescent="0.25">
      <c r="A22" s="110">
        <f t="shared" si="5"/>
        <v>44118</v>
      </c>
      <c r="B22" s="117">
        <f t="shared" si="1"/>
        <v>0</v>
      </c>
      <c r="C22" s="86"/>
      <c r="D22" s="117">
        <f t="shared" si="2"/>
        <v>0</v>
      </c>
      <c r="E22" s="86"/>
      <c r="F22" s="111">
        <f t="shared" si="2"/>
        <v>0</v>
      </c>
      <c r="G22" s="118"/>
      <c r="H22" s="118"/>
      <c r="I22" s="118"/>
      <c r="J22" s="118"/>
      <c r="K22" s="134">
        <f t="shared" si="0"/>
        <v>0</v>
      </c>
      <c r="L22" s="86"/>
      <c r="M22" s="257">
        <f t="shared" si="3"/>
        <v>0</v>
      </c>
      <c r="N22" s="114">
        <f t="shared" si="4"/>
        <v>707905</v>
      </c>
    </row>
    <row r="23" spans="1:17" ht="16.5" x14ac:dyDescent="0.25">
      <c r="A23" s="110">
        <f t="shared" si="5"/>
        <v>44119</v>
      </c>
      <c r="B23" s="117">
        <f t="shared" si="1"/>
        <v>0</v>
      </c>
      <c r="C23" s="86"/>
      <c r="D23" s="117">
        <f t="shared" si="2"/>
        <v>0</v>
      </c>
      <c r="E23" s="86"/>
      <c r="F23" s="117">
        <f t="shared" si="2"/>
        <v>0</v>
      </c>
      <c r="G23" s="118"/>
      <c r="H23" s="118"/>
      <c r="I23" s="118"/>
      <c r="J23" s="118"/>
      <c r="K23" s="134">
        <f t="shared" si="0"/>
        <v>0</v>
      </c>
      <c r="L23" s="86"/>
      <c r="M23" s="257">
        <f t="shared" si="3"/>
        <v>0</v>
      </c>
      <c r="N23" s="114">
        <f t="shared" si="4"/>
        <v>707905</v>
      </c>
    </row>
    <row r="24" spans="1:17" ht="16.5" x14ac:dyDescent="0.25">
      <c r="A24" s="110">
        <f t="shared" si="5"/>
        <v>44120</v>
      </c>
      <c r="B24" s="117">
        <f t="shared" si="1"/>
        <v>0</v>
      </c>
      <c r="C24" s="86"/>
      <c r="D24" s="117">
        <f t="shared" si="2"/>
        <v>0</v>
      </c>
      <c r="E24" s="86"/>
      <c r="F24" s="117">
        <f t="shared" si="2"/>
        <v>0</v>
      </c>
      <c r="G24" s="118"/>
      <c r="H24" s="118"/>
      <c r="I24" s="118"/>
      <c r="J24" s="118"/>
      <c r="K24" s="134">
        <f t="shared" si="0"/>
        <v>0</v>
      </c>
      <c r="L24" s="113"/>
      <c r="M24" s="257">
        <f t="shared" si="3"/>
        <v>0</v>
      </c>
      <c r="N24" s="114">
        <f t="shared" si="4"/>
        <v>707905</v>
      </c>
    </row>
    <row r="25" spans="1:17" ht="16.5" x14ac:dyDescent="0.25">
      <c r="A25" s="110">
        <f t="shared" si="5"/>
        <v>44121</v>
      </c>
      <c r="B25" s="117">
        <f t="shared" si="1"/>
        <v>0</v>
      </c>
      <c r="C25" s="86"/>
      <c r="D25" s="117">
        <f t="shared" si="2"/>
        <v>0</v>
      </c>
      <c r="E25" s="113"/>
      <c r="F25" s="117">
        <f t="shared" si="2"/>
        <v>0</v>
      </c>
      <c r="G25" s="118"/>
      <c r="H25" s="118"/>
      <c r="I25" s="118"/>
      <c r="J25" s="118"/>
      <c r="K25" s="134">
        <f t="shared" si="0"/>
        <v>0</v>
      </c>
      <c r="L25" s="113"/>
      <c r="M25" s="257">
        <f t="shared" si="3"/>
        <v>0</v>
      </c>
      <c r="N25" s="114">
        <f t="shared" si="4"/>
        <v>707905</v>
      </c>
    </row>
    <row r="26" spans="1:17" ht="16.5" x14ac:dyDescent="0.25">
      <c r="A26" s="110">
        <f t="shared" si="5"/>
        <v>44122</v>
      </c>
      <c r="B26" s="117">
        <f t="shared" si="1"/>
        <v>0</v>
      </c>
      <c r="C26" s="86"/>
      <c r="D26" s="117">
        <f t="shared" ref="D26:F41" si="6">+E26/D$7</f>
        <v>0</v>
      </c>
      <c r="E26" s="113"/>
      <c r="F26" s="117">
        <f t="shared" si="6"/>
        <v>0</v>
      </c>
      <c r="G26" s="118"/>
      <c r="H26" s="118"/>
      <c r="I26" s="118"/>
      <c r="J26" s="118"/>
      <c r="K26" s="134">
        <f t="shared" si="0"/>
        <v>0</v>
      </c>
      <c r="L26" s="113"/>
      <c r="M26" s="257">
        <f t="shared" si="3"/>
        <v>0</v>
      </c>
      <c r="N26" s="114">
        <f t="shared" si="4"/>
        <v>707905</v>
      </c>
    </row>
    <row r="27" spans="1:17" ht="16.5" x14ac:dyDescent="0.25">
      <c r="A27" s="110">
        <f t="shared" si="5"/>
        <v>44123</v>
      </c>
      <c r="B27" s="117">
        <f t="shared" si="1"/>
        <v>0</v>
      </c>
      <c r="C27" s="86"/>
      <c r="D27" s="117">
        <f t="shared" si="6"/>
        <v>0</v>
      </c>
      <c r="E27" s="113"/>
      <c r="F27" s="117">
        <f t="shared" si="6"/>
        <v>0</v>
      </c>
      <c r="G27" s="118"/>
      <c r="H27" s="118"/>
      <c r="I27" s="118"/>
      <c r="J27" s="118"/>
      <c r="K27" s="134">
        <f t="shared" si="0"/>
        <v>0</v>
      </c>
      <c r="L27" s="113"/>
      <c r="M27" s="257">
        <f t="shared" si="3"/>
        <v>0</v>
      </c>
      <c r="N27" s="114">
        <f t="shared" si="4"/>
        <v>707905</v>
      </c>
    </row>
    <row r="28" spans="1:17" ht="16.5" x14ac:dyDescent="0.25">
      <c r="A28" s="110">
        <f t="shared" si="5"/>
        <v>44124</v>
      </c>
      <c r="B28" s="117">
        <f t="shared" si="1"/>
        <v>0</v>
      </c>
      <c r="C28" s="86"/>
      <c r="D28" s="117">
        <f t="shared" si="6"/>
        <v>0</v>
      </c>
      <c r="E28" s="113"/>
      <c r="F28" s="117">
        <f t="shared" si="6"/>
        <v>0</v>
      </c>
      <c r="G28" s="118"/>
      <c r="H28" s="118"/>
      <c r="I28" s="118"/>
      <c r="J28" s="118"/>
      <c r="K28" s="134">
        <f t="shared" si="0"/>
        <v>0</v>
      </c>
      <c r="L28" s="113"/>
      <c r="M28" s="257">
        <f t="shared" si="3"/>
        <v>0</v>
      </c>
      <c r="N28" s="114">
        <f t="shared" si="4"/>
        <v>707905</v>
      </c>
    </row>
    <row r="29" spans="1:17" ht="16.5" x14ac:dyDescent="0.25">
      <c r="A29" s="110">
        <f t="shared" si="5"/>
        <v>44125</v>
      </c>
      <c r="B29" s="117">
        <f t="shared" si="1"/>
        <v>0</v>
      </c>
      <c r="C29" s="86"/>
      <c r="D29" s="117">
        <f t="shared" si="6"/>
        <v>0</v>
      </c>
      <c r="E29" s="113"/>
      <c r="F29" s="117">
        <f t="shared" si="6"/>
        <v>0</v>
      </c>
      <c r="G29" s="118"/>
      <c r="H29" s="118"/>
      <c r="I29" s="118"/>
      <c r="J29" s="118"/>
      <c r="K29" s="134">
        <f t="shared" si="0"/>
        <v>0</v>
      </c>
      <c r="L29" s="113"/>
      <c r="M29" s="257">
        <f t="shared" si="3"/>
        <v>0</v>
      </c>
      <c r="N29" s="114">
        <f t="shared" si="4"/>
        <v>707905</v>
      </c>
    </row>
    <row r="30" spans="1:17" ht="16.5" x14ac:dyDescent="0.25">
      <c r="A30" s="110">
        <f t="shared" si="5"/>
        <v>44126</v>
      </c>
      <c r="B30" s="117">
        <f t="shared" si="1"/>
        <v>0</v>
      </c>
      <c r="C30" s="86"/>
      <c r="D30" s="117">
        <f t="shared" si="6"/>
        <v>0</v>
      </c>
      <c r="E30" s="113"/>
      <c r="F30" s="117">
        <f t="shared" si="6"/>
        <v>0</v>
      </c>
      <c r="G30" s="118"/>
      <c r="H30" s="118"/>
      <c r="I30" s="118"/>
      <c r="J30" s="118"/>
      <c r="K30" s="134">
        <f t="shared" si="0"/>
        <v>0</v>
      </c>
      <c r="L30" s="113"/>
      <c r="M30" s="257">
        <f t="shared" si="3"/>
        <v>0</v>
      </c>
      <c r="N30" s="114">
        <f t="shared" si="4"/>
        <v>707905</v>
      </c>
    </row>
    <row r="31" spans="1:17" s="1555" customFormat="1" ht="16.5" x14ac:dyDescent="0.25">
      <c r="A31" s="1547">
        <f t="shared" si="5"/>
        <v>44127</v>
      </c>
      <c r="B31" s="1549">
        <f t="shared" si="1"/>
        <v>0</v>
      </c>
      <c r="C31" s="1532"/>
      <c r="D31" s="1549">
        <f t="shared" si="6"/>
        <v>0</v>
      </c>
      <c r="E31" s="1532"/>
      <c r="F31" s="1549">
        <f t="shared" si="6"/>
        <v>0</v>
      </c>
      <c r="G31" s="1548"/>
      <c r="H31" s="1548"/>
      <c r="I31" s="1548"/>
      <c r="J31" s="1548"/>
      <c r="K31" s="1550">
        <f t="shared" si="0"/>
        <v>0</v>
      </c>
      <c r="L31" s="1532"/>
      <c r="M31" s="257">
        <f t="shared" si="3"/>
        <v>0</v>
      </c>
      <c r="N31" s="1548">
        <f t="shared" si="4"/>
        <v>707905</v>
      </c>
    </row>
    <row r="32" spans="1:17" ht="16.5" x14ac:dyDescent="0.25">
      <c r="A32" s="110">
        <f t="shared" si="5"/>
        <v>44128</v>
      </c>
      <c r="B32" s="111">
        <f t="shared" si="1"/>
        <v>0</v>
      </c>
      <c r="C32" s="113"/>
      <c r="D32" s="117">
        <f t="shared" si="6"/>
        <v>0</v>
      </c>
      <c r="E32" s="113"/>
      <c r="F32" s="111">
        <f t="shared" si="6"/>
        <v>0</v>
      </c>
      <c r="G32" s="114"/>
      <c r="H32" s="114"/>
      <c r="I32" s="114"/>
      <c r="J32" s="114"/>
      <c r="K32" s="115">
        <f t="shared" si="0"/>
        <v>0</v>
      </c>
      <c r="L32" s="113"/>
      <c r="M32" s="257">
        <f t="shared" si="3"/>
        <v>0</v>
      </c>
      <c r="N32" s="114">
        <f t="shared" si="4"/>
        <v>707905</v>
      </c>
    </row>
    <row r="33" spans="1:14" ht="16.5" x14ac:dyDescent="0.25">
      <c r="A33" s="110">
        <f t="shared" si="5"/>
        <v>44129</v>
      </c>
      <c r="B33" s="111">
        <f t="shared" si="1"/>
        <v>0</v>
      </c>
      <c r="C33" s="113"/>
      <c r="D33" s="117">
        <f t="shared" si="6"/>
        <v>0</v>
      </c>
      <c r="E33" s="113"/>
      <c r="F33" s="111">
        <f t="shared" si="6"/>
        <v>0</v>
      </c>
      <c r="G33" s="114"/>
      <c r="H33" s="114"/>
      <c r="I33" s="114"/>
      <c r="J33" s="114"/>
      <c r="K33" s="115">
        <f t="shared" si="0"/>
        <v>0</v>
      </c>
      <c r="L33" s="113"/>
      <c r="M33" s="257">
        <f t="shared" si="3"/>
        <v>0</v>
      </c>
      <c r="N33" s="114">
        <f t="shared" si="4"/>
        <v>707905</v>
      </c>
    </row>
    <row r="34" spans="1:14" ht="16.5" x14ac:dyDescent="0.25">
      <c r="A34" s="110">
        <f t="shared" si="5"/>
        <v>44130</v>
      </c>
      <c r="B34" s="111">
        <f t="shared" si="1"/>
        <v>0</v>
      </c>
      <c r="C34" s="113"/>
      <c r="D34" s="117">
        <f t="shared" si="6"/>
        <v>0</v>
      </c>
      <c r="E34" s="113"/>
      <c r="F34" s="111">
        <f t="shared" si="6"/>
        <v>0</v>
      </c>
      <c r="G34" s="114"/>
      <c r="H34" s="114"/>
      <c r="I34" s="114"/>
      <c r="J34" s="114"/>
      <c r="K34" s="115">
        <f t="shared" si="0"/>
        <v>0</v>
      </c>
      <c r="L34" s="113"/>
      <c r="M34" s="257">
        <f t="shared" si="3"/>
        <v>0</v>
      </c>
      <c r="N34" s="114">
        <f t="shared" si="4"/>
        <v>707905</v>
      </c>
    </row>
    <row r="35" spans="1:14" ht="16.5" x14ac:dyDescent="0.25">
      <c r="A35" s="110">
        <f t="shared" si="5"/>
        <v>44131</v>
      </c>
      <c r="B35" s="111">
        <f t="shared" si="1"/>
        <v>0</v>
      </c>
      <c r="C35" s="113"/>
      <c r="D35" s="117">
        <f t="shared" si="6"/>
        <v>0</v>
      </c>
      <c r="E35" s="113"/>
      <c r="F35" s="111">
        <f t="shared" si="6"/>
        <v>0</v>
      </c>
      <c r="G35" s="114"/>
      <c r="H35" s="114"/>
      <c r="I35" s="114"/>
      <c r="J35" s="114"/>
      <c r="K35" s="115">
        <f t="shared" si="0"/>
        <v>0</v>
      </c>
      <c r="L35" s="113"/>
      <c r="M35" s="257">
        <f t="shared" si="3"/>
        <v>0</v>
      </c>
      <c r="N35" s="114">
        <f t="shared" si="4"/>
        <v>707905</v>
      </c>
    </row>
    <row r="36" spans="1:14" ht="16.5" x14ac:dyDescent="0.25">
      <c r="A36" s="110">
        <f t="shared" si="5"/>
        <v>44132</v>
      </c>
      <c r="B36" s="111">
        <f t="shared" si="1"/>
        <v>0</v>
      </c>
      <c r="C36" s="113"/>
      <c r="D36" s="117">
        <f t="shared" si="6"/>
        <v>0</v>
      </c>
      <c r="E36" s="113"/>
      <c r="F36" s="111">
        <f t="shared" si="6"/>
        <v>0</v>
      </c>
      <c r="G36" s="114"/>
      <c r="H36" s="114"/>
      <c r="I36" s="114"/>
      <c r="J36" s="114"/>
      <c r="K36" s="115">
        <f t="shared" si="0"/>
        <v>0</v>
      </c>
      <c r="L36" s="113"/>
      <c r="M36" s="257">
        <f t="shared" si="3"/>
        <v>0</v>
      </c>
      <c r="N36" s="114">
        <f t="shared" si="4"/>
        <v>707905</v>
      </c>
    </row>
    <row r="37" spans="1:14" ht="16.5" x14ac:dyDescent="0.25">
      <c r="A37" s="110">
        <f t="shared" si="5"/>
        <v>44133</v>
      </c>
      <c r="B37" s="111">
        <f t="shared" si="1"/>
        <v>0</v>
      </c>
      <c r="C37" s="113"/>
      <c r="D37" s="117">
        <f t="shared" si="6"/>
        <v>0</v>
      </c>
      <c r="E37" s="113"/>
      <c r="F37" s="111">
        <f t="shared" si="6"/>
        <v>0</v>
      </c>
      <c r="G37" s="114"/>
      <c r="H37" s="114"/>
      <c r="I37" s="114"/>
      <c r="J37" s="114"/>
      <c r="K37" s="115">
        <f t="shared" si="0"/>
        <v>0</v>
      </c>
      <c r="L37" s="113"/>
      <c r="M37" s="257">
        <f t="shared" si="3"/>
        <v>0</v>
      </c>
      <c r="N37" s="114">
        <f t="shared" si="4"/>
        <v>707905</v>
      </c>
    </row>
    <row r="38" spans="1:14" ht="16.5" x14ac:dyDescent="0.25">
      <c r="A38" s="110">
        <f t="shared" si="5"/>
        <v>44134</v>
      </c>
      <c r="B38" s="111">
        <f t="shared" si="1"/>
        <v>0</v>
      </c>
      <c r="C38" s="113"/>
      <c r="D38" s="117">
        <f t="shared" si="6"/>
        <v>0</v>
      </c>
      <c r="E38" s="113"/>
      <c r="F38" s="111">
        <f t="shared" si="6"/>
        <v>0</v>
      </c>
      <c r="G38" s="114"/>
      <c r="H38" s="114"/>
      <c r="I38" s="114"/>
      <c r="J38" s="114"/>
      <c r="K38" s="115">
        <f t="shared" si="0"/>
        <v>0</v>
      </c>
      <c r="L38" s="113"/>
      <c r="M38" s="257">
        <f t="shared" si="3"/>
        <v>0</v>
      </c>
      <c r="N38" s="114">
        <f t="shared" si="4"/>
        <v>707905</v>
      </c>
    </row>
    <row r="39" spans="1:14" ht="16.5" x14ac:dyDescent="0.25">
      <c r="A39" s="110">
        <f t="shared" si="5"/>
        <v>44135</v>
      </c>
      <c r="B39" s="111">
        <f t="shared" si="1"/>
        <v>0</v>
      </c>
      <c r="C39" s="113"/>
      <c r="D39" s="117">
        <f t="shared" si="6"/>
        <v>0</v>
      </c>
      <c r="E39" s="113"/>
      <c r="F39" s="111">
        <f t="shared" si="6"/>
        <v>0</v>
      </c>
      <c r="G39" s="114"/>
      <c r="H39" s="114"/>
      <c r="I39" s="114"/>
      <c r="J39" s="114"/>
      <c r="K39" s="115">
        <f t="shared" si="0"/>
        <v>0</v>
      </c>
      <c r="L39" s="113"/>
      <c r="M39" s="257">
        <f t="shared" si="3"/>
        <v>0</v>
      </c>
      <c r="N39" s="240">
        <f>+N38+K39-L39</f>
        <v>707905</v>
      </c>
    </row>
    <row r="40" spans="1:14" ht="16.5" x14ac:dyDescent="0.2">
      <c r="A40" s="121" t="s">
        <v>18</v>
      </c>
      <c r="B40" s="137">
        <f>SUM(B9:B39)</f>
        <v>0</v>
      </c>
      <c r="C40" s="115">
        <f>SUM(C9:C39)</f>
        <v>0</v>
      </c>
      <c r="D40" s="117">
        <f t="shared" si="6"/>
        <v>0</v>
      </c>
      <c r="E40" s="115">
        <f>SUM(E9:E39)</f>
        <v>0</v>
      </c>
      <c r="F40" s="115">
        <f t="shared" ref="F40:L40" si="7">SUM(F9:F39)</f>
        <v>0</v>
      </c>
      <c r="G40" s="115">
        <f t="shared" si="7"/>
        <v>0</v>
      </c>
      <c r="H40" s="115">
        <f t="shared" si="7"/>
        <v>0</v>
      </c>
      <c r="I40" s="115">
        <f t="shared" si="7"/>
        <v>0</v>
      </c>
      <c r="J40" s="115">
        <f t="shared" si="7"/>
        <v>0</v>
      </c>
      <c r="K40" s="115">
        <f t="shared" si="7"/>
        <v>0</v>
      </c>
      <c r="L40" s="115">
        <f t="shared" si="7"/>
        <v>0</v>
      </c>
      <c r="M40" s="257">
        <f>N39</f>
        <v>707905</v>
      </c>
      <c r="N40" s="114"/>
    </row>
    <row r="41" spans="1:14" ht="15.75" x14ac:dyDescent="0.2">
      <c r="D41" s="117">
        <f t="shared" si="6"/>
        <v>0</v>
      </c>
    </row>
    <row r="43" spans="1:14" ht="15.75" x14ac:dyDescent="0.25">
      <c r="C43" s="238" t="s">
        <v>175</v>
      </c>
    </row>
  </sheetData>
  <mergeCells count="7">
    <mergeCell ref="I6:I8"/>
    <mergeCell ref="H6:H8"/>
    <mergeCell ref="N6:N7"/>
    <mergeCell ref="K6:K7"/>
    <mergeCell ref="L6:L7"/>
    <mergeCell ref="M6:M7"/>
    <mergeCell ref="J6:J8"/>
  </mergeCells>
  <printOptions horizontalCentered="1"/>
  <pageMargins left="0.39370078740157483" right="0.39370078740157483" top="0.74803149606299213" bottom="0.74803149606299213" header="0.31496062992125984" footer="0.31496062992125984"/>
  <pageSetup paperSize="9" scale="70" orientation="landscape" r:id="rId1"/>
  <drawing r:id="rId2"/>
  <legacyDrawing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2"/>
  <dimension ref="A1:M29"/>
  <sheetViews>
    <sheetView workbookViewId="0">
      <selection activeCell="D6" sqref="D6:D7"/>
    </sheetView>
  </sheetViews>
  <sheetFormatPr baseColWidth="10" defaultRowHeight="12.75" x14ac:dyDescent="0.2"/>
  <cols>
    <col min="2" max="2" width="8.85546875" customWidth="1"/>
    <col min="3" max="3" width="12.85546875" customWidth="1"/>
    <col min="4" max="4" width="14.42578125" customWidth="1"/>
    <col min="5" max="5" width="12.42578125" customWidth="1"/>
    <col min="6" max="6" width="10.85546875" customWidth="1"/>
    <col min="7" max="7" width="7.5703125" customWidth="1"/>
    <col min="8" max="8" width="9.5703125" customWidth="1"/>
    <col min="9" max="10" width="9.85546875" customWidth="1"/>
    <col min="11" max="11" width="9.140625" customWidth="1"/>
    <col min="12" max="12" width="10.5703125" customWidth="1"/>
    <col min="13" max="13" width="16.85546875" customWidth="1"/>
  </cols>
  <sheetData>
    <row r="1" spans="1:13" x14ac:dyDescent="0.2">
      <c r="A1" s="498" t="s">
        <v>170</v>
      </c>
      <c r="B1" s="39"/>
      <c r="C1" s="39"/>
      <c r="D1" s="39"/>
      <c r="E1" s="39"/>
      <c r="F1" s="39"/>
      <c r="G1" s="39"/>
    </row>
    <row r="2" spans="1:13" ht="15.75" x14ac:dyDescent="0.2">
      <c r="A2" s="498" t="s">
        <v>212</v>
      </c>
      <c r="B2" s="39"/>
      <c r="C2" s="39"/>
      <c r="D2" s="3103" t="s">
        <v>281</v>
      </c>
      <c r="E2" s="3103"/>
      <c r="F2" s="3103"/>
      <c r="G2" s="3103"/>
      <c r="H2" s="3103"/>
      <c r="I2" s="3103"/>
      <c r="J2" s="401"/>
    </row>
    <row r="3" spans="1:13" x14ac:dyDescent="0.2">
      <c r="A3" s="39"/>
      <c r="B3" s="39"/>
      <c r="C3" s="39"/>
      <c r="D3" s="39"/>
      <c r="E3" s="39"/>
      <c r="M3" s="497" t="s">
        <v>286</v>
      </c>
    </row>
    <row r="5" spans="1:13" ht="13.5" thickBot="1" x14ac:dyDescent="0.25">
      <c r="A5" s="39" t="s">
        <v>288</v>
      </c>
    </row>
    <row r="6" spans="1:13" ht="14.25" customHeight="1" x14ac:dyDescent="0.2">
      <c r="A6" s="3104" t="s">
        <v>277</v>
      </c>
      <c r="B6" s="3104" t="s">
        <v>148</v>
      </c>
      <c r="C6" s="3104" t="s">
        <v>283</v>
      </c>
      <c r="D6" s="3104" t="s">
        <v>282</v>
      </c>
      <c r="E6" s="3112" t="s">
        <v>284</v>
      </c>
      <c r="F6" s="3113" t="s">
        <v>56</v>
      </c>
      <c r="G6" s="3106" t="s">
        <v>254</v>
      </c>
      <c r="H6" s="3107"/>
      <c r="I6" s="3108"/>
      <c r="J6" s="3109" t="s">
        <v>280</v>
      </c>
      <c r="K6" s="3110"/>
      <c r="L6" s="3111"/>
      <c r="M6" s="3105" t="s">
        <v>287</v>
      </c>
    </row>
    <row r="7" spans="1:13" s="499" customFormat="1" ht="31.5" customHeight="1" x14ac:dyDescent="0.2">
      <c r="A7" s="3104"/>
      <c r="B7" s="3104"/>
      <c r="C7" s="3104"/>
      <c r="D7" s="3104"/>
      <c r="E7" s="3112"/>
      <c r="F7" s="3113"/>
      <c r="G7" s="504" t="s">
        <v>279</v>
      </c>
      <c r="H7" s="488" t="s">
        <v>276</v>
      </c>
      <c r="I7" s="507" t="s">
        <v>285</v>
      </c>
      <c r="J7" s="508" t="s">
        <v>285</v>
      </c>
      <c r="K7" s="488" t="s">
        <v>279</v>
      </c>
      <c r="L7" s="505" t="s">
        <v>278</v>
      </c>
      <c r="M7" s="3105"/>
    </row>
    <row r="8" spans="1:13" ht="20.100000000000001" customHeight="1" x14ac:dyDescent="0.2">
      <c r="A8" s="430"/>
      <c r="B8" s="430"/>
      <c r="C8" s="430"/>
      <c r="D8" s="430"/>
      <c r="E8" s="430"/>
      <c r="F8" s="500"/>
      <c r="G8" s="455"/>
      <c r="H8" s="430"/>
      <c r="I8" s="500"/>
      <c r="J8" s="455"/>
      <c r="K8" s="430"/>
      <c r="L8" s="454"/>
      <c r="M8" s="501"/>
    </row>
    <row r="9" spans="1:13" ht="20.100000000000001" customHeight="1" x14ac:dyDescent="0.2">
      <c r="A9" s="430"/>
      <c r="B9" s="430"/>
      <c r="C9" s="430"/>
      <c r="D9" s="430"/>
      <c r="E9" s="430"/>
      <c r="F9" s="500"/>
      <c r="G9" s="455"/>
      <c r="H9" s="430"/>
      <c r="I9" s="500"/>
      <c r="J9" s="455"/>
      <c r="K9" s="430"/>
      <c r="L9" s="454"/>
      <c r="M9" s="501"/>
    </row>
    <row r="10" spans="1:13" ht="20.100000000000001" customHeight="1" x14ac:dyDescent="0.2">
      <c r="A10" s="430"/>
      <c r="B10" s="430"/>
      <c r="C10" s="430"/>
      <c r="D10" s="430"/>
      <c r="E10" s="430"/>
      <c r="F10" s="500"/>
      <c r="G10" s="455"/>
      <c r="H10" s="430"/>
      <c r="I10" s="500"/>
      <c r="J10" s="455"/>
      <c r="K10" s="430"/>
      <c r="L10" s="454"/>
      <c r="M10" s="501"/>
    </row>
    <row r="11" spans="1:13" ht="20.100000000000001" customHeight="1" x14ac:dyDescent="0.2">
      <c r="A11" s="430"/>
      <c r="B11" s="430"/>
      <c r="C11" s="430"/>
      <c r="D11" s="430"/>
      <c r="E11" s="430"/>
      <c r="F11" s="500"/>
      <c r="G11" s="455"/>
      <c r="H11" s="430"/>
      <c r="I11" s="500"/>
      <c r="J11" s="455"/>
      <c r="K11" s="430"/>
      <c r="L11" s="454"/>
      <c r="M11" s="501"/>
    </row>
    <row r="12" spans="1:13" ht="20.100000000000001" customHeight="1" x14ac:dyDescent="0.2">
      <c r="A12" s="430"/>
      <c r="B12" s="430"/>
      <c r="C12" s="430"/>
      <c r="D12" s="430"/>
      <c r="E12" s="430"/>
      <c r="F12" s="500"/>
      <c r="G12" s="455"/>
      <c r="H12" s="430"/>
      <c r="I12" s="500"/>
      <c r="J12" s="455"/>
      <c r="K12" s="430"/>
      <c r="L12" s="454"/>
      <c r="M12" s="501"/>
    </row>
    <row r="13" spans="1:13" ht="20.100000000000001" customHeight="1" x14ac:dyDescent="0.2">
      <c r="A13" s="430"/>
      <c r="B13" s="430"/>
      <c r="C13" s="430"/>
      <c r="D13" s="430"/>
      <c r="E13" s="430"/>
      <c r="F13" s="500"/>
      <c r="G13" s="455"/>
      <c r="H13" s="430"/>
      <c r="I13" s="500"/>
      <c r="J13" s="455"/>
      <c r="K13" s="430"/>
      <c r="L13" s="454"/>
      <c r="M13" s="501"/>
    </row>
    <row r="14" spans="1:13" ht="20.100000000000001" customHeight="1" x14ac:dyDescent="0.2">
      <c r="A14" s="430"/>
      <c r="B14" s="430"/>
      <c r="C14" s="430"/>
      <c r="D14" s="430"/>
      <c r="E14" s="430"/>
      <c r="F14" s="500"/>
      <c r="G14" s="455"/>
      <c r="H14" s="430"/>
      <c r="I14" s="500"/>
      <c r="J14" s="455"/>
      <c r="K14" s="430"/>
      <c r="L14" s="454"/>
      <c r="M14" s="501"/>
    </row>
    <row r="15" spans="1:13" ht="20.100000000000001" customHeight="1" x14ac:dyDescent="0.2">
      <c r="A15" s="430"/>
      <c r="B15" s="430"/>
      <c r="C15" s="430"/>
      <c r="D15" s="430"/>
      <c r="E15" s="430"/>
      <c r="F15" s="500"/>
      <c r="G15" s="455"/>
      <c r="H15" s="430"/>
      <c r="I15" s="500"/>
      <c r="J15" s="455"/>
      <c r="K15" s="430"/>
      <c r="L15" s="454"/>
      <c r="M15" s="501"/>
    </row>
    <row r="16" spans="1:13" ht="20.100000000000001" customHeight="1" x14ac:dyDescent="0.2">
      <c r="A16" s="430"/>
      <c r="B16" s="430"/>
      <c r="C16" s="430"/>
      <c r="D16" s="430"/>
      <c r="E16" s="430"/>
      <c r="F16" s="500"/>
      <c r="G16" s="455"/>
      <c r="H16" s="430"/>
      <c r="I16" s="500"/>
      <c r="J16" s="455"/>
      <c r="K16" s="430"/>
      <c r="L16" s="454"/>
      <c r="M16" s="501"/>
    </row>
    <row r="17" spans="1:13" ht="20.100000000000001" customHeight="1" x14ac:dyDescent="0.2">
      <c r="A17" s="430"/>
      <c r="B17" s="430"/>
      <c r="C17" s="430"/>
      <c r="D17" s="430"/>
      <c r="E17" s="430"/>
      <c r="F17" s="500"/>
      <c r="G17" s="455"/>
      <c r="H17" s="430"/>
      <c r="I17" s="500"/>
      <c r="J17" s="455"/>
      <c r="K17" s="430"/>
      <c r="L17" s="454"/>
      <c r="M17" s="501"/>
    </row>
    <row r="18" spans="1:13" ht="20.100000000000001" customHeight="1" x14ac:dyDescent="0.2">
      <c r="A18" s="430"/>
      <c r="B18" s="430"/>
      <c r="C18" s="430"/>
      <c r="D18" s="430"/>
      <c r="E18" s="430"/>
      <c r="F18" s="500"/>
      <c r="G18" s="455"/>
      <c r="H18" s="430"/>
      <c r="I18" s="500"/>
      <c r="J18" s="455"/>
      <c r="K18" s="430"/>
      <c r="L18" s="454"/>
      <c r="M18" s="501"/>
    </row>
    <row r="19" spans="1:13" ht="20.100000000000001" customHeight="1" x14ac:dyDescent="0.2">
      <c r="A19" s="430"/>
      <c r="B19" s="430"/>
      <c r="C19" s="430"/>
      <c r="D19" s="430"/>
      <c r="E19" s="430"/>
      <c r="F19" s="500"/>
      <c r="G19" s="455"/>
      <c r="H19" s="430"/>
      <c r="I19" s="500"/>
      <c r="J19" s="455"/>
      <c r="K19" s="430"/>
      <c r="L19" s="454"/>
      <c r="M19" s="501"/>
    </row>
    <row r="20" spans="1:13" ht="20.100000000000001" customHeight="1" x14ac:dyDescent="0.2">
      <c r="A20" s="430"/>
      <c r="B20" s="430"/>
      <c r="C20" s="430"/>
      <c r="D20" s="430"/>
      <c r="E20" s="430"/>
      <c r="F20" s="500"/>
      <c r="G20" s="455"/>
      <c r="H20" s="430"/>
      <c r="I20" s="500"/>
      <c r="J20" s="455"/>
      <c r="K20" s="430"/>
      <c r="L20" s="454"/>
      <c r="M20" s="501"/>
    </row>
    <row r="21" spans="1:13" ht="20.100000000000001" customHeight="1" x14ac:dyDescent="0.2">
      <c r="A21" s="430"/>
      <c r="B21" s="430"/>
      <c r="C21" s="430"/>
      <c r="D21" s="430"/>
      <c r="E21" s="430"/>
      <c r="F21" s="500"/>
      <c r="G21" s="455"/>
      <c r="H21" s="430"/>
      <c r="I21" s="500"/>
      <c r="J21" s="455"/>
      <c r="K21" s="430"/>
      <c r="L21" s="454"/>
      <c r="M21" s="501"/>
    </row>
    <row r="22" spans="1:13" ht="20.100000000000001" customHeight="1" x14ac:dyDescent="0.2">
      <c r="A22" s="430"/>
      <c r="B22" s="430"/>
      <c r="C22" s="430"/>
      <c r="D22" s="430"/>
      <c r="E22" s="430"/>
      <c r="F22" s="500"/>
      <c r="G22" s="455"/>
      <c r="H22" s="430"/>
      <c r="I22" s="500"/>
      <c r="J22" s="455"/>
      <c r="K22" s="430"/>
      <c r="L22" s="454"/>
      <c r="M22" s="501"/>
    </row>
    <row r="23" spans="1:13" ht="20.100000000000001" customHeight="1" x14ac:dyDescent="0.2">
      <c r="A23" s="430"/>
      <c r="B23" s="430"/>
      <c r="C23" s="430"/>
      <c r="D23" s="430"/>
      <c r="E23" s="430"/>
      <c r="F23" s="500"/>
      <c r="G23" s="455"/>
      <c r="H23" s="430"/>
      <c r="I23" s="500"/>
      <c r="J23" s="455"/>
      <c r="K23" s="430"/>
      <c r="L23" s="454"/>
      <c r="M23" s="501"/>
    </row>
    <row r="24" spans="1:13" ht="20.100000000000001" customHeight="1" x14ac:dyDescent="0.2">
      <c r="A24" s="430"/>
      <c r="B24" s="430"/>
      <c r="C24" s="430"/>
      <c r="D24" s="430"/>
      <c r="E24" s="430"/>
      <c r="F24" s="500"/>
      <c r="G24" s="455"/>
      <c r="H24" s="430"/>
      <c r="I24" s="500"/>
      <c r="J24" s="455"/>
      <c r="K24" s="430"/>
      <c r="L24" s="454"/>
      <c r="M24" s="501"/>
    </row>
    <row r="25" spans="1:13" ht="20.100000000000001" customHeight="1" x14ac:dyDescent="0.2">
      <c r="A25" s="430"/>
      <c r="B25" s="430"/>
      <c r="C25" s="430"/>
      <c r="D25" s="430"/>
      <c r="E25" s="430"/>
      <c r="F25" s="500"/>
      <c r="G25" s="455"/>
      <c r="H25" s="430"/>
      <c r="I25" s="500"/>
      <c r="J25" s="455"/>
      <c r="K25" s="430"/>
      <c r="L25" s="454"/>
      <c r="M25" s="501"/>
    </row>
    <row r="26" spans="1:13" ht="20.100000000000001" customHeight="1" x14ac:dyDescent="0.2">
      <c r="A26" s="430"/>
      <c r="B26" s="430"/>
      <c r="C26" s="430"/>
      <c r="D26" s="430"/>
      <c r="E26" s="430"/>
      <c r="F26" s="500"/>
      <c r="G26" s="455"/>
      <c r="H26" s="430"/>
      <c r="I26" s="500"/>
      <c r="J26" s="455"/>
      <c r="K26" s="430"/>
      <c r="L26" s="454"/>
      <c r="M26" s="501"/>
    </row>
    <row r="27" spans="1:13" ht="20.100000000000001" customHeight="1" x14ac:dyDescent="0.2">
      <c r="A27" s="430"/>
      <c r="B27" s="430"/>
      <c r="C27" s="430"/>
      <c r="D27" s="430"/>
      <c r="E27" s="430"/>
      <c r="F27" s="500"/>
      <c r="G27" s="455"/>
      <c r="H27" s="430"/>
      <c r="I27" s="500"/>
      <c r="J27" s="455"/>
      <c r="K27" s="430"/>
      <c r="L27" s="454"/>
      <c r="M27" s="501"/>
    </row>
    <row r="28" spans="1:13" ht="20.100000000000001" customHeight="1" x14ac:dyDescent="0.2">
      <c r="A28" s="430"/>
      <c r="B28" s="430"/>
      <c r="C28" s="430"/>
      <c r="D28" s="430"/>
      <c r="E28" s="430"/>
      <c r="F28" s="500"/>
      <c r="G28" s="455"/>
      <c r="H28" s="430"/>
      <c r="I28" s="500"/>
      <c r="J28" s="455"/>
      <c r="K28" s="430"/>
      <c r="L28" s="454"/>
      <c r="M28" s="501"/>
    </row>
    <row r="29" spans="1:13" ht="20.100000000000001" customHeight="1" thickBot="1" x14ac:dyDescent="0.25">
      <c r="A29" s="430"/>
      <c r="B29" s="430"/>
      <c r="C29" s="430"/>
      <c r="D29" s="430"/>
      <c r="E29" s="430"/>
      <c r="F29" s="500"/>
      <c r="G29" s="502"/>
      <c r="H29" s="448"/>
      <c r="I29" s="506"/>
      <c r="J29" s="502"/>
      <c r="K29" s="448"/>
      <c r="L29" s="503"/>
      <c r="M29" s="501"/>
    </row>
  </sheetData>
  <mergeCells count="10">
    <mergeCell ref="A6:A7"/>
    <mergeCell ref="B6:B7"/>
    <mergeCell ref="D6:D7"/>
    <mergeCell ref="E6:E7"/>
    <mergeCell ref="F6:F7"/>
    <mergeCell ref="D2:I2"/>
    <mergeCell ref="C6:C7"/>
    <mergeCell ref="M6:M7"/>
    <mergeCell ref="G6:I6"/>
    <mergeCell ref="J6:L6"/>
  </mergeCells>
  <printOptions horizontalCentered="1"/>
  <pageMargins left="0.39370078740157483" right="0.19685039370078741" top="0.39370078740157483" bottom="0.74803149606299213" header="0.31496062992125984" footer="0.31496062992125984"/>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0"/>
  <dimension ref="A1:R51"/>
  <sheetViews>
    <sheetView workbookViewId="0">
      <selection activeCell="J18" sqref="J18"/>
    </sheetView>
  </sheetViews>
  <sheetFormatPr baseColWidth="10" defaultRowHeight="12.75" x14ac:dyDescent="0.2"/>
  <cols>
    <col min="1" max="1" width="5.7109375" customWidth="1"/>
    <col min="2" max="2" width="16.28515625" customWidth="1"/>
    <col min="3" max="3" width="15.5703125" customWidth="1"/>
    <col min="4" max="6" width="15.7109375" customWidth="1"/>
    <col min="7" max="7" width="19.140625" customWidth="1"/>
    <col min="8" max="8" width="13.7109375" customWidth="1"/>
    <col min="9" max="9" width="18.140625" customWidth="1"/>
    <col min="10" max="10" width="15.140625" customWidth="1"/>
    <col min="11" max="12" width="15.7109375" customWidth="1"/>
  </cols>
  <sheetData>
    <row r="1" spans="1:16" s="39" customFormat="1" ht="15" x14ac:dyDescent="0.2">
      <c r="A1" s="335" t="s">
        <v>170</v>
      </c>
      <c r="B1" s="358"/>
      <c r="C1" s="358"/>
    </row>
    <row r="2" spans="1:16" s="39" customFormat="1" ht="18" x14ac:dyDescent="0.25">
      <c r="A2" s="331" t="s">
        <v>212</v>
      </c>
      <c r="B2" s="358"/>
      <c r="C2" s="358"/>
    </row>
    <row r="3" spans="1:16" s="39" customFormat="1" ht="13.5" thickBot="1" x14ac:dyDescent="0.25"/>
    <row r="4" spans="1:16" s="39" customFormat="1" ht="18.75" customHeight="1" thickBot="1" x14ac:dyDescent="0.3">
      <c r="B4" s="384"/>
      <c r="C4" s="384"/>
      <c r="D4" s="384"/>
      <c r="E4" s="3120" t="s">
        <v>289</v>
      </c>
      <c r="F4" s="3121"/>
      <c r="G4" s="3122"/>
      <c r="H4" s="474"/>
      <c r="I4" s="474"/>
      <c r="J4" s="511" t="s">
        <v>233</v>
      </c>
      <c r="O4" s="475"/>
      <c r="P4" s="475"/>
    </row>
    <row r="5" spans="1:16" s="39" customFormat="1" ht="6.75" customHeight="1" x14ac:dyDescent="0.2">
      <c r="A5" s="250"/>
      <c r="B5" s="384"/>
      <c r="C5" s="384"/>
      <c r="D5" s="384"/>
      <c r="E5" s="512"/>
      <c r="F5" s="512"/>
      <c r="G5" s="512"/>
      <c r="H5" s="512"/>
      <c r="I5" s="512"/>
      <c r="J5" s="512"/>
      <c r="K5" s="250"/>
      <c r="L5" s="250"/>
      <c r="M5" s="250"/>
      <c r="N5" s="250"/>
      <c r="O5" s="250"/>
      <c r="P5" s="250"/>
    </row>
    <row r="6" spans="1:16" s="39" customFormat="1" ht="13.5" x14ac:dyDescent="0.25">
      <c r="A6" s="8"/>
    </row>
    <row r="10" spans="1:16" x14ac:dyDescent="0.2">
      <c r="A10" s="39" t="s">
        <v>290</v>
      </c>
    </row>
    <row r="11" spans="1:16" ht="13.5" thickBot="1" x14ac:dyDescent="0.25"/>
    <row r="12" spans="1:16" ht="13.5" thickBot="1" x14ac:dyDescent="0.25">
      <c r="D12" s="3123" t="s">
        <v>291</v>
      </c>
      <c r="E12" s="3124"/>
      <c r="F12" s="3124"/>
      <c r="G12" s="3124"/>
      <c r="H12" s="3125"/>
      <c r="L12">
        <v>47416</v>
      </c>
      <c r="M12">
        <v>524626</v>
      </c>
      <c r="N12">
        <v>7779</v>
      </c>
    </row>
    <row r="13" spans="1:16" s="360" customFormat="1" ht="15" customHeight="1" thickBot="1" x14ac:dyDescent="0.25">
      <c r="A13" s="359"/>
      <c r="B13" s="3118" t="s">
        <v>121</v>
      </c>
      <c r="C13" s="513" t="s">
        <v>191</v>
      </c>
      <c r="D13" s="510" t="s">
        <v>192</v>
      </c>
      <c r="E13" s="513" t="s">
        <v>192</v>
      </c>
      <c r="F13" s="510" t="s">
        <v>193</v>
      </c>
      <c r="G13" s="510" t="s">
        <v>300</v>
      </c>
      <c r="H13" s="3114" t="s">
        <v>144</v>
      </c>
      <c r="I13" s="514" t="s">
        <v>194</v>
      </c>
      <c r="J13" s="3114" t="s">
        <v>195</v>
      </c>
    </row>
    <row r="14" spans="1:16" s="360" customFormat="1" ht="13.5" thickBot="1" x14ac:dyDescent="0.25">
      <c r="A14" s="359"/>
      <c r="B14" s="3119"/>
      <c r="C14" s="515" t="s">
        <v>196</v>
      </c>
      <c r="D14" s="480" t="s">
        <v>197</v>
      </c>
      <c r="E14" s="515" t="s">
        <v>198</v>
      </c>
      <c r="F14" s="480" t="s">
        <v>199</v>
      </c>
      <c r="G14" s="516" t="s">
        <v>292</v>
      </c>
      <c r="H14" s="3115"/>
      <c r="I14" s="516" t="s">
        <v>200</v>
      </c>
      <c r="J14" s="3115"/>
    </row>
    <row r="15" spans="1:16" s="360" customFormat="1" ht="14.25" x14ac:dyDescent="0.2">
      <c r="A15" s="359"/>
      <c r="B15" s="568" t="s">
        <v>15</v>
      </c>
      <c r="C15" s="478">
        <v>50000</v>
      </c>
      <c r="D15" s="477">
        <v>47416</v>
      </c>
      <c r="E15" s="517">
        <f>+ventes!B42</f>
        <v>4144</v>
      </c>
      <c r="F15" s="478">
        <f>E15-C15</f>
        <v>-45856</v>
      </c>
      <c r="G15" s="478">
        <f>+E15-D15</f>
        <v>-43272</v>
      </c>
      <c r="H15" s="518">
        <f>E15/C15%</f>
        <v>8.2880000000000003</v>
      </c>
      <c r="I15" s="479">
        <f>E15/D15*100-100</f>
        <v>-91.260334064450817</v>
      </c>
      <c r="J15" s="519">
        <f>E15/31</f>
        <v>133.67741935483872</v>
      </c>
    </row>
    <row r="16" spans="1:16" s="360" customFormat="1" ht="14.25" x14ac:dyDescent="0.2">
      <c r="A16" s="359"/>
      <c r="B16" s="569" t="s">
        <v>154</v>
      </c>
      <c r="C16" s="407">
        <v>375000</v>
      </c>
      <c r="D16" s="398">
        <v>524626</v>
      </c>
      <c r="E16" s="520">
        <f>+ventes!C42</f>
        <v>36708</v>
      </c>
      <c r="F16" s="407">
        <f>E16-C16</f>
        <v>-338292</v>
      </c>
      <c r="G16" s="478">
        <f>+E16-D16</f>
        <v>-487918</v>
      </c>
      <c r="H16" s="521">
        <f>E16/C16%</f>
        <v>9.7888000000000002</v>
      </c>
      <c r="I16" s="361">
        <f>E16/D16*100-100</f>
        <v>-93.003015481504917</v>
      </c>
      <c r="J16" s="519">
        <f>E16/31</f>
        <v>1184.1290322580646</v>
      </c>
    </row>
    <row r="17" spans="1:18" s="360" customFormat="1" ht="14.25" x14ac:dyDescent="0.2">
      <c r="A17" s="359"/>
      <c r="B17" s="569" t="s">
        <v>17</v>
      </c>
      <c r="C17" s="407">
        <v>5000</v>
      </c>
      <c r="D17" s="398">
        <v>7779</v>
      </c>
      <c r="E17" s="520">
        <f>+ventes!D42</f>
        <v>0</v>
      </c>
      <c r="F17" s="407">
        <f>E17-C17</f>
        <v>-5000</v>
      </c>
      <c r="G17" s="478">
        <f>+E17-D17</f>
        <v>-7779</v>
      </c>
      <c r="H17" s="521">
        <f>E17/C17%</f>
        <v>0</v>
      </c>
      <c r="I17" s="361">
        <f>E17/D17*100-100</f>
        <v>-100</v>
      </c>
      <c r="J17" s="519">
        <f>E17/31</f>
        <v>0</v>
      </c>
    </row>
    <row r="18" spans="1:18" s="1105" customFormat="1" ht="14.25" x14ac:dyDescent="0.2">
      <c r="A18" s="1099"/>
      <c r="B18" s="569" t="s">
        <v>18</v>
      </c>
      <c r="C18" s="1100">
        <f>SUM(C15:C17)</f>
        <v>430000</v>
      </c>
      <c r="D18" s="1101">
        <f>SUM(D15:D17)</f>
        <v>579821</v>
      </c>
      <c r="E18" s="520">
        <f>SUM(E15:E17)</f>
        <v>40852</v>
      </c>
      <c r="F18" s="520">
        <f>SUM(F15:F17)</f>
        <v>-389148</v>
      </c>
      <c r="G18" s="517">
        <f>+E18-D18</f>
        <v>-538969</v>
      </c>
      <c r="H18" s="1102">
        <f>E18/C18%</f>
        <v>9.5004651162790701</v>
      </c>
      <c r="I18" s="1103">
        <f>H18/D18%</f>
        <v>1.6385169071625675E-3</v>
      </c>
      <c r="J18" s="1104">
        <f>E18/31</f>
        <v>1317.8064516129032</v>
      </c>
    </row>
    <row r="19" spans="1:18" s="360" customFormat="1" ht="15" thickBot="1" x14ac:dyDescent="0.25">
      <c r="A19" s="359"/>
      <c r="B19" s="522" t="s">
        <v>201</v>
      </c>
      <c r="C19" s="523">
        <f t="shared" ref="C19:I19" si="0">C18/31</f>
        <v>13870.967741935483</v>
      </c>
      <c r="D19" s="523">
        <f>D18/31</f>
        <v>18703.903225806451</v>
      </c>
      <c r="E19" s="523">
        <f t="shared" si="0"/>
        <v>1317.8064516129032</v>
      </c>
      <c r="F19" s="523">
        <f t="shared" si="0"/>
        <v>-12553.161290322581</v>
      </c>
      <c r="G19" s="523">
        <f t="shared" si="0"/>
        <v>-17386.096774193549</v>
      </c>
      <c r="H19" s="524">
        <f t="shared" si="0"/>
        <v>0.30646661665416353</v>
      </c>
      <c r="I19" s="524">
        <f t="shared" si="0"/>
        <v>5.2855384102018307E-5</v>
      </c>
      <c r="J19" s="519">
        <f>+J18</f>
        <v>1317.8064516129032</v>
      </c>
    </row>
    <row r="20" spans="1:18" s="39" customFormat="1" x14ac:dyDescent="0.2"/>
    <row r="21" spans="1:18" s="39" customFormat="1" x14ac:dyDescent="0.2"/>
    <row r="22" spans="1:18" s="39" customFormat="1" x14ac:dyDescent="0.2">
      <c r="E22" s="39">
        <f>+E16/E18</f>
        <v>0.89856065798492113</v>
      </c>
    </row>
    <row r="23" spans="1:18" s="39" customFormat="1" x14ac:dyDescent="0.2">
      <c r="A23" s="413" t="s">
        <v>162</v>
      </c>
    </row>
    <row r="24" spans="1:18" s="39" customFormat="1" ht="18" x14ac:dyDescent="0.25">
      <c r="A24" s="351" t="s">
        <v>293</v>
      </c>
      <c r="B24" s="38"/>
    </row>
    <row r="25" spans="1:18" s="39" customFormat="1" x14ac:dyDescent="0.2"/>
    <row r="26" spans="1:18" s="39" customFormat="1" ht="18" x14ac:dyDescent="0.25">
      <c r="A26" s="3116" t="s">
        <v>294</v>
      </c>
      <c r="B26" s="3116"/>
      <c r="C26" s="38" t="s">
        <v>306</v>
      </c>
    </row>
    <row r="27" spans="1:18" s="39" customFormat="1" ht="18" x14ac:dyDescent="0.25">
      <c r="A27" s="525"/>
      <c r="B27" s="283" t="s">
        <v>307</v>
      </c>
      <c r="C27" s="37"/>
      <c r="K27" s="43"/>
      <c r="L27" s="89"/>
      <c r="M27" s="43"/>
      <c r="N27" s="43"/>
      <c r="O27" s="43"/>
      <c r="P27" s="43"/>
      <c r="Q27" s="38"/>
      <c r="R27" s="38"/>
    </row>
    <row r="28" spans="1:18" s="39" customFormat="1" ht="18" x14ac:dyDescent="0.25">
      <c r="A28" s="325"/>
      <c r="B28" s="483" t="s">
        <v>295</v>
      </c>
      <c r="K28" s="43"/>
      <c r="L28" s="89"/>
      <c r="M28" s="43"/>
      <c r="N28" s="43"/>
      <c r="O28" s="43"/>
      <c r="P28" s="43"/>
      <c r="Q28" s="38"/>
      <c r="R28" s="38"/>
    </row>
    <row r="29" spans="1:18" s="39" customFormat="1" ht="18" x14ac:dyDescent="0.25">
      <c r="A29" s="325"/>
      <c r="B29" s="483" t="s">
        <v>308</v>
      </c>
      <c r="K29" s="43"/>
      <c r="L29" s="89"/>
      <c r="M29" s="43"/>
      <c r="N29" s="43"/>
      <c r="O29" s="43"/>
      <c r="P29" s="43"/>
      <c r="Q29" s="38"/>
      <c r="R29" s="38"/>
    </row>
    <row r="30" spans="1:18" s="39" customFormat="1" ht="18" x14ac:dyDescent="0.25">
      <c r="A30" s="325"/>
      <c r="B30" s="483"/>
      <c r="K30" s="43"/>
      <c r="L30" s="89"/>
      <c r="M30" s="43"/>
      <c r="N30" s="43"/>
      <c r="O30" s="43"/>
      <c r="P30" s="43"/>
      <c r="Q30" s="38"/>
      <c r="R30" s="38"/>
    </row>
    <row r="31" spans="1:18" s="39" customFormat="1" ht="18" x14ac:dyDescent="0.25">
      <c r="A31" s="3117" t="s">
        <v>296</v>
      </c>
      <c r="B31" s="3117"/>
      <c r="C31" s="38" t="s">
        <v>297</v>
      </c>
      <c r="K31" s="43"/>
      <c r="L31" s="43"/>
      <c r="M31" s="43"/>
      <c r="N31" s="43"/>
      <c r="O31" s="43"/>
      <c r="P31" s="43"/>
      <c r="Q31" s="38"/>
      <c r="R31" s="38"/>
    </row>
    <row r="32" spans="1:18" s="39" customFormat="1" ht="18" x14ac:dyDescent="0.25">
      <c r="A32" s="250"/>
      <c r="B32" s="482" t="s">
        <v>298</v>
      </c>
      <c r="K32" s="43"/>
      <c r="L32" s="43"/>
      <c r="M32" s="43"/>
      <c r="N32" s="43"/>
      <c r="O32" s="43"/>
      <c r="P32" s="43"/>
      <c r="Q32" s="38"/>
      <c r="R32" s="38"/>
    </row>
    <row r="33" spans="1:7" s="39" customFormat="1" ht="18" x14ac:dyDescent="0.25">
      <c r="B33" s="526" t="s">
        <v>299</v>
      </c>
    </row>
    <row r="34" spans="1:7" s="39" customFormat="1" ht="18" x14ac:dyDescent="0.25">
      <c r="B34" s="526"/>
    </row>
    <row r="35" spans="1:7" ht="18" hidden="1" x14ac:dyDescent="0.25">
      <c r="B35" s="526"/>
      <c r="C35" s="532"/>
      <c r="D35" s="3126" t="s">
        <v>302</v>
      </c>
      <c r="E35" s="3126"/>
      <c r="F35" s="3126"/>
      <c r="G35" s="533"/>
    </row>
    <row r="36" spans="1:7" ht="18" hidden="1" x14ac:dyDescent="0.25">
      <c r="A36" s="333"/>
      <c r="B36" s="38"/>
      <c r="C36" s="461"/>
      <c r="D36" s="528" t="s">
        <v>145</v>
      </c>
      <c r="E36" s="528" t="s">
        <v>303</v>
      </c>
      <c r="F36" s="528" t="s">
        <v>301</v>
      </c>
      <c r="G36" s="457"/>
    </row>
    <row r="37" spans="1:7" ht="16.5" hidden="1" x14ac:dyDescent="0.2">
      <c r="C37" s="461"/>
      <c r="D37" s="115">
        <v>43386</v>
      </c>
      <c r="E37" s="115">
        <v>22661.942307692309</v>
      </c>
      <c r="F37" s="529">
        <f>+E37-D37</f>
        <v>-20724.057692307691</v>
      </c>
      <c r="G37" s="457"/>
    </row>
    <row r="38" spans="1:7" hidden="1" x14ac:dyDescent="0.2">
      <c r="C38" s="461"/>
      <c r="D38" s="429">
        <v>23240</v>
      </c>
      <c r="E38" s="429">
        <v>4000</v>
      </c>
      <c r="F38" s="529">
        <f>+E38-D38</f>
        <v>-19240</v>
      </c>
      <c r="G38" s="457"/>
    </row>
    <row r="39" spans="1:7" hidden="1" x14ac:dyDescent="0.2">
      <c r="C39" s="461"/>
      <c r="D39" s="429">
        <v>12284.5</v>
      </c>
      <c r="E39" s="429">
        <v>16860</v>
      </c>
      <c r="F39" s="529">
        <f>+E39-D39</f>
        <v>4575.5</v>
      </c>
      <c r="G39" s="457"/>
    </row>
    <row r="40" spans="1:7" ht="15" hidden="1" x14ac:dyDescent="0.25">
      <c r="C40" s="63" t="s">
        <v>18</v>
      </c>
      <c r="D40" s="530">
        <f>SUM(D37:D39)</f>
        <v>78910.5</v>
      </c>
      <c r="E40" s="530">
        <f>SUM(E37:E39)</f>
        <v>43521.942307692312</v>
      </c>
      <c r="F40" s="530">
        <f>SUM(F37:F39)</f>
        <v>-35388.557692307688</v>
      </c>
      <c r="G40" s="457"/>
    </row>
    <row r="41" spans="1:7" ht="15" hidden="1" x14ac:dyDescent="0.25">
      <c r="C41" s="78"/>
      <c r="D41" s="531"/>
      <c r="E41" s="531"/>
      <c r="F41" s="531"/>
      <c r="G41" s="457"/>
    </row>
    <row r="42" spans="1:7" ht="15" hidden="1" x14ac:dyDescent="0.25">
      <c r="C42" s="78"/>
      <c r="D42" s="3127" t="s">
        <v>304</v>
      </c>
      <c r="E42" s="3127"/>
      <c r="F42" s="3127"/>
      <c r="G42" s="457"/>
    </row>
    <row r="43" spans="1:7" ht="15" hidden="1" x14ac:dyDescent="0.25">
      <c r="C43" s="78"/>
      <c r="D43" s="528" t="s">
        <v>145</v>
      </c>
      <c r="E43" s="528" t="s">
        <v>303</v>
      </c>
      <c r="F43" s="528" t="s">
        <v>301</v>
      </c>
      <c r="G43" s="534" t="s">
        <v>305</v>
      </c>
    </row>
    <row r="44" spans="1:7" hidden="1" x14ac:dyDescent="0.2">
      <c r="C44" s="461"/>
      <c r="D44" s="429">
        <v>153059600</v>
      </c>
      <c r="E44" s="429">
        <v>167936455</v>
      </c>
      <c r="F44" s="429">
        <f>+E44-D44</f>
        <v>14876855</v>
      </c>
      <c r="G44" s="459">
        <f>+F44/520</f>
        <v>28609.336538461539</v>
      </c>
    </row>
    <row r="45" spans="1:7" hidden="1" x14ac:dyDescent="0.2">
      <c r="C45" s="461"/>
      <c r="D45" s="429">
        <f>+'[1]Cont recet ss'!$D$35</f>
        <v>5933650</v>
      </c>
      <c r="E45" s="429">
        <f>+'Cont recet ss'!D34</f>
        <v>0</v>
      </c>
      <c r="F45" s="429">
        <f>+E45-D45</f>
        <v>-5933650</v>
      </c>
      <c r="G45" s="459">
        <f>+F45/520</f>
        <v>-11410.865384615385</v>
      </c>
    </row>
    <row r="46" spans="1:7" ht="15" hidden="1" x14ac:dyDescent="0.25">
      <c r="C46" s="535" t="s">
        <v>18</v>
      </c>
      <c r="D46" s="64">
        <f>SUM(D44:D45)</f>
        <v>158993250</v>
      </c>
      <c r="E46" s="64">
        <f>SUM(E44:E45)</f>
        <v>167936455</v>
      </c>
      <c r="F46" s="64">
        <f>+E46-D46</f>
        <v>8943205</v>
      </c>
      <c r="G46" s="65">
        <f>+F46/520</f>
        <v>17198.471153846152</v>
      </c>
    </row>
    <row r="47" spans="1:7" hidden="1" x14ac:dyDescent="0.2">
      <c r="C47" s="461"/>
      <c r="D47" s="401"/>
      <c r="E47" s="401"/>
      <c r="F47" s="401"/>
      <c r="G47" s="457"/>
    </row>
    <row r="48" spans="1:7" hidden="1" x14ac:dyDescent="0.2">
      <c r="C48" s="461"/>
      <c r="D48" s="401"/>
      <c r="E48" s="401"/>
      <c r="F48" s="401"/>
      <c r="G48" s="457"/>
    </row>
    <row r="49" spans="3:7" ht="13.5" hidden="1" thickBot="1" x14ac:dyDescent="0.25">
      <c r="C49" s="463"/>
      <c r="D49" s="464" t="s">
        <v>309</v>
      </c>
      <c r="E49" s="464"/>
      <c r="F49" s="464"/>
      <c r="G49" s="465"/>
    </row>
    <row r="50" spans="3:7" hidden="1" x14ac:dyDescent="0.2"/>
    <row r="51" spans="3:7" hidden="1" x14ac:dyDescent="0.2"/>
  </sheetData>
  <mergeCells count="9">
    <mergeCell ref="D35:F35"/>
    <mergeCell ref="D42:F42"/>
    <mergeCell ref="J13:J14"/>
    <mergeCell ref="A26:B26"/>
    <mergeCell ref="A31:B31"/>
    <mergeCell ref="B13:B14"/>
    <mergeCell ref="E4:G4"/>
    <mergeCell ref="D12:H12"/>
    <mergeCell ref="H13:H14"/>
  </mergeCells>
  <pageMargins left="0.7" right="0.7" top="0.75" bottom="0.75" header="0.3" footer="0.3"/>
  <pageSetup paperSize="9" orientation="portrait"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1">
    <pageSetUpPr fitToPage="1"/>
  </sheetPr>
  <dimension ref="A1:Q40"/>
  <sheetViews>
    <sheetView topLeftCell="A3" workbookViewId="0">
      <selection activeCell="J18" sqref="J18"/>
    </sheetView>
  </sheetViews>
  <sheetFormatPr baseColWidth="10" defaultRowHeight="12.75" x14ac:dyDescent="0.2"/>
  <cols>
    <col min="1" max="1" width="11.5703125" style="39" customWidth="1"/>
    <col min="2" max="5" width="11.42578125" style="39"/>
    <col min="6" max="6" width="13" style="39" bestFit="1" customWidth="1"/>
    <col min="7" max="8" width="11.42578125" style="39"/>
    <col min="9" max="10" width="3.7109375" style="39" customWidth="1"/>
    <col min="11" max="11" width="13.42578125" style="39" customWidth="1"/>
    <col min="12" max="12" width="16.7109375" style="39" bestFit="1" customWidth="1"/>
    <col min="13" max="13" width="17" style="39" customWidth="1"/>
    <col min="14" max="14" width="13.28515625" style="39" customWidth="1"/>
    <col min="15" max="15" width="22.42578125" style="39" customWidth="1"/>
    <col min="16" max="16" width="13.7109375" style="39" customWidth="1"/>
    <col min="17" max="17" width="15.42578125" style="39" customWidth="1"/>
    <col min="18" max="18" width="15.28515625" style="39" customWidth="1"/>
    <col min="19" max="16384" width="11.42578125" style="39"/>
  </cols>
  <sheetData>
    <row r="1" spans="1:17" ht="15" x14ac:dyDescent="0.2">
      <c r="A1" s="329" t="s">
        <v>170</v>
      </c>
    </row>
    <row r="2" spans="1:17" ht="18" x14ac:dyDescent="0.25">
      <c r="A2" s="363" t="s">
        <v>212</v>
      </c>
    </row>
    <row r="4" spans="1:17" ht="18.75" x14ac:dyDescent="0.3">
      <c r="B4" s="384"/>
      <c r="C4" s="384"/>
      <c r="D4" s="384"/>
      <c r="G4" s="1" t="s">
        <v>659</v>
      </c>
      <c r="P4" s="509" t="s">
        <v>190</v>
      </c>
    </row>
    <row r="5" spans="1:17" ht="18.75" x14ac:dyDescent="0.2">
      <c r="A5" s="250"/>
      <c r="B5" s="384"/>
      <c r="C5" s="384"/>
      <c r="D5" s="384"/>
      <c r="E5" s="50"/>
      <c r="F5" s="50"/>
      <c r="G5" s="50"/>
      <c r="H5" s="250"/>
      <c r="I5" s="250"/>
      <c r="J5" s="250"/>
      <c r="K5" s="250"/>
      <c r="L5" s="250"/>
      <c r="M5" s="250"/>
      <c r="N5" s="250"/>
      <c r="O5" s="250"/>
      <c r="P5" s="250"/>
      <c r="Q5" s="250"/>
    </row>
    <row r="6" spans="1:17" ht="13.5" x14ac:dyDescent="0.25">
      <c r="A6" s="8"/>
    </row>
    <row r="7" spans="1:17" ht="21" x14ac:dyDescent="0.35">
      <c r="A7" s="52" t="s">
        <v>660</v>
      </c>
      <c r="B7" s="1213">
        <v>2014</v>
      </c>
      <c r="C7" s="3"/>
      <c r="P7" s="385"/>
    </row>
    <row r="8" spans="1:17" ht="13.5" thickBot="1" x14ac:dyDescent="0.25"/>
    <row r="9" spans="1:17" ht="21.75" thickBot="1" x14ac:dyDescent="0.4">
      <c r="K9" s="711" t="s">
        <v>234</v>
      </c>
      <c r="L9" s="710" t="s">
        <v>15</v>
      </c>
      <c r="M9" s="710" t="s">
        <v>16</v>
      </c>
      <c r="N9" s="710" t="s">
        <v>17</v>
      </c>
      <c r="O9" s="1206" t="s">
        <v>235</v>
      </c>
      <c r="P9" s="490" t="s">
        <v>275</v>
      </c>
    </row>
    <row r="10" spans="1:17" ht="21" x14ac:dyDescent="0.35">
      <c r="K10" s="67" t="s">
        <v>485</v>
      </c>
      <c r="L10" s="496">
        <v>56546</v>
      </c>
      <c r="M10" s="495">
        <v>319934</v>
      </c>
      <c r="N10" s="494">
        <v>4592</v>
      </c>
      <c r="O10" s="1207">
        <f t="shared" ref="O10:O18" si="0">SUM(L10:N10)</f>
        <v>381072</v>
      </c>
      <c r="P10" s="62">
        <f>+O10/31</f>
        <v>12292.645161290322</v>
      </c>
      <c r="Q10" s="317"/>
    </row>
    <row r="11" spans="1:17" ht="21" x14ac:dyDescent="0.35">
      <c r="K11" s="67" t="s">
        <v>486</v>
      </c>
      <c r="L11" s="496">
        <v>51031</v>
      </c>
      <c r="M11" s="495">
        <v>381400</v>
      </c>
      <c r="N11" s="494">
        <v>3038</v>
      </c>
      <c r="O11" s="1207">
        <f t="shared" si="0"/>
        <v>435469</v>
      </c>
      <c r="P11" s="62">
        <f>+O11/28</f>
        <v>15552.464285714286</v>
      </c>
    </row>
    <row r="12" spans="1:17" ht="21" x14ac:dyDescent="0.35">
      <c r="F12" s="317"/>
      <c r="K12" s="67" t="s">
        <v>487</v>
      </c>
      <c r="L12" s="496">
        <v>57202</v>
      </c>
      <c r="M12" s="495">
        <v>449568</v>
      </c>
      <c r="N12" s="494">
        <v>3621</v>
      </c>
      <c r="O12" s="1207">
        <f t="shared" si="0"/>
        <v>510391</v>
      </c>
      <c r="P12" s="62">
        <f>+O12/31</f>
        <v>16464.225806451614</v>
      </c>
    </row>
    <row r="13" spans="1:17" ht="21" x14ac:dyDescent="0.35">
      <c r="F13" s="317"/>
      <c r="K13" s="67" t="s">
        <v>236</v>
      </c>
      <c r="L13" s="496">
        <v>57272</v>
      </c>
      <c r="M13" s="495">
        <v>405124</v>
      </c>
      <c r="N13" s="494">
        <v>3767</v>
      </c>
      <c r="O13" s="1207">
        <f t="shared" si="0"/>
        <v>466163</v>
      </c>
      <c r="P13" s="62">
        <f>+O13/30</f>
        <v>15538.766666666666</v>
      </c>
    </row>
    <row r="14" spans="1:17" ht="21" x14ac:dyDescent="0.35">
      <c r="F14" s="317"/>
      <c r="K14" s="67" t="s">
        <v>187</v>
      </c>
      <c r="L14" s="496">
        <v>55118</v>
      </c>
      <c r="M14" s="495">
        <v>415140</v>
      </c>
      <c r="N14" s="494">
        <v>3440</v>
      </c>
      <c r="O14" s="1207">
        <f t="shared" si="0"/>
        <v>473698</v>
      </c>
      <c r="P14" s="62">
        <f>+O14/31</f>
        <v>15280.58064516129</v>
      </c>
    </row>
    <row r="15" spans="1:17" ht="21" x14ac:dyDescent="0.35">
      <c r="F15" s="317"/>
      <c r="K15" s="67" t="s">
        <v>237</v>
      </c>
      <c r="L15" s="496">
        <v>49818</v>
      </c>
      <c r="M15" s="495">
        <v>495656</v>
      </c>
      <c r="N15" s="494">
        <v>4137</v>
      </c>
      <c r="O15" s="1207">
        <f t="shared" si="0"/>
        <v>549611</v>
      </c>
      <c r="P15" s="62">
        <f>+O15/30</f>
        <v>18320.366666666665</v>
      </c>
    </row>
    <row r="16" spans="1:17" ht="21" x14ac:dyDescent="0.35">
      <c r="F16" s="317"/>
      <c r="K16" s="67" t="s">
        <v>238</v>
      </c>
      <c r="L16" s="496">
        <v>48595</v>
      </c>
      <c r="M16" s="495">
        <v>467701</v>
      </c>
      <c r="N16" s="494">
        <v>4547</v>
      </c>
      <c r="O16" s="1207">
        <f t="shared" si="0"/>
        <v>520843</v>
      </c>
      <c r="P16" s="62">
        <f>+O16/31</f>
        <v>16801.387096774193</v>
      </c>
    </row>
    <row r="17" spans="1:17" ht="21" x14ac:dyDescent="0.35">
      <c r="K17" s="67" t="s">
        <v>488</v>
      </c>
      <c r="L17" s="496">
        <v>51109</v>
      </c>
      <c r="M17" s="495">
        <v>486279</v>
      </c>
      <c r="N17" s="494">
        <v>3783</v>
      </c>
      <c r="O17" s="1207">
        <f t="shared" si="0"/>
        <v>541171</v>
      </c>
      <c r="P17" s="62">
        <f>+O17/31</f>
        <v>17457.129032258064</v>
      </c>
      <c r="Q17" s="307"/>
    </row>
    <row r="18" spans="1:17" ht="21" x14ac:dyDescent="0.35">
      <c r="K18" s="67" t="s">
        <v>239</v>
      </c>
      <c r="L18" s="496">
        <v>47034</v>
      </c>
      <c r="M18" s="495">
        <v>483593</v>
      </c>
      <c r="N18" s="494">
        <v>4002</v>
      </c>
      <c r="O18" s="1207">
        <f t="shared" si="0"/>
        <v>534629</v>
      </c>
      <c r="P18" s="62">
        <f>+O18/30</f>
        <v>17820.966666666667</v>
      </c>
    </row>
    <row r="19" spans="1:17" ht="21" x14ac:dyDescent="0.35">
      <c r="K19" s="67" t="s">
        <v>243</v>
      </c>
      <c r="L19" s="1096">
        <v>47416</v>
      </c>
      <c r="M19" s="1097">
        <v>524626</v>
      </c>
      <c r="N19" s="1098">
        <v>7779</v>
      </c>
      <c r="O19" s="1207">
        <f>SUM(L19:N19)</f>
        <v>579821</v>
      </c>
      <c r="P19" s="62">
        <f>+O19/31</f>
        <v>18703.903225806451</v>
      </c>
    </row>
    <row r="20" spans="1:17" ht="21" x14ac:dyDescent="0.35">
      <c r="K20" s="67" t="s">
        <v>272</v>
      </c>
      <c r="L20" s="496">
        <v>44803</v>
      </c>
      <c r="M20" s="495">
        <v>686981</v>
      </c>
      <c r="N20" s="494">
        <v>12767</v>
      </c>
      <c r="O20" s="1207">
        <f>SUM(L20:N20)</f>
        <v>744551</v>
      </c>
      <c r="P20" s="62">
        <f>+O20/30</f>
        <v>24818.366666666665</v>
      </c>
    </row>
    <row r="21" spans="1:17" ht="21.75" thickBot="1" x14ac:dyDescent="0.4">
      <c r="K21" s="404" t="s">
        <v>273</v>
      </c>
      <c r="L21" s="1024">
        <f>+ventes!B42</f>
        <v>4144</v>
      </c>
      <c r="M21" s="1191">
        <f>+ventes!C42</f>
        <v>36708</v>
      </c>
      <c r="N21" s="1192">
        <f>+ventes!D42</f>
        <v>0</v>
      </c>
      <c r="O21" s="1207">
        <f>SUM(L21:N21)</f>
        <v>40852</v>
      </c>
      <c r="P21" s="62">
        <f>+O21/31</f>
        <v>1317.8064516129032</v>
      </c>
    </row>
    <row r="22" spans="1:17" ht="21.75" thickBot="1" x14ac:dyDescent="0.4">
      <c r="K22" s="695" t="s">
        <v>18</v>
      </c>
      <c r="L22" s="1025">
        <f>SUM(L10:L21)</f>
        <v>570088</v>
      </c>
      <c r="M22" s="1026">
        <f>SUM(M10:M21)</f>
        <v>5152710</v>
      </c>
      <c r="N22" s="1027">
        <f>SUM(N10:N21)</f>
        <v>55473</v>
      </c>
      <c r="O22" s="1208">
        <f>SUM(O10:O21)</f>
        <v>5778271</v>
      </c>
      <c r="P22" s="68">
        <f>SUM(P10:P21)</f>
        <v>190368.60837173581</v>
      </c>
    </row>
    <row r="23" spans="1:17" ht="21.75" thickBot="1" x14ac:dyDescent="0.4">
      <c r="K23" s="961" t="s">
        <v>14</v>
      </c>
      <c r="L23" s="962">
        <f>SUM(L10:L15)*569+((SUM(L16:L21)*650))</f>
        <v>344071253</v>
      </c>
      <c r="M23" s="962">
        <f>SUM(M10:M15)*520+SUM(M16:M21)*600</f>
        <v>2894280240</v>
      </c>
      <c r="N23" s="962">
        <f>SUM(N10:N15)*350+SUM(N16:N21)*350</f>
        <v>19415550</v>
      </c>
      <c r="O23" s="1209">
        <f>SUM(L23:N23)</f>
        <v>3257767043</v>
      </c>
      <c r="P23" s="963"/>
    </row>
    <row r="24" spans="1:17" ht="29.25" thickBot="1" x14ac:dyDescent="0.4">
      <c r="K24" s="1212" t="s">
        <v>274</v>
      </c>
      <c r="L24" s="960">
        <f>L22/((12-COUNTBLANK(L10:L21)))</f>
        <v>47507.333333333336</v>
      </c>
      <c r="M24" s="960">
        <f>M22/((12-COUNTBLANK(M10:M21)))</f>
        <v>429392.5</v>
      </c>
      <c r="N24" s="960">
        <f>N22/((12-COUNTBLANK(N10:N21)))</f>
        <v>4622.75</v>
      </c>
      <c r="O24" s="1210">
        <f>O22/((12-COUNTBLANK(O10:O21)))</f>
        <v>481522.58333333331</v>
      </c>
      <c r="P24" s="1211">
        <f>P22/(12-COUNTBLANK(P10:P21))</f>
        <v>15864.05069764465</v>
      </c>
    </row>
    <row r="25" spans="1:17" x14ac:dyDescent="0.2">
      <c r="O25" s="281"/>
    </row>
    <row r="26" spans="1:17" x14ac:dyDescent="0.2">
      <c r="L26" s="686"/>
    </row>
    <row r="27" spans="1:17" x14ac:dyDescent="0.2">
      <c r="O27" s="281"/>
    </row>
    <row r="28" spans="1:17" hidden="1" x14ac:dyDescent="0.2">
      <c r="A28" s="413" t="s">
        <v>247</v>
      </c>
      <c r="O28" s="281"/>
    </row>
    <row r="29" spans="1:17" hidden="1" x14ac:dyDescent="0.2"/>
    <row r="30" spans="1:17" ht="15.75" hidden="1" x14ac:dyDescent="0.25">
      <c r="A30" s="60" t="s">
        <v>0</v>
      </c>
      <c r="B30" s="39" t="s">
        <v>342</v>
      </c>
    </row>
    <row r="31" spans="1:17" hidden="1" x14ac:dyDescent="0.2"/>
    <row r="32" spans="1:17" hidden="1" x14ac:dyDescent="0.2"/>
    <row r="33" spans="1:2" hidden="1" x14ac:dyDescent="0.2"/>
    <row r="34" spans="1:2" ht="15.75" hidden="1" x14ac:dyDescent="0.25">
      <c r="A34" s="60" t="s">
        <v>2</v>
      </c>
      <c r="B34" s="39" t="s">
        <v>248</v>
      </c>
    </row>
    <row r="35" spans="1:2" hidden="1" x14ac:dyDescent="0.2"/>
    <row r="36" spans="1:2" hidden="1" x14ac:dyDescent="0.2"/>
    <row r="37" spans="1:2" hidden="1" x14ac:dyDescent="0.2"/>
    <row r="38" spans="1:2" hidden="1" x14ac:dyDescent="0.2"/>
    <row r="39" spans="1:2" ht="15.75" hidden="1" x14ac:dyDescent="0.25">
      <c r="A39" s="60" t="s">
        <v>147</v>
      </c>
      <c r="B39" s="39" t="s">
        <v>249</v>
      </c>
    </row>
    <row r="40" spans="1:2" hidden="1" x14ac:dyDescent="0.2"/>
  </sheetData>
  <printOptions horizontalCentered="1"/>
  <pageMargins left="0.39370078740157483" right="0.39370078740157483" top="0.74803149606299213" bottom="0.74803149606299213" header="0.31496062992125984" footer="0.31496062992125984"/>
  <pageSetup paperSize="9" scale="10"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4"/>
  <dimension ref="A1:H45"/>
  <sheetViews>
    <sheetView topLeftCell="A28" workbookViewId="0">
      <selection activeCell="J18" sqref="J18"/>
    </sheetView>
  </sheetViews>
  <sheetFormatPr baseColWidth="10" defaultRowHeight="12.75" x14ac:dyDescent="0.2"/>
  <cols>
    <col min="1" max="1" width="14.85546875" customWidth="1"/>
    <col min="2" max="7" width="12.7109375" customWidth="1"/>
    <col min="8" max="8" width="12.7109375" style="701" customWidth="1"/>
  </cols>
  <sheetData>
    <row r="1" spans="1:8" ht="20.25" x14ac:dyDescent="0.3">
      <c r="A1" s="690" t="s">
        <v>359</v>
      </c>
      <c r="B1" s="690"/>
      <c r="F1" s="42" t="s">
        <v>368</v>
      </c>
    </row>
    <row r="2" spans="1:8" ht="20.25" x14ac:dyDescent="0.3">
      <c r="A2" s="690" t="s">
        <v>214</v>
      </c>
      <c r="B2" s="690"/>
    </row>
    <row r="3" spans="1:8" ht="20.25" x14ac:dyDescent="0.3">
      <c r="A3" s="690" t="s">
        <v>360</v>
      </c>
      <c r="B3" s="690"/>
    </row>
    <row r="4" spans="1:8" ht="15" x14ac:dyDescent="0.25">
      <c r="D4" s="69" t="s">
        <v>371</v>
      </c>
    </row>
    <row r="8" spans="1:8" ht="15.75" x14ac:dyDescent="0.25">
      <c r="A8" s="42" t="s">
        <v>374</v>
      </c>
      <c r="B8" s="42"/>
      <c r="F8" s="60" t="s">
        <v>378</v>
      </c>
    </row>
    <row r="9" spans="1:8" s="563" customFormat="1" ht="30" customHeight="1" x14ac:dyDescent="0.25">
      <c r="A9" s="700" t="s">
        <v>121</v>
      </c>
      <c r="B9" s="660" t="s">
        <v>379</v>
      </c>
      <c r="C9" s="660" t="s">
        <v>380</v>
      </c>
      <c r="D9" s="700" t="s">
        <v>367</v>
      </c>
      <c r="E9" s="700" t="s">
        <v>366</v>
      </c>
      <c r="F9" s="700" t="s">
        <v>365</v>
      </c>
      <c r="G9" s="700" t="s">
        <v>364</v>
      </c>
      <c r="H9" s="660" t="s">
        <v>363</v>
      </c>
    </row>
    <row r="10" spans="1:8" ht="20.100000000000001" customHeight="1" x14ac:dyDescent="0.25">
      <c r="A10" s="326" t="s">
        <v>361</v>
      </c>
      <c r="B10" s="326"/>
      <c r="C10" s="430"/>
      <c r="D10" s="430"/>
      <c r="E10" s="430"/>
      <c r="F10" s="430"/>
      <c r="G10" s="430"/>
      <c r="H10" s="699"/>
    </row>
    <row r="11" spans="1:8" ht="20.100000000000001" customHeight="1" x14ac:dyDescent="0.25">
      <c r="A11" s="326" t="s">
        <v>362</v>
      </c>
      <c r="B11" s="326"/>
      <c r="C11" s="430"/>
      <c r="D11" s="430"/>
      <c r="E11" s="430"/>
      <c r="F11" s="430"/>
      <c r="G11" s="430"/>
      <c r="H11" s="699"/>
    </row>
    <row r="12" spans="1:8" ht="20.100000000000001" customHeight="1" x14ac:dyDescent="0.25">
      <c r="A12" s="326" t="s">
        <v>259</v>
      </c>
      <c r="B12" s="326"/>
      <c r="C12" s="430"/>
      <c r="D12" s="430"/>
      <c r="E12" s="430"/>
      <c r="F12" s="430"/>
      <c r="G12" s="430"/>
      <c r="H12" s="699"/>
    </row>
    <row r="13" spans="1:8" ht="20.100000000000001" customHeight="1" x14ac:dyDescent="0.25">
      <c r="A13" s="326" t="s">
        <v>38</v>
      </c>
      <c r="B13" s="703">
        <v>500</v>
      </c>
      <c r="C13" s="703">
        <v>500</v>
      </c>
      <c r="D13" s="703">
        <v>150</v>
      </c>
      <c r="E13" s="703">
        <v>250</v>
      </c>
      <c r="F13" s="703">
        <v>150</v>
      </c>
      <c r="G13" s="703">
        <v>300</v>
      </c>
      <c r="H13" s="703">
        <v>250</v>
      </c>
    </row>
    <row r="14" spans="1:8" ht="20.100000000000001" customHeight="1" thickBot="1" x14ac:dyDescent="0.3">
      <c r="A14" s="692" t="s">
        <v>369</v>
      </c>
      <c r="B14" s="692"/>
      <c r="C14" s="431"/>
      <c r="D14" s="431"/>
      <c r="E14" s="430"/>
      <c r="F14" s="430"/>
      <c r="G14" s="430"/>
      <c r="H14" s="699"/>
    </row>
    <row r="15" spans="1:8" ht="20.100000000000001" customHeight="1" thickBot="1" x14ac:dyDescent="0.3">
      <c r="A15" s="695" t="s">
        <v>375</v>
      </c>
      <c r="B15" s="3140"/>
      <c r="C15" s="3141"/>
      <c r="D15" s="3142"/>
      <c r="E15" s="691"/>
      <c r="F15" s="708" t="s">
        <v>133</v>
      </c>
      <c r="G15" s="691"/>
      <c r="H15" s="702"/>
    </row>
    <row r="16" spans="1:8" ht="20.100000000000001" customHeight="1" x14ac:dyDescent="0.25">
      <c r="A16" s="694" t="s">
        <v>370</v>
      </c>
      <c r="B16" s="3134"/>
      <c r="C16" s="3135"/>
      <c r="D16" s="3136"/>
    </row>
    <row r="17" spans="1:8" ht="20.100000000000001" customHeight="1" x14ac:dyDescent="0.25">
      <c r="A17" s="693" t="s">
        <v>150</v>
      </c>
      <c r="B17" s="3137"/>
      <c r="C17" s="3138"/>
      <c r="D17" s="3139"/>
    </row>
    <row r="19" spans="1:8" ht="15.75" x14ac:dyDescent="0.25">
      <c r="F19" s="60" t="s">
        <v>378</v>
      </c>
    </row>
    <row r="20" spans="1:8" ht="30" x14ac:dyDescent="0.25">
      <c r="A20" s="700" t="s">
        <v>121</v>
      </c>
      <c r="B20" s="660" t="s">
        <v>379</v>
      </c>
      <c r="C20" s="660" t="s">
        <v>380</v>
      </c>
      <c r="D20" s="700" t="s">
        <v>367</v>
      </c>
      <c r="E20" s="700" t="s">
        <v>366</v>
      </c>
      <c r="F20" s="700" t="s">
        <v>365</v>
      </c>
      <c r="G20" s="700" t="s">
        <v>364</v>
      </c>
      <c r="H20" s="660" t="s">
        <v>363</v>
      </c>
    </row>
    <row r="21" spans="1:8" ht="15" x14ac:dyDescent="0.25">
      <c r="A21" s="326" t="s">
        <v>361</v>
      </c>
      <c r="B21" s="326"/>
      <c r="C21" s="430"/>
      <c r="D21" s="430"/>
      <c r="E21" s="430"/>
      <c r="F21" s="430"/>
      <c r="G21" s="430"/>
      <c r="H21" s="704"/>
    </row>
    <row r="22" spans="1:8" ht="15" x14ac:dyDescent="0.25">
      <c r="A22" s="326" t="s">
        <v>362</v>
      </c>
      <c r="B22" s="326"/>
      <c r="C22" s="430"/>
      <c r="D22" s="430"/>
      <c r="E22" s="430"/>
      <c r="F22" s="430"/>
      <c r="G22" s="430"/>
      <c r="H22" s="704"/>
    </row>
    <row r="23" spans="1:8" ht="15" x14ac:dyDescent="0.25">
      <c r="A23" s="326" t="s">
        <v>259</v>
      </c>
      <c r="B23" s="326"/>
      <c r="C23" s="430"/>
      <c r="D23" s="430"/>
      <c r="E23" s="430"/>
      <c r="F23" s="430"/>
      <c r="G23" s="430"/>
      <c r="H23" s="704"/>
    </row>
    <row r="24" spans="1:8" ht="15" x14ac:dyDescent="0.25">
      <c r="A24" s="326" t="s">
        <v>38</v>
      </c>
      <c r="B24" s="703">
        <v>500</v>
      </c>
      <c r="C24" s="703">
        <v>500</v>
      </c>
      <c r="D24" s="703">
        <v>150</v>
      </c>
      <c r="E24" s="703">
        <v>250</v>
      </c>
      <c r="F24" s="703">
        <v>150</v>
      </c>
      <c r="G24" s="703">
        <v>300</v>
      </c>
      <c r="H24" s="703">
        <v>250</v>
      </c>
    </row>
    <row r="25" spans="1:8" ht="16.5" thickBot="1" x14ac:dyDescent="0.3">
      <c r="A25" s="692" t="s">
        <v>369</v>
      </c>
      <c r="B25" s="692"/>
      <c r="C25" s="431"/>
      <c r="D25" s="431"/>
      <c r="E25" s="430"/>
      <c r="F25" s="430"/>
      <c r="G25" s="430"/>
      <c r="H25" s="704"/>
    </row>
    <row r="26" spans="1:8" ht="20.100000000000001" customHeight="1" thickBot="1" x14ac:dyDescent="0.3">
      <c r="A26" s="695" t="s">
        <v>376</v>
      </c>
      <c r="B26" s="3140"/>
      <c r="C26" s="3141"/>
      <c r="D26" s="3142"/>
      <c r="E26" s="691"/>
      <c r="F26" s="708" t="s">
        <v>133</v>
      </c>
      <c r="G26" s="691"/>
      <c r="H26" s="702"/>
    </row>
    <row r="27" spans="1:8" ht="20.100000000000001" customHeight="1" x14ac:dyDescent="0.25">
      <c r="A27" s="694" t="s">
        <v>381</v>
      </c>
      <c r="B27" s="3134"/>
      <c r="C27" s="3135"/>
      <c r="D27" s="3136"/>
    </row>
    <row r="28" spans="1:8" ht="20.100000000000001" customHeight="1" x14ac:dyDescent="0.25">
      <c r="A28" s="693" t="s">
        <v>150</v>
      </c>
      <c r="B28" s="3137"/>
      <c r="C28" s="3138"/>
      <c r="D28" s="3139"/>
    </row>
    <row r="30" spans="1:8" ht="15.75" x14ac:dyDescent="0.25">
      <c r="F30" s="60" t="s">
        <v>378</v>
      </c>
    </row>
    <row r="31" spans="1:8" ht="29.25" customHeight="1" x14ac:dyDescent="0.25">
      <c r="A31" s="700" t="s">
        <v>121</v>
      </c>
      <c r="B31" s="660" t="s">
        <v>379</v>
      </c>
      <c r="C31" s="660" t="s">
        <v>380</v>
      </c>
      <c r="D31" s="700" t="s">
        <v>367</v>
      </c>
      <c r="E31" s="700" t="s">
        <v>366</v>
      </c>
      <c r="F31" s="700" t="s">
        <v>365</v>
      </c>
      <c r="G31" s="700" t="s">
        <v>364</v>
      </c>
      <c r="H31" s="660" t="s">
        <v>363</v>
      </c>
    </row>
    <row r="32" spans="1:8" ht="15" x14ac:dyDescent="0.25">
      <c r="A32" s="326" t="s">
        <v>361</v>
      </c>
      <c r="B32" s="326"/>
      <c r="C32" s="430"/>
      <c r="D32" s="430"/>
      <c r="E32" s="430"/>
      <c r="F32" s="430"/>
      <c r="G32" s="430"/>
      <c r="H32" s="704"/>
    </row>
    <row r="33" spans="1:8" ht="15" x14ac:dyDescent="0.25">
      <c r="A33" s="326" t="s">
        <v>362</v>
      </c>
      <c r="B33" s="326"/>
      <c r="C33" s="430"/>
      <c r="D33" s="430"/>
      <c r="E33" s="430"/>
      <c r="F33" s="430"/>
      <c r="G33" s="430"/>
      <c r="H33" s="704"/>
    </row>
    <row r="34" spans="1:8" ht="15" x14ac:dyDescent="0.25">
      <c r="A34" s="326" t="s">
        <v>259</v>
      </c>
      <c r="B34" s="326"/>
      <c r="C34" s="430"/>
      <c r="D34" s="430"/>
      <c r="E34" s="430"/>
      <c r="F34" s="430"/>
      <c r="G34" s="430"/>
      <c r="H34" s="704"/>
    </row>
    <row r="35" spans="1:8" ht="15" x14ac:dyDescent="0.25">
      <c r="A35" s="326" t="s">
        <v>38</v>
      </c>
      <c r="B35" s="703">
        <v>500</v>
      </c>
      <c r="C35" s="703">
        <v>500</v>
      </c>
      <c r="D35" s="703">
        <v>150</v>
      </c>
      <c r="E35" s="703">
        <v>250</v>
      </c>
      <c r="F35" s="703">
        <v>150</v>
      </c>
      <c r="G35" s="703">
        <v>300</v>
      </c>
      <c r="H35" s="703">
        <v>250</v>
      </c>
    </row>
    <row r="36" spans="1:8" ht="16.5" thickBot="1" x14ac:dyDescent="0.3">
      <c r="A36" s="692" t="s">
        <v>369</v>
      </c>
      <c r="B36" s="692"/>
      <c r="C36" s="431"/>
      <c r="D36" s="431"/>
      <c r="E36" s="430"/>
      <c r="F36" s="430"/>
      <c r="G36" s="430"/>
      <c r="H36" s="704"/>
    </row>
    <row r="37" spans="1:8" ht="20.100000000000001" customHeight="1" thickBot="1" x14ac:dyDescent="0.3">
      <c r="A37" s="695" t="s">
        <v>377</v>
      </c>
      <c r="B37" s="3140"/>
      <c r="C37" s="3141"/>
      <c r="D37" s="3142"/>
      <c r="E37" s="691"/>
      <c r="F37" s="691"/>
      <c r="G37" s="691"/>
      <c r="H37" s="702"/>
    </row>
    <row r="38" spans="1:8" ht="20.100000000000001" customHeight="1" x14ac:dyDescent="0.25">
      <c r="A38" s="694" t="s">
        <v>382</v>
      </c>
      <c r="B38" s="3134"/>
      <c r="C38" s="3135"/>
      <c r="D38" s="3136"/>
    </row>
    <row r="39" spans="1:8" ht="20.100000000000001" customHeight="1" x14ac:dyDescent="0.25">
      <c r="A39" s="693" t="s">
        <v>150</v>
      </c>
      <c r="B39" s="3137"/>
      <c r="C39" s="3138"/>
      <c r="D39" s="3139"/>
    </row>
    <row r="40" spans="1:8" ht="13.5" thickBot="1" x14ac:dyDescent="0.25"/>
    <row r="41" spans="1:8" ht="20.100000000000001" customHeight="1" x14ac:dyDescent="0.2">
      <c r="D41" s="491" t="s">
        <v>383</v>
      </c>
      <c r="E41" s="696"/>
      <c r="F41" s="3128"/>
      <c r="G41" s="3129"/>
    </row>
    <row r="42" spans="1:8" ht="20.100000000000001" customHeight="1" x14ac:dyDescent="0.2">
      <c r="D42" s="697" t="s">
        <v>373</v>
      </c>
      <c r="E42" s="430"/>
      <c r="F42" s="3130"/>
      <c r="G42" s="3131"/>
    </row>
    <row r="43" spans="1:8" ht="20.100000000000001" customHeight="1" thickBot="1" x14ac:dyDescent="0.25">
      <c r="D43" s="698" t="s">
        <v>372</v>
      </c>
      <c r="E43" s="448"/>
      <c r="F43" s="3132"/>
      <c r="G43" s="3133"/>
    </row>
    <row r="44" spans="1:8" x14ac:dyDescent="0.2">
      <c r="A44" s="401"/>
    </row>
    <row r="45" spans="1:8" x14ac:dyDescent="0.2">
      <c r="A45" s="709" t="s">
        <v>133</v>
      </c>
    </row>
  </sheetData>
  <mergeCells count="12">
    <mergeCell ref="B37:D37"/>
    <mergeCell ref="B26:D26"/>
    <mergeCell ref="B27:D27"/>
    <mergeCell ref="B28:D28"/>
    <mergeCell ref="B15:D15"/>
    <mergeCell ref="B16:D16"/>
    <mergeCell ref="B17:D17"/>
    <mergeCell ref="F41:G41"/>
    <mergeCell ref="F42:G42"/>
    <mergeCell ref="F43:G43"/>
    <mergeCell ref="B38:D38"/>
    <mergeCell ref="B39:D39"/>
  </mergeCells>
  <printOptions horizontalCentered="1"/>
  <pageMargins left="0.39370078740157483" right="0.39370078740157483" top="0.39370078740157483" bottom="0.59055118110236227" header="0.31496062992125984" footer="0.31496062992125984"/>
  <pageSetup paperSize="9" scale="90"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3">
    <pageSetUpPr fitToPage="1"/>
  </sheetPr>
  <dimension ref="A1:L79"/>
  <sheetViews>
    <sheetView topLeftCell="V71" workbookViewId="0">
      <selection activeCell="E79" sqref="E79"/>
    </sheetView>
  </sheetViews>
  <sheetFormatPr baseColWidth="10" defaultRowHeight="12.75" x14ac:dyDescent="0.2"/>
  <cols>
    <col min="1" max="1" width="3.42578125" customWidth="1"/>
    <col min="3" max="3" width="38" customWidth="1"/>
    <col min="4" max="4" width="13" customWidth="1"/>
    <col min="5" max="5" width="12.85546875" customWidth="1"/>
    <col min="8" max="8" width="11.5703125" bestFit="1" customWidth="1"/>
    <col min="9" max="9" width="8.5703125" customWidth="1"/>
    <col min="10" max="10" width="12.85546875" customWidth="1"/>
    <col min="11" max="11" width="12.85546875" bestFit="1" customWidth="1"/>
  </cols>
  <sheetData>
    <row r="1" spans="1:12" ht="14.25" x14ac:dyDescent="0.2">
      <c r="A1" s="922" t="s">
        <v>467</v>
      </c>
      <c r="C1" s="946" t="s">
        <v>310</v>
      </c>
      <c r="D1" s="923"/>
    </row>
    <row r="2" spans="1:12" ht="20.25" x14ac:dyDescent="0.3">
      <c r="A2" s="3152" t="s">
        <v>468</v>
      </c>
      <c r="B2" s="3152"/>
      <c r="C2" s="3152"/>
      <c r="D2" s="924" t="s">
        <v>632</v>
      </c>
    </row>
    <row r="3" spans="1:12" ht="21" thickBot="1" x14ac:dyDescent="0.35">
      <c r="A3" s="930"/>
      <c r="B3" s="930"/>
      <c r="C3" s="930"/>
      <c r="D3" s="924"/>
    </row>
    <row r="4" spans="1:12" ht="14.25" x14ac:dyDescent="0.2">
      <c r="A4" s="3153" t="s">
        <v>184</v>
      </c>
      <c r="B4" s="3143" t="s">
        <v>469</v>
      </c>
      <c r="C4" s="3155" t="s">
        <v>450</v>
      </c>
      <c r="D4" s="3143" t="s">
        <v>470</v>
      </c>
      <c r="E4" s="3146" t="s">
        <v>471</v>
      </c>
      <c r="F4" s="3143" t="s">
        <v>472</v>
      </c>
      <c r="G4" s="3145" t="s">
        <v>473</v>
      </c>
      <c r="H4" s="3145"/>
      <c r="I4" s="3145"/>
      <c r="J4" s="3145"/>
      <c r="K4" s="3146" t="s">
        <v>474</v>
      </c>
      <c r="L4" s="3150" t="s">
        <v>482</v>
      </c>
    </row>
    <row r="5" spans="1:12" ht="14.25" x14ac:dyDescent="0.2">
      <c r="A5" s="3154"/>
      <c r="B5" s="3144"/>
      <c r="C5" s="3156"/>
      <c r="D5" s="3144"/>
      <c r="E5" s="3147"/>
      <c r="F5" s="3144"/>
      <c r="G5" s="925" t="s">
        <v>475</v>
      </c>
      <c r="H5" s="925" t="s">
        <v>476</v>
      </c>
      <c r="I5" s="939" t="s">
        <v>477</v>
      </c>
      <c r="J5" s="939" t="s">
        <v>478</v>
      </c>
      <c r="K5" s="3147"/>
      <c r="L5" s="3151"/>
    </row>
    <row r="6" spans="1:12" ht="30" customHeight="1" x14ac:dyDescent="0.25">
      <c r="A6" s="926">
        <v>1</v>
      </c>
      <c r="B6" s="260" t="s">
        <v>479</v>
      </c>
      <c r="C6" s="931" t="s">
        <v>480</v>
      </c>
      <c r="D6" s="932">
        <v>60000</v>
      </c>
      <c r="E6" s="933">
        <v>0</v>
      </c>
      <c r="F6" s="932">
        <v>0</v>
      </c>
      <c r="G6" s="932">
        <v>3877</v>
      </c>
      <c r="H6" s="932">
        <v>2500</v>
      </c>
      <c r="I6" s="934">
        <v>0</v>
      </c>
      <c r="J6" s="934">
        <v>7500</v>
      </c>
      <c r="K6" s="937">
        <f t="shared" ref="K6:K11" si="0">+D6+E6+F6-G6-H6-I6-J6</f>
        <v>46123</v>
      </c>
      <c r="L6" s="454"/>
    </row>
    <row r="7" spans="1:12" ht="30" customHeight="1" x14ac:dyDescent="0.25">
      <c r="A7" s="455">
        <v>2</v>
      </c>
      <c r="B7" s="260" t="s">
        <v>479</v>
      </c>
      <c r="C7" s="693" t="s">
        <v>481</v>
      </c>
      <c r="D7" s="1028">
        <v>60000</v>
      </c>
      <c r="E7" s="1090">
        <v>54000</v>
      </c>
      <c r="F7" s="932">
        <v>0</v>
      </c>
      <c r="G7" s="1028">
        <v>1480</v>
      </c>
      <c r="H7" s="1028">
        <v>5000</v>
      </c>
      <c r="I7" s="934">
        <v>0</v>
      </c>
      <c r="J7" s="934">
        <v>0</v>
      </c>
      <c r="K7" s="937">
        <f t="shared" si="0"/>
        <v>107520</v>
      </c>
      <c r="L7" s="454"/>
    </row>
    <row r="8" spans="1:12" ht="30" customHeight="1" x14ac:dyDescent="0.25">
      <c r="A8" s="928">
        <v>3</v>
      </c>
      <c r="B8" s="940" t="s">
        <v>630</v>
      </c>
      <c r="C8" s="940" t="s">
        <v>629</v>
      </c>
      <c r="D8" s="935">
        <v>60000</v>
      </c>
      <c r="E8" s="935">
        <v>5000</v>
      </c>
      <c r="F8" s="935">
        <v>79</v>
      </c>
      <c r="G8" s="935">
        <v>0</v>
      </c>
      <c r="H8" s="935">
        <v>5000</v>
      </c>
      <c r="I8" s="936">
        <v>0</v>
      </c>
      <c r="J8" s="936">
        <v>0</v>
      </c>
      <c r="K8" s="938">
        <f t="shared" si="0"/>
        <v>60079</v>
      </c>
      <c r="L8" s="454"/>
    </row>
    <row r="9" spans="1:12" ht="30" customHeight="1" x14ac:dyDescent="0.25">
      <c r="A9" s="928">
        <v>3</v>
      </c>
      <c r="B9" s="940" t="s">
        <v>630</v>
      </c>
      <c r="C9" s="940" t="s">
        <v>633</v>
      </c>
      <c r="D9" s="1090">
        <v>60000</v>
      </c>
      <c r="E9" s="1090">
        <v>54000</v>
      </c>
      <c r="F9" s="1160">
        <v>0</v>
      </c>
      <c r="G9" s="1160">
        <v>2571</v>
      </c>
      <c r="H9" s="1160">
        <v>5000</v>
      </c>
      <c r="I9" s="1161">
        <f>+O9</f>
        <v>0</v>
      </c>
      <c r="J9" s="1162">
        <v>6000</v>
      </c>
      <c r="K9" s="938">
        <f t="shared" si="0"/>
        <v>100429</v>
      </c>
      <c r="L9" s="456"/>
    </row>
    <row r="10" spans="1:12" ht="30" customHeight="1" x14ac:dyDescent="0.25">
      <c r="A10" s="928">
        <v>3</v>
      </c>
      <c r="B10" s="940" t="s">
        <v>630</v>
      </c>
      <c r="C10" s="940" t="s">
        <v>461</v>
      </c>
      <c r="D10" s="1028">
        <v>60000</v>
      </c>
      <c r="E10" s="1028">
        <v>5000</v>
      </c>
      <c r="F10" s="1028"/>
      <c r="G10" s="1028">
        <v>233</v>
      </c>
      <c r="H10" s="1028">
        <v>10000</v>
      </c>
      <c r="I10" s="1161">
        <f>+O10</f>
        <v>0</v>
      </c>
      <c r="J10" s="1162">
        <v>0</v>
      </c>
      <c r="K10" s="938">
        <f t="shared" si="0"/>
        <v>54767</v>
      </c>
      <c r="L10" s="456"/>
    </row>
    <row r="11" spans="1:12" ht="30" customHeight="1" x14ac:dyDescent="0.25">
      <c r="A11" s="928">
        <v>3</v>
      </c>
      <c r="B11" s="940" t="s">
        <v>630</v>
      </c>
      <c r="C11" s="945" t="s">
        <v>631</v>
      </c>
      <c r="D11" s="935">
        <v>60000</v>
      </c>
      <c r="E11" s="935">
        <v>5000</v>
      </c>
      <c r="F11" s="935">
        <v>5693</v>
      </c>
      <c r="G11" s="935">
        <v>0</v>
      </c>
      <c r="H11" s="935">
        <v>2500</v>
      </c>
      <c r="I11" s="936">
        <v>0</v>
      </c>
      <c r="J11" s="936">
        <v>0</v>
      </c>
      <c r="K11" s="938">
        <f t="shared" si="0"/>
        <v>68193</v>
      </c>
      <c r="L11" s="456"/>
    </row>
    <row r="12" spans="1:12" s="60" customFormat="1" ht="23.25" customHeight="1" thickBot="1" x14ac:dyDescent="0.3">
      <c r="A12" s="3148" t="s">
        <v>18</v>
      </c>
      <c r="B12" s="3149"/>
      <c r="C12" s="3149"/>
      <c r="D12" s="929">
        <f>SUM(D6:D11)</f>
        <v>360000</v>
      </c>
      <c r="E12" s="929">
        <f t="shared" ref="E12:L12" si="1">SUM(E6:E11)</f>
        <v>123000</v>
      </c>
      <c r="F12" s="929">
        <f t="shared" si="1"/>
        <v>5772</v>
      </c>
      <c r="G12" s="929">
        <f t="shared" si="1"/>
        <v>8161</v>
      </c>
      <c r="H12" s="929">
        <f>SUM(H6:H11)</f>
        <v>30000</v>
      </c>
      <c r="I12" s="929">
        <f t="shared" si="1"/>
        <v>0</v>
      </c>
      <c r="J12" s="929">
        <f t="shared" si="1"/>
        <v>13500</v>
      </c>
      <c r="K12" s="929">
        <f t="shared" si="1"/>
        <v>437111</v>
      </c>
      <c r="L12" s="929">
        <f t="shared" si="1"/>
        <v>0</v>
      </c>
    </row>
    <row r="15" spans="1:12" x14ac:dyDescent="0.2">
      <c r="K15" s="927"/>
    </row>
    <row r="17" spans="10:10" x14ac:dyDescent="0.2">
      <c r="J17" s="39"/>
    </row>
    <row r="18" spans="10:10" x14ac:dyDescent="0.2">
      <c r="J18" s="39"/>
    </row>
    <row r="19" spans="10:10" x14ac:dyDescent="0.2">
      <c r="J19" s="39"/>
    </row>
    <row r="30" spans="10:10" hidden="1" x14ac:dyDescent="0.2"/>
    <row r="31" spans="10:10" hidden="1" x14ac:dyDescent="0.2"/>
    <row r="32" spans="10:10" hidden="1" x14ac:dyDescent="0.2"/>
    <row r="33" hidden="1" x14ac:dyDescent="0.2"/>
    <row r="34" hidden="1" x14ac:dyDescent="0.2"/>
    <row r="35"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51" spans="3:8" x14ac:dyDescent="0.2">
      <c r="C51" s="39"/>
    </row>
    <row r="52" spans="3:8" x14ac:dyDescent="0.2">
      <c r="H52" s="39"/>
    </row>
    <row r="53" spans="3:8" x14ac:dyDescent="0.2">
      <c r="D53" s="39"/>
    </row>
    <row r="54" spans="3:8" hidden="1" x14ac:dyDescent="0.2">
      <c r="E54" s="39"/>
      <c r="F54" s="39"/>
    </row>
    <row r="55" spans="3:8" hidden="1" x14ac:dyDescent="0.2"/>
    <row r="56" spans="3:8" hidden="1" x14ac:dyDescent="0.2"/>
    <row r="57" spans="3:8" hidden="1" x14ac:dyDescent="0.2">
      <c r="D57" s="39"/>
    </row>
    <row r="59" spans="3:8" hidden="1" x14ac:dyDescent="0.2"/>
    <row r="60" spans="3:8" hidden="1" x14ac:dyDescent="0.2"/>
    <row r="61" spans="3:8" x14ac:dyDescent="0.2">
      <c r="D61" s="39"/>
    </row>
    <row r="62" spans="3:8" hidden="1" x14ac:dyDescent="0.2"/>
    <row r="63" spans="3:8" hidden="1" x14ac:dyDescent="0.2"/>
    <row r="64" spans="3:8" hidden="1" x14ac:dyDescent="0.2"/>
    <row r="65" hidden="1" x14ac:dyDescent="0.2"/>
    <row r="66" hidden="1" x14ac:dyDescent="0.2"/>
    <row r="69" hidden="1" x14ac:dyDescent="0.2"/>
    <row r="70" hidden="1" x14ac:dyDescent="0.2"/>
    <row r="77" hidden="1" x14ac:dyDescent="0.2"/>
    <row r="78" hidden="1" x14ac:dyDescent="0.2"/>
    <row r="79" hidden="1" x14ac:dyDescent="0.2"/>
  </sheetData>
  <mergeCells count="11">
    <mergeCell ref="A2:C2"/>
    <mergeCell ref="A4:A5"/>
    <mergeCell ref="B4:B5"/>
    <mergeCell ref="C4:C5"/>
    <mergeCell ref="D4:D5"/>
    <mergeCell ref="F4:F5"/>
    <mergeCell ref="G4:J4"/>
    <mergeCell ref="K4:K5"/>
    <mergeCell ref="A12:C12"/>
    <mergeCell ref="L4:L5"/>
    <mergeCell ref="E4:E5"/>
  </mergeCells>
  <printOptions horizontalCentered="1"/>
  <pageMargins left="0.39370078740157483" right="0.39370078740157483" top="0.74803149606299213" bottom="0.74803149606299213" header="0.31496062992125984" footer="0.31496062992125984"/>
  <pageSetup paperSize="9" scale="10" orientation="landscape"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7"/>
  <dimension ref="A1:G40"/>
  <sheetViews>
    <sheetView workbookViewId="0">
      <selection activeCell="J18" sqref="J18"/>
    </sheetView>
  </sheetViews>
  <sheetFormatPr baseColWidth="10" defaultRowHeight="12.75" x14ac:dyDescent="0.2"/>
  <cols>
    <col min="1" max="1" width="31.85546875" customWidth="1"/>
    <col min="2" max="4" width="36.7109375" customWidth="1"/>
    <col min="5" max="5" width="0" hidden="1" customWidth="1"/>
  </cols>
  <sheetData>
    <row r="1" spans="1:7" ht="27" x14ac:dyDescent="0.35">
      <c r="A1" s="1016" t="s">
        <v>170</v>
      </c>
      <c r="B1" s="19"/>
      <c r="C1" s="19"/>
      <c r="D1" s="19"/>
    </row>
    <row r="2" spans="1:7" ht="27.75" x14ac:dyDescent="0.35">
      <c r="A2" s="75" t="s">
        <v>212</v>
      </c>
      <c r="B2" s="1017"/>
      <c r="C2" s="19"/>
      <c r="D2" s="19"/>
    </row>
    <row r="5" spans="1:7" ht="13.5" thickBot="1" x14ac:dyDescent="0.25"/>
    <row r="6" spans="1:7" ht="23.25" thickBot="1" x14ac:dyDescent="0.25">
      <c r="B6" s="3157" t="s">
        <v>432</v>
      </c>
      <c r="C6" s="3158"/>
      <c r="D6" s="851"/>
      <c r="E6" s="851"/>
    </row>
    <row r="7" spans="1:7" ht="18.75" x14ac:dyDescent="0.2">
      <c r="C7" s="851"/>
      <c r="D7" s="851"/>
      <c r="E7" s="851"/>
    </row>
    <row r="10" spans="1:7" ht="28.5" x14ac:dyDescent="0.2">
      <c r="A10" s="3159" t="s">
        <v>425</v>
      </c>
      <c r="B10" s="856" t="s">
        <v>426</v>
      </c>
      <c r="C10" s="857" t="s">
        <v>427</v>
      </c>
      <c r="D10" s="858" t="s">
        <v>428</v>
      </c>
      <c r="E10" s="485" t="s">
        <v>506</v>
      </c>
    </row>
    <row r="11" spans="1:7" ht="14.25" x14ac:dyDescent="0.2">
      <c r="A11" s="3159"/>
      <c r="B11" s="1013"/>
      <c r="C11" s="1013"/>
      <c r="D11" s="1013"/>
      <c r="E11" s="854"/>
    </row>
    <row r="12" spans="1:7" ht="114.75" x14ac:dyDescent="0.2">
      <c r="A12" s="852" t="s">
        <v>495</v>
      </c>
      <c r="B12" s="1014" t="s">
        <v>509</v>
      </c>
      <c r="C12" s="1014" t="s">
        <v>508</v>
      </c>
      <c r="D12" s="1014" t="s">
        <v>507</v>
      </c>
      <c r="E12" s="855"/>
      <c r="G12">
        <v>2</v>
      </c>
    </row>
    <row r="13" spans="1:7" ht="102" x14ac:dyDescent="0.2">
      <c r="A13" s="852" t="s">
        <v>496</v>
      </c>
      <c r="B13" s="1014" t="s">
        <v>511</v>
      </c>
      <c r="C13" s="853"/>
      <c r="D13" s="853"/>
      <c r="E13" s="855"/>
    </row>
    <row r="14" spans="1:7" ht="14.25" x14ac:dyDescent="0.2">
      <c r="A14" s="852" t="s">
        <v>492</v>
      </c>
      <c r="B14" s="1014" t="s">
        <v>502</v>
      </c>
      <c r="C14" s="853"/>
      <c r="D14" s="853"/>
      <c r="E14" s="855"/>
    </row>
    <row r="15" spans="1:7" ht="51" x14ac:dyDescent="0.2">
      <c r="A15" s="852" t="s">
        <v>503</v>
      </c>
      <c r="B15" s="1014" t="s">
        <v>510</v>
      </c>
      <c r="C15" s="853"/>
      <c r="D15" s="853"/>
      <c r="E15" s="855"/>
    </row>
    <row r="16" spans="1:7" ht="14.25" x14ac:dyDescent="0.2">
      <c r="A16" s="852"/>
      <c r="B16" s="853"/>
      <c r="C16" s="853"/>
      <c r="D16" s="853"/>
      <c r="E16" s="855"/>
    </row>
    <row r="17" spans="1:5" ht="51" x14ac:dyDescent="0.2">
      <c r="A17" s="852" t="s">
        <v>431</v>
      </c>
      <c r="B17" s="1014" t="s">
        <v>512</v>
      </c>
      <c r="C17" s="853"/>
      <c r="D17" s="853"/>
      <c r="E17" s="855"/>
    </row>
    <row r="18" spans="1:5" ht="14.25" x14ac:dyDescent="0.2">
      <c r="A18" s="852" t="s">
        <v>498</v>
      </c>
      <c r="B18" s="1014" t="s">
        <v>497</v>
      </c>
      <c r="C18" s="853"/>
      <c r="D18" s="853"/>
      <c r="E18" s="855"/>
    </row>
    <row r="19" spans="1:5" x14ac:dyDescent="0.2">
      <c r="A19" s="1015" t="s">
        <v>499</v>
      </c>
      <c r="B19" s="1014" t="s">
        <v>497</v>
      </c>
      <c r="C19" s="853"/>
      <c r="D19" s="853"/>
      <c r="E19" s="855"/>
    </row>
    <row r="20" spans="1:5" ht="13.5" customHeight="1" x14ac:dyDescent="0.2">
      <c r="A20" s="852" t="s">
        <v>500</v>
      </c>
      <c r="B20" s="1014" t="s">
        <v>501</v>
      </c>
      <c r="C20" s="853"/>
      <c r="D20" s="853"/>
      <c r="E20" s="485" t="s">
        <v>430</v>
      </c>
    </row>
    <row r="21" spans="1:5" ht="63.75" x14ac:dyDescent="0.2">
      <c r="A21" s="852" t="s">
        <v>429</v>
      </c>
      <c r="B21" s="1014" t="s">
        <v>513</v>
      </c>
      <c r="C21" s="853"/>
      <c r="D21" s="853"/>
      <c r="E21" s="855"/>
    </row>
    <row r="22" spans="1:5" ht="76.5" x14ac:dyDescent="0.2">
      <c r="A22" s="852" t="s">
        <v>453</v>
      </c>
      <c r="B22" s="1014" t="s">
        <v>514</v>
      </c>
      <c r="C22" s="853"/>
      <c r="D22" s="853"/>
      <c r="E22" s="855"/>
    </row>
    <row r="23" spans="1:5" ht="14.25" x14ac:dyDescent="0.2">
      <c r="A23" s="852" t="s">
        <v>504</v>
      </c>
      <c r="B23" s="1014" t="s">
        <v>505</v>
      </c>
      <c r="C23" s="853"/>
      <c r="D23" s="853"/>
      <c r="E23" s="855"/>
    </row>
    <row r="24" spans="1:5" ht="14.25" hidden="1" x14ac:dyDescent="0.2">
      <c r="A24" s="852"/>
      <c r="B24" s="853"/>
      <c r="C24" s="853"/>
      <c r="D24" s="853"/>
      <c r="E24" s="855"/>
    </row>
    <row r="25" spans="1:5" ht="14.25" hidden="1" x14ac:dyDescent="0.2">
      <c r="A25" s="852"/>
      <c r="B25" s="853"/>
      <c r="C25" s="853"/>
      <c r="D25" s="853"/>
      <c r="E25" s="855"/>
    </row>
    <row r="26" spans="1:5" ht="14.25" hidden="1" x14ac:dyDescent="0.2">
      <c r="A26" s="852"/>
      <c r="B26" s="853"/>
      <c r="C26" s="853"/>
      <c r="D26" s="853"/>
      <c r="E26" s="855"/>
    </row>
    <row r="27" spans="1:5" ht="14.25" hidden="1" x14ac:dyDescent="0.2">
      <c r="A27" s="852"/>
      <c r="B27" s="853"/>
      <c r="C27" s="853"/>
      <c r="D27" s="853"/>
      <c r="E27" s="855"/>
    </row>
    <row r="28" spans="1:5" ht="14.25" hidden="1" x14ac:dyDescent="0.2">
      <c r="A28" s="852"/>
      <c r="B28" s="853"/>
      <c r="C28" s="853"/>
      <c r="D28" s="853"/>
      <c r="E28" s="855"/>
    </row>
    <row r="29" spans="1:5" ht="14.25" hidden="1" x14ac:dyDescent="0.2">
      <c r="A29" s="852"/>
      <c r="B29" s="853"/>
      <c r="C29" s="853"/>
      <c r="D29" s="853"/>
      <c r="E29" s="855"/>
    </row>
    <row r="30" spans="1:5" ht="14.25" hidden="1" x14ac:dyDescent="0.2">
      <c r="A30" s="852"/>
      <c r="B30" s="853"/>
      <c r="C30" s="853"/>
      <c r="D30" s="853"/>
      <c r="E30" s="855"/>
    </row>
    <row r="31" spans="1:5" ht="14.25" hidden="1" x14ac:dyDescent="0.2">
      <c r="A31" s="852"/>
      <c r="B31" s="853"/>
      <c r="C31" s="853"/>
      <c r="D31" s="853"/>
      <c r="E31" s="855"/>
    </row>
    <row r="32" spans="1:5" ht="14.25" hidden="1" x14ac:dyDescent="0.2">
      <c r="A32" s="852"/>
      <c r="B32" s="853"/>
      <c r="C32" s="853"/>
      <c r="D32" s="853"/>
      <c r="E32" s="855"/>
    </row>
    <row r="33" spans="1:5" ht="14.25" hidden="1" x14ac:dyDescent="0.2">
      <c r="A33" s="852"/>
      <c r="B33" s="853"/>
      <c r="C33" s="853"/>
      <c r="D33" s="853"/>
      <c r="E33" s="855"/>
    </row>
    <row r="34" spans="1:5" ht="14.25" hidden="1" x14ac:dyDescent="0.2">
      <c r="A34" s="852"/>
      <c r="B34" s="853"/>
      <c r="C34" s="853"/>
      <c r="D34" s="853"/>
      <c r="E34" s="855"/>
    </row>
    <row r="35" spans="1:5" ht="14.25" hidden="1" x14ac:dyDescent="0.2">
      <c r="A35" s="852"/>
      <c r="B35" s="853"/>
      <c r="C35" s="853"/>
      <c r="D35" s="853"/>
      <c r="E35" s="855"/>
    </row>
    <row r="36" spans="1:5" ht="14.25" hidden="1" x14ac:dyDescent="0.2">
      <c r="A36" s="852"/>
      <c r="B36" s="853"/>
      <c r="C36" s="853"/>
      <c r="D36" s="853"/>
      <c r="E36" s="855"/>
    </row>
    <row r="37" spans="1:5" ht="14.25" hidden="1" x14ac:dyDescent="0.2">
      <c r="A37" s="852"/>
      <c r="B37" s="853"/>
      <c r="C37" s="853"/>
      <c r="D37" s="853"/>
      <c r="E37" s="855"/>
    </row>
    <row r="38" spans="1:5" ht="14.25" hidden="1" x14ac:dyDescent="0.2">
      <c r="A38" s="852"/>
      <c r="B38" s="853"/>
      <c r="C38" s="853"/>
      <c r="D38" s="853"/>
      <c r="E38" s="855"/>
    </row>
    <row r="39" spans="1:5" ht="14.25" hidden="1" x14ac:dyDescent="0.2">
      <c r="A39" s="852"/>
    </row>
    <row r="40" spans="1:5" hidden="1" x14ac:dyDescent="0.2"/>
  </sheetData>
  <mergeCells count="2">
    <mergeCell ref="B6:C6"/>
    <mergeCell ref="A10:A1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8"/>
  <dimension ref="A1:H32"/>
  <sheetViews>
    <sheetView topLeftCell="A19" workbookViewId="0">
      <selection activeCell="J18" sqref="J18"/>
    </sheetView>
  </sheetViews>
  <sheetFormatPr baseColWidth="10" defaultRowHeight="12.75" x14ac:dyDescent="0.2"/>
  <cols>
    <col min="1" max="1" width="35.5703125" customWidth="1"/>
    <col min="2" max="2" width="37.140625" style="39" customWidth="1"/>
    <col min="3" max="3" width="48.140625" style="39" customWidth="1"/>
    <col min="4" max="4" width="36.42578125" style="39" customWidth="1"/>
    <col min="5" max="5" width="48.28515625" style="39" customWidth="1"/>
  </cols>
  <sheetData>
    <row r="1" spans="1:5" x14ac:dyDescent="0.2">
      <c r="A1" s="1073"/>
      <c r="B1" s="3173" t="s">
        <v>518</v>
      </c>
      <c r="C1" s="3173"/>
      <c r="D1" s="3173"/>
      <c r="E1" s="1060"/>
    </row>
    <row r="2" spans="1:5" x14ac:dyDescent="0.2">
      <c r="A2" s="1073"/>
      <c r="B2" s="1060"/>
      <c r="C2" s="1060"/>
      <c r="D2" s="1060"/>
      <c r="E2" s="1060"/>
    </row>
    <row r="3" spans="1:5" ht="13.5" thickBot="1" x14ac:dyDescent="0.25">
      <c r="A3" s="1073"/>
      <c r="B3" s="1060"/>
      <c r="C3" s="1060"/>
      <c r="D3" s="1060"/>
      <c r="E3" s="1060"/>
    </row>
    <row r="4" spans="1:5" ht="13.5" thickBot="1" x14ac:dyDescent="0.25">
      <c r="A4" s="3162" t="s">
        <v>519</v>
      </c>
      <c r="B4" s="3174" t="s">
        <v>520</v>
      </c>
      <c r="C4" s="1061" t="s">
        <v>521</v>
      </c>
      <c r="D4" s="1062" t="s">
        <v>522</v>
      </c>
      <c r="E4" s="1063" t="s">
        <v>133</v>
      </c>
    </row>
    <row r="5" spans="1:5" ht="13.5" thickBot="1" x14ac:dyDescent="0.25">
      <c r="A5" s="3163"/>
      <c r="B5" s="3175"/>
      <c r="C5" s="1064"/>
      <c r="D5" s="1064"/>
      <c r="E5" s="1065"/>
    </row>
    <row r="6" spans="1:5" ht="13.5" thickBot="1" x14ac:dyDescent="0.25">
      <c r="A6" s="3176" t="s">
        <v>523</v>
      </c>
      <c r="B6" s="1066" t="s">
        <v>524</v>
      </c>
      <c r="C6" s="1050" t="s">
        <v>525</v>
      </c>
      <c r="D6" s="3179" t="s">
        <v>526</v>
      </c>
      <c r="E6" s="1067"/>
    </row>
    <row r="7" spans="1:5" x14ac:dyDescent="0.2">
      <c r="A7" s="3177"/>
      <c r="B7" s="3166" t="s">
        <v>527</v>
      </c>
      <c r="C7" s="1051" t="s">
        <v>528</v>
      </c>
      <c r="D7" s="3180"/>
      <c r="E7" s="3164"/>
    </row>
    <row r="8" spans="1:5" ht="23.25" customHeight="1" thickBot="1" x14ac:dyDescent="0.25">
      <c r="A8" s="3177"/>
      <c r="B8" s="3168"/>
      <c r="C8" s="1052" t="s">
        <v>529</v>
      </c>
      <c r="D8" s="3181"/>
      <c r="E8" s="3165"/>
    </row>
    <row r="9" spans="1:5" ht="13.5" thickBot="1" x14ac:dyDescent="0.25">
      <c r="A9" s="3177"/>
      <c r="B9" s="1068" t="s">
        <v>530</v>
      </c>
      <c r="C9" s="1052" t="s">
        <v>531</v>
      </c>
      <c r="D9" s="1052" t="s">
        <v>532</v>
      </c>
      <c r="E9" s="1053" t="s">
        <v>533</v>
      </c>
    </row>
    <row r="10" spans="1:5" ht="13.5" thickBot="1" x14ac:dyDescent="0.25">
      <c r="A10" s="3177"/>
      <c r="B10" s="1068" t="s">
        <v>534</v>
      </c>
      <c r="C10" s="1052" t="s">
        <v>535</v>
      </c>
      <c r="D10" s="1052" t="s">
        <v>532</v>
      </c>
      <c r="E10" s="1053" t="s">
        <v>536</v>
      </c>
    </row>
    <row r="11" spans="1:5" ht="13.5" thickBot="1" x14ac:dyDescent="0.25">
      <c r="A11" s="3177"/>
      <c r="B11" s="1068" t="s">
        <v>537</v>
      </c>
      <c r="C11" s="1052" t="s">
        <v>538</v>
      </c>
      <c r="D11" s="1052"/>
      <c r="E11" s="1053"/>
    </row>
    <row r="12" spans="1:5" ht="26.25" thickBot="1" x14ac:dyDescent="0.25">
      <c r="A12" s="3177"/>
      <c r="B12" s="1069" t="s">
        <v>539</v>
      </c>
      <c r="C12" s="1054" t="s">
        <v>540</v>
      </c>
      <c r="D12" s="1054" t="s">
        <v>541</v>
      </c>
      <c r="E12" s="1055" t="s">
        <v>542</v>
      </c>
    </row>
    <row r="13" spans="1:5" ht="13.5" thickBot="1" x14ac:dyDescent="0.25">
      <c r="A13" s="3177"/>
      <c r="B13" s="3166" t="s">
        <v>543</v>
      </c>
      <c r="C13" s="1052" t="s">
        <v>544</v>
      </c>
      <c r="D13" s="1052" t="s">
        <v>545</v>
      </c>
      <c r="E13" s="1053"/>
    </row>
    <row r="14" spans="1:5" ht="13.5" thickBot="1" x14ac:dyDescent="0.25">
      <c r="A14" s="3177"/>
      <c r="B14" s="3167"/>
      <c r="C14" s="1056" t="s">
        <v>546</v>
      </c>
      <c r="D14" s="1057" t="s">
        <v>547</v>
      </c>
      <c r="E14" s="1053"/>
    </row>
    <row r="15" spans="1:5" ht="26.25" thickBot="1" x14ac:dyDescent="0.25">
      <c r="A15" s="3177"/>
      <c r="B15" s="1068" t="s">
        <v>548</v>
      </c>
      <c r="C15" s="1050" t="s">
        <v>549</v>
      </c>
      <c r="D15" s="1052" t="s">
        <v>550</v>
      </c>
      <c r="E15" s="1058"/>
    </row>
    <row r="16" spans="1:5" ht="26.25" thickBot="1" x14ac:dyDescent="0.25">
      <c r="A16" s="3177"/>
      <c r="B16" s="1068" t="s">
        <v>551</v>
      </c>
      <c r="C16" s="1052" t="s">
        <v>552</v>
      </c>
      <c r="D16" s="1052" t="s">
        <v>553</v>
      </c>
      <c r="E16" s="1053"/>
    </row>
    <row r="17" spans="1:8" ht="13.5" customHeight="1" thickBot="1" x14ac:dyDescent="0.25">
      <c r="A17" s="3177"/>
      <c r="B17" s="3166" t="s">
        <v>554</v>
      </c>
      <c r="C17" s="1052" t="s">
        <v>555</v>
      </c>
      <c r="D17" s="1052"/>
      <c r="E17" s="1053"/>
      <c r="H17" s="39" t="s">
        <v>62</v>
      </c>
    </row>
    <row r="18" spans="1:8" ht="13.5" customHeight="1" thickBot="1" x14ac:dyDescent="0.25">
      <c r="A18" s="3177"/>
      <c r="B18" s="3168"/>
      <c r="C18" s="1052" t="s">
        <v>556</v>
      </c>
      <c r="D18" s="1052" t="s">
        <v>557</v>
      </c>
      <c r="E18" s="1053"/>
    </row>
    <row r="19" spans="1:8" ht="13.5" thickBot="1" x14ac:dyDescent="0.25">
      <c r="A19" s="3178"/>
      <c r="B19" s="1068" t="s">
        <v>558</v>
      </c>
      <c r="C19" s="1052" t="s">
        <v>559</v>
      </c>
      <c r="D19" s="1052" t="s">
        <v>560</v>
      </c>
      <c r="E19" s="1058"/>
    </row>
    <row r="20" spans="1:8" ht="13.5" thickBot="1" x14ac:dyDescent="0.25">
      <c r="A20" s="3169" t="s">
        <v>431</v>
      </c>
      <c r="B20" s="3171" t="s">
        <v>561</v>
      </c>
      <c r="C20" s="1052" t="s">
        <v>562</v>
      </c>
      <c r="D20" s="1052"/>
      <c r="E20" s="1058"/>
    </row>
    <row r="21" spans="1:8" ht="13.5" thickBot="1" x14ac:dyDescent="0.25">
      <c r="A21" s="3170"/>
      <c r="B21" s="3172"/>
      <c r="C21" s="1052" t="s">
        <v>563</v>
      </c>
      <c r="D21" s="1052"/>
      <c r="E21" s="1058"/>
    </row>
    <row r="22" spans="1:8" ht="13.5" thickBot="1" x14ac:dyDescent="0.25">
      <c r="A22" s="3170"/>
      <c r="B22" s="1068" t="s">
        <v>564</v>
      </c>
      <c r="C22" s="1052" t="s">
        <v>565</v>
      </c>
      <c r="D22" s="1052" t="s">
        <v>566</v>
      </c>
      <c r="E22" s="1058"/>
    </row>
    <row r="23" spans="1:8" ht="13.5" thickBot="1" x14ac:dyDescent="0.25">
      <c r="A23" s="3170"/>
      <c r="B23" s="1068" t="s">
        <v>567</v>
      </c>
      <c r="C23" s="1052" t="s">
        <v>565</v>
      </c>
      <c r="D23" s="1052" t="s">
        <v>566</v>
      </c>
      <c r="E23" s="1058"/>
    </row>
    <row r="24" spans="1:8" ht="13.5" thickBot="1" x14ac:dyDescent="0.25">
      <c r="A24" s="3170"/>
      <c r="B24" s="1068" t="s">
        <v>534</v>
      </c>
      <c r="C24" s="1052" t="s">
        <v>565</v>
      </c>
      <c r="D24" s="1052" t="s">
        <v>566</v>
      </c>
      <c r="E24" s="1053"/>
    </row>
    <row r="25" spans="1:8" ht="13.5" thickBot="1" x14ac:dyDescent="0.25">
      <c r="A25" s="3170"/>
      <c r="B25" s="1070" t="s">
        <v>568</v>
      </c>
      <c r="C25" s="1052" t="s">
        <v>569</v>
      </c>
      <c r="D25" s="1059" t="s">
        <v>570</v>
      </c>
      <c r="E25" s="1058" t="s">
        <v>591</v>
      </c>
    </row>
    <row r="26" spans="1:8" ht="13.5" thickBot="1" x14ac:dyDescent="0.25">
      <c r="A26" s="3160" t="s">
        <v>571</v>
      </c>
      <c r="B26" s="1068" t="s">
        <v>572</v>
      </c>
      <c r="C26" s="1052" t="s">
        <v>573</v>
      </c>
      <c r="D26" s="1052" t="s">
        <v>574</v>
      </c>
      <c r="E26" s="1053"/>
    </row>
    <row r="27" spans="1:8" ht="13.5" thickBot="1" x14ac:dyDescent="0.25">
      <c r="A27" s="3160"/>
      <c r="B27" s="1070" t="s">
        <v>575</v>
      </c>
      <c r="C27" s="1052" t="s">
        <v>544</v>
      </c>
      <c r="D27" s="1052"/>
      <c r="E27" s="1053"/>
    </row>
    <row r="28" spans="1:8" ht="13.5" thickBot="1" x14ac:dyDescent="0.25">
      <c r="A28" s="3161"/>
      <c r="B28" s="1068" t="s">
        <v>576</v>
      </c>
      <c r="C28" s="1052" t="s">
        <v>577</v>
      </c>
      <c r="D28" s="1052" t="s">
        <v>578</v>
      </c>
      <c r="E28" s="1053"/>
    </row>
    <row r="29" spans="1:8" ht="13.5" thickBot="1" x14ac:dyDescent="0.25">
      <c r="A29" s="1074" t="s">
        <v>579</v>
      </c>
      <c r="B29" s="1071"/>
      <c r="C29" s="1052" t="s">
        <v>580</v>
      </c>
      <c r="D29" s="1052" t="s">
        <v>581</v>
      </c>
      <c r="E29" s="1053"/>
    </row>
    <row r="30" spans="1:8" ht="26.25" thickBot="1" x14ac:dyDescent="0.25">
      <c r="A30" s="3162" t="s">
        <v>592</v>
      </c>
      <c r="B30" s="1072" t="s">
        <v>582</v>
      </c>
      <c r="C30" s="1059" t="s">
        <v>583</v>
      </c>
      <c r="D30" s="1059" t="s">
        <v>584</v>
      </c>
      <c r="E30" s="1067"/>
    </row>
    <row r="31" spans="1:8" ht="13.5" thickBot="1" x14ac:dyDescent="0.25">
      <c r="A31" s="3160"/>
      <c r="B31" s="1068" t="s">
        <v>585</v>
      </c>
      <c r="C31" s="1052" t="s">
        <v>586</v>
      </c>
      <c r="D31" s="1052" t="s">
        <v>587</v>
      </c>
      <c r="E31" s="1053"/>
    </row>
    <row r="32" spans="1:8" ht="13.5" thickBot="1" x14ac:dyDescent="0.25">
      <c r="A32" s="3163"/>
      <c r="B32" s="1068" t="s">
        <v>588</v>
      </c>
      <c r="C32" s="1052" t="s">
        <v>589</v>
      </c>
      <c r="D32" s="1052" t="s">
        <v>590</v>
      </c>
      <c r="E32" s="1053"/>
    </row>
  </sheetData>
  <mergeCells count="13">
    <mergeCell ref="B1:D1"/>
    <mergeCell ref="A4:A5"/>
    <mergeCell ref="B4:B5"/>
    <mergeCell ref="A6:A19"/>
    <mergeCell ref="D6:D8"/>
    <mergeCell ref="B7:B8"/>
    <mergeCell ref="A26:A28"/>
    <mergeCell ref="A30:A32"/>
    <mergeCell ref="E7:E8"/>
    <mergeCell ref="B13:B14"/>
    <mergeCell ref="B17:B18"/>
    <mergeCell ref="A20:A25"/>
    <mergeCell ref="B20:B21"/>
  </mergeCells>
  <pageMargins left="0.39370078740157483" right="0.39370078740157483" top="0.39370078740157483" bottom="0.74803149606299213" header="0.31496062992125984" footer="0.31496062992125984"/>
  <pageSetup paperSize="9" orientation="portrait"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9"/>
  <dimension ref="A1:I15"/>
  <sheetViews>
    <sheetView workbookViewId="0">
      <selection activeCell="J18" sqref="J18"/>
    </sheetView>
  </sheetViews>
  <sheetFormatPr baseColWidth="10" defaultRowHeight="14.25" x14ac:dyDescent="0.2"/>
  <cols>
    <col min="1" max="1" width="31.42578125" style="51" customWidth="1"/>
    <col min="2" max="2" width="14.28515625" style="51" customWidth="1"/>
    <col min="3" max="3" width="13.5703125" style="51" bestFit="1" customWidth="1"/>
    <col min="5" max="5" width="16.85546875" hidden="1" customWidth="1"/>
    <col min="6" max="6" width="14" hidden="1" customWidth="1"/>
    <col min="7" max="8" width="0" hidden="1" customWidth="1"/>
    <col min="9" max="9" width="16.28515625" hidden="1" customWidth="1"/>
  </cols>
  <sheetData>
    <row r="1" spans="1:9" ht="16.5" x14ac:dyDescent="0.25">
      <c r="A1" s="196"/>
      <c r="B1" s="196"/>
      <c r="C1" s="196"/>
    </row>
    <row r="2" spans="1:9" ht="17.25" x14ac:dyDescent="0.3">
      <c r="A2" s="202" t="s">
        <v>46</v>
      </c>
      <c r="B2" s="202" t="s">
        <v>110</v>
      </c>
      <c r="C2" s="202" t="s">
        <v>141</v>
      </c>
    </row>
    <row r="3" spans="1:9" s="877" customFormat="1" ht="17.25" x14ac:dyDescent="0.3">
      <c r="A3" s="1083" t="s">
        <v>594</v>
      </c>
      <c r="B3" s="206" t="s">
        <v>246</v>
      </c>
      <c r="C3" s="393">
        <v>3</v>
      </c>
    </row>
    <row r="4" spans="1:9" s="877" customFormat="1" ht="18" thickBot="1" x14ac:dyDescent="0.35">
      <c r="A4" s="304" t="s">
        <v>595</v>
      </c>
      <c r="B4" s="206" t="s">
        <v>246</v>
      </c>
      <c r="C4" s="393">
        <v>2</v>
      </c>
    </row>
    <row r="5" spans="1:9" s="877" customFormat="1" ht="17.25" x14ac:dyDescent="0.3">
      <c r="A5" s="304" t="s">
        <v>244</v>
      </c>
      <c r="B5" s="1084" t="s">
        <v>392</v>
      </c>
      <c r="C5" s="1085">
        <v>2</v>
      </c>
      <c r="E5" s="1145" t="s">
        <v>126</v>
      </c>
      <c r="F5" s="1144" t="s">
        <v>623</v>
      </c>
      <c r="G5" s="1147" t="s">
        <v>141</v>
      </c>
      <c r="H5" s="1148" t="s">
        <v>624</v>
      </c>
      <c r="I5" s="1149" t="s">
        <v>421</v>
      </c>
    </row>
    <row r="6" spans="1:9" s="877" customFormat="1" ht="17.25" x14ac:dyDescent="0.3">
      <c r="A6" s="305" t="s">
        <v>597</v>
      </c>
      <c r="B6" s="206" t="s">
        <v>246</v>
      </c>
      <c r="C6" s="393">
        <v>3</v>
      </c>
      <c r="E6" s="1146" t="s">
        <v>628</v>
      </c>
      <c r="F6" s="260" t="s">
        <v>625</v>
      </c>
      <c r="G6" s="1004">
        <v>150</v>
      </c>
      <c r="H6" s="1143">
        <v>609</v>
      </c>
      <c r="I6" s="1152">
        <f>+G6*H6</f>
        <v>91350</v>
      </c>
    </row>
    <row r="7" spans="1:9" s="877" customFormat="1" ht="17.25" x14ac:dyDescent="0.3">
      <c r="A7" s="304" t="s">
        <v>596</v>
      </c>
      <c r="B7" s="206" t="s">
        <v>246</v>
      </c>
      <c r="C7" s="393">
        <v>2</v>
      </c>
      <c r="E7" s="1146" t="s">
        <v>628</v>
      </c>
      <c r="F7" s="260" t="s">
        <v>626</v>
      </c>
      <c r="G7" s="1004">
        <v>150</v>
      </c>
      <c r="H7" s="1143">
        <v>609</v>
      </c>
      <c r="I7" s="1152">
        <f>+G7*H7</f>
        <v>91350</v>
      </c>
    </row>
    <row r="8" spans="1:9" s="877" customFormat="1" ht="18" thickBot="1" x14ac:dyDescent="0.35">
      <c r="A8" s="684" t="s">
        <v>620</v>
      </c>
      <c r="B8" s="206" t="s">
        <v>246</v>
      </c>
      <c r="C8" s="1155">
        <v>2</v>
      </c>
      <c r="E8" s="1150" t="s">
        <v>628</v>
      </c>
      <c r="F8" s="940" t="s">
        <v>627</v>
      </c>
      <c r="G8" s="945">
        <v>200</v>
      </c>
      <c r="H8" s="1151">
        <v>609</v>
      </c>
      <c r="I8" s="1153">
        <f>+G8*H8</f>
        <v>121800</v>
      </c>
    </row>
    <row r="9" spans="1:9" ht="18" thickBot="1" x14ac:dyDescent="0.35">
      <c r="A9" s="425" t="s">
        <v>621</v>
      </c>
      <c r="B9" s="206" t="s">
        <v>246</v>
      </c>
      <c r="C9" s="1156">
        <v>3</v>
      </c>
      <c r="E9" s="3032" t="s">
        <v>18</v>
      </c>
      <c r="F9" s="3182"/>
      <c r="G9" s="1154">
        <f>SUM(G6:G8)</f>
        <v>500</v>
      </c>
      <c r="H9" s="61">
        <v>609</v>
      </c>
      <c r="I9" s="68">
        <f>SUM(I6:I8)</f>
        <v>304500</v>
      </c>
    </row>
    <row r="10" spans="1:9" ht="15" x14ac:dyDescent="0.25">
      <c r="A10" s="425" t="s">
        <v>622</v>
      </c>
      <c r="B10" s="1157" t="s">
        <v>392</v>
      </c>
      <c r="C10" s="1156">
        <v>5</v>
      </c>
    </row>
    <row r="13" spans="1:9" ht="27" customHeight="1" x14ac:dyDescent="0.3">
      <c r="A13" s="202" t="s">
        <v>46</v>
      </c>
      <c r="B13" s="202" t="s">
        <v>110</v>
      </c>
      <c r="C13" s="202" t="s">
        <v>141</v>
      </c>
    </row>
    <row r="14" spans="1:9" ht="29.25" customHeight="1" x14ac:dyDescent="0.3">
      <c r="A14" s="1670" t="s">
        <v>933</v>
      </c>
      <c r="B14" s="1660" t="s">
        <v>392</v>
      </c>
      <c r="C14" s="393">
        <v>2</v>
      </c>
    </row>
    <row r="15" spans="1:9" ht="22.5" customHeight="1" x14ac:dyDescent="0.3">
      <c r="A15" s="1671"/>
      <c r="B15" s="1658"/>
      <c r="C15" s="1659"/>
    </row>
  </sheetData>
  <mergeCells count="1">
    <mergeCell ref="E9:F9"/>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0"/>
  <dimension ref="A2:F27"/>
  <sheetViews>
    <sheetView workbookViewId="0">
      <selection activeCell="J18" sqref="J18"/>
    </sheetView>
  </sheetViews>
  <sheetFormatPr baseColWidth="10" defaultRowHeight="12.75" x14ac:dyDescent="0.2"/>
  <cols>
    <col min="1" max="1" width="5.85546875" customWidth="1"/>
    <col min="2" max="2" width="53" customWidth="1"/>
    <col min="3" max="3" width="23.85546875" customWidth="1"/>
  </cols>
  <sheetData>
    <row r="2" spans="1:6" ht="15" x14ac:dyDescent="0.2">
      <c r="B2" s="1007" t="s">
        <v>170</v>
      </c>
      <c r="C2" s="92"/>
      <c r="D2" s="92"/>
      <c r="E2" s="92"/>
    </row>
    <row r="3" spans="1:6" ht="18" x14ac:dyDescent="0.25">
      <c r="B3" s="1008" t="s">
        <v>212</v>
      </c>
      <c r="C3" s="92"/>
      <c r="D3" s="92"/>
      <c r="E3" s="92"/>
    </row>
    <row r="4" spans="1:6" ht="20.25" x14ac:dyDescent="0.3">
      <c r="B4" s="1087"/>
      <c r="C4" s="1087"/>
      <c r="D4" s="1087"/>
    </row>
    <row r="5" spans="1:6" ht="18" x14ac:dyDescent="0.25">
      <c r="A5" s="1126" t="s">
        <v>184</v>
      </c>
      <c r="B5" s="1088" t="s">
        <v>450</v>
      </c>
      <c r="C5" s="1127"/>
    </row>
    <row r="6" spans="1:6" ht="30" customHeight="1" x14ac:dyDescent="0.35">
      <c r="A6" s="1128">
        <v>1</v>
      </c>
      <c r="B6" s="72" t="s">
        <v>330</v>
      </c>
      <c r="C6" s="283"/>
      <c r="D6" s="1086"/>
    </row>
    <row r="7" spans="1:6" ht="30" customHeight="1" x14ac:dyDescent="0.25">
      <c r="A7" s="1128">
        <f>A6+1</f>
        <v>2</v>
      </c>
      <c r="B7" s="72" t="s">
        <v>603</v>
      </c>
      <c r="C7" s="401"/>
    </row>
    <row r="8" spans="1:6" ht="30" customHeight="1" x14ac:dyDescent="0.35">
      <c r="A8" s="1128">
        <f t="shared" ref="A8:A27" si="0">A7+1</f>
        <v>3</v>
      </c>
      <c r="B8" s="72" t="s">
        <v>598</v>
      </c>
      <c r="C8" s="283"/>
      <c r="D8" s="1086"/>
      <c r="F8" s="283"/>
    </row>
    <row r="9" spans="1:6" ht="30" customHeight="1" x14ac:dyDescent="0.35">
      <c r="A9" s="1128">
        <f t="shared" si="0"/>
        <v>4</v>
      </c>
      <c r="B9" s="72" t="s">
        <v>338</v>
      </c>
      <c r="C9" s="283"/>
      <c r="D9" s="1086"/>
    </row>
    <row r="10" spans="1:6" ht="30" customHeight="1" x14ac:dyDescent="0.35">
      <c r="A10" s="1128">
        <f t="shared" si="0"/>
        <v>5</v>
      </c>
      <c r="B10" s="72" t="s">
        <v>601</v>
      </c>
      <c r="C10" s="283"/>
      <c r="D10" s="1086"/>
    </row>
    <row r="11" spans="1:6" ht="30" customHeight="1" x14ac:dyDescent="0.35">
      <c r="A11" s="1128">
        <f t="shared" si="0"/>
        <v>6</v>
      </c>
      <c r="B11" s="72" t="s">
        <v>328</v>
      </c>
      <c r="C11" s="283"/>
      <c r="D11" s="1086"/>
    </row>
    <row r="12" spans="1:6" ht="30" customHeight="1" x14ac:dyDescent="0.35">
      <c r="A12" s="1128">
        <f t="shared" si="0"/>
        <v>7</v>
      </c>
      <c r="B12" s="72" t="s">
        <v>333</v>
      </c>
      <c r="C12" s="283"/>
      <c r="D12" s="1086"/>
    </row>
    <row r="13" spans="1:6" ht="30" customHeight="1" x14ac:dyDescent="0.35">
      <c r="A13" s="1128">
        <f t="shared" si="0"/>
        <v>8</v>
      </c>
      <c r="B13" s="72" t="s">
        <v>334</v>
      </c>
      <c r="C13" s="283"/>
      <c r="D13" s="1086"/>
    </row>
    <row r="14" spans="1:6" ht="30" customHeight="1" x14ac:dyDescent="0.35">
      <c r="A14" s="1128">
        <f t="shared" si="0"/>
        <v>9</v>
      </c>
      <c r="B14" s="72" t="s">
        <v>337</v>
      </c>
      <c r="C14" s="283"/>
      <c r="D14" s="1086"/>
    </row>
    <row r="15" spans="1:6" ht="30" customHeight="1" x14ac:dyDescent="0.35">
      <c r="A15" s="1128">
        <f t="shared" si="0"/>
        <v>10</v>
      </c>
      <c r="B15" s="72" t="s">
        <v>335</v>
      </c>
      <c r="C15" s="283"/>
      <c r="D15" s="1086"/>
    </row>
    <row r="16" spans="1:6" ht="30" customHeight="1" x14ac:dyDescent="0.35">
      <c r="A16" s="1128">
        <f t="shared" si="0"/>
        <v>11</v>
      </c>
      <c r="B16" s="72" t="s">
        <v>332</v>
      </c>
      <c r="C16" s="283"/>
      <c r="D16" s="1086"/>
    </row>
    <row r="17" spans="1:4" ht="30" customHeight="1" x14ac:dyDescent="0.35">
      <c r="A17" s="1128">
        <f t="shared" si="0"/>
        <v>12</v>
      </c>
      <c r="B17" s="72" t="s">
        <v>599</v>
      </c>
      <c r="C17" s="283"/>
      <c r="D17" s="1086"/>
    </row>
    <row r="18" spans="1:4" ht="30" customHeight="1" x14ac:dyDescent="0.35">
      <c r="A18" s="1128">
        <f t="shared" si="0"/>
        <v>13</v>
      </c>
      <c r="B18" s="72" t="s">
        <v>600</v>
      </c>
      <c r="C18" s="283"/>
      <c r="D18" s="1086"/>
    </row>
    <row r="19" spans="1:4" ht="30" customHeight="1" x14ac:dyDescent="0.35">
      <c r="A19" s="1128">
        <f t="shared" si="0"/>
        <v>14</v>
      </c>
      <c r="B19" s="72" t="s">
        <v>329</v>
      </c>
      <c r="C19" s="283"/>
      <c r="D19" s="1086"/>
    </row>
    <row r="20" spans="1:4" ht="30" customHeight="1" x14ac:dyDescent="0.35">
      <c r="A20" s="1128">
        <f t="shared" si="0"/>
        <v>15</v>
      </c>
      <c r="B20" s="72" t="s">
        <v>604</v>
      </c>
      <c r="C20" s="283"/>
      <c r="D20" s="1086"/>
    </row>
    <row r="21" spans="1:4" ht="30" customHeight="1" x14ac:dyDescent="0.35">
      <c r="A21" s="1128">
        <f t="shared" si="0"/>
        <v>16</v>
      </c>
      <c r="B21" s="72" t="s">
        <v>605</v>
      </c>
      <c r="C21" s="283"/>
      <c r="D21" s="1086"/>
    </row>
    <row r="22" spans="1:4" ht="30" customHeight="1" x14ac:dyDescent="0.35">
      <c r="A22" s="1128">
        <f t="shared" si="0"/>
        <v>17</v>
      </c>
      <c r="B22" s="72" t="s">
        <v>481</v>
      </c>
      <c r="C22" s="283"/>
      <c r="D22" s="1086"/>
    </row>
    <row r="23" spans="1:4" ht="30" customHeight="1" x14ac:dyDescent="0.35">
      <c r="A23" s="1128">
        <f t="shared" si="0"/>
        <v>18</v>
      </c>
      <c r="B23" s="72" t="s">
        <v>606</v>
      </c>
      <c r="C23" s="283"/>
      <c r="D23" s="1086"/>
    </row>
    <row r="24" spans="1:4" ht="30" customHeight="1" x14ac:dyDescent="0.35">
      <c r="A24" s="1128">
        <f t="shared" si="0"/>
        <v>19</v>
      </c>
      <c r="B24" s="72" t="s">
        <v>339</v>
      </c>
      <c r="C24" s="283"/>
      <c r="D24" s="1086"/>
    </row>
    <row r="25" spans="1:4" ht="30" customHeight="1" x14ac:dyDescent="0.35">
      <c r="A25" s="1128">
        <f t="shared" si="0"/>
        <v>20</v>
      </c>
      <c r="B25" s="72" t="s">
        <v>331</v>
      </c>
      <c r="C25" s="283"/>
      <c r="D25" s="1086"/>
    </row>
    <row r="26" spans="1:4" ht="30" customHeight="1" x14ac:dyDescent="0.35">
      <c r="A26" s="1128">
        <f t="shared" si="0"/>
        <v>21</v>
      </c>
      <c r="B26" s="72" t="s">
        <v>336</v>
      </c>
      <c r="C26" s="283"/>
      <c r="D26" s="1086"/>
    </row>
    <row r="27" spans="1:4" ht="30" customHeight="1" x14ac:dyDescent="0.35">
      <c r="A27" s="1128">
        <f t="shared" si="0"/>
        <v>22</v>
      </c>
      <c r="B27" s="72" t="s">
        <v>602</v>
      </c>
      <c r="C27" s="283"/>
      <c r="D27" s="1086"/>
    </row>
  </sheetData>
  <pageMargins left="1.1023622047244095" right="0.70866141732283472" top="0.74803149606299213" bottom="0.74803149606299213" header="0.31496062992125984" footer="0.31496062992125984"/>
  <pageSetup paperSize="9"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2"/>
  <dimension ref="A1:T65"/>
  <sheetViews>
    <sheetView topLeftCell="A4" workbookViewId="0">
      <selection activeCell="J18" sqref="J18"/>
    </sheetView>
  </sheetViews>
  <sheetFormatPr baseColWidth="10" defaultRowHeight="12.75" x14ac:dyDescent="0.2"/>
  <cols>
    <col min="1" max="1" width="11.5703125" style="39" customWidth="1"/>
    <col min="2" max="5" width="11.42578125" style="39"/>
    <col min="6" max="6" width="13" style="39" bestFit="1" customWidth="1"/>
    <col min="7" max="12" width="13" style="39" customWidth="1"/>
    <col min="13" max="13" width="11.42578125" style="39"/>
    <col min="14" max="14" width="13.42578125" style="39" customWidth="1"/>
    <col min="15" max="15" width="11.42578125" style="39"/>
    <col min="16" max="16" width="12.28515625" style="39" customWidth="1"/>
    <col min="17" max="17" width="11.42578125" style="39"/>
    <col min="18" max="18" width="15.7109375" style="39" customWidth="1"/>
    <col min="19" max="19" width="13.7109375" style="39" customWidth="1"/>
    <col min="20" max="20" width="15.42578125" style="39" customWidth="1"/>
    <col min="21" max="21" width="15.28515625" style="39" customWidth="1"/>
    <col min="22" max="16384" width="11.42578125" style="39"/>
  </cols>
  <sheetData>
    <row r="1" spans="1:20" ht="15" x14ac:dyDescent="0.2">
      <c r="A1" s="329" t="s">
        <v>170</v>
      </c>
    </row>
    <row r="2" spans="1:20" ht="18" x14ac:dyDescent="0.25">
      <c r="A2" s="363" t="s">
        <v>212</v>
      </c>
    </row>
    <row r="4" spans="1:20" ht="18.75" x14ac:dyDescent="0.3">
      <c r="B4" s="384"/>
      <c r="C4" s="384"/>
      <c r="D4" s="384"/>
      <c r="E4" s="1" t="s">
        <v>19</v>
      </c>
      <c r="F4" s="2">
        <v>41518</v>
      </c>
      <c r="G4" s="3"/>
      <c r="S4" s="509" t="s">
        <v>190</v>
      </c>
    </row>
    <row r="5" spans="1:20" ht="19.5" thickBot="1" x14ac:dyDescent="0.25">
      <c r="A5" s="250"/>
      <c r="B5" s="384"/>
      <c r="C5" s="384"/>
      <c r="D5" s="384"/>
      <c r="E5" s="50"/>
      <c r="F5" s="50"/>
      <c r="G5" s="50"/>
      <c r="H5" s="50"/>
      <c r="I5" s="50"/>
      <c r="J5" s="50"/>
      <c r="K5" s="50"/>
      <c r="L5" s="50"/>
      <c r="M5" s="50"/>
      <c r="T5" s="250"/>
    </row>
    <row r="6" spans="1:20" ht="14.25" thickBot="1" x14ac:dyDescent="0.3">
      <c r="A6" s="8"/>
      <c r="N6" s="1106" t="s">
        <v>234</v>
      </c>
      <c r="O6" s="1108" t="s">
        <v>15</v>
      </c>
      <c r="P6" s="1108" t="s">
        <v>16</v>
      </c>
      <c r="Q6" s="1108" t="s">
        <v>17</v>
      </c>
      <c r="R6" s="1107" t="s">
        <v>235</v>
      </c>
      <c r="S6" s="490" t="s">
        <v>275</v>
      </c>
    </row>
    <row r="7" spans="1:20" ht="15.75" x14ac:dyDescent="0.25">
      <c r="N7" s="1122">
        <v>41365</v>
      </c>
      <c r="O7" s="496">
        <v>61689</v>
      </c>
      <c r="P7" s="495">
        <v>169416</v>
      </c>
      <c r="Q7" s="494">
        <v>5903</v>
      </c>
      <c r="R7" s="492">
        <f t="shared" ref="R7:R13" si="0">SUM(O7:Q7)</f>
        <v>237008</v>
      </c>
      <c r="S7" s="62">
        <f>+R7/30</f>
        <v>7900.2666666666664</v>
      </c>
    </row>
    <row r="8" spans="1:20" ht="16.5" x14ac:dyDescent="0.3">
      <c r="A8" s="1"/>
      <c r="B8" s="2"/>
      <c r="C8" s="3"/>
      <c r="N8" s="1122">
        <v>41395</v>
      </c>
      <c r="O8" s="496">
        <v>74626</v>
      </c>
      <c r="P8" s="495">
        <v>243080</v>
      </c>
      <c r="Q8" s="494">
        <v>6809</v>
      </c>
      <c r="R8" s="492">
        <f t="shared" si="0"/>
        <v>324515</v>
      </c>
      <c r="S8" s="65">
        <f>+R8/31</f>
        <v>10468.225806451614</v>
      </c>
    </row>
    <row r="9" spans="1:20" ht="16.5" x14ac:dyDescent="0.3">
      <c r="A9" s="1"/>
      <c r="B9" s="2"/>
      <c r="C9" s="3"/>
      <c r="N9" s="1123">
        <v>41426</v>
      </c>
      <c r="O9" s="496">
        <v>70111</v>
      </c>
      <c r="P9" s="495">
        <v>208841</v>
      </c>
      <c r="Q9" s="494">
        <v>8869</v>
      </c>
      <c r="R9" s="492">
        <f t="shared" si="0"/>
        <v>287821</v>
      </c>
      <c r="S9" s="65">
        <f>+R9/30</f>
        <v>9594.0333333333328</v>
      </c>
    </row>
    <row r="10" spans="1:20" ht="16.5" x14ac:dyDescent="0.3">
      <c r="A10" s="1"/>
      <c r="B10" s="2"/>
      <c r="C10" s="3"/>
      <c r="N10" s="1123">
        <v>41456</v>
      </c>
      <c r="O10" s="496">
        <v>74120</v>
      </c>
      <c r="P10" s="495">
        <v>260681</v>
      </c>
      <c r="Q10" s="494">
        <v>9666</v>
      </c>
      <c r="R10" s="492">
        <f t="shared" si="0"/>
        <v>344467</v>
      </c>
      <c r="S10" s="65">
        <f>+R10/31</f>
        <v>11111.838709677419</v>
      </c>
    </row>
    <row r="11" spans="1:20" ht="16.5" x14ac:dyDescent="0.3">
      <c r="A11" s="1"/>
      <c r="B11" s="2"/>
      <c r="C11" s="3"/>
      <c r="N11" s="1123">
        <v>41487</v>
      </c>
      <c r="O11" s="496">
        <v>62487</v>
      </c>
      <c r="P11" s="495">
        <v>247224</v>
      </c>
      <c r="Q11" s="494">
        <v>5316</v>
      </c>
      <c r="R11" s="492">
        <f t="shared" si="0"/>
        <v>315027</v>
      </c>
      <c r="S11" s="65">
        <f>+R11/31</f>
        <v>10162.161290322581</v>
      </c>
    </row>
    <row r="12" spans="1:20" ht="16.5" x14ac:dyDescent="0.3">
      <c r="A12" s="1"/>
      <c r="B12" s="2"/>
      <c r="C12" s="3"/>
      <c r="N12" s="1123">
        <v>41518</v>
      </c>
      <c r="O12" s="496">
        <v>56577</v>
      </c>
      <c r="P12" s="495">
        <v>217834</v>
      </c>
      <c r="Q12" s="494">
        <v>4844</v>
      </c>
      <c r="R12" s="492">
        <f t="shared" si="0"/>
        <v>279255</v>
      </c>
      <c r="S12" s="65">
        <f>+R12/30</f>
        <v>9308.5</v>
      </c>
    </row>
    <row r="13" spans="1:20" ht="16.5" x14ac:dyDescent="0.3">
      <c r="A13" s="1"/>
      <c r="B13" s="2"/>
      <c r="C13" s="3"/>
      <c r="N13" s="1123">
        <v>41548</v>
      </c>
      <c r="O13" s="496">
        <v>50584</v>
      </c>
      <c r="P13" s="495">
        <v>317906</v>
      </c>
      <c r="Q13" s="494">
        <v>5365</v>
      </c>
      <c r="R13" s="492">
        <f t="shared" si="0"/>
        <v>373855</v>
      </c>
      <c r="S13" s="65">
        <f>+R13/31</f>
        <v>12059.838709677419</v>
      </c>
    </row>
    <row r="14" spans="1:20" ht="16.5" x14ac:dyDescent="0.3">
      <c r="A14" s="1"/>
      <c r="B14" s="2"/>
      <c r="C14" s="3"/>
      <c r="N14" s="1123">
        <v>41579</v>
      </c>
      <c r="O14" s="496">
        <v>57172</v>
      </c>
      <c r="P14" s="495">
        <v>306078</v>
      </c>
      <c r="Q14" s="494">
        <v>5671</v>
      </c>
      <c r="R14" s="492">
        <f t="shared" ref="R14:R26" si="1">SUM(O14:Q14)</f>
        <v>368921</v>
      </c>
      <c r="S14" s="65">
        <f>+R14/30</f>
        <v>12297.366666666667</v>
      </c>
    </row>
    <row r="15" spans="1:20" ht="16.5" x14ac:dyDescent="0.3">
      <c r="A15" s="1"/>
      <c r="B15" s="2"/>
      <c r="C15" s="3"/>
      <c r="N15" s="1123">
        <v>41609</v>
      </c>
      <c r="O15" s="1109">
        <f>+[6]ventes!B41</f>
        <v>56546</v>
      </c>
      <c r="P15" s="1110">
        <f>+[6]ventes!C41</f>
        <v>319934</v>
      </c>
      <c r="Q15" s="1111">
        <f>+[6]ventes!D41</f>
        <v>4592</v>
      </c>
      <c r="R15" s="492">
        <f t="shared" si="1"/>
        <v>381072</v>
      </c>
      <c r="S15" s="65">
        <f>+R15/31</f>
        <v>12292.645161290322</v>
      </c>
    </row>
    <row r="16" spans="1:20" ht="16.5" x14ac:dyDescent="0.3">
      <c r="A16" s="1"/>
      <c r="B16" s="2"/>
      <c r="C16" s="3"/>
      <c r="N16" s="1123">
        <v>41640</v>
      </c>
      <c r="O16" s="1119">
        <v>56546</v>
      </c>
      <c r="P16" s="1120">
        <v>319934</v>
      </c>
      <c r="Q16" s="1121">
        <v>4592</v>
      </c>
      <c r="R16" s="492">
        <f t="shared" si="1"/>
        <v>381072</v>
      </c>
      <c r="S16" s="65">
        <f>+R16/31</f>
        <v>12292.645161290322</v>
      </c>
    </row>
    <row r="17" spans="1:19" ht="16.5" x14ac:dyDescent="0.3">
      <c r="A17" s="1"/>
      <c r="B17" s="2"/>
      <c r="C17" s="3"/>
      <c r="N17" s="1123">
        <v>41671</v>
      </c>
      <c r="O17" s="1119">
        <v>51031</v>
      </c>
      <c r="P17" s="1120">
        <v>381400</v>
      </c>
      <c r="Q17" s="1121">
        <v>3038</v>
      </c>
      <c r="R17" s="492">
        <f t="shared" si="1"/>
        <v>435469</v>
      </c>
      <c r="S17" s="1117">
        <v>7645.4193548387102</v>
      </c>
    </row>
    <row r="18" spans="1:19" ht="16.5" x14ac:dyDescent="0.3">
      <c r="A18" s="1"/>
      <c r="B18" s="2"/>
      <c r="C18" s="3"/>
      <c r="N18" s="1123">
        <v>41699</v>
      </c>
      <c r="O18" s="1119">
        <v>57202</v>
      </c>
      <c r="P18" s="1120">
        <v>449568</v>
      </c>
      <c r="Q18" s="1121">
        <v>3621</v>
      </c>
      <c r="R18" s="492">
        <f t="shared" si="1"/>
        <v>510391</v>
      </c>
      <c r="S18" s="1117">
        <v>7645.4193548387093</v>
      </c>
    </row>
    <row r="19" spans="1:19" ht="16.5" x14ac:dyDescent="0.3">
      <c r="A19" s="1"/>
      <c r="B19" s="2"/>
      <c r="C19" s="3"/>
      <c r="N19" s="1123">
        <v>41730</v>
      </c>
      <c r="O19" s="1119">
        <v>57272</v>
      </c>
      <c r="P19" s="1120">
        <v>405124</v>
      </c>
      <c r="Q19" s="1121">
        <v>3767</v>
      </c>
      <c r="R19" s="492">
        <f t="shared" si="1"/>
        <v>466163</v>
      </c>
      <c r="S19" s="62">
        <f>+R19/30</f>
        <v>15538.766666666666</v>
      </c>
    </row>
    <row r="20" spans="1:19" ht="16.5" x14ac:dyDescent="0.3">
      <c r="A20" s="1"/>
      <c r="B20" s="2"/>
      <c r="C20" s="3"/>
      <c r="N20" s="1123">
        <v>41760</v>
      </c>
      <c r="O20" s="1119">
        <v>55118</v>
      </c>
      <c r="P20" s="1120">
        <v>415140</v>
      </c>
      <c r="Q20" s="1121">
        <v>3440</v>
      </c>
      <c r="R20" s="492">
        <f t="shared" si="1"/>
        <v>473698</v>
      </c>
      <c r="S20" s="65">
        <f>+R20/31</f>
        <v>15280.58064516129</v>
      </c>
    </row>
    <row r="21" spans="1:19" ht="16.5" x14ac:dyDescent="0.3">
      <c r="A21" s="1"/>
      <c r="B21" s="2"/>
      <c r="C21" s="3"/>
      <c r="N21" s="1123">
        <v>41791</v>
      </c>
      <c r="O21" s="1119">
        <v>49818</v>
      </c>
      <c r="P21" s="1120">
        <v>495656</v>
      </c>
      <c r="Q21" s="1121">
        <v>4137</v>
      </c>
      <c r="R21" s="492">
        <f t="shared" si="1"/>
        <v>549611</v>
      </c>
      <c r="S21" s="65">
        <f>+R21/30</f>
        <v>18320.366666666665</v>
      </c>
    </row>
    <row r="22" spans="1:19" ht="15.75" x14ac:dyDescent="0.25">
      <c r="N22" s="1123">
        <v>41821</v>
      </c>
      <c r="O22" s="1119">
        <v>48595</v>
      </c>
      <c r="P22" s="1120">
        <v>467701</v>
      </c>
      <c r="Q22" s="1121">
        <v>4547</v>
      </c>
      <c r="R22" s="492">
        <f t="shared" si="1"/>
        <v>520843</v>
      </c>
      <c r="S22" s="65">
        <f>+R22/31</f>
        <v>16801.387096774193</v>
      </c>
    </row>
    <row r="23" spans="1:19" ht="15.75" x14ac:dyDescent="0.25">
      <c r="N23" s="1123">
        <v>41852</v>
      </c>
      <c r="O23" s="1119">
        <v>51109</v>
      </c>
      <c r="P23" s="1120">
        <v>486279</v>
      </c>
      <c r="Q23" s="1121">
        <v>3783</v>
      </c>
      <c r="R23" s="492">
        <f t="shared" si="1"/>
        <v>541171</v>
      </c>
      <c r="S23" s="65">
        <f>+R23/31</f>
        <v>17457.129032258064</v>
      </c>
    </row>
    <row r="24" spans="1:19" ht="15.75" x14ac:dyDescent="0.25">
      <c r="N24" s="1123">
        <v>41883</v>
      </c>
      <c r="O24" s="1119">
        <v>47034</v>
      </c>
      <c r="P24" s="1120">
        <v>483593</v>
      </c>
      <c r="Q24" s="1121">
        <v>4002</v>
      </c>
      <c r="R24" s="492">
        <f t="shared" si="1"/>
        <v>534629</v>
      </c>
      <c r="S24" s="65">
        <f>+R24/30</f>
        <v>17820.966666666667</v>
      </c>
    </row>
    <row r="25" spans="1:19" ht="15.75" x14ac:dyDescent="0.25">
      <c r="N25" s="1123">
        <v>41913</v>
      </c>
      <c r="O25" s="1119">
        <v>47416</v>
      </c>
      <c r="P25" s="1120">
        <v>524626</v>
      </c>
      <c r="Q25" s="1121">
        <v>7779</v>
      </c>
      <c r="R25" s="1158">
        <f t="shared" si="1"/>
        <v>579821</v>
      </c>
      <c r="S25" s="65">
        <f>+R25/31</f>
        <v>18703.903225806451</v>
      </c>
    </row>
    <row r="26" spans="1:19" ht="15.75" x14ac:dyDescent="0.25">
      <c r="F26" s="317"/>
      <c r="G26" s="317"/>
      <c r="H26" s="317"/>
      <c r="I26" s="317"/>
      <c r="J26" s="317"/>
      <c r="K26" s="317"/>
      <c r="L26" s="317"/>
      <c r="N26" s="1123">
        <v>41944</v>
      </c>
      <c r="O26" s="496">
        <v>44803</v>
      </c>
      <c r="P26" s="495">
        <v>686981</v>
      </c>
      <c r="Q26" s="494">
        <v>12767</v>
      </c>
      <c r="R26" s="1158">
        <f t="shared" si="1"/>
        <v>744551</v>
      </c>
      <c r="S26" s="65">
        <f>+R26/31</f>
        <v>24017.774193548386</v>
      </c>
    </row>
    <row r="27" spans="1:19" ht="15.75" x14ac:dyDescent="0.25">
      <c r="F27" s="317"/>
      <c r="G27" s="317"/>
      <c r="H27" s="317"/>
      <c r="I27" s="317"/>
      <c r="J27" s="317"/>
      <c r="K27" s="317"/>
      <c r="L27" s="317"/>
      <c r="N27" s="1123">
        <v>41974</v>
      </c>
      <c r="O27" s="1119">
        <f>ventes!B42</f>
        <v>4144</v>
      </c>
      <c r="P27" s="1120">
        <f>ventes!C42</f>
        <v>36708</v>
      </c>
      <c r="Q27" s="1121">
        <f>ventes!D42</f>
        <v>0</v>
      </c>
      <c r="R27" s="492">
        <f>SUM(O27:Q27)</f>
        <v>40852</v>
      </c>
      <c r="S27" s="65">
        <f>+R27/31</f>
        <v>1317.8064516129032</v>
      </c>
    </row>
    <row r="28" spans="1:19" ht="15.75" x14ac:dyDescent="0.25">
      <c r="N28" s="1124"/>
      <c r="O28" s="1119"/>
      <c r="P28" s="1120"/>
      <c r="Q28" s="1121"/>
      <c r="R28" s="492"/>
      <c r="S28" s="1117"/>
    </row>
    <row r="29" spans="1:19" ht="15" x14ac:dyDescent="0.25">
      <c r="N29" s="1112" t="s">
        <v>18</v>
      </c>
      <c r="O29" s="1113">
        <f>SUM(O7:O15)</f>
        <v>563912</v>
      </c>
      <c r="P29" s="1114">
        <f>SUM(P7:P15)</f>
        <v>2290994</v>
      </c>
      <c r="Q29" s="1115">
        <f>SUM(Q7:Q15)</f>
        <v>57035</v>
      </c>
      <c r="R29" s="1116">
        <f>SUM(R7:R15)</f>
        <v>2911941</v>
      </c>
      <c r="S29" s="1117">
        <f>SUM(S7:S15)</f>
        <v>95194.87634408602</v>
      </c>
    </row>
    <row r="30" spans="1:19" ht="29.25" thickBot="1" x14ac:dyDescent="0.25">
      <c r="N30" s="1118" t="s">
        <v>274</v>
      </c>
      <c r="O30" s="493">
        <f>O29/((9-COUNTBLANK(O7:O15)))</f>
        <v>62656.888888888891</v>
      </c>
      <c r="P30" s="493">
        <f>P29/((9-COUNTBLANK(P7:P15)))</f>
        <v>254554.88888888888</v>
      </c>
      <c r="Q30" s="493">
        <f>Q29/((9-COUNTBLANK(Q7:Q15)))</f>
        <v>6337.2222222222226</v>
      </c>
      <c r="R30" s="493">
        <f>R29/((9-COUNTBLANK(R7:R15)))</f>
        <v>323549</v>
      </c>
      <c r="S30" s="493">
        <f>S29/((9-COUNTBLANK(S7:S15)))</f>
        <v>10577.208482676224</v>
      </c>
    </row>
    <row r="34" spans="18:18" x14ac:dyDescent="0.2">
      <c r="R34" s="281"/>
    </row>
    <row r="54" spans="1:2" x14ac:dyDescent="0.2">
      <c r="A54" s="413" t="s">
        <v>247</v>
      </c>
    </row>
    <row r="56" spans="1:2" ht="15.75" x14ac:dyDescent="0.25">
      <c r="A56" s="60" t="s">
        <v>0</v>
      </c>
      <c r="B56" s="39" t="s">
        <v>342</v>
      </c>
    </row>
    <row r="60" spans="1:2" ht="15.75" x14ac:dyDescent="0.25">
      <c r="A60" s="60" t="s">
        <v>2</v>
      </c>
      <c r="B60" s="39" t="s">
        <v>248</v>
      </c>
    </row>
    <row r="65" spans="1:2" ht="15.75" x14ac:dyDescent="0.25">
      <c r="A65" s="60" t="s">
        <v>147</v>
      </c>
      <c r="B65" s="39" t="s">
        <v>249</v>
      </c>
    </row>
  </sheetData>
  <pageMargins left="0.7" right="0.7" top="0.75" bottom="0.75" header="0.3" footer="0.3"/>
  <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3"/>
  <dimension ref="A1:AN60"/>
  <sheetViews>
    <sheetView topLeftCell="R12" workbookViewId="0">
      <selection activeCell="R23" sqref="R23:AL47"/>
    </sheetView>
  </sheetViews>
  <sheetFormatPr baseColWidth="10" defaultRowHeight="12.75" x14ac:dyDescent="0.2"/>
  <cols>
    <col min="1" max="1" width="0" hidden="1" customWidth="1"/>
    <col min="2" max="2" width="45.7109375" hidden="1" customWidth="1"/>
    <col min="3" max="3" width="15.7109375" hidden="1" customWidth="1"/>
    <col min="4" max="4" width="23.28515625" hidden="1" customWidth="1"/>
    <col min="5" max="6" width="0" hidden="1" customWidth="1"/>
    <col min="7" max="7" width="45.7109375" hidden="1" customWidth="1"/>
    <col min="8" max="8" width="15.7109375" hidden="1" customWidth="1"/>
    <col min="9" max="9" width="23.28515625" hidden="1" customWidth="1"/>
    <col min="10" max="10" width="7.42578125" hidden="1" customWidth="1"/>
    <col min="11" max="11" width="29.42578125" hidden="1" customWidth="1"/>
    <col min="12" max="12" width="22.85546875" hidden="1" customWidth="1"/>
    <col min="13" max="13" width="17.85546875" hidden="1" customWidth="1"/>
    <col min="14" max="14" width="0" hidden="1" customWidth="1"/>
    <col min="15" max="15" width="8.7109375" customWidth="1"/>
    <col min="16" max="16" width="31.140625" customWidth="1"/>
    <col min="17" max="17" width="16.85546875" customWidth="1"/>
    <col min="19" max="19" width="8.42578125" customWidth="1"/>
    <col min="20" max="20" width="5.7109375" customWidth="1"/>
    <col min="21" max="21" width="6.28515625" customWidth="1"/>
    <col min="22" max="22" width="6.7109375" customWidth="1"/>
    <col min="23" max="24" width="6.28515625" customWidth="1"/>
    <col min="25" max="26" width="5.85546875" customWidth="1"/>
    <col min="27" max="27" width="6.42578125" customWidth="1"/>
    <col min="28" max="28" width="5.5703125" customWidth="1"/>
    <col min="29" max="29" width="6.85546875" customWidth="1"/>
    <col min="30" max="30" width="5.7109375" customWidth="1"/>
    <col min="31" max="31" width="5.85546875" customWidth="1"/>
    <col min="32" max="32" width="6.7109375" customWidth="1"/>
    <col min="33" max="35" width="6.85546875" customWidth="1"/>
    <col min="36" max="36" width="5.85546875" customWidth="1"/>
    <col min="37" max="37" width="6.85546875" customWidth="1"/>
    <col min="38" max="38" width="6.140625" customWidth="1"/>
  </cols>
  <sheetData>
    <row r="1" spans="1:22" ht="15.75" x14ac:dyDescent="0.25">
      <c r="A1" s="60" t="s">
        <v>229</v>
      </c>
      <c r="C1" s="996" t="s">
        <v>449</v>
      </c>
      <c r="D1" s="997">
        <v>41981</v>
      </c>
      <c r="F1" s="60" t="s">
        <v>229</v>
      </c>
      <c r="H1" s="996" t="s">
        <v>449</v>
      </c>
      <c r="I1" s="997">
        <v>42005</v>
      </c>
      <c r="J1" s="60" t="s">
        <v>229</v>
      </c>
      <c r="L1" s="996"/>
      <c r="M1" s="997"/>
    </row>
    <row r="2" spans="1:22" ht="15.75" x14ac:dyDescent="0.25">
      <c r="A2" s="60" t="s">
        <v>170</v>
      </c>
      <c r="B2" s="42"/>
      <c r="F2" s="60" t="s">
        <v>170</v>
      </c>
      <c r="G2" s="42"/>
      <c r="J2" s="60" t="s">
        <v>170</v>
      </c>
      <c r="K2" s="42"/>
    </row>
    <row r="3" spans="1:22" ht="15.75" x14ac:dyDescent="0.25">
      <c r="A3" s="60"/>
      <c r="B3" s="42"/>
      <c r="F3" s="60"/>
      <c r="G3" s="42"/>
      <c r="J3" s="60"/>
      <c r="K3" s="42"/>
      <c r="O3" s="60" t="s">
        <v>229</v>
      </c>
      <c r="U3" s="871"/>
      <c r="V3" s="872"/>
    </row>
    <row r="4" spans="1:22" ht="15.75" x14ac:dyDescent="0.25">
      <c r="A4" s="60"/>
      <c r="B4" s="42"/>
      <c r="F4" s="60"/>
      <c r="G4" s="42"/>
      <c r="J4" s="60"/>
      <c r="K4" s="42"/>
      <c r="O4" s="60" t="s">
        <v>170</v>
      </c>
    </row>
    <row r="5" spans="1:22" ht="15.75" x14ac:dyDescent="0.25">
      <c r="A5" s="60"/>
      <c r="B5" s="42"/>
      <c r="F5" s="60"/>
      <c r="G5" s="42"/>
      <c r="J5" s="60"/>
      <c r="K5" s="42"/>
    </row>
    <row r="6" spans="1:22" ht="15.75" x14ac:dyDescent="0.25">
      <c r="A6" s="60"/>
      <c r="B6" s="42"/>
      <c r="F6" s="60"/>
      <c r="G6" s="42"/>
      <c r="J6" s="60"/>
      <c r="K6" s="42"/>
    </row>
    <row r="7" spans="1:22" ht="15.75" x14ac:dyDescent="0.25">
      <c r="A7" s="60"/>
      <c r="B7" s="42"/>
      <c r="F7" s="60"/>
      <c r="G7" s="42"/>
      <c r="J7" s="60"/>
      <c r="K7" s="42"/>
      <c r="O7" s="3103" t="s">
        <v>663</v>
      </c>
      <c r="P7" s="3103"/>
      <c r="Q7" s="3103"/>
      <c r="R7" s="3103"/>
      <c r="S7" s="3103"/>
      <c r="T7" s="3103"/>
      <c r="U7" s="3103"/>
      <c r="V7" s="3103"/>
    </row>
    <row r="8" spans="1:22" ht="18" x14ac:dyDescent="0.2">
      <c r="A8" s="3103" t="s">
        <v>448</v>
      </c>
      <c r="B8" s="3103"/>
      <c r="C8" s="3103"/>
      <c r="D8" s="3103"/>
      <c r="F8" s="3103" t="s">
        <v>448</v>
      </c>
      <c r="G8" s="3103"/>
      <c r="H8" s="3103"/>
      <c r="I8" s="3103"/>
      <c r="J8" s="3103"/>
      <c r="K8" s="3103"/>
      <c r="L8" s="3103"/>
      <c r="M8" s="3103"/>
      <c r="N8" s="39"/>
      <c r="O8" s="1219"/>
      <c r="P8" s="1222"/>
      <c r="Q8" s="1219"/>
      <c r="R8" s="1219"/>
      <c r="S8" s="1219"/>
      <c r="T8" s="1219"/>
    </row>
    <row r="9" spans="1:22" ht="15.75" x14ac:dyDescent="0.2">
      <c r="A9" s="882"/>
      <c r="B9" s="882"/>
      <c r="C9" s="351"/>
      <c r="D9" s="882"/>
      <c r="F9" s="882"/>
      <c r="G9" s="882"/>
      <c r="H9" s="351"/>
      <c r="I9" s="882"/>
      <c r="J9" s="882"/>
      <c r="K9" s="882"/>
      <c r="L9" s="351"/>
      <c r="M9" s="882"/>
      <c r="O9" s="1219"/>
      <c r="P9" s="1219"/>
      <c r="Q9" s="1219"/>
      <c r="R9" s="1219"/>
      <c r="S9" s="1219"/>
      <c r="T9" s="1219"/>
    </row>
    <row r="10" spans="1:22" ht="23.25" x14ac:dyDescent="0.35">
      <c r="A10" s="885" t="s">
        <v>184</v>
      </c>
      <c r="B10" s="885" t="s">
        <v>355</v>
      </c>
      <c r="C10" s="983" t="s">
        <v>37</v>
      </c>
      <c r="D10" s="983" t="s">
        <v>142</v>
      </c>
      <c r="F10" s="885" t="s">
        <v>184</v>
      </c>
      <c r="G10" s="885" t="s">
        <v>355</v>
      </c>
      <c r="H10" s="983" t="s">
        <v>37</v>
      </c>
      <c r="I10" s="983" t="s">
        <v>142</v>
      </c>
      <c r="J10" s="1230"/>
      <c r="K10" s="1235"/>
      <c r="L10" s="1229"/>
      <c r="M10" s="1227"/>
      <c r="Q10" s="3190" t="s">
        <v>664</v>
      </c>
      <c r="R10" s="3191"/>
      <c r="S10" s="3191"/>
      <c r="T10" s="3191"/>
      <c r="U10" s="3192" t="s">
        <v>665</v>
      </c>
      <c r="V10" s="3194" t="s">
        <v>506</v>
      </c>
    </row>
    <row r="11" spans="1:22" ht="60" x14ac:dyDescent="0.35">
      <c r="A11" s="1224"/>
      <c r="B11" s="885"/>
      <c r="C11" s="983"/>
      <c r="D11" s="1225"/>
      <c r="F11" s="1224"/>
      <c r="G11" s="885"/>
      <c r="H11" s="983"/>
      <c r="I11" s="1225"/>
      <c r="J11" s="1224"/>
      <c r="K11" s="885"/>
      <c r="L11" s="1228"/>
      <c r="M11" s="1225"/>
      <c r="O11" s="1251" t="s">
        <v>184</v>
      </c>
      <c r="P11" s="1238" t="s">
        <v>355</v>
      </c>
      <c r="Q11" s="1239" t="s">
        <v>673</v>
      </c>
      <c r="R11" s="1218" t="s">
        <v>666</v>
      </c>
      <c r="S11" s="1252" t="s">
        <v>674</v>
      </c>
      <c r="T11" s="1239" t="s">
        <v>667</v>
      </c>
      <c r="U11" s="3193"/>
      <c r="V11" s="3194"/>
    </row>
    <row r="12" spans="1:22" ht="20.25" x14ac:dyDescent="0.3">
      <c r="A12" s="993">
        <v>1</v>
      </c>
      <c r="B12" s="884" t="s">
        <v>616</v>
      </c>
      <c r="C12" s="891">
        <v>1000</v>
      </c>
      <c r="D12" s="994"/>
      <c r="F12" s="993">
        <v>1</v>
      </c>
      <c r="G12" s="884" t="s">
        <v>611</v>
      </c>
      <c r="H12" s="891">
        <v>1000</v>
      </c>
      <c r="I12" s="994"/>
      <c r="J12" s="993"/>
      <c r="K12" s="1231"/>
      <c r="L12" s="1226"/>
      <c r="M12" s="1217"/>
      <c r="Q12" s="1216" t="s">
        <v>451</v>
      </c>
      <c r="R12" s="261" t="s">
        <v>451</v>
      </c>
      <c r="S12" s="261" t="s">
        <v>451</v>
      </c>
      <c r="T12" s="1216" t="s">
        <v>451</v>
      </c>
      <c r="U12" s="430"/>
      <c r="V12" s="430"/>
    </row>
    <row r="13" spans="1:22" ht="26.25" customHeight="1" x14ac:dyDescent="0.35">
      <c r="A13" s="993" t="e">
        <f>#REF!+1</f>
        <v>#REF!</v>
      </c>
      <c r="B13" s="883" t="s">
        <v>618</v>
      </c>
      <c r="C13" s="891">
        <v>1000</v>
      </c>
      <c r="D13" s="892"/>
      <c r="F13" s="993" t="e">
        <f>#REF!+1</f>
        <v>#REF!</v>
      </c>
      <c r="G13" s="883" t="s">
        <v>612</v>
      </c>
      <c r="H13" s="891">
        <v>1000</v>
      </c>
      <c r="I13" s="892"/>
      <c r="J13" s="993"/>
      <c r="K13" s="1232"/>
      <c r="L13" s="1226"/>
      <c r="M13" s="1236"/>
      <c r="O13" s="1245">
        <v>1</v>
      </c>
      <c r="P13" s="1247" t="s">
        <v>612</v>
      </c>
      <c r="Q13" s="1248">
        <v>11</v>
      </c>
      <c r="R13" s="1249">
        <v>14</v>
      </c>
      <c r="S13" s="1249">
        <v>16</v>
      </c>
      <c r="T13" s="1248">
        <v>12</v>
      </c>
      <c r="U13" s="1250" t="s">
        <v>668</v>
      </c>
      <c r="V13" s="97" t="s">
        <v>662</v>
      </c>
    </row>
    <row r="14" spans="1:22" ht="26.25" customHeight="1" x14ac:dyDescent="0.35">
      <c r="A14" s="993"/>
      <c r="B14" s="1233"/>
      <c r="C14" s="1234"/>
      <c r="D14" s="742"/>
      <c r="F14" s="993"/>
      <c r="G14" s="1233"/>
      <c r="H14" s="1234"/>
      <c r="I14" s="742"/>
      <c r="J14" s="993"/>
      <c r="K14" s="1232"/>
      <c r="L14" s="1226"/>
      <c r="M14" s="1220"/>
      <c r="O14" s="1245">
        <f>1+O13</f>
        <v>2</v>
      </c>
      <c r="P14" s="1246" t="s">
        <v>671</v>
      </c>
      <c r="Q14" s="1248">
        <v>8</v>
      </c>
      <c r="R14" s="1249">
        <v>6</v>
      </c>
      <c r="S14" s="1249">
        <v>11</v>
      </c>
      <c r="T14" s="1248">
        <v>5</v>
      </c>
      <c r="U14" s="1250" t="s">
        <v>669</v>
      </c>
      <c r="V14" s="97" t="s">
        <v>675</v>
      </c>
    </row>
    <row r="15" spans="1:22" ht="21" customHeight="1" x14ac:dyDescent="0.35">
      <c r="A15" s="3183" t="s">
        <v>18</v>
      </c>
      <c r="B15" s="3184"/>
      <c r="C15" s="1221">
        <f>SUM(C12:C13)</f>
        <v>2000</v>
      </c>
      <c r="D15" s="994"/>
      <c r="F15" s="3183" t="s">
        <v>18</v>
      </c>
      <c r="G15" s="3184"/>
      <c r="H15" s="1221">
        <f>SUM(H12:H13)</f>
        <v>2000</v>
      </c>
      <c r="I15" s="994"/>
      <c r="J15" s="3183"/>
      <c r="K15" s="3184"/>
      <c r="L15" s="1244"/>
      <c r="M15" s="1237"/>
      <c r="O15" s="1245">
        <f>1+O14</f>
        <v>3</v>
      </c>
      <c r="P15" s="1247" t="s">
        <v>672</v>
      </c>
      <c r="Q15" s="1248">
        <v>3</v>
      </c>
      <c r="R15" s="1249">
        <v>5</v>
      </c>
      <c r="S15" s="1249">
        <v>9</v>
      </c>
      <c r="T15" s="1248">
        <v>2</v>
      </c>
      <c r="U15" s="1250" t="s">
        <v>670</v>
      </c>
      <c r="V15" s="97" t="s">
        <v>675</v>
      </c>
    </row>
    <row r="16" spans="1:22" ht="15.75" x14ac:dyDescent="0.25">
      <c r="O16" s="1240"/>
      <c r="P16" s="1241"/>
      <c r="Q16" s="880"/>
      <c r="R16" s="881"/>
      <c r="S16" s="881"/>
      <c r="T16" s="880"/>
      <c r="U16" s="821"/>
      <c r="V16" s="92"/>
    </row>
    <row r="17" spans="1:40" ht="20.25" x14ac:dyDescent="0.3">
      <c r="C17" s="3185" t="s">
        <v>614</v>
      </c>
      <c r="D17" s="3185"/>
      <c r="H17" s="3185" t="s">
        <v>637</v>
      </c>
      <c r="I17" s="3185"/>
      <c r="O17" s="1240"/>
      <c r="P17" s="1241"/>
      <c r="Q17" s="880"/>
      <c r="R17" s="881"/>
      <c r="S17" s="881"/>
      <c r="T17" s="880"/>
      <c r="U17" s="821"/>
      <c r="V17" s="92"/>
    </row>
    <row r="18" spans="1:40" ht="20.25" x14ac:dyDescent="0.3">
      <c r="C18" s="1087"/>
      <c r="D18" s="1087"/>
      <c r="H18" s="1166"/>
      <c r="I18" s="1166"/>
      <c r="O18" s="1240"/>
      <c r="P18" s="1241"/>
      <c r="Q18" s="1242"/>
      <c r="R18" s="881"/>
      <c r="S18" s="881"/>
      <c r="T18" s="880"/>
      <c r="U18" s="821"/>
      <c r="V18" s="92"/>
    </row>
    <row r="19" spans="1:40" ht="15.75" x14ac:dyDescent="0.25">
      <c r="A19" s="60" t="s">
        <v>229</v>
      </c>
      <c r="C19" s="996" t="s">
        <v>449</v>
      </c>
      <c r="D19" s="997">
        <v>41983</v>
      </c>
      <c r="F19" s="60" t="s">
        <v>229</v>
      </c>
      <c r="H19" s="996" t="s">
        <v>449</v>
      </c>
      <c r="I19" s="997">
        <v>42007</v>
      </c>
      <c r="O19" s="1240"/>
      <c r="P19" s="1243"/>
      <c r="Q19" s="880"/>
      <c r="R19" s="881"/>
      <c r="S19" s="881"/>
      <c r="T19" s="880"/>
      <c r="U19" s="821"/>
      <c r="V19" s="92"/>
    </row>
    <row r="20" spans="1:40" ht="15.75" x14ac:dyDescent="0.25">
      <c r="A20" s="60" t="s">
        <v>170</v>
      </c>
      <c r="B20" s="42"/>
      <c r="F20" s="60" t="s">
        <v>170</v>
      </c>
      <c r="G20" s="42"/>
    </row>
    <row r="21" spans="1:40" ht="15.75" x14ac:dyDescent="0.25">
      <c r="A21" s="3103" t="s">
        <v>448</v>
      </c>
      <c r="B21" s="3103"/>
      <c r="C21" s="3103"/>
      <c r="D21" s="3103"/>
      <c r="F21" s="3103" t="s">
        <v>448</v>
      </c>
      <c r="G21" s="3103"/>
      <c r="H21" s="3103"/>
      <c r="I21" s="3103"/>
      <c r="U21" s="1253"/>
      <c r="V21" s="1254"/>
      <c r="W21" s="1253"/>
      <c r="X21" s="1253"/>
    </row>
    <row r="22" spans="1:40" ht="13.5" thickBot="1" x14ac:dyDescent="0.25">
      <c r="A22" s="882"/>
      <c r="B22" s="882"/>
      <c r="C22" s="351"/>
      <c r="D22" s="882"/>
      <c r="F22" s="882"/>
      <c r="G22" s="882"/>
      <c r="H22" s="351"/>
      <c r="I22" s="882"/>
      <c r="U22" s="401"/>
      <c r="V22" s="401"/>
      <c r="W22" s="401"/>
      <c r="X22" s="401"/>
    </row>
    <row r="23" spans="1:40" ht="42.75" customHeight="1" thickBot="1" x14ac:dyDescent="0.4">
      <c r="A23" s="885" t="s">
        <v>184</v>
      </c>
      <c r="B23" s="885" t="s">
        <v>355</v>
      </c>
      <c r="C23" s="983" t="s">
        <v>37</v>
      </c>
      <c r="D23" s="983" t="s">
        <v>142</v>
      </c>
      <c r="F23" s="885" t="s">
        <v>184</v>
      </c>
      <c r="G23" s="885" t="s">
        <v>355</v>
      </c>
      <c r="H23" s="983" t="s">
        <v>37</v>
      </c>
      <c r="I23" s="983" t="s">
        <v>142</v>
      </c>
      <c r="R23" s="2761" t="s">
        <v>3</v>
      </c>
      <c r="S23" s="2777" t="s">
        <v>989</v>
      </c>
      <c r="T23" s="2779">
        <v>1</v>
      </c>
      <c r="U23" s="2779">
        <v>4</v>
      </c>
      <c r="V23" s="2779">
        <v>5</v>
      </c>
      <c r="W23" s="2779">
        <v>6</v>
      </c>
      <c r="X23" s="2779">
        <v>7</v>
      </c>
      <c r="Y23" s="2779">
        <v>8</v>
      </c>
      <c r="Z23" s="2779">
        <v>11</v>
      </c>
      <c r="AA23" s="2779">
        <v>12</v>
      </c>
      <c r="AB23" s="2779">
        <v>13</v>
      </c>
      <c r="AC23" s="2779">
        <v>14</v>
      </c>
      <c r="AD23" s="2779">
        <v>18</v>
      </c>
      <c r="AE23" s="2779">
        <v>19</v>
      </c>
      <c r="AF23" s="2779">
        <v>20</v>
      </c>
      <c r="AG23" s="2779">
        <v>21</v>
      </c>
      <c r="AH23" s="2779">
        <v>22</v>
      </c>
      <c r="AI23" s="2779">
        <v>25</v>
      </c>
      <c r="AJ23" s="2779">
        <v>26</v>
      </c>
      <c r="AK23" s="2779">
        <v>27</v>
      </c>
      <c r="AL23" s="2779">
        <v>28</v>
      </c>
      <c r="AM23" s="2778">
        <v>29</v>
      </c>
      <c r="AN23" s="2778">
        <v>30</v>
      </c>
    </row>
    <row r="24" spans="1:40" ht="20.25" x14ac:dyDescent="0.3">
      <c r="A24" s="993">
        <v>1</v>
      </c>
      <c r="B24" s="884" t="s">
        <v>616</v>
      </c>
      <c r="C24" s="891">
        <v>1000</v>
      </c>
      <c r="D24" s="994"/>
      <c r="F24" s="993">
        <v>1</v>
      </c>
      <c r="G24" s="884" t="s">
        <v>611</v>
      </c>
      <c r="H24" s="891">
        <v>1000</v>
      </c>
      <c r="I24" s="994"/>
      <c r="R24" s="2780" t="s">
        <v>2020</v>
      </c>
      <c r="S24" s="2781" t="s">
        <v>985</v>
      </c>
      <c r="T24" s="2785"/>
      <c r="U24" s="2785"/>
      <c r="V24" s="2785"/>
      <c r="W24" s="2786"/>
      <c r="X24" s="2785"/>
      <c r="Y24" s="2785"/>
      <c r="Z24" s="2785"/>
      <c r="AA24" s="2785"/>
      <c r="AB24" s="2785"/>
      <c r="AC24" s="2785"/>
      <c r="AD24" s="2785"/>
      <c r="AE24" s="2785"/>
      <c r="AF24" s="2785"/>
      <c r="AG24" s="2785"/>
      <c r="AH24" s="2785"/>
      <c r="AI24" s="2785"/>
      <c r="AJ24" s="2785"/>
      <c r="AK24" s="2785"/>
      <c r="AL24" s="2785"/>
    </row>
    <row r="25" spans="1:40" ht="40.5" hidden="1" x14ac:dyDescent="0.3">
      <c r="A25" s="993">
        <f>A24+1</f>
        <v>2</v>
      </c>
      <c r="B25" s="883" t="s">
        <v>617</v>
      </c>
      <c r="C25" s="891">
        <v>1000</v>
      </c>
      <c r="D25" s="892"/>
      <c r="F25" s="993">
        <f>F24+1</f>
        <v>2</v>
      </c>
      <c r="G25" s="883" t="s">
        <v>636</v>
      </c>
      <c r="H25" s="891"/>
      <c r="I25" s="892"/>
      <c r="R25" s="2766" t="s">
        <v>1005</v>
      </c>
      <c r="S25" s="2782" t="s">
        <v>985</v>
      </c>
      <c r="T25" s="2787"/>
      <c r="U25" s="2787"/>
      <c r="V25" s="2787"/>
      <c r="W25" s="2788"/>
      <c r="X25" s="2787"/>
      <c r="Y25" s="2787"/>
      <c r="Z25" s="2787"/>
      <c r="AA25" s="2787"/>
      <c r="AB25" s="2787"/>
      <c r="AC25" s="2787"/>
      <c r="AD25" s="2785"/>
      <c r="AE25" s="2785"/>
      <c r="AF25" s="2785"/>
      <c r="AG25" s="2785"/>
      <c r="AH25" s="2785"/>
      <c r="AI25" s="2785"/>
      <c r="AJ25" s="2785"/>
      <c r="AK25" s="2785"/>
      <c r="AL25" s="2785"/>
    </row>
    <row r="26" spans="1:40" ht="20.25" x14ac:dyDescent="0.3">
      <c r="A26" s="993">
        <f>A25+1</f>
        <v>3</v>
      </c>
      <c r="B26" s="883" t="s">
        <v>618</v>
      </c>
      <c r="C26" s="891">
        <v>1000</v>
      </c>
      <c r="D26" s="892"/>
      <c r="F26" s="993">
        <f>F25+1</f>
        <v>3</v>
      </c>
      <c r="G26" s="883" t="s">
        <v>612</v>
      </c>
      <c r="H26" s="891">
        <v>1000</v>
      </c>
      <c r="I26" s="892"/>
      <c r="R26" s="2766" t="s">
        <v>2021</v>
      </c>
      <c r="S26" s="2782" t="s">
        <v>985</v>
      </c>
      <c r="T26" s="2787"/>
      <c r="U26" s="2787">
        <v>2</v>
      </c>
      <c r="V26" s="2787">
        <v>2</v>
      </c>
      <c r="W26" s="2788"/>
      <c r="X26" s="2787"/>
      <c r="Y26" s="2787"/>
      <c r="Z26" s="2787"/>
      <c r="AA26" s="2787"/>
      <c r="AB26" s="2787"/>
      <c r="AC26" s="2787"/>
      <c r="AD26" s="2789"/>
      <c r="AE26" s="2785"/>
      <c r="AF26" s="2785"/>
      <c r="AG26" s="2785">
        <v>3</v>
      </c>
      <c r="AH26" s="2785">
        <v>2</v>
      </c>
      <c r="AI26" s="2785"/>
      <c r="AJ26" s="2785"/>
      <c r="AK26" s="2785"/>
      <c r="AL26" s="2785"/>
    </row>
    <row r="27" spans="1:40" ht="20.25" x14ac:dyDescent="0.3">
      <c r="A27" s="993">
        <f>A26+1</f>
        <v>4</v>
      </c>
      <c r="B27" s="883" t="s">
        <v>619</v>
      </c>
      <c r="C27" s="891">
        <v>1000</v>
      </c>
      <c r="D27" s="892"/>
      <c r="F27" s="993">
        <f>F26+1</f>
        <v>4</v>
      </c>
      <c r="G27" s="883" t="s">
        <v>613</v>
      </c>
      <c r="H27" s="891">
        <v>1000</v>
      </c>
      <c r="I27" s="892"/>
      <c r="R27" s="2766" t="s">
        <v>993</v>
      </c>
      <c r="S27" s="2782" t="s">
        <v>985</v>
      </c>
      <c r="T27" s="2787"/>
      <c r="U27" s="2787"/>
      <c r="V27" s="2787"/>
      <c r="W27" s="2788"/>
      <c r="X27" s="2787">
        <v>2</v>
      </c>
      <c r="Y27" s="2787">
        <v>1</v>
      </c>
      <c r="Z27" s="2787"/>
      <c r="AA27" s="2787"/>
      <c r="AB27" s="2787"/>
      <c r="AC27" s="2787"/>
      <c r="AD27" s="2785"/>
      <c r="AE27" s="2785"/>
      <c r="AF27" s="2785"/>
      <c r="AG27" s="2785"/>
      <c r="AH27" s="2785"/>
      <c r="AI27" s="2785"/>
      <c r="AJ27" s="2785"/>
      <c r="AK27" s="2785"/>
      <c r="AL27" s="2785"/>
    </row>
    <row r="28" spans="1:40" ht="12.75" customHeight="1" x14ac:dyDescent="0.2">
      <c r="A28" s="3183" t="s">
        <v>18</v>
      </c>
      <c r="B28" s="3184"/>
      <c r="C28" s="3188">
        <f>SUM(C24:C27)</f>
        <v>4000</v>
      </c>
      <c r="D28" s="994"/>
      <c r="F28" s="3183" t="s">
        <v>18</v>
      </c>
      <c r="G28" s="3184"/>
      <c r="H28" s="3188">
        <f>SUM(H24:H27)</f>
        <v>3000</v>
      </c>
      <c r="I28" s="994"/>
      <c r="R28" s="2766" t="s">
        <v>991</v>
      </c>
      <c r="S28" s="2782" t="s">
        <v>985</v>
      </c>
      <c r="T28" s="2787"/>
      <c r="U28" s="2787"/>
      <c r="V28" s="2787"/>
      <c r="W28" s="2788"/>
      <c r="X28" s="2787"/>
      <c r="Y28" s="2787"/>
      <c r="Z28" s="2787"/>
      <c r="AA28" s="2787"/>
      <c r="AB28" s="2787"/>
      <c r="AC28" s="2787"/>
      <c r="AD28" s="2785"/>
      <c r="AE28" s="2785">
        <v>2</v>
      </c>
      <c r="AF28" s="2785">
        <v>1</v>
      </c>
      <c r="AG28" s="2785"/>
      <c r="AH28" s="2785">
        <v>1</v>
      </c>
      <c r="AI28" s="2785"/>
      <c r="AJ28" s="2785"/>
      <c r="AK28" s="2785"/>
      <c r="AL28" s="2785"/>
    </row>
    <row r="29" spans="1:40" ht="12.75" customHeight="1" x14ac:dyDescent="0.2">
      <c r="A29" s="3186"/>
      <c r="B29" s="3187"/>
      <c r="C29" s="3189"/>
      <c r="D29" s="995"/>
      <c r="F29" s="3186"/>
      <c r="G29" s="3187"/>
      <c r="H29" s="3189"/>
      <c r="I29" s="995"/>
      <c r="R29" s="2766" t="s">
        <v>991</v>
      </c>
      <c r="S29" s="2782" t="s">
        <v>992</v>
      </c>
      <c r="T29" s="2787"/>
      <c r="U29" s="2787"/>
      <c r="V29" s="2787"/>
      <c r="W29" s="2788"/>
      <c r="X29" s="2787">
        <v>1</v>
      </c>
      <c r="Y29" s="2787">
        <v>2</v>
      </c>
      <c r="Z29" s="2787"/>
      <c r="AA29" s="2787"/>
      <c r="AB29" s="2787"/>
      <c r="AC29" s="2787"/>
      <c r="AD29" s="2785">
        <v>2</v>
      </c>
      <c r="AE29" s="2785"/>
      <c r="AF29" s="2785"/>
      <c r="AG29" s="2785"/>
      <c r="AH29" s="2785"/>
      <c r="AI29" s="2785"/>
      <c r="AJ29" s="2785">
        <v>1</v>
      </c>
      <c r="AK29" s="2785"/>
      <c r="AL29" s="2785"/>
    </row>
    <row r="30" spans="1:40" x14ac:dyDescent="0.2">
      <c r="R30" s="2766" t="s">
        <v>2022</v>
      </c>
      <c r="S30" s="2782" t="s">
        <v>985</v>
      </c>
      <c r="T30" s="2787"/>
      <c r="U30" s="2787"/>
      <c r="V30" s="2787">
        <v>1</v>
      </c>
      <c r="W30" s="2788"/>
      <c r="X30" s="2787"/>
      <c r="Y30" s="2787"/>
      <c r="Z30" s="2787"/>
      <c r="AA30" s="2787"/>
      <c r="AB30" s="2787"/>
      <c r="AC30" s="2787"/>
      <c r="AD30" s="2790"/>
      <c r="AE30" s="2790"/>
      <c r="AF30" s="2790"/>
      <c r="AG30" s="2785"/>
      <c r="AH30" s="2785"/>
      <c r="AI30" s="2785"/>
      <c r="AJ30" s="2785"/>
      <c r="AK30" s="2785"/>
      <c r="AL30" s="2785"/>
    </row>
    <row r="31" spans="1:40" ht="20.25" x14ac:dyDescent="0.3">
      <c r="C31" s="3185" t="s">
        <v>614</v>
      </c>
      <c r="D31" s="3185"/>
      <c r="H31" s="3185" t="s">
        <v>637</v>
      </c>
      <c r="I31" s="3185"/>
      <c r="R31" s="2766" t="s">
        <v>2023</v>
      </c>
      <c r="S31" s="2782" t="s">
        <v>992</v>
      </c>
      <c r="T31" s="2787"/>
      <c r="U31" s="2787"/>
      <c r="V31" s="2787"/>
      <c r="W31" s="2788"/>
      <c r="X31" s="2787"/>
      <c r="Y31" s="2787"/>
      <c r="Z31" s="2787"/>
      <c r="AA31" s="2787"/>
      <c r="AB31" s="2787"/>
      <c r="AC31" s="2787"/>
      <c r="AD31" s="2785"/>
      <c r="AE31" s="2785"/>
      <c r="AF31" s="2785"/>
      <c r="AG31" s="2785"/>
      <c r="AH31" s="2785"/>
      <c r="AI31" s="2785"/>
      <c r="AJ31" s="2785"/>
      <c r="AK31" s="2785"/>
      <c r="AL31" s="2785"/>
    </row>
    <row r="32" spans="1:40" ht="20.25" x14ac:dyDescent="0.3">
      <c r="C32" s="1087"/>
      <c r="D32" s="1087"/>
      <c r="H32" s="1166"/>
      <c r="I32" s="1166"/>
      <c r="R32" s="2766" t="s">
        <v>1006</v>
      </c>
      <c r="S32" s="2766" t="s">
        <v>2024</v>
      </c>
      <c r="T32" s="2766"/>
      <c r="U32" s="2766"/>
      <c r="V32" s="2766"/>
      <c r="W32" s="2788"/>
      <c r="X32" s="2766"/>
      <c r="Y32" s="2766"/>
      <c r="Z32" s="2787"/>
      <c r="AA32" s="2766"/>
      <c r="AB32" s="2766"/>
      <c r="AC32" s="2766"/>
      <c r="AD32" s="2766"/>
      <c r="AE32" s="2766"/>
      <c r="AF32" s="2766"/>
      <c r="AG32" s="2766"/>
      <c r="AH32" s="2766"/>
      <c r="AI32" s="2766"/>
      <c r="AJ32" s="2766"/>
      <c r="AK32" s="2766"/>
      <c r="AL32" s="2766"/>
    </row>
    <row r="33" spans="1:38" ht="15.75" x14ac:dyDescent="0.25">
      <c r="A33" s="60" t="s">
        <v>229</v>
      </c>
      <c r="C33" s="996" t="s">
        <v>449</v>
      </c>
      <c r="D33" s="997">
        <v>41984</v>
      </c>
      <c r="F33" s="60" t="s">
        <v>229</v>
      </c>
      <c r="H33" s="996" t="s">
        <v>449</v>
      </c>
      <c r="I33" s="997">
        <v>42008</v>
      </c>
      <c r="R33" s="2766" t="s">
        <v>2025</v>
      </c>
      <c r="S33" s="2766" t="s">
        <v>2026</v>
      </c>
      <c r="T33" s="2766"/>
      <c r="U33" s="2783"/>
      <c r="V33" s="2766"/>
      <c r="W33" s="2788"/>
      <c r="X33" s="2766"/>
      <c r="Y33" s="2766"/>
      <c r="Z33" s="2787"/>
      <c r="AA33" s="2766"/>
      <c r="AB33" s="2766"/>
      <c r="AC33" s="2766"/>
      <c r="AD33" s="2766">
        <v>1</v>
      </c>
      <c r="AE33" s="2766"/>
      <c r="AF33" s="2766"/>
      <c r="AG33" s="2766"/>
      <c r="AH33" s="2766"/>
      <c r="AI33" s="2766"/>
      <c r="AJ33" s="2766"/>
      <c r="AK33" s="2766"/>
      <c r="AL33" s="2766"/>
    </row>
    <row r="34" spans="1:38" ht="15.75" x14ac:dyDescent="0.25">
      <c r="A34" s="60" t="s">
        <v>170</v>
      </c>
      <c r="B34" s="42"/>
      <c r="F34" s="60" t="s">
        <v>170</v>
      </c>
      <c r="G34" s="42"/>
      <c r="R34" s="2766" t="s">
        <v>998</v>
      </c>
      <c r="S34" s="2766" t="s">
        <v>2027</v>
      </c>
      <c r="T34" s="2766"/>
      <c r="U34" s="2766"/>
      <c r="V34" s="2791"/>
      <c r="W34" s="2792"/>
      <c r="X34" s="2766"/>
      <c r="Y34" s="2766"/>
      <c r="Z34" s="2787"/>
      <c r="AA34" s="2766"/>
      <c r="AB34" s="2766"/>
      <c r="AC34" s="2766"/>
      <c r="AD34" s="2793"/>
      <c r="AE34" s="2794"/>
      <c r="AF34" s="2766"/>
      <c r="AG34" s="2766"/>
      <c r="AH34" s="2795"/>
      <c r="AI34" s="2766">
        <f>15000/4300</f>
        <v>3.4883720930232558</v>
      </c>
      <c r="AJ34" s="2796"/>
      <c r="AK34" s="2766"/>
      <c r="AL34" s="2795"/>
    </row>
    <row r="35" spans="1:38" ht="15.75" x14ac:dyDescent="0.2">
      <c r="A35" s="3103" t="s">
        <v>448</v>
      </c>
      <c r="B35" s="3103"/>
      <c r="C35" s="3103"/>
      <c r="D35" s="3103"/>
      <c r="F35" s="3103" t="s">
        <v>448</v>
      </c>
      <c r="G35" s="3103"/>
      <c r="H35" s="3103"/>
      <c r="I35" s="3103"/>
      <c r="R35" s="2766" t="s">
        <v>2028</v>
      </c>
      <c r="S35" s="2766" t="s">
        <v>2024</v>
      </c>
      <c r="T35" s="2766">
        <v>6.5</v>
      </c>
      <c r="U35" s="2766">
        <v>2.5</v>
      </c>
      <c r="V35" s="2766"/>
      <c r="W35" s="2788">
        <v>4</v>
      </c>
      <c r="X35" s="2766">
        <v>1</v>
      </c>
      <c r="Y35" s="2766">
        <v>3</v>
      </c>
      <c r="Z35" s="2787">
        <v>3</v>
      </c>
      <c r="AA35" s="2787">
        <v>4.5</v>
      </c>
      <c r="AB35" s="2766">
        <v>6.5</v>
      </c>
      <c r="AC35" s="2766">
        <v>11</v>
      </c>
      <c r="AD35" s="2766">
        <v>3.5</v>
      </c>
      <c r="AE35" s="2766">
        <v>2.5</v>
      </c>
      <c r="AF35" s="2766">
        <v>1</v>
      </c>
      <c r="AG35" s="2766">
        <v>3.5</v>
      </c>
      <c r="AH35" s="2766">
        <v>1.5</v>
      </c>
      <c r="AI35" s="2766">
        <v>18.5</v>
      </c>
      <c r="AJ35" s="2766">
        <v>2.5</v>
      </c>
      <c r="AK35" s="2766">
        <v>12</v>
      </c>
      <c r="AL35" s="2766">
        <v>12</v>
      </c>
    </row>
    <row r="36" spans="1:38" ht="15" x14ac:dyDescent="0.25">
      <c r="A36" s="882"/>
      <c r="B36" s="882"/>
      <c r="C36" s="351"/>
      <c r="D36" s="882"/>
      <c r="F36" s="882"/>
      <c r="G36" s="882"/>
      <c r="H36" s="351"/>
      <c r="I36" s="882"/>
      <c r="R36" s="2784" t="s">
        <v>2029</v>
      </c>
      <c r="S36" s="2766" t="s">
        <v>2030</v>
      </c>
      <c r="T36" s="2766"/>
      <c r="U36" s="2766"/>
      <c r="V36" s="2766"/>
      <c r="W36" s="2788"/>
      <c r="X36" s="2766"/>
      <c r="Y36" s="2766"/>
      <c r="Z36" s="2787"/>
      <c r="AA36" s="2766"/>
      <c r="AB36" s="2766"/>
      <c r="AC36" s="2766"/>
      <c r="AD36" s="2766"/>
      <c r="AE36" s="2766"/>
      <c r="AF36" s="2766"/>
      <c r="AG36" s="2766"/>
      <c r="AH36" s="2766"/>
      <c r="AI36" s="2766"/>
      <c r="AJ36" s="2766"/>
      <c r="AK36" s="2766"/>
      <c r="AL36" s="2766"/>
    </row>
    <row r="37" spans="1:38" ht="23.25" x14ac:dyDescent="0.35">
      <c r="A37" s="885" t="s">
        <v>184</v>
      </c>
      <c r="B37" s="885" t="s">
        <v>355</v>
      </c>
      <c r="C37" s="983" t="s">
        <v>37</v>
      </c>
      <c r="D37" s="983" t="s">
        <v>142</v>
      </c>
      <c r="F37" s="885" t="s">
        <v>184</v>
      </c>
      <c r="G37" s="885" t="s">
        <v>355</v>
      </c>
      <c r="H37" s="983" t="s">
        <v>37</v>
      </c>
      <c r="I37" s="983" t="s">
        <v>142</v>
      </c>
      <c r="R37" s="2766" t="s">
        <v>1006</v>
      </c>
      <c r="S37" s="2766" t="s">
        <v>985</v>
      </c>
      <c r="T37" s="2766"/>
      <c r="U37" s="2766"/>
      <c r="V37" s="2766"/>
      <c r="W37" s="2788"/>
      <c r="X37" s="2766"/>
      <c r="Y37" s="2766"/>
      <c r="Z37" s="2787"/>
      <c r="AA37" s="2766"/>
      <c r="AB37" s="2766"/>
      <c r="AC37" s="2766">
        <v>1</v>
      </c>
      <c r="AD37" s="2766"/>
      <c r="AE37" s="2766"/>
      <c r="AF37" s="2766"/>
      <c r="AG37" s="2766"/>
      <c r="AH37" s="2766"/>
      <c r="AI37" s="2766"/>
      <c r="AJ37" s="2766"/>
      <c r="AK37" s="2766"/>
      <c r="AL37" s="2766"/>
    </row>
    <row r="38" spans="1:38" ht="20.25" x14ac:dyDescent="0.3">
      <c r="A38" s="993">
        <v>1</v>
      </c>
      <c r="B38" s="884" t="s">
        <v>616</v>
      </c>
      <c r="C38" s="891">
        <v>1000</v>
      </c>
      <c r="D38" s="994"/>
      <c r="F38" s="993">
        <v>1</v>
      </c>
      <c r="G38" s="884" t="s">
        <v>611</v>
      </c>
      <c r="H38" s="891">
        <v>1000</v>
      </c>
      <c r="I38" s="994"/>
      <c r="R38" s="2766" t="s">
        <v>1006</v>
      </c>
      <c r="S38" s="2766" t="s">
        <v>983</v>
      </c>
      <c r="T38" s="2766"/>
      <c r="U38" s="2766"/>
      <c r="V38" s="2766"/>
      <c r="W38" s="2788"/>
      <c r="X38" s="2766"/>
      <c r="Y38" s="2766"/>
      <c r="Z38" s="2787"/>
      <c r="AA38" s="2766"/>
      <c r="AB38" s="2766"/>
      <c r="AC38" s="2766"/>
      <c r="AD38" s="2766"/>
      <c r="AE38" s="2766"/>
      <c r="AF38" s="2766"/>
      <c r="AG38" s="2766"/>
      <c r="AH38" s="2766"/>
      <c r="AI38" s="2766"/>
      <c r="AJ38" s="2766"/>
      <c r="AK38" s="2766"/>
      <c r="AL38" s="2766"/>
    </row>
    <row r="39" spans="1:38" ht="40.5" x14ac:dyDescent="0.3">
      <c r="A39" s="993">
        <f>A38+1</f>
        <v>2</v>
      </c>
      <c r="B39" s="883" t="s">
        <v>617</v>
      </c>
      <c r="C39" s="891">
        <v>1000</v>
      </c>
      <c r="D39" s="892"/>
      <c r="F39" s="993">
        <f>F38+1</f>
        <v>2</v>
      </c>
      <c r="G39" s="883" t="s">
        <v>636</v>
      </c>
      <c r="H39" s="891"/>
      <c r="I39" s="892"/>
      <c r="R39" s="2766" t="s">
        <v>2031</v>
      </c>
      <c r="S39" s="2766" t="s">
        <v>983</v>
      </c>
      <c r="T39" s="2766"/>
      <c r="U39" s="2766"/>
      <c r="V39" s="2766"/>
      <c r="W39" s="2788"/>
      <c r="X39" s="2766"/>
      <c r="Y39" s="2766"/>
      <c r="Z39" s="2787"/>
      <c r="AA39" s="2787"/>
      <c r="AB39" s="2766"/>
      <c r="AC39" s="2766"/>
      <c r="AD39" s="2766"/>
      <c r="AE39" s="2766"/>
      <c r="AF39" s="2766"/>
      <c r="AG39" s="2766"/>
      <c r="AH39" s="2766"/>
      <c r="AI39" s="2766"/>
      <c r="AJ39" s="2766"/>
      <c r="AK39" s="2766"/>
      <c r="AL39" s="2766"/>
    </row>
    <row r="40" spans="1:38" ht="20.25" x14ac:dyDescent="0.3">
      <c r="A40" s="993">
        <f>A39+1</f>
        <v>3</v>
      </c>
      <c r="B40" s="883" t="s">
        <v>618</v>
      </c>
      <c r="C40" s="891">
        <v>1000</v>
      </c>
      <c r="D40" s="892"/>
      <c r="F40" s="993">
        <f>F39+1</f>
        <v>3</v>
      </c>
      <c r="G40" s="883" t="s">
        <v>612</v>
      </c>
      <c r="H40" s="891">
        <v>1000</v>
      </c>
      <c r="I40" s="892"/>
      <c r="R40" s="2766" t="s">
        <v>2032</v>
      </c>
      <c r="S40" s="2766" t="s">
        <v>985</v>
      </c>
      <c r="T40" s="2766"/>
      <c r="U40" s="2766"/>
      <c r="V40" s="2766">
        <v>1</v>
      </c>
      <c r="W40" s="2788"/>
      <c r="X40" s="2766"/>
      <c r="Y40" s="2766"/>
      <c r="Z40" s="2787"/>
      <c r="AA40" s="2766"/>
      <c r="AB40" s="2766"/>
      <c r="AC40" s="2766"/>
      <c r="AD40" s="2766"/>
      <c r="AE40" s="2766"/>
      <c r="AF40" s="2766"/>
      <c r="AG40" s="2766"/>
      <c r="AH40" s="2766"/>
      <c r="AI40" s="2766"/>
      <c r="AJ40" s="2766"/>
      <c r="AK40" s="2766"/>
      <c r="AL40" s="2766"/>
    </row>
    <row r="41" spans="1:38" ht="20.25" x14ac:dyDescent="0.3">
      <c r="A41" s="993">
        <f>A40+1</f>
        <v>4</v>
      </c>
      <c r="B41" s="883" t="s">
        <v>619</v>
      </c>
      <c r="C41" s="891">
        <v>1000</v>
      </c>
      <c r="D41" s="892"/>
      <c r="F41" s="993">
        <f>F40+1</f>
        <v>4</v>
      </c>
      <c r="G41" s="883" t="s">
        <v>613</v>
      </c>
      <c r="H41" s="891">
        <v>1000</v>
      </c>
      <c r="I41" s="892"/>
      <c r="R41" s="2766" t="s">
        <v>2033</v>
      </c>
      <c r="S41" s="2782" t="s">
        <v>983</v>
      </c>
      <c r="T41" s="2788"/>
      <c r="U41" s="2788"/>
      <c r="V41" s="2788"/>
      <c r="W41" s="2788"/>
      <c r="X41" s="2788"/>
      <c r="Y41" s="2788"/>
      <c r="Z41" s="2787"/>
      <c r="AA41" s="2788"/>
      <c r="AB41" s="2788"/>
      <c r="AC41" s="2788"/>
      <c r="AD41" s="2788"/>
      <c r="AE41" s="2788"/>
      <c r="AF41" s="2788"/>
      <c r="AG41" s="2788"/>
      <c r="AH41" s="2788"/>
      <c r="AI41" s="2788"/>
      <c r="AJ41" s="2788"/>
      <c r="AK41" s="2788"/>
      <c r="AL41" s="2788"/>
    </row>
    <row r="42" spans="1:38" ht="12.75" customHeight="1" x14ac:dyDescent="0.2">
      <c r="A42" s="3183" t="s">
        <v>18</v>
      </c>
      <c r="B42" s="3184"/>
      <c r="C42" s="3188">
        <f>SUM(C38:C41)</f>
        <v>4000</v>
      </c>
      <c r="D42" s="994"/>
      <c r="F42" s="3183" t="s">
        <v>18</v>
      </c>
      <c r="G42" s="3184"/>
      <c r="H42" s="3188">
        <f>SUM(H38:H41)</f>
        <v>3000</v>
      </c>
      <c r="I42" s="994"/>
      <c r="R42" s="2766" t="s">
        <v>2034</v>
      </c>
      <c r="S42" s="2782" t="s">
        <v>984</v>
      </c>
      <c r="T42" s="2788"/>
      <c r="U42" s="2788"/>
      <c r="V42" s="2788"/>
      <c r="W42" s="2788"/>
      <c r="X42" s="2788"/>
      <c r="Y42" s="2788"/>
      <c r="Z42" s="2787"/>
      <c r="AA42" s="2788"/>
      <c r="AB42" s="2788"/>
      <c r="AC42" s="2788"/>
      <c r="AD42" s="2788"/>
      <c r="AE42" s="2788"/>
      <c r="AF42" s="2788"/>
      <c r="AG42" s="2788"/>
      <c r="AH42" s="2788"/>
      <c r="AI42" s="2788"/>
      <c r="AJ42" s="2788"/>
      <c r="AK42" s="2788"/>
      <c r="AL42" s="2788"/>
    </row>
    <row r="43" spans="1:38" ht="12.75" customHeight="1" x14ac:dyDescent="0.2">
      <c r="A43" s="3186"/>
      <c r="B43" s="3187"/>
      <c r="C43" s="3189"/>
      <c r="D43" s="995"/>
      <c r="F43" s="3186"/>
      <c r="G43" s="3187"/>
      <c r="H43" s="3189"/>
      <c r="I43" s="995"/>
      <c r="R43" s="2766" t="s">
        <v>2035</v>
      </c>
      <c r="S43" s="2797" t="s">
        <v>2036</v>
      </c>
      <c r="T43" s="2788"/>
      <c r="U43" s="2788"/>
      <c r="V43" s="2788"/>
      <c r="W43" s="2788"/>
      <c r="X43" s="2788"/>
      <c r="Y43" s="2788"/>
      <c r="Z43" s="2787"/>
      <c r="AA43" s="2788"/>
      <c r="AB43" s="2788"/>
      <c r="AC43" s="2788"/>
      <c r="AD43" s="2788"/>
      <c r="AE43" s="2788"/>
      <c r="AF43" s="2788"/>
      <c r="AG43" s="2788"/>
      <c r="AH43" s="2788"/>
      <c r="AI43" s="2788"/>
      <c r="AJ43" s="2788"/>
      <c r="AK43" s="2788"/>
      <c r="AL43" s="2788"/>
    </row>
    <row r="44" spans="1:38" x14ac:dyDescent="0.2">
      <c r="R44" s="2766" t="s">
        <v>2037</v>
      </c>
      <c r="S44" s="2797" t="s">
        <v>2036</v>
      </c>
      <c r="T44" s="2797"/>
      <c r="U44" s="2797"/>
      <c r="V44" s="2797"/>
      <c r="W44" s="2797">
        <v>13</v>
      </c>
      <c r="X44" s="2797"/>
      <c r="Y44" s="2797"/>
      <c r="Z44" s="2797"/>
      <c r="AA44" s="2797"/>
      <c r="AB44" s="2797"/>
      <c r="AC44" s="2797"/>
      <c r="AD44" s="2797"/>
      <c r="AE44" s="2797"/>
      <c r="AF44" s="2797"/>
      <c r="AG44" s="2797"/>
      <c r="AH44" s="2797"/>
      <c r="AI44" s="2797"/>
      <c r="AJ44" s="2797"/>
      <c r="AK44" s="2797"/>
      <c r="AL44" s="2797"/>
    </row>
    <row r="45" spans="1:38" ht="20.25" x14ac:dyDescent="0.3">
      <c r="C45" s="3185" t="s">
        <v>614</v>
      </c>
      <c r="D45" s="3185"/>
      <c r="H45" s="3185" t="s">
        <v>637</v>
      </c>
      <c r="I45" s="3185"/>
      <c r="R45" s="2766" t="s">
        <v>2031</v>
      </c>
      <c r="S45" s="2797" t="s">
        <v>2036</v>
      </c>
      <c r="T45" s="2797"/>
      <c r="U45" s="2797"/>
      <c r="V45" s="2797"/>
      <c r="W45" s="2797">
        <v>1</v>
      </c>
      <c r="X45" s="2797"/>
      <c r="Y45" s="2797"/>
      <c r="Z45" s="2797"/>
      <c r="AA45" s="2797"/>
      <c r="AB45" s="2797"/>
      <c r="AC45" s="2797">
        <v>2</v>
      </c>
      <c r="AD45" s="2797"/>
      <c r="AE45" s="2797"/>
      <c r="AF45" s="2797"/>
      <c r="AG45" s="2797"/>
      <c r="AH45" s="2797">
        <v>1</v>
      </c>
      <c r="AI45" s="2797"/>
      <c r="AJ45" s="2797"/>
      <c r="AK45" s="2797"/>
      <c r="AL45" s="2797"/>
    </row>
    <row r="46" spans="1:38" x14ac:dyDescent="0.2">
      <c r="R46" s="2766" t="s">
        <v>2021</v>
      </c>
      <c r="S46" s="2797" t="s">
        <v>2036</v>
      </c>
      <c r="T46" s="2797"/>
      <c r="U46" s="2797"/>
      <c r="V46" s="2797"/>
      <c r="W46" s="2797"/>
      <c r="X46" s="2797"/>
      <c r="Y46" s="2797"/>
      <c r="Z46" s="2797"/>
      <c r="AA46" s="2797"/>
      <c r="AB46" s="2797"/>
      <c r="AC46" s="2797"/>
      <c r="AD46" s="2797"/>
      <c r="AE46" s="2797"/>
      <c r="AF46" s="2797"/>
      <c r="AG46" s="2797"/>
      <c r="AH46" s="2797"/>
      <c r="AI46" s="2797"/>
      <c r="AJ46" s="2797"/>
      <c r="AK46" s="2797"/>
      <c r="AL46" s="2797"/>
    </row>
    <row r="47" spans="1:38" x14ac:dyDescent="0.2">
      <c r="R47" s="2766" t="s">
        <v>2023</v>
      </c>
      <c r="S47" s="2797" t="s">
        <v>2038</v>
      </c>
      <c r="T47" s="2798">
        <v>1</v>
      </c>
      <c r="U47" s="2798"/>
      <c r="V47" s="2798"/>
      <c r="W47" s="2798"/>
      <c r="X47" s="2798"/>
      <c r="Y47" s="2798"/>
      <c r="Z47" s="2798"/>
      <c r="AA47" s="2798"/>
      <c r="AB47" s="2798"/>
      <c r="AC47" s="2798"/>
      <c r="AD47" s="2798"/>
      <c r="AE47" s="2798"/>
      <c r="AF47" s="2798"/>
      <c r="AG47" s="2798"/>
      <c r="AH47" s="2798"/>
      <c r="AI47" s="2798"/>
      <c r="AJ47" s="2798"/>
      <c r="AK47" s="2798"/>
      <c r="AL47" s="2798"/>
    </row>
    <row r="48" spans="1:38" x14ac:dyDescent="0.2">
      <c r="R48" s="2762" t="s">
        <v>2035</v>
      </c>
      <c r="S48" s="2763" t="s">
        <v>992</v>
      </c>
      <c r="T48" s="2764"/>
      <c r="U48" s="2764"/>
      <c r="V48" s="2764"/>
      <c r="W48" s="2765"/>
      <c r="X48" s="2764"/>
      <c r="Y48" s="2764"/>
      <c r="Z48" s="2764"/>
      <c r="AA48" s="2764"/>
      <c r="AB48" s="2764"/>
      <c r="AC48" s="2764"/>
      <c r="AD48" s="2764"/>
      <c r="AE48" s="2764"/>
      <c r="AF48" s="2764"/>
      <c r="AG48" s="2764"/>
      <c r="AH48" s="2764"/>
      <c r="AI48" s="2764"/>
      <c r="AJ48" s="2764"/>
      <c r="AK48" s="2764"/>
      <c r="AL48" s="2764"/>
    </row>
    <row r="49" spans="18:38" x14ac:dyDescent="0.2">
      <c r="R49" s="2762" t="s">
        <v>2037</v>
      </c>
      <c r="S49" s="2763" t="s">
        <v>992</v>
      </c>
      <c r="T49" s="2765"/>
      <c r="U49" s="2765"/>
      <c r="V49" s="2765"/>
      <c r="W49" s="2765"/>
      <c r="X49" s="2764"/>
      <c r="Y49" s="2764"/>
      <c r="Z49" s="2764"/>
      <c r="AA49" s="2765"/>
      <c r="AB49" s="2765"/>
      <c r="AC49" s="2765"/>
      <c r="AD49" s="2765"/>
      <c r="AE49" s="2765"/>
      <c r="AF49" s="2765"/>
      <c r="AG49" s="2765"/>
      <c r="AH49" s="2765"/>
      <c r="AI49" s="2765"/>
      <c r="AJ49" s="2765"/>
      <c r="AK49" s="2765"/>
      <c r="AL49" s="2765"/>
    </row>
    <row r="50" spans="18:38" x14ac:dyDescent="0.2">
      <c r="R50" s="2762" t="s">
        <v>2039</v>
      </c>
      <c r="S50" s="2763" t="s">
        <v>992</v>
      </c>
      <c r="T50" s="2765"/>
      <c r="U50" s="2765"/>
      <c r="V50" s="2765"/>
      <c r="W50" s="2765"/>
      <c r="X50" s="2765"/>
      <c r="Y50" s="2765"/>
      <c r="Z50" s="2764"/>
      <c r="AA50" s="2765"/>
      <c r="AB50" s="2765"/>
      <c r="AC50" s="2765"/>
      <c r="AD50" s="2765"/>
      <c r="AE50" s="2765"/>
      <c r="AF50" s="2765"/>
      <c r="AG50" s="2765"/>
      <c r="AH50" s="2765"/>
      <c r="AI50" s="2765"/>
      <c r="AJ50" s="2765"/>
      <c r="AK50" s="2765"/>
      <c r="AL50" s="2765"/>
    </row>
    <row r="51" spans="18:38" x14ac:dyDescent="0.2">
      <c r="R51" s="2762" t="s">
        <v>2040</v>
      </c>
      <c r="S51" s="2763" t="s">
        <v>984</v>
      </c>
      <c r="T51" s="2765"/>
      <c r="U51" s="2765"/>
      <c r="V51" s="2765"/>
      <c r="W51" s="2765"/>
      <c r="X51" s="2765"/>
      <c r="Y51" s="2765"/>
      <c r="Z51" s="2764"/>
      <c r="AA51" s="2765"/>
      <c r="AB51" s="2765"/>
      <c r="AC51" s="2765"/>
      <c r="AD51" s="2765"/>
      <c r="AE51" s="2765"/>
      <c r="AF51" s="2765"/>
      <c r="AG51" s="2765"/>
      <c r="AH51" s="2765"/>
      <c r="AI51" s="2765"/>
      <c r="AJ51" s="2765"/>
      <c r="AK51" s="2765"/>
      <c r="AL51" s="2765"/>
    </row>
    <row r="52" spans="18:38" x14ac:dyDescent="0.2">
      <c r="R52" s="2762" t="s">
        <v>2041</v>
      </c>
      <c r="S52" s="2763" t="s">
        <v>2042</v>
      </c>
      <c r="T52" s="2765"/>
      <c r="U52" s="2765"/>
      <c r="V52" s="2765"/>
      <c r="W52" s="2765"/>
      <c r="X52" s="2765"/>
      <c r="Y52" s="2765"/>
      <c r="Z52" s="2764"/>
      <c r="AA52" s="2765"/>
      <c r="AB52" s="2765"/>
      <c r="AC52" s="2765"/>
      <c r="AD52" s="2765"/>
      <c r="AE52" s="2765"/>
      <c r="AF52" s="2765"/>
      <c r="AG52" s="2765"/>
      <c r="AH52" s="2765"/>
      <c r="AI52" s="2765"/>
      <c r="AJ52" s="2765"/>
      <c r="AK52" s="2765"/>
      <c r="AL52" s="2765"/>
    </row>
    <row r="53" spans="18:38" x14ac:dyDescent="0.2">
      <c r="R53" s="2767" t="s">
        <v>995</v>
      </c>
      <c r="S53" s="2768" t="s">
        <v>992</v>
      </c>
      <c r="T53" s="2765"/>
      <c r="U53" s="2765"/>
      <c r="V53" s="2765"/>
      <c r="W53" s="2765"/>
      <c r="X53" s="2765"/>
      <c r="Y53" s="2765"/>
      <c r="Z53" s="2765"/>
      <c r="AA53" s="2765"/>
      <c r="AB53" s="2765"/>
      <c r="AC53" s="2765"/>
      <c r="AD53" s="2765"/>
      <c r="AE53" s="2765"/>
      <c r="AF53" s="2765"/>
      <c r="AG53" s="2765"/>
      <c r="AH53" s="2765"/>
      <c r="AI53" s="2765"/>
      <c r="AJ53" s="2765"/>
      <c r="AK53" s="2765"/>
      <c r="AL53" s="2765"/>
    </row>
    <row r="54" spans="18:38" x14ac:dyDescent="0.2">
      <c r="R54" s="2762" t="s">
        <v>2043</v>
      </c>
      <c r="S54" s="2763" t="s">
        <v>984</v>
      </c>
      <c r="T54" s="2769"/>
      <c r="U54" s="2769"/>
      <c r="V54" s="2769"/>
      <c r="W54" s="2769"/>
      <c r="X54" s="2769"/>
      <c r="Y54" s="2769"/>
      <c r="Z54" s="2769"/>
      <c r="AA54" s="2769"/>
      <c r="AB54" s="2769"/>
      <c r="AC54" s="2769"/>
      <c r="AD54" s="2769"/>
      <c r="AE54" s="2769"/>
      <c r="AF54" s="2769"/>
      <c r="AG54" s="2769"/>
      <c r="AH54" s="2769"/>
      <c r="AI54" s="2769"/>
      <c r="AJ54" s="2769"/>
      <c r="AK54" s="2769"/>
      <c r="AL54" s="2769"/>
    </row>
    <row r="55" spans="18:38" x14ac:dyDescent="0.2">
      <c r="R55" s="2762" t="s">
        <v>2044</v>
      </c>
      <c r="S55" s="2763" t="s">
        <v>983</v>
      </c>
      <c r="T55" s="2769"/>
      <c r="U55" s="2769"/>
      <c r="V55" s="2769"/>
      <c r="W55" s="2769"/>
      <c r="X55" s="2769"/>
      <c r="Y55" s="2769"/>
      <c r="Z55" s="2769"/>
      <c r="AA55" s="2769"/>
      <c r="AB55" s="2769"/>
      <c r="AC55" s="2769"/>
      <c r="AD55" s="2769"/>
      <c r="AE55" s="2769"/>
      <c r="AF55" s="2769"/>
      <c r="AG55" s="2769"/>
      <c r="AH55" s="2769"/>
      <c r="AI55" s="2769"/>
      <c r="AJ55" s="2769"/>
      <c r="AK55" s="2769"/>
      <c r="AL55" s="2769"/>
    </row>
    <row r="56" spans="18:38" x14ac:dyDescent="0.2">
      <c r="R56" s="2762" t="s">
        <v>2045</v>
      </c>
      <c r="S56" s="2763" t="s">
        <v>2046</v>
      </c>
      <c r="T56" s="2769"/>
      <c r="U56" s="2769"/>
      <c r="V56" s="2769"/>
      <c r="W56" s="2769"/>
      <c r="X56" s="2769"/>
      <c r="Y56" s="2769"/>
      <c r="Z56" s="2769"/>
      <c r="AA56" s="2769"/>
      <c r="AB56" s="2769"/>
      <c r="AC56" s="2769"/>
      <c r="AD56" s="2769"/>
      <c r="AE56" s="2769"/>
      <c r="AF56" s="2769"/>
      <c r="AG56" s="2769"/>
      <c r="AH56" s="2769"/>
      <c r="AI56" s="2769"/>
      <c r="AJ56" s="2769"/>
      <c r="AK56" s="2769"/>
      <c r="AL56" s="2769"/>
    </row>
    <row r="57" spans="18:38" x14ac:dyDescent="0.2">
      <c r="R57" s="2762" t="s">
        <v>2047</v>
      </c>
      <c r="S57" s="2763" t="s">
        <v>2046</v>
      </c>
      <c r="T57" s="2769"/>
      <c r="U57" s="2769"/>
      <c r="V57" s="2769"/>
      <c r="W57" s="2769"/>
      <c r="X57" s="2769"/>
      <c r="Y57" s="2769"/>
      <c r="Z57" s="2769"/>
      <c r="AA57" s="2769"/>
      <c r="AB57" s="2769"/>
      <c r="AC57" s="2769"/>
      <c r="AD57" s="2769"/>
      <c r="AE57" s="2769"/>
      <c r="AF57" s="2769"/>
      <c r="AG57" s="2769"/>
      <c r="AH57" s="2769"/>
      <c r="AI57" s="2769"/>
      <c r="AJ57" s="2769"/>
      <c r="AK57" s="2769"/>
      <c r="AL57" s="2769"/>
    </row>
    <row r="58" spans="18:38" ht="13.5" x14ac:dyDescent="0.25">
      <c r="R58" s="2770" t="s">
        <v>18</v>
      </c>
      <c r="S58" s="2770"/>
      <c r="T58" s="2771"/>
      <c r="U58" s="2771"/>
      <c r="V58" s="2771"/>
      <c r="W58" s="2772"/>
      <c r="X58" s="2771"/>
      <c r="Y58" s="2771"/>
      <c r="Z58" s="2771"/>
      <c r="AA58" s="2771"/>
      <c r="AB58" s="2771"/>
      <c r="AC58" s="2771"/>
      <c r="AD58" s="2771"/>
      <c r="AE58" s="2771"/>
      <c r="AF58" s="2771"/>
      <c r="AG58" s="2771"/>
      <c r="AH58" s="2771"/>
      <c r="AI58" s="2771"/>
      <c r="AJ58" s="2771"/>
      <c r="AK58" s="2771"/>
      <c r="AL58" s="2771"/>
    </row>
    <row r="59" spans="18:38" x14ac:dyDescent="0.2">
      <c r="R59" s="2773"/>
      <c r="S59" s="2774"/>
      <c r="T59" s="2774"/>
      <c r="U59" s="2774"/>
      <c r="V59" s="2774"/>
      <c r="W59" s="2774"/>
      <c r="X59" s="2774"/>
      <c r="Y59" s="2774"/>
      <c r="Z59" s="2774"/>
      <c r="AA59" s="2774"/>
      <c r="AB59" s="2774"/>
      <c r="AC59" s="2774"/>
      <c r="AD59" s="2774"/>
      <c r="AE59" s="2774"/>
      <c r="AF59" s="2774"/>
      <c r="AG59" s="2774"/>
      <c r="AH59" s="2774"/>
      <c r="AI59" s="2774"/>
      <c r="AJ59" s="2774"/>
      <c r="AK59" s="2774"/>
      <c r="AL59" s="2774"/>
    </row>
    <row r="60" spans="18:38" x14ac:dyDescent="0.2">
      <c r="R60" s="2766" t="s">
        <v>2048</v>
      </c>
      <c r="S60" s="2775"/>
      <c r="T60" s="2776" t="e">
        <f>+(T24*#REF!)+(T25*#REF!)+(T26*#REF!)+(T27*#REF!)+(T28*#REF!)+(T29*#REF!)+(T30*#REF!)+(T31*#REF!)+(T32*#REF!)+(T33*#REF!)+(T34*#REF!)+(T35*#REF!)+(T36*#REF!)+(T37*#REF!)+(T38*#REF!)+(T39*#REF!)+(T40*#REF!)+(T41*#REF!)+(T42*#REF!)+(T43*#REF!)+(T48*#REF!)+(T44*#REF!)+(T45*#REF!)+(T46*#REF!)+(T47*#REF!)+(T49*#REF!)+(T50*#REF!)+(T51*#REF!)+(T52*#REF!)+(T53*#REF!)+(T54*#REF!)+(T55*#REF!)+(T56*#REF!)+(T57*#REF!)</f>
        <v>#REF!</v>
      </c>
      <c r="U60" s="2776" t="e">
        <f>+(U24*#REF!)+(U25*#REF!)+(U26*#REF!)+(U27*#REF!)+(U28*#REF!)+(U29*#REF!)+(U30*#REF!)+(U31*#REF!)+(U32*#REF!)+(U33*#REF!)+(U34*#REF!)+(U35*#REF!)+(U36*#REF!)+(U37*#REF!)+(U38*#REF!)+(U39*#REF!)+(U40*#REF!)+(U41*#REF!)+(U42*#REF!)+(U43*#REF!)+(U48*#REF!)+(U44*#REF!)+(U45*#REF!)+(U46*#REF!)+(U47*#REF!)+(U49*#REF!)+(U50*#REF!)+(U51*#REF!)+(U52*#REF!)+(U53*#REF!)+(U54*#REF!)+(U55*#REF!)+(U56*#REF!)+(U57*#REF!)</f>
        <v>#REF!</v>
      </c>
      <c r="V60" s="2776" t="e">
        <f>+(V24*#REF!)+(V25*#REF!)+(V26*#REF!)+(V27*#REF!)+(V28*#REF!)+(V29*#REF!)+(V30*#REF!)+(V31*#REF!)+(V32*#REF!)+(V33*#REF!)+(V34*#REF!)+(V35*#REF!)+(V36*#REF!)+(V37*#REF!)+(V38*#REF!)+(V39*#REF!)+(V40*#REF!)+(V41*#REF!)+(V42*#REF!)+(V43*#REF!)+(V48*#REF!)+(V44*#REF!)+(V45*#REF!)+(V46*#REF!)+(V47*#REF!)+(V49*#REF!)+(V50*#REF!)+(V51*#REF!)+(V52*#REF!)+(V53*#REF!)+(V54*#REF!)+(V55*#REF!)+(V56*#REF!)+(V57*#REF!)</f>
        <v>#REF!</v>
      </c>
      <c r="W60" s="2776" t="e">
        <f>+(W24*#REF!)+(W25*#REF!)+(W26*#REF!)+(W27*#REF!)+(W28*#REF!)+(W29*#REF!)+(W30*#REF!)+(W31*#REF!)+(W32*#REF!)+(W33*#REF!)+(W34*#REF!)+(W35*#REF!)+(W36*#REF!)+(W37*#REF!)+(W38*#REF!)+(W39*#REF!)+(W40*#REF!)+(W41*#REF!)+(W42*#REF!)+(W43*#REF!)+(W48*#REF!)+(W44*#REF!)+(W45*#REF!)+(W46*#REF!)+(W47*#REF!)+(W49*#REF!)+(W50*#REF!)+(W51*#REF!)+(W52*#REF!)+(W53*#REF!)+(W54*#REF!)+(W55*#REF!)+(W56*#REF!)+(W57*#REF!)</f>
        <v>#REF!</v>
      </c>
      <c r="X60" s="2776" t="e">
        <f>+(X24*#REF!)+(X25*#REF!)+(X26*#REF!)+(X27*#REF!)+(X28*#REF!)+(X29*#REF!)+(X30*#REF!)+(X31*#REF!)+(X32*#REF!)+(X33*#REF!)+(X34*#REF!)+(X35*#REF!)+(X36*#REF!)+(X37*#REF!)+(X38*#REF!)+(X39*#REF!)+(X40*#REF!)+(X41*#REF!)+(X42*#REF!)+(X43*#REF!)+(X48*#REF!)+(X44*#REF!)+(X45*#REF!)+(X46*#REF!)+(X47*#REF!)+(X49*#REF!)+(X50*#REF!)+(X51*#REF!)+(X52*#REF!)+(X53*#REF!)+(X54*#REF!)+(X55*#REF!)+(X56*#REF!)+(X57*#REF!)</f>
        <v>#REF!</v>
      </c>
      <c r="Y60" s="2776" t="e">
        <f>+(Y24*#REF!)+(Y25*#REF!)+(Y26*#REF!)+(Y27*#REF!)+(Y28*#REF!)+(Y29*#REF!)+(Y30*#REF!)+(Y31*#REF!)+(Y32*#REF!)+(Y33*#REF!)+(Y34*#REF!)+(Y35*#REF!)+(Y36*#REF!)+(Y37*#REF!)+(Y38*#REF!)+(Y39*#REF!)+(Y40*#REF!)+(Y41*#REF!)+(Y42*#REF!)+(Y43*#REF!)+(Y48*#REF!)+(Y44*#REF!)+(Y45*#REF!)+(Y46*#REF!)+(Y47*#REF!)+(Y49*#REF!)+(Y50*#REF!)+(Y51*#REF!)+(Y52*#REF!)+(Y53*#REF!)+(Y54*#REF!)+(Y55*#REF!)+(Y56*#REF!)+(Y57*#REF!)</f>
        <v>#REF!</v>
      </c>
      <c r="Z60" s="2776" t="e">
        <f>+(Z24*#REF!)+(Z25*#REF!)+(Z26*#REF!)+(Z27*#REF!)+(Z28*#REF!)+(Z29*#REF!)+(Z30*#REF!)+(Z31*#REF!)+(Z32*#REF!)+(Z33*#REF!)+(Z34*#REF!)+(Z35*#REF!)+(Z36*#REF!)+(Z37*#REF!)+(Z38*#REF!)+(Z39*#REF!)+(Z40*#REF!)+(Z41*#REF!)+(Z42*#REF!)+(Z43*#REF!)+(Z48*#REF!)+(Z44*#REF!)+(Z45*#REF!)+(Z46*#REF!)+(Z47*#REF!)+(Z49*#REF!)+(Z50*#REF!)+(Z51*#REF!)+(Z52*#REF!)+(Z53*#REF!)+(Z54*#REF!)+(Z55*#REF!)+(Z56*#REF!)+(Z57*#REF!)</f>
        <v>#REF!</v>
      </c>
      <c r="AA60" s="2776" t="e">
        <f>+(AA24*#REF!)+(AA25*#REF!)+(AA26*#REF!)+(AA27*#REF!)+(AA28*#REF!)+(AA29*#REF!)+(AA30*#REF!)+(AA31*#REF!)+(AA32*#REF!)+(AA33*#REF!)+(AA34*#REF!)+(AA35*#REF!)+(AA36*#REF!)+(AA37*#REF!)+(AA38*#REF!)+(AA39*#REF!)+(AA40*#REF!)+(AA41*#REF!)+(AA42*#REF!)+(AA43*#REF!)+(AA48*#REF!)+(AA44*#REF!)+(AA45*#REF!)+(AA46*#REF!)+(AA47*#REF!)+(AA49*#REF!)+(AA50*#REF!)+(AA51*#REF!)+(AA52*#REF!)+(AA53*#REF!)+(AA54*#REF!)+(AA55*#REF!)+(AA56*#REF!)+(AA57*#REF!)</f>
        <v>#REF!</v>
      </c>
      <c r="AB60" s="2776" t="e">
        <f>+(AB24*#REF!)+(AB25*#REF!)+(AB26*#REF!)+(AB27*#REF!)+(AB28*#REF!)+(AB29*#REF!)+(AB30*#REF!)+(AB31*#REF!)+(AB32*#REF!)+(AB33*#REF!)+(AB34*#REF!)+(AB35*#REF!)+(AB36*#REF!)+(AB37*#REF!)+(AB38*#REF!)+(AB39*#REF!)+(AB40*#REF!)+(AB41*#REF!)+(AB42*#REF!)+(AB43*#REF!)+(AB48*#REF!)+(AB44*#REF!)+(AB45*#REF!)+(AB46*#REF!)+(AB47*#REF!)+(AB49*#REF!)+(AB50*#REF!)+(AB51*#REF!)+(AB52*#REF!)+(AB53*#REF!)+(AB54*#REF!)+(AB55*#REF!)+(AB56*#REF!)+(AB57*#REF!)</f>
        <v>#REF!</v>
      </c>
      <c r="AC60" s="2776" t="e">
        <f>+(AC24*#REF!)+(AC25*#REF!)+(AC26*#REF!)+(AC27*#REF!)+(AC28*#REF!)+(AC29*#REF!)+(AC30*#REF!)+(AC31*#REF!)+(AC32*#REF!)+(AC33*#REF!)+(AC34*#REF!)+(AC35*#REF!)+(AC36*#REF!)+(AC37*#REF!)+(AC38*#REF!)+(AC39*#REF!)+(AC40*#REF!)+(AC41*#REF!)+(AC42*#REF!)+(AC43*#REF!)+(AC48*#REF!)+(AC44*#REF!)+(AC45*#REF!)+(AC46*#REF!)+(AC47*#REF!)+(AC49*#REF!)+(AC50*#REF!)+(AC51*#REF!)+(AC52*#REF!)+(AC53*#REF!)+(AC54*#REF!)+(AC55*#REF!)+(AC56*#REF!)+(AC57*#REF!)</f>
        <v>#REF!</v>
      </c>
      <c r="AD60" s="2776" t="e">
        <f>+(AD24*#REF!)+(AD25*#REF!)+(AD26*#REF!)+(AD27*#REF!)+(AD28*#REF!)+(AD29*#REF!)+(AD30*#REF!)+(AD31*#REF!)+(AD32*#REF!)+(AD33*#REF!)+(AD34*#REF!)+(AD35*#REF!)+(AD36*#REF!)+(AD37*#REF!)+(AD38*#REF!)+(AD39*#REF!)+(AD40*#REF!)+(AD41*#REF!)+(AD42*#REF!)+(AD43*#REF!)+(AD48*#REF!)+(AD44*#REF!)+(AD45*#REF!)+(AD46*#REF!)+(AD47*#REF!)+(AD49*#REF!)+(AD50*#REF!)+(AD51*#REF!)+(AD52*#REF!)+(AD53*#REF!)+(AD54*#REF!)+(AD55*#REF!)+(AD56*#REF!)+(AD57*#REF!)</f>
        <v>#REF!</v>
      </c>
      <c r="AE60" s="2776" t="e">
        <f>+(AE24*#REF!)+(AE25*#REF!)+(AE26*#REF!)+(AE27*#REF!)+(AE28*#REF!)+(AE29*#REF!)+(AE30*#REF!)+(AE31*#REF!)+(AE32*#REF!)+(AE33*#REF!)+(AE34*#REF!)+(AE35*#REF!)+(AE36*#REF!)+(AE37*#REF!)+(AE38*#REF!)+(AE39*#REF!)+(AE40*#REF!)+(AE41*#REF!)+(AE42*#REF!)+(AE43*#REF!)+(AE48*#REF!)+(AE44*#REF!)+(AE45*#REF!)+(AE46*#REF!)+(AE47*#REF!)+(AE49*#REF!)+(AE50*#REF!)+(AE51*#REF!)+(AE52*#REF!)+(AE53*#REF!)+(AE54*#REF!)+(AE55*#REF!)+(AE56*#REF!)+(AE57*#REF!)</f>
        <v>#REF!</v>
      </c>
      <c r="AF60" s="2776" t="e">
        <f>+(AF24*#REF!)+(AF25*#REF!)+(AF26*#REF!)+(AF27*#REF!)+(AF28*#REF!)+(AF29*#REF!)+(AF30*#REF!)+(AF31*#REF!)+(AF32*#REF!)+(AF33*#REF!)+(AF34*#REF!)+(AF35*#REF!)+(AF36*#REF!)+(AF37*#REF!)+(AF38*#REF!)+(AF39*#REF!)+(AF40*#REF!)+(AF41*#REF!)+(AF42*#REF!)+(AF43*#REF!)+(AF48*#REF!)+(AF44*#REF!)+(AF45*#REF!)+(AF46*#REF!)+(AF47*#REF!)+(AF49*#REF!)+(AF50*#REF!)+(AF51*#REF!)+(AF52*#REF!)+(AF53*#REF!)+(AF54*#REF!)+(AF55*#REF!)+(AF56*#REF!)+(AF57*#REF!)</f>
        <v>#REF!</v>
      </c>
      <c r="AG60" s="2776" t="e">
        <f>+(AG24*#REF!)+(AG25*#REF!)+(AG26*#REF!)+(AG27*#REF!)+(AG28*#REF!)+(AG29*#REF!)+(AG30*#REF!)+(AG31*#REF!)+(AG32*#REF!)+(AG33*#REF!)+(AG34*#REF!)+(AG35*#REF!)+(AG36*#REF!)+(AG37*#REF!)+(AG38*#REF!)+(AG39*#REF!)+(AG40*#REF!)+(AG41*#REF!)+(AG42*#REF!)+(AG43*#REF!)+(AG48*#REF!)+(AG44*#REF!)+(AG45*#REF!)+(AG46*#REF!)+(AG47*#REF!)+(AG49*#REF!)+(AG50*#REF!)+(AG51*#REF!)+(AG52*#REF!)+(AG53*#REF!)+(AG54*#REF!)+(AG55*#REF!)+(AG56*#REF!)+(AG57*#REF!)</f>
        <v>#REF!</v>
      </c>
      <c r="AH60" s="2776" t="e">
        <f>+(AH24*#REF!)+(AH25*#REF!)+(AH26*#REF!)+(AH27*#REF!)+(AH28*#REF!)+(AH29*#REF!)+(AH30*#REF!)+(AH31*#REF!)+(AH32*#REF!)+(AH33*#REF!)+(AH34*#REF!)+(AH35*#REF!)+(AH36*#REF!)+(AH37*#REF!)+(AH38*#REF!)+(AH39*#REF!)+(AH40*#REF!)+(AH41*#REF!)+(AH42*#REF!)+(AH43*#REF!)+(AH48*#REF!)+(AH44*#REF!)+(AH45*#REF!)+(AH46*#REF!)+(AH47*#REF!)+(AH49*#REF!)+(AH50*#REF!)+(AH51*#REF!)+(AH52*#REF!)+(AH53*#REF!)+(AH54*#REF!)+(AH55*#REF!)+(AH56*#REF!)+(AH57*#REF!)</f>
        <v>#REF!</v>
      </c>
      <c r="AI60" s="2776" t="e">
        <f>+(AI24*#REF!)+(AI25*#REF!)+(AI26*#REF!)+(AI27*#REF!)+(AI28*#REF!)+(AI29*#REF!)+(AI30*#REF!)+(AI31*#REF!)+(AI32*#REF!)+(AI33*#REF!)+(AI34*#REF!)+(AI35*#REF!)+(AI36*#REF!)+(AI37*#REF!)+(AI38*#REF!)+(AI39*#REF!)+(AI40*#REF!)+(AI41*#REF!)+(AI42*#REF!)+(AI43*#REF!)+(AI48*#REF!)+(AI44*#REF!)+(AI45*#REF!)+(AI46*#REF!)+(AI47*#REF!)+(AI49*#REF!)+(AI50*#REF!)+(AI51*#REF!)+(AI52*#REF!)+(AI53*#REF!)+(AI54*#REF!)+(AI55*#REF!)+(AI56*#REF!)+(AI57*#REF!)</f>
        <v>#REF!</v>
      </c>
      <c r="AJ60" s="2776" t="e">
        <f>+(AJ24*#REF!)+(AJ25*#REF!)+(AJ26*#REF!)+(AJ27*#REF!)+(AJ28*#REF!)+(AJ29*#REF!)+(AJ30*#REF!)+(AJ31*#REF!)+(AJ32*#REF!)+(AJ33*#REF!)+(AJ34*#REF!)+(AJ35*#REF!)+(AJ36*#REF!)+(AJ37*#REF!)+(AJ38*#REF!)+(AJ39*#REF!)+(AJ40*#REF!)+(AJ41*#REF!)+(AJ42*#REF!)+(AJ43*#REF!)+(AJ48*#REF!)+(AJ44*#REF!)+(AJ45*#REF!)+(AJ46*#REF!)+(AJ47*#REF!)+(AJ49*#REF!)+(AJ50*#REF!)+(AJ51*#REF!)+(AJ52*#REF!)+(AJ53*#REF!)+(AJ54*#REF!)+(AJ55*#REF!)+(AJ56*#REF!)+(AJ57*#REF!)</f>
        <v>#REF!</v>
      </c>
      <c r="AK60" s="2776" t="e">
        <f>+(AK24*#REF!)+(AK25*#REF!)+(AK26*#REF!)+(AK27*#REF!)+(AK28*#REF!)+(AK29*#REF!)+(AK30*#REF!)+(AK31*#REF!)+(AK32*#REF!)+(AK33*#REF!)+(AK34*#REF!)+(AK35*#REF!)+(AK36*#REF!)+(AK37*#REF!)+(AK38*#REF!)+(AK39*#REF!)+(AK40*#REF!)+(AK41*#REF!)+(AK42*#REF!)+(AK43*#REF!)+(AK48*#REF!)+(AK44*#REF!)+(AK45*#REF!)+(AK46*#REF!)+(AK47*#REF!)+(AK49*#REF!)+(AK50*#REF!)+(AK51*#REF!)+(AK52*#REF!)+(AK53*#REF!)+(AK54*#REF!)+(AK55*#REF!)+(AK56*#REF!)+(AK57*#REF!)</f>
        <v>#REF!</v>
      </c>
      <c r="AL60" s="2776" t="e">
        <f>+(AL24*#REF!)+(AL25*#REF!)+(AL26*#REF!)+(AL27*#REF!)+(AL28*#REF!)+(AL29*#REF!)+(AL30*#REF!)+(AL31*#REF!)+(AL32*#REF!)+(AL33*#REF!)+(AL34*#REF!)+(AL35*#REF!)+(AL36*#REF!)+(AL37*#REF!)+(AL38*#REF!)+(AL39*#REF!)+(AL40*#REF!)+(AL41*#REF!)+(AL42*#REF!)+(AL43*#REF!)+(AL48*#REF!)+(AL44*#REF!)+(AL45*#REF!)+(AL46*#REF!)+(AL47*#REF!)+(AL49*#REF!)+(AL50*#REF!)+(AL51*#REF!)+(AL52*#REF!)+(AL53*#REF!)+(AL54*#REF!)+(AL55*#REF!)+(AL56*#REF!)+(AL57*#REF!)</f>
        <v>#REF!</v>
      </c>
    </row>
  </sheetData>
  <mergeCells count="28">
    <mergeCell ref="O7:V7"/>
    <mergeCell ref="Q10:T10"/>
    <mergeCell ref="U10:U11"/>
    <mergeCell ref="V10:V11"/>
    <mergeCell ref="H31:I31"/>
    <mergeCell ref="F35:I35"/>
    <mergeCell ref="F42:G43"/>
    <mergeCell ref="H42:H43"/>
    <mergeCell ref="H45:I45"/>
    <mergeCell ref="C31:D31"/>
    <mergeCell ref="C45:D45"/>
    <mergeCell ref="A28:B29"/>
    <mergeCell ref="C28:C29"/>
    <mergeCell ref="A35:D35"/>
    <mergeCell ref="A42:B43"/>
    <mergeCell ref="C42:C43"/>
    <mergeCell ref="F28:G29"/>
    <mergeCell ref="H28:H29"/>
    <mergeCell ref="F8:I8"/>
    <mergeCell ref="F15:G15"/>
    <mergeCell ref="J8:M8"/>
    <mergeCell ref="J15:K15"/>
    <mergeCell ref="A8:D8"/>
    <mergeCell ref="A15:B15"/>
    <mergeCell ref="C17:D17"/>
    <mergeCell ref="H17:I17"/>
    <mergeCell ref="F21:I21"/>
    <mergeCell ref="A21:D21"/>
  </mergeCells>
  <pageMargins left="0.70866141732283472" right="0.70866141732283472" top="0.55118110236220474" bottom="0.55118110236220474" header="0.31496062992125984" footer="0.31496062992125984"/>
  <pageSetup paperSize="9" scale="90"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4"/>
  <dimension ref="A3:H30"/>
  <sheetViews>
    <sheetView topLeftCell="A22" workbookViewId="0">
      <selection activeCell="J18" sqref="J18"/>
    </sheetView>
  </sheetViews>
  <sheetFormatPr baseColWidth="10" defaultRowHeight="12.75" x14ac:dyDescent="0.2"/>
  <cols>
    <col min="1" max="1" width="25" customWidth="1"/>
    <col min="2" max="2" width="11.42578125" customWidth="1"/>
    <col min="3" max="3" width="20" customWidth="1"/>
    <col min="4" max="4" width="11.42578125" hidden="1" customWidth="1"/>
    <col min="5" max="5" width="18.85546875" customWidth="1"/>
    <col min="6" max="6" width="36.7109375" customWidth="1"/>
    <col min="7" max="7" width="18" customWidth="1"/>
    <col min="8" max="8" width="17.7109375" customWidth="1"/>
  </cols>
  <sheetData>
    <row r="3" spans="1:8" ht="18.75" x14ac:dyDescent="0.25">
      <c r="A3" s="1167" t="s">
        <v>212</v>
      </c>
      <c r="B3" s="1168"/>
      <c r="C3" s="1169"/>
      <c r="D3" s="1169"/>
      <c r="E3" s="1169"/>
      <c r="F3" s="1169"/>
      <c r="G3" s="1169"/>
      <c r="H3" s="1170"/>
    </row>
    <row r="4" spans="1:8" ht="18.75" x14ac:dyDescent="0.25">
      <c r="A4" s="1167" t="s">
        <v>170</v>
      </c>
      <c r="B4" s="1168"/>
      <c r="C4" s="1169"/>
      <c r="D4" s="1169"/>
      <c r="E4" s="1169"/>
      <c r="F4" s="1169"/>
      <c r="G4" s="1169"/>
      <c r="H4" s="1169"/>
    </row>
    <row r="5" spans="1:8" x14ac:dyDescent="0.2">
      <c r="A5" s="1169"/>
      <c r="B5" s="1169"/>
      <c r="C5" s="1169"/>
      <c r="D5" s="1169"/>
      <c r="E5" s="1169"/>
      <c r="F5" s="1169"/>
      <c r="G5" s="1169"/>
      <c r="H5" s="1169"/>
    </row>
    <row r="6" spans="1:8" ht="18" x14ac:dyDescent="0.25">
      <c r="A6" s="1171"/>
      <c r="B6" s="1169"/>
      <c r="C6" s="1169"/>
      <c r="D6" s="1169"/>
      <c r="E6" s="1169"/>
      <c r="F6" s="1169"/>
      <c r="G6" s="1169"/>
      <c r="H6" s="1169"/>
    </row>
    <row r="7" spans="1:8" ht="18" x14ac:dyDescent="0.25">
      <c r="A7" s="1171"/>
      <c r="B7" s="1169"/>
      <c r="C7" s="1169"/>
      <c r="D7" s="1169"/>
      <c r="E7" s="1169"/>
      <c r="F7" s="1169"/>
      <c r="G7" s="1169"/>
      <c r="H7" s="1169"/>
    </row>
    <row r="8" spans="1:8" ht="18.75" thickBot="1" x14ac:dyDescent="0.3">
      <c r="A8" s="1172"/>
      <c r="B8" s="467"/>
      <c r="C8" s="467"/>
      <c r="D8" s="467"/>
      <c r="E8" s="467"/>
      <c r="F8" s="467"/>
      <c r="G8" s="467"/>
      <c r="H8" s="467"/>
    </row>
    <row r="9" spans="1:8" s="1179" customFormat="1" ht="20.25" x14ac:dyDescent="0.3">
      <c r="A9" s="1176"/>
      <c r="B9" s="1177"/>
      <c r="C9" s="1178"/>
      <c r="D9" s="1178"/>
      <c r="E9" s="1181" t="s">
        <v>638</v>
      </c>
      <c r="F9" s="1182" t="s">
        <v>146</v>
      </c>
      <c r="G9" s="1182" t="s">
        <v>61</v>
      </c>
      <c r="H9" s="1183" t="s">
        <v>39</v>
      </c>
    </row>
    <row r="10" spans="1:8" ht="15" x14ac:dyDescent="0.2">
      <c r="E10" s="1184" t="s">
        <v>396</v>
      </c>
      <c r="F10" s="1173" t="s">
        <v>640</v>
      </c>
      <c r="G10" s="1175">
        <v>1</v>
      </c>
      <c r="H10" s="1185">
        <v>7500</v>
      </c>
    </row>
    <row r="11" spans="1:8" ht="15" x14ac:dyDescent="0.2">
      <c r="E11" s="1184" t="s">
        <v>405</v>
      </c>
      <c r="F11" s="1173" t="s">
        <v>641</v>
      </c>
      <c r="G11" s="1175">
        <v>1</v>
      </c>
      <c r="H11" s="1185">
        <v>10500</v>
      </c>
    </row>
    <row r="12" spans="1:8" ht="15" x14ac:dyDescent="0.2">
      <c r="E12" s="1184" t="s">
        <v>250</v>
      </c>
      <c r="F12" s="1173" t="s">
        <v>642</v>
      </c>
      <c r="G12" s="1175">
        <v>1</v>
      </c>
      <c r="H12" s="1185">
        <v>10500</v>
      </c>
    </row>
    <row r="13" spans="1:8" ht="15" x14ac:dyDescent="0.2">
      <c r="E13" s="1184" t="s">
        <v>608</v>
      </c>
      <c r="F13" s="1173" t="s">
        <v>643</v>
      </c>
      <c r="G13" s="1175">
        <v>1</v>
      </c>
      <c r="H13" s="1185">
        <v>7500</v>
      </c>
    </row>
    <row r="14" spans="1:8" ht="15" x14ac:dyDescent="0.2">
      <c r="E14" s="1184" t="s">
        <v>270</v>
      </c>
      <c r="F14" s="1173" t="s">
        <v>644</v>
      </c>
      <c r="G14" s="1175">
        <v>1</v>
      </c>
      <c r="H14" s="1185">
        <v>3000</v>
      </c>
    </row>
    <row r="15" spans="1:8" ht="15" x14ac:dyDescent="0.2">
      <c r="E15" s="1184" t="s">
        <v>593</v>
      </c>
      <c r="F15" s="1173" t="s">
        <v>645</v>
      </c>
      <c r="G15" s="1175">
        <v>1</v>
      </c>
      <c r="H15" s="1185">
        <v>4000</v>
      </c>
    </row>
    <row r="16" spans="1:8" ht="15" x14ac:dyDescent="0.2">
      <c r="E16" s="1184" t="s">
        <v>639</v>
      </c>
      <c r="F16" s="1173" t="s">
        <v>646</v>
      </c>
      <c r="G16" s="1175">
        <v>1</v>
      </c>
      <c r="H16" s="1185">
        <v>8000</v>
      </c>
    </row>
    <row r="17" spans="1:8" ht="15" x14ac:dyDescent="0.2">
      <c r="E17" s="1184" t="s">
        <v>400</v>
      </c>
      <c r="F17" s="1173" t="s">
        <v>645</v>
      </c>
      <c r="G17" s="1175">
        <v>1</v>
      </c>
      <c r="H17" s="1185">
        <v>3000</v>
      </c>
    </row>
    <row r="18" spans="1:8" ht="21.75" customHeight="1" x14ac:dyDescent="0.2">
      <c r="E18" s="3195" t="s">
        <v>647</v>
      </c>
      <c r="F18" s="1174" t="s">
        <v>649</v>
      </c>
      <c r="G18" s="1175">
        <v>120</v>
      </c>
      <c r="H18" s="1185">
        <f>20*2650</f>
        <v>53000</v>
      </c>
    </row>
    <row r="19" spans="1:8" ht="21.75" customHeight="1" x14ac:dyDescent="0.2">
      <c r="E19" s="3195"/>
      <c r="F19" s="1174" t="s">
        <v>650</v>
      </c>
      <c r="G19" s="1175">
        <v>120</v>
      </c>
      <c r="H19" s="1185">
        <f>18000*2</f>
        <v>36000</v>
      </c>
    </row>
    <row r="20" spans="1:8" ht="29.25" customHeight="1" x14ac:dyDescent="0.2">
      <c r="E20" s="3195"/>
      <c r="F20" s="319" t="s">
        <v>648</v>
      </c>
      <c r="G20" s="429">
        <v>250</v>
      </c>
      <c r="H20" s="454"/>
    </row>
    <row r="21" spans="1:8" s="1180" customFormat="1" ht="21" thickBot="1" x14ac:dyDescent="0.35">
      <c r="E21" s="3196" t="s">
        <v>18</v>
      </c>
      <c r="F21" s="3197"/>
      <c r="G21" s="3197"/>
      <c r="H21" s="1186">
        <f>SUM(H10:H19)</f>
        <v>143000</v>
      </c>
    </row>
    <row r="25" spans="1:8" ht="13.5" thickBot="1" x14ac:dyDescent="0.25"/>
    <row r="26" spans="1:8" ht="30" customHeight="1" x14ac:dyDescent="0.2">
      <c r="A26" s="491" t="s">
        <v>655</v>
      </c>
      <c r="B26" s="1193" t="s">
        <v>37</v>
      </c>
      <c r="C26" s="1194" t="s">
        <v>133</v>
      </c>
    </row>
    <row r="27" spans="1:8" ht="30" customHeight="1" x14ac:dyDescent="0.2">
      <c r="A27" s="697" t="s">
        <v>651</v>
      </c>
      <c r="B27" s="429">
        <v>15000</v>
      </c>
      <c r="C27" s="3198" t="s">
        <v>654</v>
      </c>
    </row>
    <row r="28" spans="1:8" ht="30" customHeight="1" x14ac:dyDescent="0.2">
      <c r="A28" s="697" t="s">
        <v>652</v>
      </c>
      <c r="B28" s="429">
        <v>10000</v>
      </c>
      <c r="C28" s="3199"/>
    </row>
    <row r="29" spans="1:8" ht="30" customHeight="1" x14ac:dyDescent="0.2">
      <c r="A29" s="697" t="s">
        <v>653</v>
      </c>
      <c r="B29" s="429">
        <v>10000</v>
      </c>
      <c r="C29" s="3200"/>
    </row>
    <row r="30" spans="1:8" s="42" customFormat="1" ht="30" customHeight="1" thickBot="1" x14ac:dyDescent="0.25">
      <c r="A30" s="698" t="s">
        <v>33</v>
      </c>
      <c r="B30" s="493">
        <f>SUM(B27:B29)</f>
        <v>35000</v>
      </c>
      <c r="C30" s="1195"/>
    </row>
  </sheetData>
  <mergeCells count="3">
    <mergeCell ref="E18:E20"/>
    <mergeCell ref="E21:G21"/>
    <mergeCell ref="C27:C29"/>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5"/>
  <dimension ref="A1:K79"/>
  <sheetViews>
    <sheetView topLeftCell="D1" workbookViewId="0">
      <selection activeCell="M5" sqref="M5"/>
    </sheetView>
  </sheetViews>
  <sheetFormatPr baseColWidth="10" defaultRowHeight="12.75" x14ac:dyDescent="0.2"/>
  <cols>
    <col min="1" max="1" width="16.7109375" hidden="1" customWidth="1"/>
    <col min="2" max="2" width="35.42578125" hidden="1" customWidth="1"/>
    <col min="3" max="3" width="42.5703125" hidden="1" customWidth="1"/>
    <col min="4" max="4" width="16" customWidth="1"/>
    <col min="5" max="5" width="29.5703125" customWidth="1"/>
    <col min="6" max="6" width="26.7109375" customWidth="1"/>
  </cols>
  <sheetData>
    <row r="1" spans="1:7" ht="20.100000000000001" customHeight="1" x14ac:dyDescent="0.25">
      <c r="A1" s="60" t="s">
        <v>229</v>
      </c>
      <c r="D1" s="2116" t="s">
        <v>229</v>
      </c>
    </row>
    <row r="2" spans="1:7" ht="20.100000000000001" customHeight="1" x14ac:dyDescent="0.25">
      <c r="A2" s="60" t="s">
        <v>170</v>
      </c>
      <c r="D2" s="2116" t="s">
        <v>170</v>
      </c>
    </row>
    <row r="3" spans="1:7" ht="20.100000000000001" customHeight="1" x14ac:dyDescent="0.2"/>
    <row r="4" spans="1:7" ht="20.100000000000001" customHeight="1" x14ac:dyDescent="0.2"/>
    <row r="5" spans="1:7" ht="20.100000000000001" customHeight="1" x14ac:dyDescent="0.25">
      <c r="B5" s="3201" t="s">
        <v>658</v>
      </c>
      <c r="C5" s="3201"/>
      <c r="E5" s="2500"/>
      <c r="F5" s="401"/>
    </row>
    <row r="6" spans="1:7" ht="20.100000000000001" customHeight="1" x14ac:dyDescent="0.3">
      <c r="D6" s="1180" t="s">
        <v>1839</v>
      </c>
      <c r="E6" s="1180"/>
    </row>
    <row r="7" spans="1:7" ht="20.100000000000001" customHeight="1" x14ac:dyDescent="0.2"/>
    <row r="8" spans="1:7" s="401" customFormat="1" ht="20.100000000000001" customHeight="1" x14ac:dyDescent="0.25">
      <c r="A8" s="1307" t="s">
        <v>277</v>
      </c>
      <c r="B8" s="1307" t="s">
        <v>48</v>
      </c>
      <c r="C8" s="1307" t="s">
        <v>37</v>
      </c>
      <c r="D8" s="1302" t="s">
        <v>63</v>
      </c>
      <c r="E8" s="1302" t="s">
        <v>1749</v>
      </c>
      <c r="F8" s="2114" t="s">
        <v>1118</v>
      </c>
    </row>
    <row r="9" spans="1:7" s="401" customFormat="1" ht="27.75" customHeight="1" x14ac:dyDescent="0.25">
      <c r="A9" s="1307"/>
      <c r="B9" s="1307"/>
      <c r="C9" s="1307"/>
      <c r="D9" s="2115">
        <v>43496</v>
      </c>
      <c r="E9" s="1416"/>
      <c r="F9" s="2114"/>
      <c r="G9" s="2111"/>
    </row>
    <row r="10" spans="1:7" s="401" customFormat="1" ht="27.75" customHeight="1" x14ac:dyDescent="0.25">
      <c r="A10" s="1308"/>
      <c r="B10" s="1309"/>
      <c r="C10" s="1310"/>
      <c r="D10" s="2115">
        <v>43497</v>
      </c>
      <c r="E10" s="2501"/>
      <c r="F10" s="1190"/>
    </row>
    <row r="11" spans="1:7" s="401" customFormat="1" ht="22.5" customHeight="1" x14ac:dyDescent="0.25">
      <c r="A11" s="1308"/>
      <c r="B11" s="1309"/>
      <c r="C11" s="1310"/>
      <c r="D11" s="2115">
        <v>43498</v>
      </c>
      <c r="E11" s="2501"/>
      <c r="F11" s="1190"/>
    </row>
    <row r="12" spans="1:7" s="401" customFormat="1" ht="24.75" customHeight="1" x14ac:dyDescent="0.25">
      <c r="A12" s="1308"/>
      <c r="B12" s="1309"/>
      <c r="C12" s="1310"/>
      <c r="D12" s="2115">
        <v>43499</v>
      </c>
      <c r="E12" s="2501"/>
      <c r="F12" s="1190"/>
    </row>
    <row r="13" spans="1:7" s="401" customFormat="1" ht="24.75" customHeight="1" x14ac:dyDescent="0.25">
      <c r="A13" s="1308"/>
      <c r="B13" s="1309"/>
      <c r="C13" s="1310"/>
      <c r="D13" s="2115">
        <v>43500</v>
      </c>
      <c r="E13" s="2501"/>
      <c r="F13" s="1190"/>
    </row>
    <row r="14" spans="1:7" s="401" customFormat="1" ht="23.25" customHeight="1" x14ac:dyDescent="0.25">
      <c r="A14" s="1308"/>
      <c r="B14" s="1309"/>
      <c r="C14" s="1310"/>
      <c r="D14" s="2115">
        <v>43501</v>
      </c>
      <c r="E14" s="2501"/>
      <c r="F14" s="1190"/>
    </row>
    <row r="15" spans="1:7" s="401" customFormat="1" ht="25.5" customHeight="1" x14ac:dyDescent="0.25">
      <c r="A15" s="1308"/>
      <c r="B15" s="1309"/>
      <c r="C15" s="1310"/>
      <c r="D15" s="2115">
        <v>43502</v>
      </c>
      <c r="E15" s="2501"/>
      <c r="F15" s="1190"/>
    </row>
    <row r="16" spans="1:7" s="401" customFormat="1" ht="25.5" customHeight="1" x14ac:dyDescent="0.25">
      <c r="A16" s="1308"/>
      <c r="B16" s="1309"/>
      <c r="C16" s="1310"/>
      <c r="D16" s="2115">
        <v>43503</v>
      </c>
      <c r="E16" s="2501"/>
      <c r="F16" s="1190"/>
    </row>
    <row r="17" spans="1:11" s="401" customFormat="1" ht="24.75" customHeight="1" x14ac:dyDescent="0.25">
      <c r="A17" s="1308"/>
      <c r="B17" s="1309"/>
      <c r="C17" s="1310"/>
      <c r="D17" s="2115">
        <v>43504</v>
      </c>
      <c r="E17" s="2501"/>
      <c r="F17" s="1190"/>
    </row>
    <row r="18" spans="1:11" s="401" customFormat="1" ht="24" customHeight="1" x14ac:dyDescent="0.25">
      <c r="A18" s="1308"/>
      <c r="B18" s="1309"/>
      <c r="C18" s="1310"/>
      <c r="D18" s="2115">
        <v>43505</v>
      </c>
      <c r="E18" s="2501"/>
      <c r="F18" s="1190"/>
      <c r="K18" s="893"/>
    </row>
    <row r="19" spans="1:11" s="401" customFormat="1" ht="24" customHeight="1" x14ac:dyDescent="0.25">
      <c r="A19" s="1308"/>
      <c r="B19" s="1309"/>
      <c r="C19" s="1310"/>
      <c r="D19" s="2115">
        <v>43506</v>
      </c>
      <c r="E19" s="2501"/>
      <c r="F19" s="1190"/>
      <c r="K19" s="893"/>
    </row>
    <row r="20" spans="1:11" s="401" customFormat="1" ht="21" customHeight="1" x14ac:dyDescent="0.25">
      <c r="A20" s="1308"/>
      <c r="B20" s="1309"/>
      <c r="C20" s="1310"/>
      <c r="D20" s="2115">
        <v>43507</v>
      </c>
      <c r="E20" s="2501"/>
      <c r="F20" s="1190"/>
    </row>
    <row r="21" spans="1:11" s="401" customFormat="1" ht="22.5" customHeight="1" x14ac:dyDescent="0.25">
      <c r="A21" s="1308"/>
      <c r="B21" s="1309"/>
      <c r="C21" s="1310"/>
      <c r="D21" s="2115">
        <v>43508</v>
      </c>
      <c r="E21" s="2501"/>
      <c r="F21" s="1190"/>
    </row>
    <row r="22" spans="1:11" s="401" customFormat="1" ht="24.75" customHeight="1" x14ac:dyDescent="0.25">
      <c r="A22" s="1308"/>
      <c r="B22" s="1309"/>
      <c r="C22" s="1310"/>
      <c r="D22" s="2115">
        <v>43509</v>
      </c>
      <c r="E22" s="2501"/>
      <c r="F22" s="1190"/>
    </row>
    <row r="23" spans="1:11" s="401" customFormat="1" ht="27" customHeight="1" x14ac:dyDescent="0.25">
      <c r="A23" s="1308"/>
      <c r="B23" s="1309"/>
      <c r="C23" s="1310"/>
      <c r="D23" s="2115">
        <v>43510</v>
      </c>
      <c r="E23" s="2501"/>
      <c r="F23" s="1190"/>
    </row>
    <row r="24" spans="1:11" s="401" customFormat="1" ht="30.75" customHeight="1" x14ac:dyDescent="0.25">
      <c r="A24" s="1308"/>
      <c r="B24" s="1309"/>
      <c r="C24" s="1310"/>
      <c r="D24" s="2115">
        <v>43511</v>
      </c>
      <c r="E24" s="2501"/>
      <c r="F24" s="1190"/>
    </row>
    <row r="25" spans="1:11" s="401" customFormat="1" ht="26.25" customHeight="1" x14ac:dyDescent="0.25">
      <c r="A25" s="1308"/>
      <c r="B25" s="1309"/>
      <c r="C25" s="1310"/>
      <c r="D25" s="2115">
        <v>43512</v>
      </c>
      <c r="E25" s="2501"/>
      <c r="F25" s="1190"/>
    </row>
    <row r="26" spans="1:11" s="401" customFormat="1" ht="27.75" customHeight="1" x14ac:dyDescent="0.25">
      <c r="A26" s="1308"/>
      <c r="B26" s="1309"/>
      <c r="C26" s="1310"/>
      <c r="D26" s="2115">
        <v>43513</v>
      </c>
      <c r="E26" s="2501"/>
      <c r="F26" s="1190"/>
    </row>
    <row r="27" spans="1:11" s="401" customFormat="1" ht="20.100000000000001" customHeight="1" x14ac:dyDescent="0.25">
      <c r="A27" s="1308"/>
      <c r="B27" s="1309"/>
      <c r="C27" s="1310"/>
      <c r="D27" s="2115">
        <v>43514</v>
      </c>
      <c r="E27" s="2501"/>
      <c r="F27" s="1190"/>
    </row>
    <row r="28" spans="1:11" s="401" customFormat="1" ht="20.100000000000001" customHeight="1" x14ac:dyDescent="0.25">
      <c r="A28" s="1308">
        <v>41990</v>
      </c>
      <c r="B28" s="1309" t="s">
        <v>656</v>
      </c>
      <c r="C28" s="1310">
        <v>3000</v>
      </c>
      <c r="D28" s="2115">
        <v>43515</v>
      </c>
      <c r="E28" s="2501"/>
      <c r="F28" s="1190"/>
    </row>
    <row r="29" spans="1:11" s="401" customFormat="1" ht="20.100000000000001" customHeight="1" x14ac:dyDescent="0.25">
      <c r="A29" s="1308"/>
      <c r="B29" s="1309"/>
      <c r="C29" s="1310"/>
      <c r="D29" s="2115">
        <v>43516</v>
      </c>
      <c r="E29" s="2501"/>
      <c r="F29" s="1190"/>
    </row>
    <row r="30" spans="1:11" s="401" customFormat="1" ht="20.100000000000001" customHeight="1" x14ac:dyDescent="0.25">
      <c r="A30" s="1308"/>
      <c r="B30" s="1309"/>
      <c r="C30" s="1310"/>
      <c r="D30" s="2115">
        <v>43517</v>
      </c>
      <c r="E30" s="2501"/>
      <c r="F30" s="1190"/>
    </row>
    <row r="31" spans="1:11" s="401" customFormat="1" ht="20.100000000000001" customHeight="1" x14ac:dyDescent="0.25">
      <c r="A31" s="1308"/>
      <c r="B31" s="1309"/>
      <c r="C31" s="1310"/>
      <c r="D31" s="2115">
        <v>43518</v>
      </c>
      <c r="E31" s="2501"/>
      <c r="F31" s="1190"/>
    </row>
    <row r="32" spans="1:11" s="401" customFormat="1" ht="20.100000000000001" customHeight="1" x14ac:dyDescent="0.25">
      <c r="A32" s="1308"/>
      <c r="B32" s="1309"/>
      <c r="C32" s="1310"/>
      <c r="D32" s="2115">
        <v>43519</v>
      </c>
      <c r="E32" s="2501"/>
      <c r="F32" s="1190"/>
    </row>
    <row r="33" spans="1:6" s="401" customFormat="1" ht="20.100000000000001" customHeight="1" x14ac:dyDescent="0.25">
      <c r="A33" s="1308"/>
      <c r="B33" s="1309"/>
      <c r="C33" s="1310"/>
      <c r="D33" s="2115">
        <v>43520</v>
      </c>
      <c r="E33" s="2501"/>
      <c r="F33" s="1190"/>
    </row>
    <row r="34" spans="1:6" s="401" customFormat="1" ht="20.100000000000001" customHeight="1" x14ac:dyDescent="0.25">
      <c r="A34" s="1308"/>
      <c r="B34" s="1309"/>
      <c r="C34" s="1310"/>
      <c r="D34" s="2115">
        <v>43521</v>
      </c>
      <c r="E34" s="2501"/>
      <c r="F34" s="1190"/>
    </row>
    <row r="35" spans="1:6" s="401" customFormat="1" ht="20.100000000000001" customHeight="1" x14ac:dyDescent="0.25">
      <c r="A35" s="1308"/>
      <c r="B35" s="1309"/>
      <c r="C35" s="1310"/>
      <c r="D35" s="2115">
        <v>43522</v>
      </c>
      <c r="E35" s="2501"/>
      <c r="F35" s="1190"/>
    </row>
    <row r="36" spans="1:6" s="401" customFormat="1" ht="20.100000000000001" customHeight="1" x14ac:dyDescent="0.25">
      <c r="A36" s="1308"/>
      <c r="B36" s="1309"/>
      <c r="C36" s="1310"/>
      <c r="D36" s="2115">
        <v>43523</v>
      </c>
      <c r="E36" s="2501"/>
      <c r="F36" s="1190"/>
    </row>
    <row r="37" spans="1:6" s="401" customFormat="1" ht="20.100000000000001" customHeight="1" x14ac:dyDescent="0.25">
      <c r="A37" s="1308"/>
      <c r="B37" s="1309"/>
      <c r="C37" s="1310"/>
      <c r="D37" s="2115">
        <v>43524</v>
      </c>
      <c r="E37" s="2501"/>
      <c r="F37" s="1190"/>
    </row>
    <row r="38" spans="1:6" s="401" customFormat="1" ht="20.100000000000001" customHeight="1" x14ac:dyDescent="0.2">
      <c r="A38" s="1308"/>
      <c r="B38" s="1309"/>
      <c r="C38" s="1310"/>
      <c r="D38" s="1315" t="s">
        <v>33</v>
      </c>
      <c r="E38" s="1417"/>
      <c r="F38" s="1417"/>
    </row>
    <row r="39" spans="1:6" ht="30" hidden="1" customHeight="1" x14ac:dyDescent="0.2">
      <c r="A39" s="1305"/>
      <c r="B39" s="1306"/>
      <c r="C39" s="1311"/>
      <c r="D39" s="3202">
        <v>42026</v>
      </c>
      <c r="E39" s="1190"/>
      <c r="F39" s="1190"/>
    </row>
    <row r="40" spans="1:6" ht="30" hidden="1" customHeight="1" x14ac:dyDescent="0.2">
      <c r="A40" s="1202"/>
      <c r="B40" s="1198"/>
      <c r="C40" s="1312"/>
      <c r="D40" s="3202"/>
      <c r="E40" s="1190"/>
      <c r="F40" s="1190"/>
    </row>
    <row r="41" spans="1:6" ht="30" hidden="1" customHeight="1" x14ac:dyDescent="0.2">
      <c r="A41" s="1202"/>
      <c r="B41" s="1198"/>
      <c r="C41" s="1312"/>
      <c r="D41" s="3202">
        <v>42027</v>
      </c>
      <c r="E41" s="1190"/>
      <c r="F41" s="1190"/>
    </row>
    <row r="42" spans="1:6" ht="30" hidden="1" customHeight="1" x14ac:dyDescent="0.2">
      <c r="A42" s="1202"/>
      <c r="B42" s="1198"/>
      <c r="C42" s="1312"/>
      <c r="D42" s="3202"/>
      <c r="E42" s="1190"/>
      <c r="F42" s="1190"/>
    </row>
    <row r="43" spans="1:6" ht="30" hidden="1" customHeight="1" x14ac:dyDescent="0.2">
      <c r="A43" s="1202"/>
      <c r="B43" s="1198"/>
      <c r="C43" s="1312"/>
      <c r="D43" s="3202">
        <v>42028</v>
      </c>
      <c r="E43" s="1190"/>
      <c r="F43" s="1190"/>
    </row>
    <row r="44" spans="1:6" ht="30" hidden="1" customHeight="1" x14ac:dyDescent="0.2">
      <c r="A44" s="1202"/>
      <c r="B44" s="1198"/>
      <c r="C44" s="1312"/>
      <c r="D44" s="3202"/>
      <c r="E44" s="1190"/>
      <c r="F44" s="1190"/>
    </row>
    <row r="45" spans="1:6" ht="30" hidden="1" customHeight="1" x14ac:dyDescent="0.2">
      <c r="A45" s="1202"/>
      <c r="B45" s="1198"/>
      <c r="C45" s="1312"/>
      <c r="D45" s="3202">
        <v>42029</v>
      </c>
      <c r="E45" s="1190"/>
      <c r="F45" s="1190"/>
    </row>
    <row r="46" spans="1:6" ht="30" hidden="1" customHeight="1" x14ac:dyDescent="0.2">
      <c r="A46" s="1202"/>
      <c r="B46" s="1198"/>
      <c r="C46" s="1312"/>
      <c r="D46" s="3202"/>
      <c r="E46" s="1190"/>
      <c r="F46" s="1190"/>
    </row>
    <row r="47" spans="1:6" ht="30" hidden="1" customHeight="1" x14ac:dyDescent="0.2">
      <c r="A47" s="1202"/>
      <c r="B47" s="1198"/>
      <c r="C47" s="1312"/>
      <c r="D47" s="3202">
        <v>42030</v>
      </c>
      <c r="E47" s="1190"/>
      <c r="F47" s="1190"/>
    </row>
    <row r="48" spans="1:6" ht="30" hidden="1" customHeight="1" x14ac:dyDescent="0.2">
      <c r="A48" s="1202"/>
      <c r="B48" s="1198"/>
      <c r="C48" s="1312"/>
      <c r="D48" s="3202"/>
      <c r="E48" s="1190"/>
      <c r="F48" s="1190"/>
    </row>
    <row r="49" spans="1:6" ht="30" hidden="1" customHeight="1" x14ac:dyDescent="0.2">
      <c r="A49" s="1202"/>
      <c r="B49" s="1198"/>
      <c r="C49" s="1312"/>
      <c r="D49" s="3202">
        <v>42031</v>
      </c>
      <c r="E49" s="1190"/>
      <c r="F49" s="1190"/>
    </row>
    <row r="50" spans="1:6" ht="30" hidden="1" customHeight="1" x14ac:dyDescent="0.2">
      <c r="A50" s="1202"/>
      <c r="B50" s="1198"/>
      <c r="C50" s="1312"/>
      <c r="D50" s="3202"/>
      <c r="E50" s="1190"/>
      <c r="F50" s="1190"/>
    </row>
    <row r="51" spans="1:6" ht="30" hidden="1" customHeight="1" x14ac:dyDescent="0.2">
      <c r="A51" s="1202"/>
      <c r="B51" s="1198"/>
      <c r="C51" s="1312"/>
      <c r="D51" s="3202">
        <v>42032</v>
      </c>
      <c r="E51" s="1190"/>
      <c r="F51" s="1190"/>
    </row>
    <row r="52" spans="1:6" ht="30" hidden="1" customHeight="1" x14ac:dyDescent="0.2">
      <c r="A52" s="1202"/>
      <c r="B52" s="1198"/>
      <c r="C52" s="1312"/>
      <c r="D52" s="3202"/>
      <c r="E52" s="1190"/>
      <c r="F52" s="1190"/>
    </row>
    <row r="53" spans="1:6" ht="30" hidden="1" customHeight="1" x14ac:dyDescent="0.2">
      <c r="A53" s="1202"/>
      <c r="B53" s="1198"/>
      <c r="C53" s="1312"/>
      <c r="D53" s="3202">
        <v>42033</v>
      </c>
      <c r="E53" s="1190"/>
      <c r="F53" s="1190"/>
    </row>
    <row r="54" spans="1:6" ht="30" hidden="1" customHeight="1" x14ac:dyDescent="0.2">
      <c r="A54" s="1202"/>
      <c r="B54" s="1198"/>
      <c r="C54" s="1312"/>
      <c r="D54" s="3202"/>
      <c r="E54" s="1190"/>
      <c r="F54" s="1190"/>
    </row>
    <row r="55" spans="1:6" ht="30" hidden="1" customHeight="1" x14ac:dyDescent="0.2">
      <c r="A55" s="1202"/>
      <c r="B55" s="1198"/>
      <c r="C55" s="1312"/>
      <c r="D55" s="3202">
        <v>42034</v>
      </c>
      <c r="E55" s="1190"/>
      <c r="F55" s="1190"/>
    </row>
    <row r="56" spans="1:6" ht="30" hidden="1" customHeight="1" x14ac:dyDescent="0.2">
      <c r="A56" s="1202"/>
      <c r="B56" s="1198"/>
      <c r="C56" s="1312"/>
      <c r="D56" s="3202"/>
      <c r="E56" s="1190"/>
      <c r="F56" s="1190"/>
    </row>
    <row r="57" spans="1:6" ht="30" hidden="1" customHeight="1" x14ac:dyDescent="0.2">
      <c r="A57" s="1202"/>
      <c r="B57" s="1198"/>
      <c r="C57" s="1312"/>
      <c r="D57" s="3202">
        <v>42035</v>
      </c>
      <c r="E57" s="1190"/>
      <c r="F57" s="1190"/>
    </row>
    <row r="58" spans="1:6" ht="30" hidden="1" customHeight="1" x14ac:dyDescent="0.2">
      <c r="A58" s="1202"/>
      <c r="B58" s="1198"/>
      <c r="C58" s="1312"/>
      <c r="D58" s="3202"/>
      <c r="E58" s="1190"/>
      <c r="F58" s="1190"/>
    </row>
    <row r="59" spans="1:6" ht="24.95" hidden="1" customHeight="1" x14ac:dyDescent="0.2">
      <c r="A59" s="1196"/>
      <c r="B59" s="1198" t="s">
        <v>656</v>
      </c>
      <c r="C59" s="1312"/>
      <c r="D59" s="1196"/>
      <c r="E59" s="1190"/>
      <c r="F59" s="1190"/>
    </row>
    <row r="60" spans="1:6" ht="24.95" hidden="1" customHeight="1" x14ac:dyDescent="0.2">
      <c r="A60" s="1196"/>
      <c r="B60" s="1198" t="s">
        <v>656</v>
      </c>
      <c r="C60" s="1312"/>
      <c r="D60" s="1196"/>
      <c r="E60" s="1190"/>
      <c r="F60" s="1190"/>
    </row>
    <row r="61" spans="1:6" ht="24.95" hidden="1" customHeight="1" x14ac:dyDescent="0.2">
      <c r="A61" s="1196"/>
      <c r="B61" s="1198" t="s">
        <v>656</v>
      </c>
      <c r="C61" s="1312"/>
      <c r="D61" s="1196"/>
      <c r="E61" s="1190"/>
      <c r="F61" s="1190"/>
    </row>
    <row r="62" spans="1:6" ht="24.95" hidden="1" customHeight="1" x14ac:dyDescent="0.2">
      <c r="A62" s="1196"/>
      <c r="B62" s="1198" t="s">
        <v>656</v>
      </c>
      <c r="C62" s="1312"/>
      <c r="D62" s="1196"/>
      <c r="E62" s="1190"/>
      <c r="F62" s="1190"/>
    </row>
    <row r="63" spans="1:6" ht="24.95" hidden="1" customHeight="1" x14ac:dyDescent="0.2">
      <c r="A63" s="1196"/>
      <c r="B63" s="1198" t="s">
        <v>656</v>
      </c>
      <c r="C63" s="1312"/>
      <c r="D63" s="1196"/>
      <c r="E63" s="1190"/>
      <c r="F63" s="1190"/>
    </row>
    <row r="64" spans="1:6" ht="24.95" hidden="1" customHeight="1" x14ac:dyDescent="0.2">
      <c r="A64" s="1196"/>
      <c r="B64" s="1198" t="s">
        <v>656</v>
      </c>
      <c r="C64" s="1312"/>
      <c r="D64" s="1196"/>
      <c r="E64" s="1190"/>
      <c r="F64" s="1190"/>
    </row>
    <row r="65" spans="1:6" ht="24.95" hidden="1" customHeight="1" x14ac:dyDescent="0.2">
      <c r="A65" s="1197"/>
      <c r="B65" s="1198" t="s">
        <v>656</v>
      </c>
      <c r="C65" s="1312"/>
      <c r="D65" s="1197"/>
      <c r="E65" s="1190"/>
      <c r="F65" s="1190"/>
    </row>
    <row r="66" spans="1:6" ht="24.95" hidden="1" customHeight="1" x14ac:dyDescent="0.2">
      <c r="A66" s="1197"/>
      <c r="B66" s="1198" t="s">
        <v>656</v>
      </c>
      <c r="C66" s="1312"/>
      <c r="D66" s="1197"/>
      <c r="E66" s="1190"/>
      <c r="F66" s="1190"/>
    </row>
    <row r="67" spans="1:6" ht="24.95" hidden="1" customHeight="1" x14ac:dyDescent="0.2">
      <c r="A67" s="1197"/>
      <c r="B67" s="1198" t="s">
        <v>656</v>
      </c>
      <c r="C67" s="1312"/>
      <c r="D67" s="1197"/>
      <c r="E67" s="1190"/>
      <c r="F67" s="1190"/>
    </row>
    <row r="68" spans="1:6" ht="24.95" hidden="1" customHeight="1" x14ac:dyDescent="0.2">
      <c r="A68" s="1197"/>
      <c r="B68" s="1198" t="s">
        <v>656</v>
      </c>
      <c r="C68" s="1312"/>
      <c r="D68" s="1197"/>
      <c r="E68" s="1190"/>
      <c r="F68" s="1190"/>
    </row>
    <row r="69" spans="1:6" ht="24.95" hidden="1" customHeight="1" x14ac:dyDescent="0.2">
      <c r="A69" s="1197"/>
      <c r="B69" s="1198" t="s">
        <v>656</v>
      </c>
      <c r="C69" s="1312"/>
      <c r="D69" s="1197"/>
      <c r="E69" s="1190"/>
      <c r="F69" s="1190"/>
    </row>
    <row r="70" spans="1:6" ht="24.95" hidden="1" customHeight="1" x14ac:dyDescent="0.2">
      <c r="A70" s="1197"/>
      <c r="B70" s="1198" t="s">
        <v>656</v>
      </c>
      <c r="C70" s="1312"/>
      <c r="D70" s="1197"/>
      <c r="E70" s="1190"/>
      <c r="F70" s="1190"/>
    </row>
    <row r="71" spans="1:6" ht="24.95" hidden="1" customHeight="1" x14ac:dyDescent="0.2">
      <c r="A71" s="1197"/>
      <c r="B71" s="1198" t="s">
        <v>656</v>
      </c>
      <c r="C71" s="1312"/>
      <c r="D71" s="1197"/>
      <c r="E71" s="1190"/>
      <c r="F71" s="1190"/>
    </row>
    <row r="72" spans="1:6" ht="24.95" hidden="1" customHeight="1" x14ac:dyDescent="0.2">
      <c r="A72" s="1197"/>
      <c r="B72" s="1198" t="s">
        <v>656</v>
      </c>
      <c r="C72" s="1312"/>
      <c r="D72" s="1197"/>
      <c r="E72" s="1190"/>
      <c r="F72" s="1190"/>
    </row>
    <row r="73" spans="1:6" ht="24.95" hidden="1" customHeight="1" x14ac:dyDescent="0.2">
      <c r="A73" s="1197"/>
      <c r="B73" s="1198" t="s">
        <v>656</v>
      </c>
      <c r="C73" s="1312"/>
      <c r="D73" s="1197"/>
      <c r="E73" s="1190"/>
      <c r="F73" s="1190"/>
    </row>
    <row r="74" spans="1:6" ht="24.95" hidden="1" customHeight="1" x14ac:dyDescent="0.2">
      <c r="A74" s="1197"/>
      <c r="B74" s="1198" t="s">
        <v>656</v>
      </c>
      <c r="C74" s="1312"/>
      <c r="D74" s="1197"/>
      <c r="E74" s="1190"/>
      <c r="F74" s="1190"/>
    </row>
    <row r="75" spans="1:6" ht="24.95" hidden="1" customHeight="1" x14ac:dyDescent="0.2">
      <c r="A75" s="1197"/>
      <c r="B75" s="1198" t="s">
        <v>656</v>
      </c>
      <c r="C75" s="1313"/>
      <c r="D75" s="1197"/>
      <c r="E75" s="1190"/>
      <c r="F75" s="1190"/>
    </row>
    <row r="76" spans="1:6" ht="24.95" hidden="1" customHeight="1" x14ac:dyDescent="0.3">
      <c r="A76" s="1189" t="s">
        <v>33</v>
      </c>
      <c r="B76" s="430"/>
      <c r="C76" s="1314">
        <f>SUM(C10:C75)</f>
        <v>3000</v>
      </c>
      <c r="D76" s="1189" t="s">
        <v>33</v>
      </c>
      <c r="E76" s="1260">
        <f>SUM(E10:E58)</f>
        <v>0</v>
      </c>
      <c r="F76" s="1260">
        <f>SUM(F10:F58)</f>
        <v>0</v>
      </c>
    </row>
    <row r="79" spans="1:6" ht="26.25" x14ac:dyDescent="0.4">
      <c r="B79" s="1201" t="s">
        <v>657</v>
      </c>
      <c r="E79" s="60"/>
      <c r="F79" s="60"/>
    </row>
  </sheetData>
  <mergeCells count="11">
    <mergeCell ref="B5:C5"/>
    <mergeCell ref="D39:D40"/>
    <mergeCell ref="D41:D42"/>
    <mergeCell ref="D43:D44"/>
    <mergeCell ref="D57:D58"/>
    <mergeCell ref="D45:D46"/>
    <mergeCell ref="D47:D48"/>
    <mergeCell ref="D49:D50"/>
    <mergeCell ref="D51:D52"/>
    <mergeCell ref="D53:D54"/>
    <mergeCell ref="D55:D56"/>
  </mergeCells>
  <pageMargins left="0.57999999999999996" right="0.70866141732283472" top="0.74803149606299213" bottom="0.74803149606299213" header="0.31496062992125984" footer="0.31496062992125984"/>
  <pageSetup paperSize="9" scale="90" fitToWidth="99" fitToHeight="100"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6">
    <pageSetUpPr fitToPage="1"/>
  </sheetPr>
  <dimension ref="A1:Q44"/>
  <sheetViews>
    <sheetView workbookViewId="0">
      <selection activeCell="J18" sqref="J18"/>
    </sheetView>
  </sheetViews>
  <sheetFormatPr baseColWidth="10" defaultRowHeight="12.75" x14ac:dyDescent="0.2"/>
  <cols>
    <col min="1" max="1" width="11.5703125" style="39" customWidth="1"/>
    <col min="2" max="5" width="11.42578125" style="39"/>
    <col min="6" max="6" width="13" style="39" bestFit="1" customWidth="1"/>
    <col min="7" max="8" width="11.42578125" style="39"/>
    <col min="9" max="10" width="3.7109375" style="39" customWidth="1"/>
    <col min="11" max="11" width="13.42578125" style="39" customWidth="1"/>
    <col min="12" max="12" width="16.7109375" style="39" bestFit="1" customWidth="1"/>
    <col min="13" max="13" width="17" style="39" customWidth="1"/>
    <col min="14" max="14" width="13.28515625" style="39" customWidth="1"/>
    <col min="15" max="15" width="22.42578125" style="39" customWidth="1"/>
    <col min="16" max="16" width="13.7109375" style="39" customWidth="1"/>
    <col min="17" max="17" width="15.42578125" style="39" customWidth="1"/>
    <col min="18" max="18" width="15.28515625" style="39" customWidth="1"/>
    <col min="19" max="16384" width="11.42578125" style="39"/>
  </cols>
  <sheetData>
    <row r="1" spans="1:17" ht="15" x14ac:dyDescent="0.2">
      <c r="A1" s="329" t="s">
        <v>170</v>
      </c>
    </row>
    <row r="2" spans="1:17" ht="18" x14ac:dyDescent="0.25">
      <c r="A2" s="363" t="s">
        <v>212</v>
      </c>
    </row>
    <row r="4" spans="1:17" ht="18.75" x14ac:dyDescent="0.3">
      <c r="B4" s="384"/>
      <c r="C4" s="384"/>
      <c r="D4" s="384"/>
      <c r="G4" s="1" t="s">
        <v>659</v>
      </c>
      <c r="P4" s="509" t="s">
        <v>190</v>
      </c>
    </row>
    <row r="5" spans="1:17" ht="18.75" x14ac:dyDescent="0.2">
      <c r="A5" s="250"/>
      <c r="B5" s="384"/>
      <c r="C5" s="384"/>
      <c r="D5" s="384"/>
      <c r="E5" s="50"/>
      <c r="F5" s="50"/>
      <c r="G5" s="50"/>
      <c r="H5" s="250"/>
      <c r="I5" s="250"/>
      <c r="J5" s="250"/>
      <c r="K5" s="250"/>
      <c r="L5" s="250"/>
      <c r="M5" s="250"/>
      <c r="N5" s="250"/>
      <c r="O5" s="250"/>
      <c r="P5" s="250"/>
      <c r="Q5" s="250"/>
    </row>
    <row r="6" spans="1:17" ht="13.5" x14ac:dyDescent="0.25">
      <c r="A6" s="8"/>
    </row>
    <row r="7" spans="1:17" ht="21" x14ac:dyDescent="0.35">
      <c r="A7" s="52" t="s">
        <v>660</v>
      </c>
      <c r="B7" s="1213">
        <v>2014</v>
      </c>
      <c r="C7" s="3"/>
      <c r="M7" s="307">
        <f>+M10-M11</f>
        <v>587437</v>
      </c>
      <c r="P7" s="385"/>
    </row>
    <row r="8" spans="1:17" ht="13.5" thickBot="1" x14ac:dyDescent="0.25"/>
    <row r="9" spans="1:17" ht="21.75" thickBot="1" x14ac:dyDescent="0.4">
      <c r="K9" s="1214" t="s">
        <v>234</v>
      </c>
      <c r="L9" s="1215" t="s">
        <v>15</v>
      </c>
      <c r="M9" s="1215" t="s">
        <v>16</v>
      </c>
      <c r="N9" s="1215" t="s">
        <v>17</v>
      </c>
      <c r="O9" s="1206" t="s">
        <v>235</v>
      </c>
      <c r="P9" s="490" t="s">
        <v>275</v>
      </c>
    </row>
    <row r="10" spans="1:17" ht="21" x14ac:dyDescent="0.35">
      <c r="K10" s="67" t="s">
        <v>485</v>
      </c>
      <c r="L10" s="496">
        <v>55746</v>
      </c>
      <c r="M10" s="1259">
        <v>624145</v>
      </c>
      <c r="N10" s="494">
        <v>10760</v>
      </c>
      <c r="O10" s="1207">
        <f t="shared" ref="O10:O18" si="0">SUM(L10:N10)</f>
        <v>690651</v>
      </c>
      <c r="P10" s="62">
        <f>+O10/31</f>
        <v>22279.064516129034</v>
      </c>
      <c r="Q10" s="317"/>
    </row>
    <row r="11" spans="1:17" ht="21" x14ac:dyDescent="0.35">
      <c r="K11" s="67" t="s">
        <v>486</v>
      </c>
      <c r="L11" s="496">
        <f>+ventes!B42</f>
        <v>4144</v>
      </c>
      <c r="M11" s="495">
        <f>+ventes!C42</f>
        <v>36708</v>
      </c>
      <c r="N11" s="494">
        <f>+ventes!D42</f>
        <v>0</v>
      </c>
      <c r="O11" s="1207">
        <f>SUM(L11:N11)</f>
        <v>40852</v>
      </c>
      <c r="P11" s="62">
        <f>+O11/28</f>
        <v>1459</v>
      </c>
    </row>
    <row r="12" spans="1:17" ht="21" x14ac:dyDescent="0.35">
      <c r="F12" s="317"/>
      <c r="K12" s="67" t="s">
        <v>487</v>
      </c>
      <c r="L12" s="496"/>
      <c r="M12" s="495"/>
      <c r="N12" s="494"/>
      <c r="O12" s="1207">
        <f t="shared" si="0"/>
        <v>0</v>
      </c>
      <c r="P12" s="62">
        <f>+O12/31</f>
        <v>0</v>
      </c>
    </row>
    <row r="13" spans="1:17" ht="21" x14ac:dyDescent="0.35">
      <c r="F13" s="317"/>
      <c r="K13" s="67" t="s">
        <v>236</v>
      </c>
      <c r="L13" s="496"/>
      <c r="M13" s="495"/>
      <c r="N13" s="494"/>
      <c r="O13" s="1207">
        <f t="shared" si="0"/>
        <v>0</v>
      </c>
      <c r="P13" s="62">
        <f>+O13/30</f>
        <v>0</v>
      </c>
    </row>
    <row r="14" spans="1:17" ht="21" x14ac:dyDescent="0.35">
      <c r="F14" s="317"/>
      <c r="K14" s="67" t="s">
        <v>187</v>
      </c>
      <c r="L14" s="496">
        <f>ventes!B42</f>
        <v>4144</v>
      </c>
      <c r="M14" s="495">
        <f>ventes!C42</f>
        <v>36708</v>
      </c>
      <c r="N14" s="494">
        <f>ventes!D42</f>
        <v>0</v>
      </c>
      <c r="O14" s="1207">
        <f t="shared" si="0"/>
        <v>40852</v>
      </c>
      <c r="P14" s="62">
        <f>+O14/31</f>
        <v>1317.8064516129032</v>
      </c>
    </row>
    <row r="15" spans="1:17" ht="21" x14ac:dyDescent="0.35">
      <c r="F15" s="317"/>
      <c r="K15" s="67" t="s">
        <v>237</v>
      </c>
      <c r="L15" s="496"/>
      <c r="M15" s="495"/>
      <c r="N15" s="494"/>
      <c r="O15" s="1207">
        <f t="shared" si="0"/>
        <v>0</v>
      </c>
      <c r="P15" s="62">
        <f>+O15/30</f>
        <v>0</v>
      </c>
    </row>
    <row r="16" spans="1:17" ht="21" x14ac:dyDescent="0.35">
      <c r="F16" s="317"/>
      <c r="K16" s="67" t="s">
        <v>238</v>
      </c>
      <c r="L16" s="496"/>
      <c r="M16" s="495"/>
      <c r="N16" s="494"/>
      <c r="O16" s="1207">
        <f t="shared" si="0"/>
        <v>0</v>
      </c>
      <c r="P16" s="62">
        <f>+O16/31</f>
        <v>0</v>
      </c>
    </row>
    <row r="17" spans="1:17" ht="21" x14ac:dyDescent="0.35">
      <c r="K17" s="67" t="s">
        <v>488</v>
      </c>
      <c r="L17" s="496"/>
      <c r="M17" s="495"/>
      <c r="N17" s="494"/>
      <c r="O17" s="1207">
        <f t="shared" si="0"/>
        <v>0</v>
      </c>
      <c r="P17" s="62">
        <f>+O17/31</f>
        <v>0</v>
      </c>
      <c r="Q17" s="307"/>
    </row>
    <row r="18" spans="1:17" ht="21" x14ac:dyDescent="0.35">
      <c r="K18" s="67" t="s">
        <v>239</v>
      </c>
      <c r="L18" s="496"/>
      <c r="M18" s="495"/>
      <c r="N18" s="494"/>
      <c r="O18" s="1207">
        <f t="shared" si="0"/>
        <v>0</v>
      </c>
      <c r="P18" s="62">
        <f>+O18/30</f>
        <v>0</v>
      </c>
    </row>
    <row r="19" spans="1:17" ht="21" x14ac:dyDescent="0.35">
      <c r="K19" s="67" t="s">
        <v>243</v>
      </c>
      <c r="L19" s="1096"/>
      <c r="M19" s="1097"/>
      <c r="N19" s="1098"/>
      <c r="O19" s="1207">
        <f>SUM(L19:N19)</f>
        <v>0</v>
      </c>
      <c r="P19" s="62">
        <f>+O19/31</f>
        <v>0</v>
      </c>
    </row>
    <row r="20" spans="1:17" ht="21" x14ac:dyDescent="0.35">
      <c r="K20" s="67" t="s">
        <v>272</v>
      </c>
      <c r="L20" s="496"/>
      <c r="M20" s="495"/>
      <c r="N20" s="494"/>
      <c r="O20" s="1207">
        <f>SUM(L20:N20)</f>
        <v>0</v>
      </c>
      <c r="P20" s="62">
        <f>+O20/30</f>
        <v>0</v>
      </c>
    </row>
    <row r="21" spans="1:17" ht="21.75" thickBot="1" x14ac:dyDescent="0.4">
      <c r="K21" s="404" t="s">
        <v>273</v>
      </c>
      <c r="L21" s="1024"/>
      <c r="M21" s="1259"/>
      <c r="N21" s="1192"/>
      <c r="O21" s="1207">
        <f>SUM(L21:N21)</f>
        <v>0</v>
      </c>
      <c r="P21" s="62">
        <f>+O21/31</f>
        <v>0</v>
      </c>
    </row>
    <row r="22" spans="1:17" ht="21.75" thickBot="1" x14ac:dyDescent="0.4">
      <c r="K22" s="695" t="s">
        <v>18</v>
      </c>
      <c r="L22" s="1025">
        <f>SUM(L10:L21)</f>
        <v>64034</v>
      </c>
      <c r="M22" s="1026">
        <f>SUM(M10:M21)</f>
        <v>697561</v>
      </c>
      <c r="N22" s="1027">
        <f>SUM(N10:N21)</f>
        <v>10760</v>
      </c>
      <c r="O22" s="1208">
        <f>SUM(O10:O21)</f>
        <v>772355</v>
      </c>
      <c r="P22" s="68">
        <f>SUM(P10:P21)</f>
        <v>25055.870967741936</v>
      </c>
    </row>
    <row r="23" spans="1:17" ht="21.75" thickBot="1" x14ac:dyDescent="0.4">
      <c r="K23" s="1324" t="s">
        <v>699</v>
      </c>
      <c r="L23" s="1325">
        <v>60.07</v>
      </c>
      <c r="M23" s="1326">
        <v>46.47</v>
      </c>
      <c r="N23" s="1327">
        <v>36.450000000000003</v>
      </c>
      <c r="O23" s="1208"/>
      <c r="P23" s="1328"/>
    </row>
    <row r="24" spans="1:17" ht="21.75" thickBot="1" x14ac:dyDescent="0.4">
      <c r="K24" s="1324" t="s">
        <v>700</v>
      </c>
      <c r="L24" s="1325">
        <f>+L22*L23</f>
        <v>3846522.38</v>
      </c>
      <c r="M24" s="1326">
        <f>+M22*M23</f>
        <v>32415659.669999998</v>
      </c>
      <c r="N24" s="1327">
        <f>+N22*N23</f>
        <v>392202.00000000006</v>
      </c>
      <c r="O24" s="1208">
        <f>SUM(L24:N24)</f>
        <v>36654384.049999997</v>
      </c>
      <c r="P24" s="1328"/>
    </row>
    <row r="25" spans="1:17" ht="21.75" thickBot="1" x14ac:dyDescent="0.4">
      <c r="K25" s="961" t="s">
        <v>14</v>
      </c>
      <c r="L25" s="962">
        <f>SUM(L10:L15)*569+((SUM(L16:L21)*650))</f>
        <v>36435346</v>
      </c>
      <c r="M25" s="962">
        <f>SUM(M10:M15)*520+SUM(M16:M21)*600</f>
        <v>362731720</v>
      </c>
      <c r="N25" s="962">
        <f>SUM(N10:N15)*350+SUM(N16:N21)*350</f>
        <v>3766000</v>
      </c>
      <c r="O25" s="1209">
        <f>SUM(L25:N25)</f>
        <v>402933066</v>
      </c>
      <c r="P25" s="963"/>
    </row>
    <row r="26" spans="1:17" ht="29.25" thickBot="1" x14ac:dyDescent="0.4">
      <c r="K26" s="1212" t="s">
        <v>274</v>
      </c>
      <c r="L26" s="960">
        <f>L22/((12-COUNTBLANK(L10:L21)))</f>
        <v>21344.666666666668</v>
      </c>
      <c r="M26" s="960">
        <f>M22/((12-COUNTBLANK(M10:M21)))</f>
        <v>232520.33333333334</v>
      </c>
      <c r="N26" s="960">
        <f>N22/((12-COUNTBLANK(N10:N21)))</f>
        <v>3586.6666666666665</v>
      </c>
      <c r="O26" s="1210">
        <f>O22/((12-COUNTBLANK(O10:O21)))</f>
        <v>64362.916666666664</v>
      </c>
      <c r="P26" s="1211">
        <f>P22/(12-COUNTBLANK(P10:P21))</f>
        <v>2087.989247311828</v>
      </c>
    </row>
    <row r="27" spans="1:17" x14ac:dyDescent="0.2">
      <c r="O27" s="281"/>
    </row>
    <row r="28" spans="1:17" x14ac:dyDescent="0.2">
      <c r="L28" s="686"/>
    </row>
    <row r="29" spans="1:17" x14ac:dyDescent="0.2">
      <c r="O29" s="281"/>
    </row>
    <row r="30" spans="1:17" hidden="1" x14ac:dyDescent="0.2">
      <c r="A30" s="413" t="s">
        <v>247</v>
      </c>
      <c r="O30" s="281"/>
    </row>
    <row r="31" spans="1:17" hidden="1" x14ac:dyDescent="0.2"/>
    <row r="32" spans="1:17" ht="15.75" hidden="1" x14ac:dyDescent="0.25">
      <c r="A32" s="60" t="s">
        <v>0</v>
      </c>
      <c r="B32" s="39" t="s">
        <v>342</v>
      </c>
    </row>
    <row r="33" spans="1:6" hidden="1" x14ac:dyDescent="0.2"/>
    <row r="34" spans="1:6" hidden="1" x14ac:dyDescent="0.2"/>
    <row r="35" spans="1:6" hidden="1" x14ac:dyDescent="0.2"/>
    <row r="36" spans="1:6" ht="15.75" hidden="1" x14ac:dyDescent="0.25">
      <c r="A36" s="60" t="s">
        <v>2</v>
      </c>
      <c r="B36" s="39" t="s">
        <v>248</v>
      </c>
    </row>
    <row r="37" spans="1:6" hidden="1" x14ac:dyDescent="0.2"/>
    <row r="38" spans="1:6" hidden="1" x14ac:dyDescent="0.2"/>
    <row r="39" spans="1:6" hidden="1" x14ac:dyDescent="0.2"/>
    <row r="40" spans="1:6" hidden="1" x14ac:dyDescent="0.2"/>
    <row r="41" spans="1:6" ht="15.75" hidden="1" x14ac:dyDescent="0.25">
      <c r="A41" s="60" t="s">
        <v>147</v>
      </c>
      <c r="B41" s="39" t="s">
        <v>249</v>
      </c>
    </row>
    <row r="42" spans="1:6" hidden="1" x14ac:dyDescent="0.2"/>
    <row r="44" spans="1:6" x14ac:dyDescent="0.2">
      <c r="F44" s="39" t="s">
        <v>62</v>
      </c>
    </row>
  </sheetData>
  <printOptions horizontalCentered="1"/>
  <pageMargins left="0.39370078740157483" right="0.39370078740157483" top="0.74803149606299213" bottom="0.74803149606299213" header="0.31496062992125984" footer="0.31496062992125984"/>
  <pageSetup paperSize="9" scale="10" orientation="landscape" r:id="rId1"/>
  <drawing r:id="rId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7">
    <pageSetUpPr fitToPage="1"/>
  </sheetPr>
  <dimension ref="A1:E42"/>
  <sheetViews>
    <sheetView workbookViewId="0">
      <selection activeCell="J18" sqref="J18"/>
    </sheetView>
  </sheetViews>
  <sheetFormatPr baseColWidth="10" defaultRowHeight="24.95" customHeight="1" x14ac:dyDescent="0.2"/>
  <cols>
    <col min="1" max="1" width="6.42578125" customWidth="1"/>
    <col min="2" max="2" width="34.140625" customWidth="1"/>
    <col min="3" max="3" width="20.7109375" customWidth="1"/>
    <col min="4" max="4" width="17.5703125" customWidth="1"/>
    <col min="5" max="5" width="17.85546875" customWidth="1"/>
  </cols>
  <sheetData>
    <row r="1" spans="1:5" ht="24.95" customHeight="1" x14ac:dyDescent="0.2">
      <c r="A1" s="1043" t="s">
        <v>964</v>
      </c>
      <c r="B1" s="233"/>
      <c r="C1" s="2119"/>
      <c r="D1" s="2120"/>
      <c r="E1" s="233"/>
    </row>
    <row r="2" spans="1:5" ht="24.95" customHeight="1" x14ac:dyDescent="0.2">
      <c r="A2" s="1043" t="s">
        <v>212</v>
      </c>
      <c r="B2" s="1043"/>
      <c r="C2" s="233"/>
      <c r="D2" s="233"/>
      <c r="E2" s="233"/>
    </row>
    <row r="3" spans="1:5" ht="95.25" customHeight="1" x14ac:dyDescent="0.2">
      <c r="A3" s="3203" t="s">
        <v>1148</v>
      </c>
      <c r="B3" s="3203"/>
      <c r="C3" s="3203"/>
      <c r="D3" s="3203"/>
      <c r="E3" s="233"/>
    </row>
    <row r="4" spans="1:5" ht="24.95" customHeight="1" x14ac:dyDescent="0.2">
      <c r="A4" s="724" t="s">
        <v>184</v>
      </c>
      <c r="B4" s="724" t="s">
        <v>139</v>
      </c>
      <c r="C4" s="724" t="s">
        <v>469</v>
      </c>
      <c r="D4" s="724" t="s">
        <v>1121</v>
      </c>
      <c r="E4" s="2117" t="s">
        <v>1120</v>
      </c>
    </row>
    <row r="5" spans="1:5" ht="24.95" customHeight="1" x14ac:dyDescent="0.2">
      <c r="A5" s="2117">
        <v>1</v>
      </c>
      <c r="B5" s="2117" t="s">
        <v>1122</v>
      </c>
      <c r="C5" s="2117" t="s">
        <v>630</v>
      </c>
      <c r="D5" s="2117"/>
      <c r="E5" s="2121">
        <v>677760075</v>
      </c>
    </row>
    <row r="6" spans="1:5" ht="24.95" customHeight="1" x14ac:dyDescent="0.2">
      <c r="A6" s="2117">
        <v>2</v>
      </c>
      <c r="B6" s="2117" t="s">
        <v>1123</v>
      </c>
      <c r="C6" s="2117" t="s">
        <v>1144</v>
      </c>
      <c r="D6" s="2121">
        <v>699001702</v>
      </c>
      <c r="E6" s="2117"/>
    </row>
    <row r="7" spans="1:5" ht="24.95" customHeight="1" x14ac:dyDescent="0.2">
      <c r="A7" s="2117">
        <v>3</v>
      </c>
      <c r="B7" s="2117" t="s">
        <v>1124</v>
      </c>
      <c r="C7" s="2117" t="s">
        <v>1119</v>
      </c>
      <c r="D7" s="2121">
        <v>699292445</v>
      </c>
      <c r="E7" s="2117"/>
    </row>
    <row r="8" spans="1:5" ht="24.95" customHeight="1" x14ac:dyDescent="0.2">
      <c r="A8" s="2117">
        <v>4</v>
      </c>
      <c r="B8" s="2117" t="s">
        <v>1125</v>
      </c>
      <c r="C8" s="2117" t="s">
        <v>1119</v>
      </c>
      <c r="D8" s="2121">
        <v>697236036</v>
      </c>
      <c r="E8" s="2117"/>
    </row>
    <row r="9" spans="1:5" ht="24.95" customHeight="1" x14ac:dyDescent="0.2">
      <c r="A9" s="2117">
        <v>5</v>
      </c>
      <c r="B9" s="2117" t="s">
        <v>1126</v>
      </c>
      <c r="C9" s="2117" t="s">
        <v>1145</v>
      </c>
      <c r="D9" s="2117"/>
      <c r="E9" s="2121">
        <v>677724257</v>
      </c>
    </row>
    <row r="10" spans="1:5" ht="24.95" customHeight="1" x14ac:dyDescent="0.2">
      <c r="A10" s="2117">
        <v>6</v>
      </c>
      <c r="B10" s="2117" t="s">
        <v>1127</v>
      </c>
      <c r="C10" s="2117" t="s">
        <v>630</v>
      </c>
      <c r="D10" s="2121">
        <v>699627270</v>
      </c>
      <c r="E10" s="2117"/>
    </row>
    <row r="11" spans="1:5" ht="24.95" customHeight="1" x14ac:dyDescent="0.2">
      <c r="A11" s="2117">
        <v>7</v>
      </c>
      <c r="B11" s="2117" t="s">
        <v>1050</v>
      </c>
      <c r="C11" s="2117" t="s">
        <v>1119</v>
      </c>
      <c r="D11" s="2121">
        <v>696886696</v>
      </c>
      <c r="E11" s="2117"/>
    </row>
    <row r="12" spans="1:5" ht="24.95" customHeight="1" x14ac:dyDescent="0.2">
      <c r="A12" s="2117">
        <v>8</v>
      </c>
      <c r="B12" s="2117" t="s">
        <v>1128</v>
      </c>
      <c r="C12" s="2117" t="s">
        <v>1119</v>
      </c>
      <c r="D12" s="2121">
        <v>695034418</v>
      </c>
      <c r="E12" s="2117"/>
    </row>
    <row r="13" spans="1:5" ht="24.95" customHeight="1" x14ac:dyDescent="0.2">
      <c r="A13" s="2117">
        <v>9</v>
      </c>
      <c r="B13" s="2117" t="s">
        <v>1129</v>
      </c>
      <c r="C13" s="2117" t="s">
        <v>1119</v>
      </c>
      <c r="D13" s="2121">
        <v>694631928</v>
      </c>
      <c r="E13" s="2121">
        <v>671891002</v>
      </c>
    </row>
    <row r="14" spans="1:5" ht="24.95" customHeight="1" x14ac:dyDescent="0.2">
      <c r="A14" s="2117">
        <v>10</v>
      </c>
      <c r="B14" s="2117" t="s">
        <v>1130</v>
      </c>
      <c r="C14" s="2117" t="s">
        <v>1119</v>
      </c>
      <c r="D14" s="2121">
        <v>696571752</v>
      </c>
      <c r="E14" s="2117"/>
    </row>
    <row r="15" spans="1:5" ht="24.95" customHeight="1" x14ac:dyDescent="0.2">
      <c r="A15" s="2117">
        <v>11</v>
      </c>
      <c r="B15" s="2117" t="s">
        <v>950</v>
      </c>
      <c r="C15" s="2117" t="s">
        <v>1119</v>
      </c>
      <c r="D15" s="2121">
        <v>695614497</v>
      </c>
      <c r="E15" s="2117"/>
    </row>
    <row r="16" spans="1:5" ht="24.95" customHeight="1" x14ac:dyDescent="0.2">
      <c r="A16" s="2117">
        <v>12</v>
      </c>
      <c r="B16" s="2117" t="s">
        <v>1131</v>
      </c>
      <c r="C16" s="2117" t="s">
        <v>1119</v>
      </c>
      <c r="D16" s="2121">
        <v>694659305</v>
      </c>
      <c r="E16" s="2121">
        <v>673755481</v>
      </c>
    </row>
    <row r="17" spans="1:5" ht="24.95" customHeight="1" x14ac:dyDescent="0.2">
      <c r="A17" s="2117">
        <v>13</v>
      </c>
      <c r="B17" s="2117" t="s">
        <v>1132</v>
      </c>
      <c r="C17" s="2117" t="s">
        <v>264</v>
      </c>
      <c r="D17" s="2121">
        <v>699973794</v>
      </c>
      <c r="E17" s="2121">
        <v>670694671</v>
      </c>
    </row>
    <row r="18" spans="1:5" ht="24.95" customHeight="1" x14ac:dyDescent="0.2">
      <c r="A18" s="2117">
        <v>14</v>
      </c>
      <c r="B18" s="2117" t="s">
        <v>1133</v>
      </c>
      <c r="C18" s="2117" t="s">
        <v>1146</v>
      </c>
      <c r="D18" s="2121">
        <v>656822969</v>
      </c>
      <c r="E18" s="2117"/>
    </row>
    <row r="19" spans="1:5" ht="24.95" customHeight="1" x14ac:dyDescent="0.2">
      <c r="A19" s="2117">
        <v>15</v>
      </c>
      <c r="B19" s="2117" t="s">
        <v>1134</v>
      </c>
      <c r="C19" s="2117" t="s">
        <v>1119</v>
      </c>
      <c r="D19" s="2121">
        <v>699706388</v>
      </c>
      <c r="E19" s="2117"/>
    </row>
    <row r="20" spans="1:5" ht="24.95" customHeight="1" x14ac:dyDescent="0.2">
      <c r="A20" s="2117">
        <v>16</v>
      </c>
      <c r="B20" s="2117" t="s">
        <v>1053</v>
      </c>
      <c r="C20" s="2117" t="s">
        <v>1119</v>
      </c>
      <c r="D20" s="2121"/>
      <c r="E20" s="2121">
        <v>673997578</v>
      </c>
    </row>
    <row r="21" spans="1:5" ht="24.95" customHeight="1" x14ac:dyDescent="0.2">
      <c r="A21" s="2117">
        <v>17</v>
      </c>
      <c r="B21" s="2117" t="s">
        <v>1135</v>
      </c>
      <c r="C21" s="2117" t="s">
        <v>630</v>
      </c>
      <c r="D21" s="2117"/>
      <c r="E21" s="2121">
        <v>678356835</v>
      </c>
    </row>
    <row r="22" spans="1:5" ht="24.95" customHeight="1" x14ac:dyDescent="0.2">
      <c r="A22" s="2117">
        <v>18</v>
      </c>
      <c r="B22" s="2117" t="s">
        <v>1136</v>
      </c>
      <c r="C22" s="2117" t="s">
        <v>1147</v>
      </c>
      <c r="D22" s="2117"/>
      <c r="E22" s="2121">
        <v>676363972</v>
      </c>
    </row>
    <row r="23" spans="1:5" ht="24.95" customHeight="1" x14ac:dyDescent="0.2">
      <c r="A23" s="2117">
        <v>19</v>
      </c>
      <c r="B23" s="2117" t="s">
        <v>1137</v>
      </c>
      <c r="C23" s="2117" t="s">
        <v>1147</v>
      </c>
      <c r="D23" s="2121">
        <v>690407050</v>
      </c>
      <c r="E23" s="2121">
        <v>653329001</v>
      </c>
    </row>
    <row r="24" spans="1:5" ht="24.95" customHeight="1" x14ac:dyDescent="0.2">
      <c r="A24" s="2117">
        <v>20</v>
      </c>
      <c r="B24" s="2117" t="s">
        <v>1138</v>
      </c>
      <c r="C24" s="2117" t="s">
        <v>1147</v>
      </c>
      <c r="D24" s="2121">
        <v>682828090</v>
      </c>
      <c r="E24" s="2117"/>
    </row>
    <row r="25" spans="1:5" ht="24.95" customHeight="1" x14ac:dyDescent="0.2">
      <c r="A25" s="2117">
        <v>21</v>
      </c>
      <c r="B25" s="2117" t="s">
        <v>1139</v>
      </c>
      <c r="C25" s="2117" t="s">
        <v>1147</v>
      </c>
      <c r="D25" s="2121">
        <v>697248680</v>
      </c>
      <c r="E25" s="2117"/>
    </row>
    <row r="26" spans="1:5" ht="24.95" customHeight="1" x14ac:dyDescent="0.2">
      <c r="A26" s="2117">
        <v>22</v>
      </c>
      <c r="B26" s="2117" t="s">
        <v>1140</v>
      </c>
      <c r="C26" s="2117" t="s">
        <v>1147</v>
      </c>
      <c r="D26" s="2117"/>
      <c r="E26" s="2121">
        <v>677659173</v>
      </c>
    </row>
    <row r="27" spans="1:5" ht="24.95" customHeight="1" x14ac:dyDescent="0.2">
      <c r="A27" s="2117">
        <v>23</v>
      </c>
      <c r="B27" s="2117" t="s">
        <v>1141</v>
      </c>
      <c r="C27" s="2117" t="s">
        <v>1147</v>
      </c>
      <c r="D27" s="2121">
        <v>651308317</v>
      </c>
      <c r="E27" s="2117"/>
    </row>
    <row r="28" spans="1:5" ht="24.95" customHeight="1" x14ac:dyDescent="0.2">
      <c r="A28" s="2117">
        <v>24</v>
      </c>
      <c r="B28" s="2117" t="s">
        <v>1142</v>
      </c>
      <c r="C28" s="2117" t="s">
        <v>1147</v>
      </c>
      <c r="D28" s="2121">
        <v>695232552</v>
      </c>
      <c r="E28" s="2117"/>
    </row>
    <row r="29" spans="1:5" ht="24.95" customHeight="1" x14ac:dyDescent="0.2">
      <c r="A29" s="2117">
        <v>24</v>
      </c>
      <c r="B29" s="2117" t="s">
        <v>1143</v>
      </c>
      <c r="C29" s="2117" t="s">
        <v>953</v>
      </c>
      <c r="D29" s="2121">
        <v>699254433</v>
      </c>
      <c r="E29" s="2117"/>
    </row>
    <row r="30" spans="1:5" ht="24.95" hidden="1" customHeight="1" x14ac:dyDescent="0.4">
      <c r="A30" s="2118"/>
      <c r="B30" s="2118"/>
      <c r="C30" s="2118"/>
      <c r="D30" s="2118"/>
      <c r="E30" s="2118"/>
    </row>
    <row r="31" spans="1:5" ht="24.95" hidden="1" customHeight="1" x14ac:dyDescent="0.4">
      <c r="A31" s="2118"/>
      <c r="B31" s="2118"/>
      <c r="C31" s="2118"/>
      <c r="D31" s="2118"/>
      <c r="E31" s="2118"/>
    </row>
    <row r="32" spans="1:5" ht="24.95" hidden="1" customHeight="1" x14ac:dyDescent="0.4">
      <c r="A32" s="2118"/>
      <c r="B32" s="2118"/>
      <c r="C32" s="2118"/>
      <c r="D32" s="2118"/>
      <c r="E32" s="2118"/>
    </row>
    <row r="33" spans="1:5" ht="24.95" hidden="1" customHeight="1" x14ac:dyDescent="0.4">
      <c r="A33" s="2118"/>
      <c r="B33" s="2118"/>
      <c r="C33" s="2118"/>
      <c r="D33" s="2118"/>
      <c r="E33" s="2118"/>
    </row>
    <row r="34" spans="1:5" ht="24.95" customHeight="1" x14ac:dyDescent="0.4">
      <c r="A34" s="1201"/>
      <c r="B34" s="1201"/>
      <c r="C34" s="1201"/>
      <c r="D34" s="1201"/>
      <c r="E34" s="1201"/>
    </row>
    <row r="35" spans="1:5" ht="24.95" customHeight="1" x14ac:dyDescent="0.4">
      <c r="A35" s="1201"/>
      <c r="B35" s="1201"/>
      <c r="C35" s="1201"/>
      <c r="D35" s="1201"/>
      <c r="E35" s="1201"/>
    </row>
    <row r="36" spans="1:5" ht="24.95" customHeight="1" x14ac:dyDescent="0.3">
      <c r="A36" s="1180"/>
      <c r="B36" s="1180"/>
      <c r="C36" s="1180"/>
      <c r="D36" s="1180"/>
      <c r="E36" s="1180"/>
    </row>
    <row r="37" spans="1:5" ht="24.95" customHeight="1" x14ac:dyDescent="0.3">
      <c r="A37" s="1180"/>
      <c r="B37" s="1180"/>
      <c r="C37" s="1180"/>
      <c r="D37" s="1180"/>
      <c r="E37" s="1180"/>
    </row>
    <row r="38" spans="1:5" ht="24.95" customHeight="1" x14ac:dyDescent="0.3">
      <c r="A38" s="1180"/>
      <c r="B38" s="1180"/>
      <c r="C38" s="1180"/>
      <c r="D38" s="1180"/>
      <c r="E38" s="1180"/>
    </row>
    <row r="39" spans="1:5" ht="24.95" customHeight="1" x14ac:dyDescent="0.25">
      <c r="A39" s="74"/>
      <c r="B39" s="74"/>
      <c r="C39" s="74"/>
      <c r="D39" s="74"/>
      <c r="E39" s="74"/>
    </row>
    <row r="40" spans="1:5" ht="24.95" customHeight="1" x14ac:dyDescent="0.25">
      <c r="A40" s="74"/>
      <c r="B40" s="74"/>
      <c r="C40" s="74"/>
      <c r="D40" s="74"/>
      <c r="E40" s="74"/>
    </row>
    <row r="41" spans="1:5" ht="24.95" customHeight="1" x14ac:dyDescent="0.25">
      <c r="A41" s="74"/>
      <c r="B41" s="74"/>
      <c r="C41" s="74"/>
      <c r="D41" s="74"/>
      <c r="E41" s="74"/>
    </row>
    <row r="42" spans="1:5" ht="24.95" customHeight="1" x14ac:dyDescent="0.25">
      <c r="A42" s="74"/>
      <c r="B42" s="74"/>
      <c r="C42" s="74"/>
      <c r="D42" s="74"/>
      <c r="E42" s="74"/>
    </row>
  </sheetData>
  <mergeCells count="1">
    <mergeCell ref="A3:D3"/>
  </mergeCells>
  <pageMargins left="1.1023622047244095" right="1.1811023622047245" top="0.74803149606299213" bottom="0.74803149606299213" header="0.31496062992125984" footer="0.31496062992125984"/>
  <pageSetup paperSize="9" scale="80"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9"/>
  <dimension ref="A8:I45"/>
  <sheetViews>
    <sheetView topLeftCell="A7" workbookViewId="0">
      <selection activeCell="J18" sqref="J18"/>
    </sheetView>
  </sheetViews>
  <sheetFormatPr baseColWidth="10" defaultRowHeight="12.75" x14ac:dyDescent="0.2"/>
  <cols>
    <col min="1" max="2" width="20.7109375" customWidth="1"/>
    <col min="3" max="3" width="23.5703125" customWidth="1"/>
    <col min="4" max="9" width="20.7109375" customWidth="1"/>
  </cols>
  <sheetData>
    <row r="8" spans="1:9" ht="30" customHeight="1" x14ac:dyDescent="0.25">
      <c r="A8" s="1092" t="s">
        <v>170</v>
      </c>
      <c r="B8" s="69"/>
      <c r="C8" s="1092"/>
      <c r="D8" s="1091"/>
      <c r="E8" s="1091"/>
      <c r="F8" s="1091"/>
      <c r="G8" s="1091"/>
      <c r="H8" s="69"/>
      <c r="I8" s="69"/>
    </row>
    <row r="9" spans="1:9" ht="30" customHeight="1" x14ac:dyDescent="0.25">
      <c r="A9" s="1092" t="s">
        <v>212</v>
      </c>
      <c r="B9" s="69"/>
      <c r="C9" s="1092"/>
      <c r="D9" s="1091"/>
      <c r="E9" s="1091"/>
      <c r="F9" s="1091"/>
      <c r="G9" s="1091"/>
      <c r="H9" s="69"/>
      <c r="I9" s="69"/>
    </row>
    <row r="10" spans="1:9" ht="30" customHeight="1" x14ac:dyDescent="0.2">
      <c r="G10" s="1300"/>
    </row>
    <row r="11" spans="1:9" ht="30" customHeight="1" x14ac:dyDescent="0.2">
      <c r="B11" s="3205" t="s">
        <v>464</v>
      </c>
      <c r="C11" s="3205"/>
      <c r="D11" s="3205"/>
      <c r="E11" s="3205"/>
      <c r="F11" s="3205"/>
      <c r="G11" s="3205"/>
    </row>
    <row r="12" spans="1:9" ht="30" customHeight="1" x14ac:dyDescent="0.2"/>
    <row r="13" spans="1:9" ht="30" customHeight="1" x14ac:dyDescent="0.25">
      <c r="A13" s="69" t="s">
        <v>19</v>
      </c>
      <c r="B13" s="1304" t="s">
        <v>485</v>
      </c>
      <c r="C13" s="69"/>
      <c r="D13" s="69"/>
      <c r="E13" s="69"/>
      <c r="F13" s="69"/>
      <c r="G13" s="69"/>
      <c r="H13" s="69"/>
      <c r="I13" s="69"/>
    </row>
    <row r="14" spans="1:9" ht="30" customHeight="1" x14ac:dyDescent="0.35">
      <c r="A14" s="3206" t="s">
        <v>462</v>
      </c>
      <c r="B14" s="3206"/>
      <c r="C14" s="3206" t="s">
        <v>461</v>
      </c>
      <c r="D14" s="3206"/>
      <c r="E14" s="3206" t="s">
        <v>460</v>
      </c>
      <c r="F14" s="3206"/>
      <c r="G14" s="3206" t="s">
        <v>466</v>
      </c>
      <c r="H14" s="3206"/>
      <c r="I14" s="3201" t="s">
        <v>18</v>
      </c>
    </row>
    <row r="15" spans="1:9" ht="30" customHeight="1" thickBot="1" x14ac:dyDescent="0.25">
      <c r="A15" s="1301" t="s">
        <v>463</v>
      </c>
      <c r="B15" s="1301" t="s">
        <v>465</v>
      </c>
      <c r="C15" s="1301" t="s">
        <v>463</v>
      </c>
      <c r="D15" s="1301" t="s">
        <v>465</v>
      </c>
      <c r="E15" s="1301" t="s">
        <v>463</v>
      </c>
      <c r="F15" s="1301" t="s">
        <v>465</v>
      </c>
      <c r="G15" s="1301" t="s">
        <v>463</v>
      </c>
      <c r="H15" s="1301" t="s">
        <v>465</v>
      </c>
      <c r="I15" s="3204"/>
    </row>
    <row r="16" spans="1:9" ht="30" customHeight="1" x14ac:dyDescent="0.2">
      <c r="A16" s="402" t="s">
        <v>685</v>
      </c>
      <c r="B16" s="429">
        <v>5841</v>
      </c>
      <c r="C16" s="403" t="s">
        <v>688</v>
      </c>
      <c r="D16" s="429">
        <v>-11632</v>
      </c>
      <c r="E16" s="403" t="s">
        <v>690</v>
      </c>
      <c r="F16" s="429">
        <v>664</v>
      </c>
      <c r="G16" s="403" t="s">
        <v>693</v>
      </c>
      <c r="H16" s="920">
        <v>1765</v>
      </c>
      <c r="I16" s="429">
        <f>+B16+D16+F16+H16</f>
        <v>-3362</v>
      </c>
    </row>
    <row r="17" spans="1:9" ht="30" customHeight="1" x14ac:dyDescent="0.2">
      <c r="A17" s="67" t="s">
        <v>686</v>
      </c>
      <c r="B17" s="429">
        <v>-20642</v>
      </c>
      <c r="C17" s="319" t="s">
        <v>689</v>
      </c>
      <c r="D17" s="429">
        <v>-19807</v>
      </c>
      <c r="E17" s="319" t="s">
        <v>691</v>
      </c>
      <c r="F17" s="429">
        <v>-628</v>
      </c>
      <c r="G17" s="319" t="s">
        <v>694</v>
      </c>
      <c r="H17" s="920">
        <v>-1767</v>
      </c>
      <c r="I17" s="429">
        <f>+B17+D17+F17+H17</f>
        <v>-42844</v>
      </c>
    </row>
    <row r="18" spans="1:9" ht="30" customHeight="1" x14ac:dyDescent="0.2">
      <c r="A18" s="67" t="s">
        <v>687</v>
      </c>
      <c r="B18" s="429">
        <v>16259</v>
      </c>
      <c r="C18" s="430"/>
      <c r="D18" s="429"/>
      <c r="E18" s="319" t="s">
        <v>692</v>
      </c>
      <c r="F18" s="429">
        <v>-511</v>
      </c>
      <c r="G18" s="430"/>
      <c r="H18" s="920"/>
      <c r="I18" s="429">
        <f>+B18+D18+F18+H18</f>
        <v>15748</v>
      </c>
    </row>
    <row r="19" spans="1:9" ht="30" customHeight="1" x14ac:dyDescent="0.2">
      <c r="A19" s="455"/>
      <c r="B19" s="429"/>
      <c r="C19" s="430"/>
      <c r="D19" s="429"/>
      <c r="E19" s="430"/>
      <c r="F19" s="429"/>
      <c r="G19" s="430"/>
      <c r="H19" s="429"/>
      <c r="I19" s="921">
        <f>+B19+D19+F19+H19</f>
        <v>0</v>
      </c>
    </row>
    <row r="20" spans="1:9" ht="30" customHeight="1" thickBot="1" x14ac:dyDescent="0.3">
      <c r="A20" s="698" t="s">
        <v>695</v>
      </c>
      <c r="B20" s="947">
        <f>SUM(B16:B19)</f>
        <v>1458</v>
      </c>
      <c r="C20" s="1303"/>
      <c r="D20" s="947">
        <f>SUM(D16:D19)</f>
        <v>-31439</v>
      </c>
      <c r="E20" s="1303"/>
      <c r="F20" s="947">
        <f>SUM(F16:F19)</f>
        <v>-475</v>
      </c>
      <c r="G20" s="1303"/>
      <c r="H20" s="947">
        <f>SUM(H16:H19)</f>
        <v>-2</v>
      </c>
      <c r="I20" s="948"/>
    </row>
    <row r="26" spans="1:9" x14ac:dyDescent="0.2">
      <c r="B26" s="39"/>
    </row>
    <row r="27" spans="1:9" ht="15" x14ac:dyDescent="0.25">
      <c r="A27" s="326" t="s">
        <v>785</v>
      </c>
      <c r="B27" s="1446" t="s">
        <v>570</v>
      </c>
      <c r="C27" s="1447" t="s">
        <v>570</v>
      </c>
    </row>
    <row r="28" spans="1:9" ht="15" x14ac:dyDescent="0.25">
      <c r="A28" s="326" t="s">
        <v>786</v>
      </c>
      <c r="B28" s="1448">
        <v>-2</v>
      </c>
      <c r="C28" s="97"/>
    </row>
    <row r="29" spans="1:9" ht="15" x14ac:dyDescent="0.25">
      <c r="A29" s="326" t="s">
        <v>787</v>
      </c>
      <c r="B29" s="1448">
        <v>-2</v>
      </c>
      <c r="C29" s="97"/>
    </row>
    <row r="30" spans="1:9" ht="15" x14ac:dyDescent="0.25">
      <c r="A30" s="326" t="s">
        <v>788</v>
      </c>
      <c r="B30" s="1448" t="s">
        <v>802</v>
      </c>
      <c r="C30" s="97"/>
    </row>
    <row r="31" spans="1:9" ht="15" x14ac:dyDescent="0.25">
      <c r="A31" s="326" t="s">
        <v>789</v>
      </c>
      <c r="B31" s="1448" t="s">
        <v>803</v>
      </c>
      <c r="C31" s="97"/>
    </row>
    <row r="32" spans="1:9" ht="15" x14ac:dyDescent="0.25">
      <c r="A32" s="326" t="s">
        <v>790</v>
      </c>
      <c r="B32" s="1448" t="s">
        <v>803</v>
      </c>
      <c r="C32" s="97"/>
    </row>
    <row r="33" spans="1:6" ht="15" x14ac:dyDescent="0.25">
      <c r="A33" s="326" t="s">
        <v>791</v>
      </c>
      <c r="B33" s="1448" t="s">
        <v>804</v>
      </c>
      <c r="C33" s="97"/>
    </row>
    <row r="34" spans="1:6" ht="15" x14ac:dyDescent="0.25">
      <c r="A34" s="326" t="s">
        <v>792</v>
      </c>
      <c r="B34" s="1448" t="s">
        <v>805</v>
      </c>
      <c r="C34" s="97"/>
    </row>
    <row r="35" spans="1:6" ht="15" x14ac:dyDescent="0.25">
      <c r="A35" s="326" t="s">
        <v>793</v>
      </c>
      <c r="B35" s="1448" t="s">
        <v>806</v>
      </c>
      <c r="C35" s="97"/>
    </row>
    <row r="36" spans="1:6" ht="15" x14ac:dyDescent="0.25">
      <c r="A36" s="326" t="s">
        <v>794</v>
      </c>
      <c r="B36" s="1448" t="s">
        <v>807</v>
      </c>
      <c r="C36" s="97"/>
    </row>
    <row r="37" spans="1:6" ht="15" x14ac:dyDescent="0.25">
      <c r="A37" s="326" t="s">
        <v>795</v>
      </c>
      <c r="B37" s="1449" t="s">
        <v>808</v>
      </c>
      <c r="C37" s="97" t="s">
        <v>810</v>
      </c>
    </row>
    <row r="38" spans="1:6" ht="15" x14ac:dyDescent="0.25">
      <c r="A38" s="326" t="s">
        <v>796</v>
      </c>
      <c r="B38" s="1448" t="s">
        <v>803</v>
      </c>
      <c r="C38" s="97"/>
    </row>
    <row r="39" spans="1:6" ht="15" x14ac:dyDescent="0.25">
      <c r="A39" s="326" t="s">
        <v>797</v>
      </c>
      <c r="B39" s="1448" t="s">
        <v>807</v>
      </c>
      <c r="C39" s="97"/>
    </row>
    <row r="40" spans="1:6" ht="15" x14ac:dyDescent="0.25">
      <c r="A40" s="326" t="s">
        <v>798</v>
      </c>
      <c r="B40" s="1448" t="s">
        <v>809</v>
      </c>
      <c r="C40" s="97"/>
    </row>
    <row r="41" spans="1:6" ht="15" x14ac:dyDescent="0.25">
      <c r="A41" s="326" t="s">
        <v>799</v>
      </c>
      <c r="B41" s="1448" t="s">
        <v>804</v>
      </c>
      <c r="C41" s="97"/>
      <c r="E41">
        <f>20*11</f>
        <v>220</v>
      </c>
      <c r="F41">
        <f>+E41*600</f>
        <v>132000</v>
      </c>
    </row>
    <row r="42" spans="1:6" ht="15" x14ac:dyDescent="0.25">
      <c r="A42" s="326" t="s">
        <v>800</v>
      </c>
      <c r="B42" s="1448" t="s">
        <v>804</v>
      </c>
      <c r="C42" s="97"/>
      <c r="E42">
        <f>20*6</f>
        <v>120</v>
      </c>
      <c r="F42">
        <f>+E42*650</f>
        <v>78000</v>
      </c>
    </row>
    <row r="43" spans="1:6" ht="15" x14ac:dyDescent="0.25">
      <c r="A43" s="326" t="s">
        <v>801</v>
      </c>
      <c r="B43" s="1448" t="s">
        <v>803</v>
      </c>
      <c r="C43" s="97"/>
    </row>
    <row r="44" spans="1:6" ht="15" x14ac:dyDescent="0.25">
      <c r="A44" s="326" t="s">
        <v>17</v>
      </c>
      <c r="B44" s="1448" t="s">
        <v>807</v>
      </c>
      <c r="C44" s="97"/>
    </row>
    <row r="45" spans="1:6" x14ac:dyDescent="0.2">
      <c r="B45" s="1445"/>
      <c r="F45" s="673">
        <f>SUM(F40:F44)</f>
        <v>210000</v>
      </c>
    </row>
  </sheetData>
  <mergeCells count="6">
    <mergeCell ref="I14:I15"/>
    <mergeCell ref="B11:G11"/>
    <mergeCell ref="A14:B14"/>
    <mergeCell ref="C14:D14"/>
    <mergeCell ref="E14:F14"/>
    <mergeCell ref="G14:H14"/>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1"/>
  <dimension ref="A1:J48"/>
  <sheetViews>
    <sheetView topLeftCell="A19" workbookViewId="0">
      <selection activeCell="J18" sqref="J18"/>
    </sheetView>
  </sheetViews>
  <sheetFormatPr baseColWidth="10" defaultRowHeight="12.75" x14ac:dyDescent="0.2"/>
  <cols>
    <col min="1" max="1" width="5" customWidth="1"/>
    <col min="2" max="2" width="39.7109375" customWidth="1"/>
    <col min="3" max="3" width="16.7109375" customWidth="1"/>
    <col min="4" max="4" width="19.5703125" customWidth="1"/>
    <col min="5" max="5" width="18" customWidth="1"/>
    <col min="6" max="6" width="19.85546875" customWidth="1"/>
  </cols>
  <sheetData>
    <row r="1" spans="1:6" ht="23.25" x14ac:dyDescent="0.35">
      <c r="A1" s="1388" t="s">
        <v>214</v>
      </c>
      <c r="B1" s="1389"/>
      <c r="C1" s="1086"/>
    </row>
    <row r="2" spans="1:6" ht="21" x14ac:dyDescent="0.35">
      <c r="A2" s="52" t="s">
        <v>170</v>
      </c>
      <c r="B2" s="60"/>
    </row>
    <row r="3" spans="1:6" ht="21" x14ac:dyDescent="0.35">
      <c r="A3" s="52"/>
      <c r="B3" s="60"/>
    </row>
    <row r="4" spans="1:6" ht="21" x14ac:dyDescent="0.35">
      <c r="A4" s="52"/>
      <c r="B4" s="60"/>
    </row>
    <row r="7" spans="1:6" ht="18" x14ac:dyDescent="0.25">
      <c r="B7" s="1385" t="s">
        <v>738</v>
      </c>
      <c r="C7" s="413"/>
    </row>
    <row r="8" spans="1:6" ht="18" x14ac:dyDescent="0.25">
      <c r="B8" s="74"/>
    </row>
    <row r="9" spans="1:6" ht="18" x14ac:dyDescent="0.25">
      <c r="B9" s="74"/>
    </row>
    <row r="10" spans="1:6" ht="18.75" x14ac:dyDescent="0.3">
      <c r="B10" s="1386" t="s">
        <v>739</v>
      </c>
    </row>
    <row r="11" spans="1:6" ht="18" x14ac:dyDescent="0.25">
      <c r="B11" s="74"/>
    </row>
    <row r="12" spans="1:6" ht="18" x14ac:dyDescent="0.25">
      <c r="B12" s="74"/>
    </row>
    <row r="13" spans="1:6" ht="18" x14ac:dyDescent="0.25">
      <c r="B13" s="3207" t="s">
        <v>495</v>
      </c>
      <c r="C13" s="3207"/>
      <c r="D13" s="3207"/>
    </row>
    <row r="15" spans="1:6" ht="18.75" x14ac:dyDescent="0.3">
      <c r="A15" s="1387" t="s">
        <v>184</v>
      </c>
      <c r="B15" s="1387" t="s">
        <v>450</v>
      </c>
      <c r="C15" s="1387" t="s">
        <v>741</v>
      </c>
      <c r="D15" s="1387" t="s">
        <v>742</v>
      </c>
      <c r="E15" s="1387" t="s">
        <v>743</v>
      </c>
      <c r="F15" s="38"/>
    </row>
    <row r="16" spans="1:6" ht="24.95" customHeight="1" x14ac:dyDescent="0.25">
      <c r="A16" s="1164">
        <v>1</v>
      </c>
      <c r="B16" s="1384" t="s">
        <v>744</v>
      </c>
      <c r="C16" s="1164">
        <v>16</v>
      </c>
      <c r="D16" s="1164">
        <v>30</v>
      </c>
      <c r="E16" s="1164">
        <v>14</v>
      </c>
      <c r="F16" s="38"/>
    </row>
    <row r="17" spans="1:6" ht="24.95" customHeight="1" x14ac:dyDescent="0.25">
      <c r="A17" s="1164">
        <f>+A16+1</f>
        <v>2</v>
      </c>
      <c r="B17" s="1384" t="s">
        <v>333</v>
      </c>
      <c r="C17" s="1164">
        <v>16</v>
      </c>
      <c r="D17" s="1164">
        <v>30</v>
      </c>
      <c r="E17" s="1164">
        <v>14</v>
      </c>
      <c r="F17" s="38"/>
    </row>
    <row r="18" spans="1:6" ht="24.95" customHeight="1" x14ac:dyDescent="0.25">
      <c r="A18" s="1164">
        <f>+A17+1</f>
        <v>3</v>
      </c>
      <c r="B18" s="1384" t="s">
        <v>745</v>
      </c>
      <c r="C18" s="1164">
        <v>16</v>
      </c>
      <c r="D18" s="1164">
        <v>30</v>
      </c>
      <c r="E18" s="1164">
        <v>14</v>
      </c>
      <c r="F18" s="38"/>
    </row>
    <row r="19" spans="1:6" ht="24.95" customHeight="1" x14ac:dyDescent="0.25">
      <c r="A19" s="1164">
        <f>+A18+1</f>
        <v>4</v>
      </c>
      <c r="B19" s="1384" t="s">
        <v>746</v>
      </c>
      <c r="C19" s="1164">
        <v>16</v>
      </c>
      <c r="D19" s="1164">
        <v>30</v>
      </c>
      <c r="E19" s="1164">
        <v>14</v>
      </c>
      <c r="F19" s="38"/>
    </row>
    <row r="20" spans="1:6" ht="24.95" customHeight="1" x14ac:dyDescent="0.25">
      <c r="A20" s="1164">
        <f>+A19+1</f>
        <v>5</v>
      </c>
      <c r="B20" s="1384" t="s">
        <v>462</v>
      </c>
      <c r="C20" s="1164">
        <v>17</v>
      </c>
      <c r="D20" s="1164">
        <v>31</v>
      </c>
      <c r="E20" s="1164">
        <v>14</v>
      </c>
      <c r="F20" s="38"/>
    </row>
    <row r="21" spans="1:6" ht="24.95" customHeight="1" x14ac:dyDescent="0.25">
      <c r="A21" s="1164">
        <f>+A20+1</f>
        <v>6</v>
      </c>
      <c r="B21" s="1384" t="s">
        <v>466</v>
      </c>
      <c r="C21" s="1164">
        <v>17</v>
      </c>
      <c r="D21" s="1164">
        <v>31</v>
      </c>
      <c r="E21" s="1164">
        <v>14</v>
      </c>
      <c r="F21" s="38"/>
    </row>
    <row r="24" spans="1:6" ht="18.75" x14ac:dyDescent="0.3">
      <c r="A24" s="1387" t="s">
        <v>184</v>
      </c>
      <c r="B24" s="1387" t="s">
        <v>450</v>
      </c>
      <c r="C24" s="1387" t="s">
        <v>741</v>
      </c>
      <c r="D24" s="1387" t="s">
        <v>742</v>
      </c>
      <c r="E24" s="1387" t="s">
        <v>743</v>
      </c>
    </row>
    <row r="25" spans="1:6" ht="18" x14ac:dyDescent="0.25">
      <c r="A25" s="1164">
        <v>1</v>
      </c>
      <c r="B25" s="1384" t="s">
        <v>744</v>
      </c>
      <c r="C25" s="1164">
        <v>16</v>
      </c>
      <c r="D25" s="1164">
        <v>30</v>
      </c>
      <c r="E25" s="1164">
        <v>14</v>
      </c>
      <c r="F25">
        <f>+D25-C25</f>
        <v>14</v>
      </c>
    </row>
    <row r="26" spans="1:6" ht="18" x14ac:dyDescent="0.25">
      <c r="A26" s="1164">
        <f>+A25+1</f>
        <v>2</v>
      </c>
      <c r="B26" s="1384" t="s">
        <v>333</v>
      </c>
      <c r="C26" s="1164">
        <v>16</v>
      </c>
      <c r="D26" s="1164">
        <v>30</v>
      </c>
      <c r="E26" s="1164">
        <v>14</v>
      </c>
    </row>
    <row r="27" spans="1:6" ht="18" x14ac:dyDescent="0.25">
      <c r="A27" s="1164">
        <f>+A26+1</f>
        <v>3</v>
      </c>
      <c r="B27" s="1384" t="s">
        <v>745</v>
      </c>
      <c r="C27" s="1164">
        <v>16</v>
      </c>
      <c r="D27" s="1164">
        <v>30</v>
      </c>
      <c r="E27" s="1164">
        <v>14</v>
      </c>
    </row>
    <row r="28" spans="1:6" ht="18" x14ac:dyDescent="0.25">
      <c r="A28" s="1164">
        <f>+A27+1</f>
        <v>4</v>
      </c>
      <c r="B28" s="1384" t="s">
        <v>746</v>
      </c>
      <c r="C28" s="1164">
        <v>16</v>
      </c>
      <c r="D28" s="1164">
        <v>30</v>
      </c>
      <c r="E28" s="1164">
        <v>14</v>
      </c>
    </row>
    <row r="29" spans="1:6" ht="18" x14ac:dyDescent="0.25">
      <c r="A29" s="1164">
        <f>+A28+1</f>
        <v>5</v>
      </c>
      <c r="B29" s="1384" t="s">
        <v>462</v>
      </c>
      <c r="C29" s="1164">
        <v>17</v>
      </c>
      <c r="D29" s="1164">
        <v>31</v>
      </c>
      <c r="E29" s="1164">
        <v>14</v>
      </c>
    </row>
    <row r="30" spans="1:6" ht="18" x14ac:dyDescent="0.25">
      <c r="A30" s="1164">
        <f>+A29+1</f>
        <v>6</v>
      </c>
      <c r="B30" s="1384" t="s">
        <v>466</v>
      </c>
      <c r="C30" s="1164">
        <v>17</v>
      </c>
      <c r="D30" s="1164">
        <v>31</v>
      </c>
      <c r="E30" s="1164">
        <v>14</v>
      </c>
    </row>
    <row r="33" spans="1:10" ht="18.75" x14ac:dyDescent="0.3">
      <c r="A33" s="1387" t="s">
        <v>184</v>
      </c>
      <c r="B33" s="1387" t="s">
        <v>450</v>
      </c>
      <c r="C33" s="1387" t="s">
        <v>741</v>
      </c>
      <c r="D33" s="1387" t="s">
        <v>742</v>
      </c>
      <c r="E33" s="1387" t="s">
        <v>743</v>
      </c>
    </row>
    <row r="34" spans="1:10" ht="18" x14ac:dyDescent="0.25">
      <c r="A34" s="1164">
        <v>1</v>
      </c>
      <c r="B34" s="1384" t="s">
        <v>332</v>
      </c>
      <c r="C34" s="1444">
        <v>42107</v>
      </c>
      <c r="D34" s="1444">
        <v>42121</v>
      </c>
      <c r="E34" s="1164">
        <v>14</v>
      </c>
    </row>
    <row r="35" spans="1:10" ht="18" x14ac:dyDescent="0.25">
      <c r="A35" s="1164">
        <f>+A34+1</f>
        <v>2</v>
      </c>
      <c r="B35" s="1384" t="s">
        <v>480</v>
      </c>
      <c r="C35" s="1444">
        <v>42107</v>
      </c>
      <c r="D35" s="1444">
        <v>42121</v>
      </c>
      <c r="E35" s="1164">
        <v>14</v>
      </c>
    </row>
    <row r="36" spans="1:10" ht="18" x14ac:dyDescent="0.25">
      <c r="A36" s="1164">
        <f>+A35+1</f>
        <v>3</v>
      </c>
      <c r="B36" s="1384" t="s">
        <v>783</v>
      </c>
      <c r="C36" s="1444">
        <v>42107</v>
      </c>
      <c r="D36" s="1444" t="s">
        <v>784</v>
      </c>
      <c r="E36" s="1164">
        <v>18</v>
      </c>
    </row>
    <row r="37" spans="1:10" ht="18" x14ac:dyDescent="0.25">
      <c r="A37" s="1437"/>
      <c r="B37" s="1439"/>
      <c r="C37" s="1437"/>
      <c r="D37" s="1437"/>
      <c r="E37" s="1437"/>
    </row>
    <row r="38" spans="1:10" ht="18" x14ac:dyDescent="0.25">
      <c r="A38" s="1437"/>
      <c r="B38" s="1439"/>
      <c r="C38" s="1437"/>
      <c r="D38" s="1437"/>
      <c r="E38" s="1437">
        <f>13+18</f>
        <v>31</v>
      </c>
    </row>
    <row r="39" spans="1:10" ht="18" x14ac:dyDescent="0.25">
      <c r="A39" s="1437"/>
      <c r="B39" s="1439"/>
      <c r="C39" s="1437"/>
      <c r="D39" s="1437"/>
      <c r="E39" s="1437"/>
    </row>
    <row r="40" spans="1:10" x14ac:dyDescent="0.2">
      <c r="A40" s="401"/>
    </row>
    <row r="42" spans="1:10" x14ac:dyDescent="0.2">
      <c r="J42">
        <f>27-13</f>
        <v>14</v>
      </c>
    </row>
    <row r="43" spans="1:10" ht="13.5" thickBot="1" x14ac:dyDescent="0.25">
      <c r="B43" s="39"/>
    </row>
    <row r="44" spans="1:10" s="69" customFormat="1" ht="15" x14ac:dyDescent="0.25">
      <c r="B44" s="76" t="s">
        <v>414</v>
      </c>
      <c r="C44" s="562" t="s">
        <v>819</v>
      </c>
      <c r="D44" s="562" t="s">
        <v>255</v>
      </c>
      <c r="E44" s="562" t="s">
        <v>902</v>
      </c>
      <c r="F44" s="70" t="s">
        <v>903</v>
      </c>
    </row>
    <row r="45" spans="1:10" ht="16.5" x14ac:dyDescent="0.3">
      <c r="B45" s="1205" t="s">
        <v>905</v>
      </c>
      <c r="C45" s="319" t="s">
        <v>392</v>
      </c>
      <c r="D45" s="430">
        <v>2</v>
      </c>
      <c r="E45" s="367">
        <f>210*1700</f>
        <v>357000</v>
      </c>
      <c r="F45" s="459">
        <f>+E45*D45</f>
        <v>714000</v>
      </c>
    </row>
    <row r="46" spans="1:10" ht="16.5" thickBot="1" x14ac:dyDescent="0.3">
      <c r="B46" s="1602" t="s">
        <v>904</v>
      </c>
      <c r="C46" s="319" t="s">
        <v>392</v>
      </c>
      <c r="D46" s="448">
        <v>1</v>
      </c>
      <c r="E46" s="493">
        <f>589295-15000</f>
        <v>574295</v>
      </c>
      <c r="F46" s="459">
        <f>+E46*D46</f>
        <v>574295</v>
      </c>
    </row>
    <row r="47" spans="1:10" ht="13.5" thickBot="1" x14ac:dyDescent="0.25">
      <c r="B47" s="461"/>
      <c r="C47" s="401"/>
      <c r="D47" s="401"/>
      <c r="E47" s="401"/>
      <c r="F47" s="457"/>
    </row>
    <row r="48" spans="1:10" ht="16.5" thickBot="1" x14ac:dyDescent="0.3">
      <c r="B48" s="3208" t="s">
        <v>18</v>
      </c>
      <c r="C48" s="3209"/>
      <c r="D48" s="3209"/>
      <c r="E48" s="3209"/>
      <c r="F48" s="1603">
        <f>SUM(F45:F47)</f>
        <v>1288295</v>
      </c>
    </row>
  </sheetData>
  <mergeCells count="2">
    <mergeCell ref="B13:D13"/>
    <mergeCell ref="B48:E48"/>
  </mergeCells>
  <pageMargins left="0.7" right="0.7" top="0.75" bottom="0.75" header="0.3" footer="0.3"/>
  <pageSetup paperSize="9"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4"/>
  <dimension ref="A6:F29"/>
  <sheetViews>
    <sheetView workbookViewId="0">
      <selection activeCell="J18" sqref="J18"/>
    </sheetView>
  </sheetViews>
  <sheetFormatPr baseColWidth="10" defaultRowHeight="12.75" x14ac:dyDescent="0.2"/>
  <cols>
    <col min="1" max="1" width="40.42578125" customWidth="1"/>
    <col min="2" max="2" width="20.5703125" customWidth="1"/>
    <col min="3" max="3" width="15" customWidth="1"/>
    <col min="4" max="4" width="13" bestFit="1" customWidth="1"/>
    <col min="5" max="5" width="20.28515625" customWidth="1"/>
    <col min="6" max="6" width="12.85546875" customWidth="1"/>
  </cols>
  <sheetData>
    <row r="6" spans="1:5" s="37" customFormat="1" ht="30" customHeight="1" x14ac:dyDescent="0.25">
      <c r="A6" s="1402" t="s">
        <v>414</v>
      </c>
      <c r="B6" s="1402" t="s">
        <v>749</v>
      </c>
      <c r="C6" s="1402" t="s">
        <v>43</v>
      </c>
      <c r="D6" s="1402" t="s">
        <v>37</v>
      </c>
      <c r="E6" s="894" t="s">
        <v>155</v>
      </c>
    </row>
    <row r="7" spans="1:5" ht="30" customHeight="1" x14ac:dyDescent="0.25">
      <c r="A7" s="894" t="s">
        <v>750</v>
      </c>
      <c r="B7" s="430">
        <v>8</v>
      </c>
      <c r="C7" s="429">
        <v>16600</v>
      </c>
      <c r="D7" s="367">
        <f>+B7*C7</f>
        <v>132800</v>
      </c>
      <c r="E7" s="3210">
        <f>+D7+D8</f>
        <v>140000</v>
      </c>
    </row>
    <row r="8" spans="1:5" ht="30" customHeight="1" x14ac:dyDescent="0.25">
      <c r="A8" s="894" t="s">
        <v>751</v>
      </c>
      <c r="B8" s="430">
        <v>4</v>
      </c>
      <c r="C8" s="429">
        <v>1800</v>
      </c>
      <c r="D8" s="367">
        <f>+B8*C8</f>
        <v>7200</v>
      </c>
      <c r="E8" s="3211"/>
    </row>
    <row r="9" spans="1:5" ht="30" customHeight="1" x14ac:dyDescent="0.25">
      <c r="A9" s="894" t="s">
        <v>752</v>
      </c>
      <c r="B9" s="430">
        <v>1</v>
      </c>
      <c r="C9" s="429">
        <v>15000</v>
      </c>
      <c r="D9" s="367">
        <v>15000</v>
      </c>
      <c r="E9" s="3210">
        <f>+D9+D10+D11</f>
        <v>40000</v>
      </c>
    </row>
    <row r="10" spans="1:5" ht="30" customHeight="1" x14ac:dyDescent="0.25">
      <c r="A10" s="894" t="s">
        <v>753</v>
      </c>
      <c r="B10" s="430">
        <v>1</v>
      </c>
      <c r="C10" s="429">
        <v>15000</v>
      </c>
      <c r="D10" s="367">
        <v>15000</v>
      </c>
      <c r="E10" s="3212"/>
    </row>
    <row r="11" spans="1:5" ht="30" customHeight="1" thickBot="1" x14ac:dyDescent="0.3">
      <c r="A11" s="692" t="s">
        <v>754</v>
      </c>
      <c r="B11" s="431">
        <v>1</v>
      </c>
      <c r="C11" s="432">
        <v>10000</v>
      </c>
      <c r="D11" s="436">
        <v>10000</v>
      </c>
      <c r="E11" s="3212"/>
    </row>
    <row r="12" spans="1:5" ht="16.5" thickBot="1" x14ac:dyDescent="0.3">
      <c r="A12" s="1403" t="s">
        <v>18</v>
      </c>
      <c r="B12" s="61"/>
      <c r="C12" s="61"/>
      <c r="D12" s="450">
        <f>SUM(D7:D11)</f>
        <v>180000</v>
      </c>
      <c r="E12" s="442">
        <f>SUM(E7:E11)</f>
        <v>180000</v>
      </c>
    </row>
    <row r="13" spans="1:5" x14ac:dyDescent="0.2">
      <c r="C13">
        <f>8*5</f>
        <v>40</v>
      </c>
    </row>
    <row r="14" spans="1:5" x14ac:dyDescent="0.2">
      <c r="C14" s="1404"/>
    </row>
    <row r="18" spans="1:6" ht="13.5" thickBot="1" x14ac:dyDescent="0.25"/>
    <row r="19" spans="1:6" s="764" customFormat="1" ht="36" customHeight="1" x14ac:dyDescent="0.25">
      <c r="A19" s="76" t="s">
        <v>767</v>
      </c>
      <c r="B19" s="562" t="s">
        <v>768</v>
      </c>
      <c r="C19" s="562" t="s">
        <v>61</v>
      </c>
      <c r="D19" s="1427" t="s">
        <v>43</v>
      </c>
      <c r="E19" s="1434" t="s">
        <v>39</v>
      </c>
      <c r="F19" s="327" t="s">
        <v>775</v>
      </c>
    </row>
    <row r="20" spans="1:6" ht="18" customHeight="1" x14ac:dyDescent="0.2">
      <c r="A20" s="1429" t="s">
        <v>772</v>
      </c>
      <c r="B20" s="1428" t="s">
        <v>776</v>
      </c>
      <c r="C20" s="1428">
        <v>240</v>
      </c>
      <c r="D20" s="1426">
        <v>609</v>
      </c>
      <c r="E20" s="1435">
        <f>+C20*D20</f>
        <v>146160</v>
      </c>
      <c r="F20" s="97" t="s">
        <v>413</v>
      </c>
    </row>
    <row r="21" spans="1:6" ht="21" customHeight="1" x14ac:dyDescent="0.2">
      <c r="A21" s="1429" t="s">
        <v>771</v>
      </c>
      <c r="B21" s="1428" t="s">
        <v>777</v>
      </c>
      <c r="C21" s="1428">
        <v>240</v>
      </c>
      <c r="D21" s="1426">
        <v>609</v>
      </c>
      <c r="E21" s="1435">
        <f t="shared" ref="E21:E26" si="0">+C21*D21</f>
        <v>146160</v>
      </c>
      <c r="F21" s="97" t="s">
        <v>413</v>
      </c>
    </row>
    <row r="22" spans="1:6" ht="24" customHeight="1" x14ac:dyDescent="0.2">
      <c r="A22" s="1429" t="s">
        <v>770</v>
      </c>
      <c r="B22" s="1428" t="s">
        <v>778</v>
      </c>
      <c r="C22" s="1428">
        <v>240</v>
      </c>
      <c r="D22" s="1426">
        <v>609</v>
      </c>
      <c r="E22" s="1435">
        <f t="shared" si="0"/>
        <v>146160</v>
      </c>
      <c r="F22" s="97" t="s">
        <v>413</v>
      </c>
    </row>
    <row r="23" spans="1:6" ht="24" customHeight="1" x14ac:dyDescent="0.2">
      <c r="A23" s="1429" t="s">
        <v>769</v>
      </c>
      <c r="B23" s="1428" t="s">
        <v>779</v>
      </c>
      <c r="C23" s="1428">
        <v>240</v>
      </c>
      <c r="D23" s="1426">
        <v>609</v>
      </c>
      <c r="E23" s="1435">
        <f t="shared" si="0"/>
        <v>146160</v>
      </c>
      <c r="F23" s="97" t="s">
        <v>413</v>
      </c>
    </row>
    <row r="24" spans="1:6" ht="27" customHeight="1" x14ac:dyDescent="0.2">
      <c r="A24" s="1429" t="s">
        <v>773</v>
      </c>
      <c r="B24" s="1428" t="s">
        <v>780</v>
      </c>
      <c r="C24" s="1428">
        <v>240</v>
      </c>
      <c r="D24" s="1426">
        <v>609</v>
      </c>
      <c r="E24" s="1435">
        <f t="shared" si="0"/>
        <v>146160</v>
      </c>
      <c r="F24" s="97" t="s">
        <v>413</v>
      </c>
    </row>
    <row r="25" spans="1:6" ht="24" customHeight="1" x14ac:dyDescent="0.2">
      <c r="A25" s="1429" t="s">
        <v>774</v>
      </c>
      <c r="B25" s="1428" t="s">
        <v>781</v>
      </c>
      <c r="C25" s="1428">
        <v>240</v>
      </c>
      <c r="D25" s="1426">
        <v>609</v>
      </c>
      <c r="E25" s="1435">
        <f t="shared" si="0"/>
        <v>146160</v>
      </c>
      <c r="F25" s="97" t="s">
        <v>413</v>
      </c>
    </row>
    <row r="26" spans="1:6" ht="42" customHeight="1" thickBot="1" x14ac:dyDescent="0.3">
      <c r="A26" s="1430" t="s">
        <v>18</v>
      </c>
      <c r="B26" s="1431"/>
      <c r="C26" s="1433">
        <f>SUM(C20:C25)</f>
        <v>1440</v>
      </c>
      <c r="D26" s="1432">
        <v>609</v>
      </c>
      <c r="E26" s="1436">
        <f t="shared" si="0"/>
        <v>876960</v>
      </c>
      <c r="F26" s="97" t="s">
        <v>413</v>
      </c>
    </row>
    <row r="29" spans="1:6" x14ac:dyDescent="0.2">
      <c r="E29" s="416"/>
    </row>
  </sheetData>
  <mergeCells count="2">
    <mergeCell ref="E7:E8"/>
    <mergeCell ref="E9:E1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2"/>
  <dimension ref="A1:E28"/>
  <sheetViews>
    <sheetView workbookViewId="0">
      <selection activeCell="J18" sqref="J18"/>
    </sheetView>
  </sheetViews>
  <sheetFormatPr baseColWidth="10" defaultRowHeight="12.75" x14ac:dyDescent="0.2"/>
  <cols>
    <col min="1" max="1" width="32.5703125" customWidth="1"/>
    <col min="2" max="2" width="44.28515625" customWidth="1"/>
    <col min="3" max="3" width="39.85546875" customWidth="1"/>
    <col min="4" max="4" width="37.5703125" customWidth="1"/>
    <col min="5" max="5" width="37.28515625" customWidth="1"/>
  </cols>
  <sheetData>
    <row r="1" spans="1:5" x14ac:dyDescent="0.2">
      <c r="A1" s="1073"/>
      <c r="B1" s="3173" t="s">
        <v>518</v>
      </c>
      <c r="C1" s="3173"/>
      <c r="D1" s="3173"/>
      <c r="E1" s="1060"/>
    </row>
    <row r="2" spans="1:5" x14ac:dyDescent="0.2">
      <c r="A2" s="1073"/>
      <c r="B2" s="1060"/>
      <c r="C2" s="1060"/>
      <c r="D2" s="1060"/>
      <c r="E2" s="1060"/>
    </row>
    <row r="3" spans="1:5" ht="13.5" thickBot="1" x14ac:dyDescent="0.25">
      <c r="A3" s="1073"/>
      <c r="B3" s="1060"/>
      <c r="C3" s="1060"/>
      <c r="D3" s="1060"/>
      <c r="E3" s="1060"/>
    </row>
    <row r="4" spans="1:5" ht="30" customHeight="1" thickBot="1" x14ac:dyDescent="0.3">
      <c r="A4" s="3213" t="s">
        <v>519</v>
      </c>
      <c r="B4" s="3213" t="s">
        <v>520</v>
      </c>
      <c r="C4" s="1370" t="s">
        <v>521</v>
      </c>
      <c r="D4" s="1371" t="s">
        <v>522</v>
      </c>
      <c r="E4" s="1372" t="s">
        <v>133</v>
      </c>
    </row>
    <row r="5" spans="1:5" ht="30" customHeight="1" x14ac:dyDescent="0.2">
      <c r="A5" s="3214"/>
      <c r="B5" s="3214"/>
      <c r="C5" s="1064"/>
      <c r="D5" s="1064"/>
      <c r="E5" s="1373"/>
    </row>
    <row r="6" spans="1:5" ht="30" customHeight="1" x14ac:dyDescent="0.2">
      <c r="A6" s="3218" t="s">
        <v>1560</v>
      </c>
      <c r="B6" s="1374" t="s">
        <v>1559</v>
      </c>
      <c r="C6" s="1375" t="s">
        <v>580</v>
      </c>
      <c r="D6" s="1375"/>
      <c r="E6" s="1375"/>
    </row>
    <row r="7" spans="1:5" ht="30" customHeight="1" thickBot="1" x14ac:dyDescent="0.3">
      <c r="A7" s="3219"/>
      <c r="B7" s="2225"/>
      <c r="C7" s="2226"/>
      <c r="D7" s="1361" t="s">
        <v>706</v>
      </c>
      <c r="E7" s="1377" t="s">
        <v>542</v>
      </c>
    </row>
    <row r="8" spans="1:5" ht="30" customHeight="1" thickBot="1" x14ac:dyDescent="0.25">
      <c r="A8" s="3219"/>
      <c r="B8" s="2230"/>
      <c r="C8" s="2227"/>
      <c r="D8" s="1362" t="s">
        <v>545</v>
      </c>
      <c r="E8" s="1053"/>
    </row>
    <row r="9" spans="1:5" ht="30" customHeight="1" thickBot="1" x14ac:dyDescent="0.25">
      <c r="A9" s="3219"/>
      <c r="B9" s="2231"/>
      <c r="C9" s="2228" t="s">
        <v>546</v>
      </c>
      <c r="D9" s="1362" t="s">
        <v>547</v>
      </c>
      <c r="E9" s="1053"/>
    </row>
    <row r="10" spans="1:5" ht="30" customHeight="1" thickBot="1" x14ac:dyDescent="0.25">
      <c r="A10" s="3219"/>
      <c r="B10" s="2229" t="s">
        <v>717</v>
      </c>
      <c r="C10" s="2228" t="s">
        <v>716</v>
      </c>
      <c r="D10" s="1362"/>
      <c r="E10" s="1053"/>
    </row>
    <row r="11" spans="1:5" ht="30" customHeight="1" thickBot="1" x14ac:dyDescent="0.25">
      <c r="A11" s="3219"/>
      <c r="B11" s="1367" t="s">
        <v>718</v>
      </c>
      <c r="C11" s="485" t="s">
        <v>714</v>
      </c>
      <c r="D11" s="1362" t="s">
        <v>553</v>
      </c>
      <c r="E11" s="1053"/>
    </row>
    <row r="12" spans="1:5" ht="30" customHeight="1" thickBot="1" x14ac:dyDescent="0.25">
      <c r="A12" s="3219"/>
      <c r="B12" s="1068" t="s">
        <v>564</v>
      </c>
      <c r="C12" s="1362" t="s">
        <v>565</v>
      </c>
      <c r="D12" s="1362" t="s">
        <v>566</v>
      </c>
      <c r="E12" s="1058"/>
    </row>
    <row r="13" spans="1:5" ht="30" customHeight="1" thickBot="1" x14ac:dyDescent="0.25">
      <c r="A13" s="3219"/>
      <c r="B13" s="1068" t="s">
        <v>567</v>
      </c>
      <c r="C13" s="1362" t="s">
        <v>565</v>
      </c>
      <c r="D13" s="1362" t="s">
        <v>566</v>
      </c>
      <c r="E13" s="1058"/>
    </row>
    <row r="14" spans="1:5" ht="30" customHeight="1" x14ac:dyDescent="0.2">
      <c r="A14" s="3219"/>
      <c r="B14" s="1366" t="s">
        <v>534</v>
      </c>
      <c r="C14" s="1364" t="s">
        <v>565</v>
      </c>
      <c r="D14" s="1364" t="s">
        <v>566</v>
      </c>
      <c r="E14" s="1359"/>
    </row>
    <row r="15" spans="1:5" ht="30" customHeight="1" x14ac:dyDescent="0.2">
      <c r="A15" s="3220" t="s">
        <v>731</v>
      </c>
      <c r="B15" s="3221" t="s">
        <v>732</v>
      </c>
      <c r="C15" s="485" t="s">
        <v>737</v>
      </c>
      <c r="D15" s="485"/>
      <c r="E15" s="1378"/>
    </row>
    <row r="16" spans="1:5" ht="38.25" customHeight="1" x14ac:dyDescent="0.2">
      <c r="A16" s="3220"/>
      <c r="B16" s="3222"/>
      <c r="C16" s="485" t="s">
        <v>736</v>
      </c>
      <c r="D16" s="485" t="s">
        <v>735</v>
      </c>
      <c r="E16" s="1378"/>
    </row>
    <row r="17" spans="1:5" ht="30" customHeight="1" x14ac:dyDescent="0.2">
      <c r="A17" s="3220"/>
      <c r="B17" s="3223"/>
      <c r="C17" s="485" t="s">
        <v>733</v>
      </c>
      <c r="D17" s="485" t="s">
        <v>734</v>
      </c>
      <c r="E17" s="1378"/>
    </row>
    <row r="18" spans="1:5" ht="30" customHeight="1" thickBot="1" x14ac:dyDescent="0.25">
      <c r="A18" s="3220"/>
      <c r="B18" s="1379" t="s">
        <v>729</v>
      </c>
      <c r="C18" s="1380" t="s">
        <v>705</v>
      </c>
      <c r="D18" s="1382" t="s">
        <v>730</v>
      </c>
      <c r="E18" s="1381"/>
    </row>
    <row r="19" spans="1:5" ht="30" customHeight="1" thickBot="1" x14ac:dyDescent="0.3">
      <c r="A19" s="3215" t="s">
        <v>571</v>
      </c>
      <c r="B19" s="1376" t="s">
        <v>721</v>
      </c>
      <c r="C19" s="1362" t="s">
        <v>722</v>
      </c>
      <c r="D19" s="1363" t="s">
        <v>581</v>
      </c>
      <c r="E19" s="1377" t="s">
        <v>723</v>
      </c>
    </row>
    <row r="20" spans="1:5" ht="30" customHeight="1" thickBot="1" x14ac:dyDescent="0.3">
      <c r="A20" s="3216"/>
      <c r="B20" s="1376" t="s">
        <v>727</v>
      </c>
      <c r="C20" s="1362" t="s">
        <v>722</v>
      </c>
      <c r="D20" s="1363" t="s">
        <v>581</v>
      </c>
      <c r="E20" s="1377" t="s">
        <v>723</v>
      </c>
    </row>
    <row r="21" spans="1:5" ht="30" customHeight="1" thickBot="1" x14ac:dyDescent="0.3">
      <c r="A21" s="3216"/>
      <c r="B21" s="1376" t="s">
        <v>720</v>
      </c>
      <c r="C21" s="1362" t="s">
        <v>722</v>
      </c>
      <c r="D21" s="1363"/>
      <c r="E21" s="1377"/>
    </row>
    <row r="22" spans="1:5" ht="30" customHeight="1" thickBot="1" x14ac:dyDescent="0.3">
      <c r="A22" s="3216"/>
      <c r="B22" s="1376" t="s">
        <v>719</v>
      </c>
      <c r="C22" s="1362" t="s">
        <v>722</v>
      </c>
      <c r="D22" s="1363" t="s">
        <v>728</v>
      </c>
      <c r="E22" s="1377" t="s">
        <v>723</v>
      </c>
    </row>
    <row r="23" spans="1:5" ht="30" customHeight="1" thickBot="1" x14ac:dyDescent="0.25">
      <c r="A23" s="3217"/>
      <c r="B23" s="1376" t="s">
        <v>724</v>
      </c>
      <c r="C23" s="1362" t="s">
        <v>722</v>
      </c>
      <c r="D23" s="1362" t="s">
        <v>713</v>
      </c>
      <c r="E23" s="1053"/>
    </row>
    <row r="24" spans="1:5" ht="30" customHeight="1" x14ac:dyDescent="0.2">
      <c r="A24" s="1368" t="s">
        <v>579</v>
      </c>
      <c r="B24" s="1358"/>
      <c r="C24" s="1364" t="s">
        <v>580</v>
      </c>
      <c r="D24" s="1364" t="s">
        <v>581</v>
      </c>
      <c r="E24" s="1359"/>
    </row>
    <row r="25" spans="1:5" ht="30" customHeight="1" x14ac:dyDescent="0.2">
      <c r="A25" s="1369" t="s">
        <v>707</v>
      </c>
      <c r="B25" s="1360" t="s">
        <v>725</v>
      </c>
      <c r="C25" s="1365" t="s">
        <v>708</v>
      </c>
      <c r="D25" s="39" t="s">
        <v>726</v>
      </c>
      <c r="E25" s="319" t="s">
        <v>709</v>
      </c>
    </row>
    <row r="26" spans="1:5" ht="30" customHeight="1" x14ac:dyDescent="0.2">
      <c r="A26" s="1369" t="s">
        <v>710</v>
      </c>
      <c r="B26" s="1360" t="s">
        <v>711</v>
      </c>
      <c r="C26" s="425" t="s">
        <v>712</v>
      </c>
      <c r="D26" s="319"/>
      <c r="E26" s="319"/>
    </row>
    <row r="27" spans="1:5" x14ac:dyDescent="0.2">
      <c r="B27" s="39"/>
      <c r="C27" s="39"/>
      <c r="D27" s="39"/>
      <c r="E27" s="39"/>
    </row>
    <row r="28" spans="1:5" x14ac:dyDescent="0.2">
      <c r="B28" s="39"/>
      <c r="C28" s="39"/>
      <c r="D28" s="39"/>
      <c r="E28" s="39"/>
    </row>
  </sheetData>
  <mergeCells count="7">
    <mergeCell ref="B1:D1"/>
    <mergeCell ref="A4:A5"/>
    <mergeCell ref="B4:B5"/>
    <mergeCell ref="A19:A23"/>
    <mergeCell ref="A6:A14"/>
    <mergeCell ref="A15:A18"/>
    <mergeCell ref="B15:B17"/>
  </mergeCells>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6"/>
  <dimension ref="A1:F42"/>
  <sheetViews>
    <sheetView workbookViewId="0">
      <selection activeCell="J18" sqref="J18"/>
    </sheetView>
  </sheetViews>
  <sheetFormatPr baseColWidth="10" defaultRowHeight="12.75" x14ac:dyDescent="0.2"/>
  <cols>
    <col min="1" max="1" width="4.7109375" customWidth="1"/>
    <col min="2" max="2" width="33" customWidth="1"/>
    <col min="3" max="3" width="15.28515625" customWidth="1"/>
    <col min="4" max="4" width="19.7109375" customWidth="1"/>
    <col min="5" max="5" width="23.5703125" customWidth="1"/>
  </cols>
  <sheetData>
    <row r="1" spans="1:6" ht="18.75" x14ac:dyDescent="0.25">
      <c r="A1" s="1423" t="s">
        <v>212</v>
      </c>
      <c r="B1" s="1424"/>
      <c r="C1" s="1425"/>
      <c r="D1" s="1425"/>
      <c r="E1" s="1425"/>
      <c r="F1" s="1425"/>
    </row>
    <row r="2" spans="1:6" ht="18.75" x14ac:dyDescent="0.25">
      <c r="A2" s="1423" t="s">
        <v>170</v>
      </c>
      <c r="B2" s="1424"/>
      <c r="C2" s="1425"/>
      <c r="D2" s="1425"/>
      <c r="E2" s="1425"/>
      <c r="F2" s="1425"/>
    </row>
    <row r="5" spans="1:6" ht="18" x14ac:dyDescent="0.25">
      <c r="A5" s="1405"/>
      <c r="B5" s="3224" t="s">
        <v>738</v>
      </c>
      <c r="C5" s="3224"/>
      <c r="D5" s="1405"/>
      <c r="E5" s="1405"/>
    </row>
    <row r="6" spans="1:6" ht="15" x14ac:dyDescent="0.25">
      <c r="A6" s="1405"/>
      <c r="B6" s="1405"/>
      <c r="C6" s="1405"/>
      <c r="D6" s="1405"/>
      <c r="E6" s="1405"/>
    </row>
    <row r="7" spans="1:6" ht="15" x14ac:dyDescent="0.25">
      <c r="A7" s="1405"/>
      <c r="B7" s="1405"/>
      <c r="C7" s="1405"/>
      <c r="D7" s="1405"/>
      <c r="E7" s="1405"/>
    </row>
    <row r="8" spans="1:6" ht="18.75" x14ac:dyDescent="0.3">
      <c r="A8" s="1405"/>
      <c r="B8" s="1386" t="s">
        <v>739</v>
      </c>
      <c r="C8" s="1405"/>
      <c r="D8" s="1405"/>
      <c r="E8" s="1405"/>
    </row>
    <row r="9" spans="1:6" ht="18.75" x14ac:dyDescent="0.3">
      <c r="A9" s="1405"/>
      <c r="B9" s="1386"/>
      <c r="C9" s="1405"/>
      <c r="D9" s="1405"/>
      <c r="E9" s="1405"/>
    </row>
    <row r="10" spans="1:6" ht="21" x14ac:dyDescent="0.35">
      <c r="A10" s="1405"/>
      <c r="B10" s="1411" t="s">
        <v>764</v>
      </c>
      <c r="C10" s="1405"/>
      <c r="D10" s="1405"/>
      <c r="E10" s="1405"/>
    </row>
    <row r="11" spans="1:6" ht="15" x14ac:dyDescent="0.25">
      <c r="A11" s="1405"/>
      <c r="B11" s="1405"/>
      <c r="C11" s="1405"/>
      <c r="D11" s="1405"/>
      <c r="E11" s="1405"/>
    </row>
    <row r="12" spans="1:6" ht="18" x14ac:dyDescent="0.25">
      <c r="A12" s="1405"/>
      <c r="B12" s="3207" t="s">
        <v>740</v>
      </c>
      <c r="C12" s="3207"/>
      <c r="D12" s="3207"/>
      <c r="E12" s="1405"/>
    </row>
    <row r="13" spans="1:6" ht="15.75" thickBot="1" x14ac:dyDescent="0.3">
      <c r="A13" s="1405"/>
      <c r="B13" s="1405"/>
      <c r="C13" s="1405"/>
      <c r="D13" s="1405"/>
      <c r="E13" s="1405"/>
    </row>
    <row r="14" spans="1:6" ht="19.5" thickBot="1" x14ac:dyDescent="0.35">
      <c r="A14" s="1406" t="s">
        <v>184</v>
      </c>
      <c r="B14" s="1407" t="s">
        <v>450</v>
      </c>
      <c r="C14" s="1407" t="s">
        <v>741</v>
      </c>
      <c r="D14" s="1407" t="s">
        <v>742</v>
      </c>
      <c r="E14" s="1407" t="s">
        <v>743</v>
      </c>
    </row>
    <row r="15" spans="1:6" ht="18.75" thickBot="1" x14ac:dyDescent="0.3">
      <c r="A15" s="1408">
        <v>1</v>
      </c>
      <c r="B15" s="1409" t="s">
        <v>766</v>
      </c>
      <c r="C15" s="1410">
        <v>16</v>
      </c>
      <c r="D15" s="1410">
        <v>30</v>
      </c>
      <c r="E15" s="1410">
        <v>14</v>
      </c>
    </row>
    <row r="16" spans="1:6" ht="18.75" thickBot="1" x14ac:dyDescent="0.3">
      <c r="A16" s="1408">
        <v>2</v>
      </c>
      <c r="B16" s="1409" t="s">
        <v>765</v>
      </c>
      <c r="C16" s="1410">
        <v>16</v>
      </c>
      <c r="D16" s="1410">
        <v>30</v>
      </c>
      <c r="E16" s="1410">
        <v>14</v>
      </c>
    </row>
    <row r="17" spans="1:5" ht="18.75" thickBot="1" x14ac:dyDescent="0.3">
      <c r="A17" s="1408">
        <v>3</v>
      </c>
      <c r="B17" s="1409" t="s">
        <v>755</v>
      </c>
      <c r="C17" s="1410">
        <v>16</v>
      </c>
      <c r="D17" s="1410">
        <v>30</v>
      </c>
      <c r="E17" s="1410">
        <v>14</v>
      </c>
    </row>
    <row r="18" spans="1:5" ht="18.75" thickBot="1" x14ac:dyDescent="0.3">
      <c r="A18" s="1408">
        <v>4</v>
      </c>
      <c r="B18" s="1409" t="s">
        <v>745</v>
      </c>
      <c r="C18" s="1410">
        <v>16</v>
      </c>
      <c r="D18" s="1410">
        <v>30</v>
      </c>
      <c r="E18" s="1410">
        <v>14</v>
      </c>
    </row>
    <row r="19" spans="1:5" ht="18.75" thickBot="1" x14ac:dyDescent="0.3">
      <c r="A19" s="1408">
        <v>5</v>
      </c>
      <c r="B19" s="1409" t="s">
        <v>746</v>
      </c>
      <c r="C19" s="1410">
        <v>16</v>
      </c>
      <c r="D19" s="1410">
        <v>30</v>
      </c>
      <c r="E19" s="1410">
        <v>14</v>
      </c>
    </row>
    <row r="20" spans="1:5" ht="18.75" thickBot="1" x14ac:dyDescent="0.3">
      <c r="A20" s="1408">
        <v>6</v>
      </c>
      <c r="B20" s="1420" t="s">
        <v>462</v>
      </c>
      <c r="C20" s="1421">
        <v>17</v>
      </c>
      <c r="D20" s="1421">
        <v>31</v>
      </c>
      <c r="E20" s="1421">
        <v>14</v>
      </c>
    </row>
    <row r="21" spans="1:5" ht="18" x14ac:dyDescent="0.25">
      <c r="A21" s="1422">
        <v>7</v>
      </c>
      <c r="B21" s="72" t="s">
        <v>466</v>
      </c>
      <c r="C21" s="1164">
        <v>17</v>
      </c>
      <c r="D21" s="1164">
        <v>31</v>
      </c>
      <c r="E21" s="1164">
        <v>14</v>
      </c>
    </row>
    <row r="25" spans="1:5" ht="18" x14ac:dyDescent="0.25">
      <c r="A25" s="1405"/>
      <c r="B25" s="3224" t="s">
        <v>738</v>
      </c>
      <c r="C25" s="3224"/>
      <c r="D25" s="1405"/>
      <c r="E25" s="1405"/>
    </row>
    <row r="26" spans="1:5" ht="15" x14ac:dyDescent="0.25">
      <c r="A26" s="1405"/>
      <c r="B26" s="1405"/>
      <c r="C26" s="1405"/>
      <c r="D26" s="1405"/>
      <c r="E26" s="1405"/>
    </row>
    <row r="27" spans="1:5" ht="15" x14ac:dyDescent="0.25">
      <c r="A27" s="1405"/>
      <c r="B27" s="1405"/>
      <c r="C27" s="1405"/>
      <c r="D27" s="1405"/>
      <c r="E27" s="1405"/>
    </row>
    <row r="28" spans="1:5" ht="18.75" x14ac:dyDescent="0.3">
      <c r="A28" s="1405"/>
      <c r="B28" s="1386" t="s">
        <v>757</v>
      </c>
      <c r="C28" s="1405"/>
      <c r="D28" s="1405"/>
      <c r="E28" s="1405"/>
    </row>
    <row r="29" spans="1:5" ht="18.75" x14ac:dyDescent="0.3">
      <c r="A29" s="1405"/>
      <c r="B29" s="1386"/>
      <c r="C29" s="1405"/>
      <c r="D29" s="1405"/>
      <c r="E29" s="1405"/>
    </row>
    <row r="30" spans="1:5" ht="21" x14ac:dyDescent="0.35">
      <c r="A30" s="1405"/>
      <c r="B30" s="1411" t="s">
        <v>756</v>
      </c>
      <c r="C30" s="1405"/>
      <c r="D30" s="1405"/>
      <c r="E30" s="1405"/>
    </row>
    <row r="31" spans="1:5" ht="15" x14ac:dyDescent="0.25">
      <c r="A31" s="1405"/>
      <c r="B31" s="1405"/>
      <c r="C31" s="1405"/>
      <c r="D31" s="1405"/>
      <c r="E31" s="1405"/>
    </row>
    <row r="32" spans="1:5" ht="18" x14ac:dyDescent="0.25">
      <c r="A32" s="1405"/>
      <c r="B32" s="3207" t="s">
        <v>740</v>
      </c>
      <c r="C32" s="3207"/>
      <c r="D32" s="3207"/>
      <c r="E32" s="1405"/>
    </row>
    <row r="33" spans="1:5" ht="15" x14ac:dyDescent="0.25">
      <c r="A33" s="1405"/>
      <c r="B33" s="1405"/>
      <c r="C33" s="1405"/>
      <c r="D33" s="1405"/>
      <c r="E33" s="1405"/>
    </row>
    <row r="34" spans="1:5" ht="30" customHeight="1" x14ac:dyDescent="0.3">
      <c r="A34" s="1412" t="s">
        <v>184</v>
      </c>
      <c r="B34" s="1412" t="s">
        <v>450</v>
      </c>
      <c r="C34" s="1412" t="s">
        <v>741</v>
      </c>
      <c r="D34" s="1412" t="s">
        <v>742</v>
      </c>
      <c r="E34" s="1412" t="s">
        <v>743</v>
      </c>
    </row>
    <row r="35" spans="1:5" ht="30" customHeight="1" x14ac:dyDescent="0.25">
      <c r="A35" s="1164">
        <v>1</v>
      </c>
      <c r="B35" s="1038" t="s">
        <v>758</v>
      </c>
      <c r="C35" s="1164">
        <v>30</v>
      </c>
      <c r="D35" s="1164">
        <v>13</v>
      </c>
      <c r="E35" s="1164">
        <v>14</v>
      </c>
    </row>
    <row r="36" spans="1:5" ht="30" customHeight="1" x14ac:dyDescent="0.25">
      <c r="A36" s="1164">
        <f t="shared" ref="A36:A41" si="0">1+A35</f>
        <v>2</v>
      </c>
      <c r="B36" s="1038" t="s">
        <v>763</v>
      </c>
      <c r="C36" s="1164">
        <v>30</v>
      </c>
      <c r="D36" s="1164">
        <v>13</v>
      </c>
      <c r="E36" s="1164">
        <v>14</v>
      </c>
    </row>
    <row r="37" spans="1:5" ht="30" customHeight="1" x14ac:dyDescent="0.25">
      <c r="A37" s="1164">
        <f t="shared" si="0"/>
        <v>3</v>
      </c>
      <c r="B37" s="1038" t="s">
        <v>759</v>
      </c>
      <c r="C37" s="1164">
        <v>30</v>
      </c>
      <c r="D37" s="1164">
        <v>13</v>
      </c>
      <c r="E37" s="1164">
        <v>14</v>
      </c>
    </row>
    <row r="38" spans="1:5" ht="30" customHeight="1" x14ac:dyDescent="0.25">
      <c r="A38" s="1164">
        <f t="shared" si="0"/>
        <v>4</v>
      </c>
      <c r="B38" s="1038" t="s">
        <v>760</v>
      </c>
      <c r="C38" s="1164">
        <v>30</v>
      </c>
      <c r="D38" s="1164">
        <v>13</v>
      </c>
      <c r="E38" s="1164">
        <v>14</v>
      </c>
    </row>
    <row r="39" spans="1:5" ht="30" customHeight="1" x14ac:dyDescent="0.25">
      <c r="A39" s="1164">
        <f t="shared" si="0"/>
        <v>5</v>
      </c>
      <c r="B39" s="1038" t="s">
        <v>761</v>
      </c>
      <c r="C39" s="1164">
        <v>30</v>
      </c>
      <c r="D39" s="1164">
        <v>13</v>
      </c>
      <c r="E39" s="1164">
        <v>14</v>
      </c>
    </row>
    <row r="40" spans="1:5" ht="30" customHeight="1" x14ac:dyDescent="0.25">
      <c r="A40" s="1164">
        <f t="shared" si="0"/>
        <v>6</v>
      </c>
      <c r="B40" s="1038" t="s">
        <v>461</v>
      </c>
      <c r="C40" s="1164">
        <v>31</v>
      </c>
      <c r="D40" s="1164">
        <v>14</v>
      </c>
      <c r="E40" s="1164">
        <v>14</v>
      </c>
    </row>
    <row r="41" spans="1:5" ht="30" customHeight="1" x14ac:dyDescent="0.25">
      <c r="A41" s="1164">
        <f t="shared" si="0"/>
        <v>7</v>
      </c>
      <c r="B41" s="1038" t="s">
        <v>762</v>
      </c>
      <c r="C41" s="1164">
        <v>31</v>
      </c>
      <c r="D41" s="1164">
        <v>14</v>
      </c>
      <c r="E41" s="1164">
        <v>14</v>
      </c>
    </row>
    <row r="42" spans="1:5" ht="30" customHeight="1" x14ac:dyDescent="0.2">
      <c r="A42" s="401"/>
      <c r="B42" s="1419"/>
      <c r="C42" s="401"/>
      <c r="D42" s="401"/>
      <c r="E42" s="401"/>
    </row>
  </sheetData>
  <mergeCells count="4">
    <mergeCell ref="B5:C5"/>
    <mergeCell ref="B12:D12"/>
    <mergeCell ref="B25:C25"/>
    <mergeCell ref="B32:D32"/>
  </mergeCells>
  <pageMargins left="0.35" right="0.33"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7"/>
  <dimension ref="B22:O82"/>
  <sheetViews>
    <sheetView topLeftCell="A10" workbookViewId="0">
      <selection activeCell="J18" sqref="J18"/>
    </sheetView>
  </sheetViews>
  <sheetFormatPr baseColWidth="10" defaultRowHeight="12.75" x14ac:dyDescent="0.2"/>
  <cols>
    <col min="2" max="2" width="17.140625" customWidth="1"/>
    <col min="3" max="3" width="16" customWidth="1"/>
    <col min="4" max="4" width="16.5703125" customWidth="1"/>
    <col min="5" max="5" width="11.5703125" bestFit="1" customWidth="1"/>
    <col min="6" max="6" width="14.5703125" bestFit="1" customWidth="1"/>
    <col min="7" max="7" width="13" bestFit="1" customWidth="1"/>
    <col min="8" max="8" width="13.85546875" customWidth="1"/>
    <col min="10" max="10" width="26.5703125" customWidth="1"/>
    <col min="12" max="12" width="14.5703125" bestFit="1" customWidth="1"/>
    <col min="13" max="13" width="18.7109375" customWidth="1"/>
  </cols>
  <sheetData>
    <row r="22" spans="2:4" ht="15.75" x14ac:dyDescent="0.25">
      <c r="B22" s="77" t="s">
        <v>813</v>
      </c>
      <c r="C22" s="1453"/>
      <c r="D22" s="1453"/>
    </row>
    <row r="23" spans="2:4" ht="15.75" thickBot="1" x14ac:dyDescent="0.25">
      <c r="B23" s="1453"/>
      <c r="C23" s="1453"/>
      <c r="D23" s="1453"/>
    </row>
    <row r="24" spans="2:4" s="764" customFormat="1" ht="15.75" x14ac:dyDescent="0.25">
      <c r="B24" s="1454" t="s">
        <v>48</v>
      </c>
      <c r="C24" s="1455" t="s">
        <v>37</v>
      </c>
      <c r="D24" s="1456" t="s">
        <v>814</v>
      </c>
    </row>
    <row r="25" spans="2:4" s="42" customFormat="1" ht="77.25" customHeight="1" thickBot="1" x14ac:dyDescent="0.3">
      <c r="B25" s="1457" t="s">
        <v>817</v>
      </c>
      <c r="C25" s="1459">
        <v>40000</v>
      </c>
      <c r="D25" s="1458" t="s">
        <v>815</v>
      </c>
    </row>
    <row r="28" spans="2:4" ht="15.75" x14ac:dyDescent="0.25">
      <c r="B28" s="996" t="s">
        <v>816</v>
      </c>
    </row>
    <row r="34" spans="2:8" s="764" customFormat="1" ht="20.100000000000001" customHeight="1" x14ac:dyDescent="0.2">
      <c r="C34" s="1474" t="s">
        <v>149</v>
      </c>
      <c r="D34" s="1474" t="s">
        <v>822</v>
      </c>
      <c r="E34" s="1474" t="s">
        <v>823</v>
      </c>
      <c r="F34" s="1474" t="s">
        <v>624</v>
      </c>
      <c r="G34" s="1474" t="s">
        <v>824</v>
      </c>
      <c r="H34" s="1474" t="s">
        <v>825</v>
      </c>
    </row>
    <row r="35" spans="2:8" ht="20.100000000000001" customHeight="1" x14ac:dyDescent="0.2">
      <c r="C35" s="430" t="s">
        <v>820</v>
      </c>
      <c r="D35" s="430" t="s">
        <v>821</v>
      </c>
      <c r="E35" s="458">
        <f>85000/609</f>
        <v>139.57307060755338</v>
      </c>
      <c r="F35" s="429">
        <v>609</v>
      </c>
      <c r="G35" s="429">
        <v>85000</v>
      </c>
      <c r="H35" s="319" t="s">
        <v>826</v>
      </c>
    </row>
    <row r="36" spans="2:8" ht="20.100000000000001" customHeight="1" x14ac:dyDescent="0.2">
      <c r="C36" s="319" t="s">
        <v>827</v>
      </c>
      <c r="D36" s="319" t="s">
        <v>827</v>
      </c>
      <c r="E36" s="458">
        <f>121800/609</f>
        <v>200</v>
      </c>
      <c r="F36" s="429">
        <v>609</v>
      </c>
      <c r="G36" s="429">
        <v>121800</v>
      </c>
      <c r="H36" s="319" t="s">
        <v>826</v>
      </c>
    </row>
    <row r="37" spans="2:8" s="42" customFormat="1" ht="20.100000000000001" customHeight="1" x14ac:dyDescent="0.2">
      <c r="C37" s="3230" t="s">
        <v>18</v>
      </c>
      <c r="D37" s="3231"/>
      <c r="E37" s="367">
        <f>SUM(E35:E36)</f>
        <v>339.5730706075534</v>
      </c>
      <c r="F37" s="367"/>
      <c r="G37" s="367">
        <f>SUM(G35:G36)</f>
        <v>206800</v>
      </c>
      <c r="H37" s="319" t="s">
        <v>826</v>
      </c>
    </row>
    <row r="38" spans="2:8" x14ac:dyDescent="0.2">
      <c r="E38" s="476"/>
      <c r="F38" s="476"/>
      <c r="G38" s="476"/>
    </row>
    <row r="44" spans="2:8" x14ac:dyDescent="0.2">
      <c r="C44" s="42" t="s">
        <v>842</v>
      </c>
    </row>
    <row r="47" spans="2:8" x14ac:dyDescent="0.2">
      <c r="C47" s="42" t="s">
        <v>844</v>
      </c>
    </row>
    <row r="48" spans="2:8" s="1478" customFormat="1" ht="25.5" x14ac:dyDescent="0.2">
      <c r="B48" s="327" t="s">
        <v>164</v>
      </c>
      <c r="C48" s="327" t="s">
        <v>828</v>
      </c>
      <c r="D48" s="1006" t="s">
        <v>832</v>
      </c>
      <c r="E48" s="327" t="s">
        <v>838</v>
      </c>
      <c r="F48" s="327" t="s">
        <v>37</v>
      </c>
    </row>
    <row r="49" spans="2:11" ht="20.100000000000001" customHeight="1" x14ac:dyDescent="0.2">
      <c r="B49" s="1477">
        <v>42102</v>
      </c>
      <c r="C49" s="740" t="s">
        <v>829</v>
      </c>
      <c r="D49" s="365" t="s">
        <v>836</v>
      </c>
      <c r="E49" s="740" t="s">
        <v>839</v>
      </c>
      <c r="F49" s="1475">
        <v>1806000</v>
      </c>
    </row>
    <row r="50" spans="2:11" ht="20.100000000000001" customHeight="1" x14ac:dyDescent="0.2">
      <c r="B50" s="1477">
        <v>42103</v>
      </c>
      <c r="C50" s="740" t="s">
        <v>830</v>
      </c>
      <c r="D50" s="319" t="s">
        <v>833</v>
      </c>
      <c r="E50" s="740" t="s">
        <v>831</v>
      </c>
      <c r="F50" s="1475">
        <v>294000</v>
      </c>
    </row>
    <row r="51" spans="2:11" ht="20.100000000000001" customHeight="1" x14ac:dyDescent="0.2">
      <c r="B51" s="1477">
        <v>42103</v>
      </c>
      <c r="C51" s="740" t="s">
        <v>830</v>
      </c>
      <c r="D51" s="319" t="s">
        <v>834</v>
      </c>
      <c r="E51" s="740" t="s">
        <v>831</v>
      </c>
      <c r="F51" s="1475">
        <v>1020000</v>
      </c>
    </row>
    <row r="52" spans="2:11" ht="20.100000000000001" customHeight="1" x14ac:dyDescent="0.2">
      <c r="B52" s="1477">
        <v>42103</v>
      </c>
      <c r="C52" s="740" t="s">
        <v>830</v>
      </c>
      <c r="D52" s="319" t="s">
        <v>835</v>
      </c>
      <c r="E52" s="740" t="s">
        <v>831</v>
      </c>
      <c r="F52" s="1475">
        <v>402000</v>
      </c>
    </row>
    <row r="53" spans="2:11" ht="20.100000000000001" customHeight="1" x14ac:dyDescent="0.2">
      <c r="B53" s="1480">
        <v>42146</v>
      </c>
      <c r="C53" s="740" t="s">
        <v>829</v>
      </c>
      <c r="D53" s="319" t="s">
        <v>837</v>
      </c>
      <c r="E53" s="740" t="s">
        <v>840</v>
      </c>
      <c r="F53" s="1475">
        <v>30000000</v>
      </c>
    </row>
    <row r="54" spans="2:11" ht="20.100000000000001" customHeight="1" x14ac:dyDescent="0.2">
      <c r="B54" s="1477">
        <v>42146</v>
      </c>
      <c r="C54" s="740" t="s">
        <v>829</v>
      </c>
      <c r="D54" s="365" t="s">
        <v>841</v>
      </c>
      <c r="E54" s="740" t="s">
        <v>840</v>
      </c>
      <c r="F54" s="1475">
        <v>3926262</v>
      </c>
    </row>
    <row r="55" spans="2:11" ht="27.75" customHeight="1" x14ac:dyDescent="0.25">
      <c r="B55" s="3232" t="s">
        <v>49</v>
      </c>
      <c r="C55" s="3233"/>
      <c r="D55" s="3233"/>
      <c r="E55" s="3234"/>
      <c r="F55" s="1479">
        <f>SUM(F49:F54)</f>
        <v>37448262</v>
      </c>
    </row>
    <row r="56" spans="2:11" x14ac:dyDescent="0.2">
      <c r="B56" s="691"/>
      <c r="C56" s="691"/>
      <c r="D56" s="691"/>
      <c r="E56" s="691"/>
      <c r="F56" s="701"/>
    </row>
    <row r="57" spans="2:11" ht="14.25" x14ac:dyDescent="0.2">
      <c r="C57" s="1484" t="s">
        <v>843</v>
      </c>
      <c r="D57" s="1484"/>
      <c r="E57" s="1484"/>
      <c r="F57" s="1484"/>
      <c r="H57" s="1481">
        <v>1</v>
      </c>
      <c r="I57" s="1481">
        <v>3</v>
      </c>
      <c r="J57" s="1481">
        <v>12</v>
      </c>
      <c r="K57" s="1481">
        <v>13</v>
      </c>
    </row>
    <row r="58" spans="2:11" ht="20.100000000000001" customHeight="1" x14ac:dyDescent="0.2">
      <c r="B58" s="1480">
        <v>42095</v>
      </c>
      <c r="C58" s="430"/>
      <c r="D58" s="1476"/>
      <c r="E58" s="1476"/>
      <c r="F58" s="267">
        <v>1571400</v>
      </c>
      <c r="H58" s="1090"/>
      <c r="I58" s="1090"/>
      <c r="J58" s="1090"/>
      <c r="K58" s="1090"/>
    </row>
    <row r="59" spans="2:11" ht="20.100000000000001" customHeight="1" x14ac:dyDescent="0.2">
      <c r="B59" s="1480">
        <v>42097</v>
      </c>
      <c r="C59" s="430"/>
      <c r="D59" s="1476"/>
      <c r="E59" s="1476"/>
      <c r="F59" s="267">
        <v>240000</v>
      </c>
      <c r="H59" s="1090"/>
      <c r="I59" s="1090"/>
      <c r="J59" s="1090"/>
      <c r="K59" s="1090"/>
    </row>
    <row r="60" spans="2:11" ht="20.100000000000001" customHeight="1" x14ac:dyDescent="0.2">
      <c r="B60" s="1480">
        <v>42137</v>
      </c>
      <c r="C60" s="430"/>
      <c r="D60" s="1476"/>
      <c r="E60" s="1476"/>
      <c r="F60" s="267">
        <v>300000</v>
      </c>
      <c r="H60" s="1090"/>
      <c r="I60" s="1090"/>
      <c r="J60" s="1090"/>
      <c r="K60" s="1090"/>
    </row>
    <row r="61" spans="2:11" ht="20.100000000000001" customHeight="1" x14ac:dyDescent="0.2">
      <c r="B61" s="1480">
        <v>42137</v>
      </c>
      <c r="C61" s="430"/>
      <c r="D61" s="1476"/>
      <c r="E61" s="1476"/>
      <c r="F61" s="267"/>
      <c r="H61" s="1090"/>
      <c r="I61" s="1090"/>
      <c r="J61" s="1090"/>
      <c r="K61" s="1090"/>
    </row>
    <row r="62" spans="2:11" ht="20.100000000000001" customHeight="1" x14ac:dyDescent="0.2">
      <c r="B62" s="3232" t="s">
        <v>50</v>
      </c>
      <c r="C62" s="3233"/>
      <c r="D62" s="3233"/>
      <c r="E62" s="3235"/>
      <c r="F62" s="1482">
        <f>SUM(F58:F61)</f>
        <v>2111400</v>
      </c>
      <c r="H62" s="1090">
        <v>1571400</v>
      </c>
      <c r="I62" s="1090">
        <v>240000</v>
      </c>
      <c r="J62" s="1090"/>
      <c r="K62" s="1090">
        <v>300000</v>
      </c>
    </row>
    <row r="63" spans="2:11" ht="43.5" customHeight="1" x14ac:dyDescent="0.25">
      <c r="B63" s="3236" t="s">
        <v>125</v>
      </c>
      <c r="C63" s="3237"/>
      <c r="D63" s="3237"/>
      <c r="E63" s="3238"/>
      <c r="F63" s="1483">
        <f>+F55+F62</f>
        <v>39559662</v>
      </c>
    </row>
    <row r="64" spans="2:11" x14ac:dyDescent="0.2">
      <c r="B64" s="364"/>
      <c r="C64" s="364"/>
      <c r="D64" s="701"/>
      <c r="E64" s="701"/>
      <c r="F64" s="701"/>
    </row>
    <row r="65" spans="2:15" x14ac:dyDescent="0.2">
      <c r="B65" s="364"/>
      <c r="C65" s="364"/>
      <c r="D65" s="701"/>
      <c r="E65" s="701"/>
      <c r="F65" s="701"/>
    </row>
    <row r="66" spans="2:15" x14ac:dyDescent="0.2">
      <c r="B66" s="364"/>
      <c r="C66" s="364"/>
      <c r="D66" s="701"/>
      <c r="E66" s="701"/>
      <c r="F66" s="701"/>
    </row>
    <row r="67" spans="2:15" x14ac:dyDescent="0.2">
      <c r="B67" s="364"/>
      <c r="C67" s="364"/>
      <c r="D67" s="701"/>
      <c r="E67" s="701"/>
      <c r="F67" s="701"/>
    </row>
    <row r="68" spans="2:15" x14ac:dyDescent="0.2">
      <c r="B68" s="701"/>
      <c r="C68" s="701"/>
      <c r="D68" s="701"/>
      <c r="E68" s="701"/>
      <c r="F68" s="701"/>
    </row>
    <row r="69" spans="2:15" ht="15.75" x14ac:dyDescent="0.25">
      <c r="B69" s="1487" t="s">
        <v>851</v>
      </c>
      <c r="C69" s="701"/>
      <c r="D69" s="701"/>
      <c r="E69" s="701"/>
      <c r="F69" s="701"/>
    </row>
    <row r="70" spans="2:15" ht="13.5" thickBot="1" x14ac:dyDescent="0.25">
      <c r="B70" s="364"/>
      <c r="C70" s="701"/>
      <c r="D70" s="701"/>
      <c r="E70" s="701"/>
      <c r="F70" s="701"/>
    </row>
    <row r="71" spans="2:15" ht="20.100000000000001" customHeight="1" x14ac:dyDescent="0.3">
      <c r="B71" s="1488" t="s">
        <v>845</v>
      </c>
      <c r="C71" s="1490">
        <v>43621193</v>
      </c>
      <c r="D71" s="701"/>
      <c r="E71" s="701"/>
      <c r="F71" s="701"/>
      <c r="H71" s="3239" t="s">
        <v>857</v>
      </c>
      <c r="I71" s="3240"/>
      <c r="J71" s="3240"/>
      <c r="K71" s="3225" t="s">
        <v>856</v>
      </c>
      <c r="L71" s="3225"/>
      <c r="M71" s="3226" t="s">
        <v>859</v>
      </c>
    </row>
    <row r="72" spans="2:15" ht="20.100000000000001" customHeight="1" x14ac:dyDescent="0.35">
      <c r="B72" s="1485" t="s">
        <v>853</v>
      </c>
      <c r="C72" s="1486">
        <v>13337048</v>
      </c>
      <c r="D72" s="701"/>
      <c r="E72" s="701"/>
      <c r="F72" s="701"/>
      <c r="H72" s="1500" t="s">
        <v>858</v>
      </c>
      <c r="I72" s="1498" t="s">
        <v>184</v>
      </c>
      <c r="J72" s="1507" t="s">
        <v>37</v>
      </c>
      <c r="K72" s="1498" t="s">
        <v>184</v>
      </c>
      <c r="L72" s="1498" t="s">
        <v>255</v>
      </c>
      <c r="M72" s="3227"/>
    </row>
    <row r="73" spans="2:15" ht="20.100000000000001" customHeight="1" x14ac:dyDescent="0.35">
      <c r="B73" s="1494" t="s">
        <v>415</v>
      </c>
      <c r="C73" s="1493">
        <f>+F63</f>
        <v>39559662</v>
      </c>
      <c r="H73" s="1502" t="s">
        <v>860</v>
      </c>
      <c r="I73" s="153">
        <v>333421</v>
      </c>
      <c r="J73" s="54">
        <v>2310390</v>
      </c>
      <c r="K73" s="153">
        <v>28735</v>
      </c>
      <c r="L73" s="170">
        <v>3870</v>
      </c>
      <c r="M73" s="1503" t="s">
        <v>310</v>
      </c>
      <c r="N73" s="39"/>
      <c r="O73" s="416"/>
    </row>
    <row r="74" spans="2:15" ht="20.100000000000001" customHeight="1" x14ac:dyDescent="0.35">
      <c r="B74" s="1491" t="s">
        <v>847</v>
      </c>
      <c r="C74" s="1489">
        <f>+C71+C72-C73</f>
        <v>17398579</v>
      </c>
      <c r="H74" s="1502" t="s">
        <v>860</v>
      </c>
      <c r="I74" s="153">
        <v>333419</v>
      </c>
      <c r="J74" s="54">
        <v>728412</v>
      </c>
      <c r="K74" s="153">
        <v>28733</v>
      </c>
      <c r="L74" s="170">
        <v>1202</v>
      </c>
      <c r="M74" s="1503" t="s">
        <v>861</v>
      </c>
    </row>
    <row r="75" spans="2:15" ht="42.75" customHeight="1" x14ac:dyDescent="0.35">
      <c r="B75" s="455"/>
      <c r="C75" s="459"/>
      <c r="H75" s="3228" t="s">
        <v>18</v>
      </c>
      <c r="I75" s="3229"/>
      <c r="J75" s="54">
        <f>SUM(J73:J74)</f>
        <v>3038802</v>
      </c>
      <c r="K75" s="153"/>
      <c r="L75" s="170">
        <f>SUM(L73:L74)</f>
        <v>5072</v>
      </c>
      <c r="M75" s="1503"/>
    </row>
    <row r="76" spans="2:15" ht="8.25" customHeight="1" x14ac:dyDescent="0.2"/>
    <row r="77" spans="2:15" ht="20.100000000000001" customHeight="1" thickBot="1" x14ac:dyDescent="0.3">
      <c r="B77" s="1487" t="s">
        <v>852</v>
      </c>
    </row>
    <row r="78" spans="2:15" ht="20.100000000000001" customHeight="1" x14ac:dyDescent="0.2">
      <c r="B78" s="1488" t="s">
        <v>850</v>
      </c>
      <c r="C78" s="1489">
        <v>17398579</v>
      </c>
    </row>
    <row r="79" spans="2:15" ht="20.100000000000001" customHeight="1" x14ac:dyDescent="0.2">
      <c r="B79" s="1485" t="s">
        <v>846</v>
      </c>
      <c r="C79" s="459"/>
    </row>
    <row r="80" spans="2:15" x14ac:dyDescent="0.2">
      <c r="B80" s="67" t="s">
        <v>848</v>
      </c>
      <c r="C80" s="459">
        <v>2525324</v>
      </c>
    </row>
    <row r="81" spans="2:3" x14ac:dyDescent="0.2">
      <c r="B81" s="1494" t="s">
        <v>849</v>
      </c>
      <c r="C81" s="1492">
        <v>0</v>
      </c>
    </row>
    <row r="82" spans="2:3" ht="26.25" thickBot="1" x14ac:dyDescent="0.25">
      <c r="B82" s="1495" t="s">
        <v>854</v>
      </c>
      <c r="C82" s="1496">
        <f>+C74+C80</f>
        <v>19923903</v>
      </c>
    </row>
  </sheetData>
  <mergeCells count="8">
    <mergeCell ref="K71:L71"/>
    <mergeCell ref="M71:M72"/>
    <mergeCell ref="H75:I75"/>
    <mergeCell ref="C37:D37"/>
    <mergeCell ref="B55:E55"/>
    <mergeCell ref="B62:E62"/>
    <mergeCell ref="B63:E63"/>
    <mergeCell ref="H71:J71"/>
  </mergeCell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8"/>
  <dimension ref="A1:G66"/>
  <sheetViews>
    <sheetView workbookViewId="0">
      <selection activeCell="J18" sqref="J18"/>
    </sheetView>
  </sheetViews>
  <sheetFormatPr baseColWidth="10" defaultRowHeight="12.75" x14ac:dyDescent="0.2"/>
  <cols>
    <col min="1" max="1" width="9" customWidth="1"/>
    <col min="2" max="2" width="19.140625" customWidth="1"/>
    <col min="3" max="3" width="18.42578125" customWidth="1"/>
    <col min="4" max="4" width="9.5703125" customWidth="1"/>
    <col min="5" max="5" width="13.140625" customWidth="1"/>
    <col min="6" max="6" width="18.140625" customWidth="1"/>
    <col min="7" max="7" width="14.85546875" customWidth="1"/>
  </cols>
  <sheetData>
    <row r="1" spans="1:7" ht="15" x14ac:dyDescent="0.25">
      <c r="A1" s="69" t="s">
        <v>170</v>
      </c>
      <c r="B1" s="42"/>
    </row>
    <row r="2" spans="1:7" ht="15" x14ac:dyDescent="0.25">
      <c r="A2" s="69" t="s">
        <v>212</v>
      </c>
      <c r="B2" s="42"/>
    </row>
    <row r="3" spans="1:7" x14ac:dyDescent="0.2">
      <c r="A3" s="42"/>
      <c r="B3" s="42"/>
    </row>
    <row r="4" spans="1:7" ht="13.5" thickBot="1" x14ac:dyDescent="0.25">
      <c r="C4" s="42" t="s">
        <v>868</v>
      </c>
    </row>
    <row r="5" spans="1:7" s="764" customFormat="1" ht="13.5" thickBot="1" x14ac:dyDescent="0.25">
      <c r="A5" s="1512" t="s">
        <v>3</v>
      </c>
      <c r="B5" s="1512" t="s">
        <v>866</v>
      </c>
      <c r="C5" s="1512" t="s">
        <v>865</v>
      </c>
      <c r="D5" s="1513" t="s">
        <v>121</v>
      </c>
      <c r="E5" s="1512" t="s">
        <v>267</v>
      </c>
      <c r="F5" s="1512" t="s">
        <v>39</v>
      </c>
      <c r="G5" s="1512" t="s">
        <v>867</v>
      </c>
    </row>
    <row r="6" spans="1:7" ht="24.95" customHeight="1" thickBot="1" x14ac:dyDescent="0.25">
      <c r="A6" s="682"/>
      <c r="B6" s="682"/>
      <c r="C6" s="682"/>
      <c r="D6" s="682"/>
      <c r="E6" s="682"/>
      <c r="F6" s="682"/>
      <c r="G6" s="682"/>
    </row>
    <row r="7" spans="1:7" ht="24.95" customHeight="1" thickBot="1" x14ac:dyDescent="0.25">
      <c r="A7" s="682"/>
      <c r="B7" s="682"/>
      <c r="C7" s="682"/>
      <c r="D7" s="682"/>
      <c r="E7" s="682"/>
      <c r="F7" s="682"/>
      <c r="G7" s="682"/>
    </row>
    <row r="8" spans="1:7" ht="24.95" customHeight="1" thickBot="1" x14ac:dyDescent="0.25">
      <c r="A8" s="682"/>
      <c r="B8" s="682"/>
      <c r="C8" s="682"/>
      <c r="D8" s="682"/>
      <c r="E8" s="682"/>
      <c r="F8" s="682"/>
      <c r="G8" s="682"/>
    </row>
    <row r="9" spans="1:7" ht="24.95" customHeight="1" thickBot="1" x14ac:dyDescent="0.25">
      <c r="A9" s="682"/>
      <c r="B9" s="682"/>
      <c r="C9" s="682"/>
      <c r="D9" s="682"/>
      <c r="E9" s="682"/>
      <c r="F9" s="682"/>
      <c r="G9" s="682"/>
    </row>
    <row r="10" spans="1:7" ht="24.95" customHeight="1" thickBot="1" x14ac:dyDescent="0.25">
      <c r="A10" s="682"/>
      <c r="B10" s="682"/>
      <c r="C10" s="682"/>
      <c r="D10" s="682"/>
      <c r="E10" s="682"/>
      <c r="F10" s="682"/>
      <c r="G10" s="682"/>
    </row>
    <row r="11" spans="1:7" ht="24.95" customHeight="1" thickBot="1" x14ac:dyDescent="0.25">
      <c r="A11" s="682"/>
      <c r="B11" s="682"/>
      <c r="C11" s="682"/>
      <c r="D11" s="682"/>
      <c r="E11" s="682"/>
      <c r="F11" s="682"/>
      <c r="G11" s="682"/>
    </row>
    <row r="12" spans="1:7" ht="24.95" customHeight="1" thickBot="1" x14ac:dyDescent="0.25">
      <c r="A12" s="682"/>
      <c r="B12" s="682"/>
      <c r="C12" s="682"/>
      <c r="D12" s="682"/>
      <c r="E12" s="682"/>
      <c r="F12" s="682"/>
      <c r="G12" s="682"/>
    </row>
    <row r="13" spans="1:7" ht="24.95" customHeight="1" thickBot="1" x14ac:dyDescent="0.25">
      <c r="A13" s="682"/>
      <c r="B13" s="682"/>
      <c r="C13" s="682"/>
      <c r="D13" s="682"/>
      <c r="E13" s="682"/>
      <c r="F13" s="682"/>
      <c r="G13" s="682"/>
    </row>
    <row r="14" spans="1:7" ht="24.95" customHeight="1" thickBot="1" x14ac:dyDescent="0.25">
      <c r="A14" s="682"/>
      <c r="B14" s="682"/>
      <c r="C14" s="682"/>
      <c r="D14" s="682"/>
      <c r="E14" s="682"/>
      <c r="F14" s="682"/>
      <c r="G14" s="682"/>
    </row>
    <row r="15" spans="1:7" ht="24.95" customHeight="1" thickBot="1" x14ac:dyDescent="0.25">
      <c r="A15" s="682"/>
      <c r="B15" s="682"/>
      <c r="C15" s="682"/>
      <c r="D15" s="682"/>
      <c r="E15" s="682"/>
      <c r="F15" s="682"/>
      <c r="G15" s="682"/>
    </row>
    <row r="16" spans="1:7" ht="24.95" customHeight="1" thickBot="1" x14ac:dyDescent="0.25">
      <c r="A16" s="682"/>
      <c r="B16" s="682"/>
      <c r="C16" s="682"/>
      <c r="D16" s="682"/>
      <c r="E16" s="682"/>
      <c r="F16" s="682"/>
      <c r="G16" s="682"/>
    </row>
    <row r="17" spans="1:7" ht="24.95" customHeight="1" thickBot="1" x14ac:dyDescent="0.25">
      <c r="A17" s="682"/>
      <c r="B17" s="682"/>
      <c r="C17" s="682"/>
      <c r="D17" s="682"/>
      <c r="E17" s="682"/>
      <c r="F17" s="682"/>
      <c r="G17" s="682"/>
    </row>
    <row r="18" spans="1:7" ht="24.95" customHeight="1" thickBot="1" x14ac:dyDescent="0.25">
      <c r="A18" s="682"/>
      <c r="B18" s="682"/>
      <c r="C18" s="682"/>
      <c r="D18" s="682"/>
      <c r="E18" s="682"/>
      <c r="F18" s="682"/>
      <c r="G18" s="682"/>
    </row>
    <row r="19" spans="1:7" ht="24.95" customHeight="1" thickBot="1" x14ac:dyDescent="0.25">
      <c r="A19" s="682"/>
      <c r="B19" s="682"/>
      <c r="C19" s="682"/>
      <c r="D19" s="682"/>
      <c r="E19" s="682"/>
      <c r="F19" s="682"/>
      <c r="G19" s="682"/>
    </row>
    <row r="20" spans="1:7" ht="24.95" customHeight="1" thickBot="1" x14ac:dyDescent="0.25">
      <c r="A20" s="682"/>
      <c r="B20" s="682"/>
      <c r="C20" s="682"/>
      <c r="D20" s="682"/>
      <c r="E20" s="682"/>
      <c r="F20" s="682"/>
      <c r="G20" s="682"/>
    </row>
    <row r="21" spans="1:7" ht="24.95" customHeight="1" thickBot="1" x14ac:dyDescent="0.25">
      <c r="A21" s="682"/>
      <c r="B21" s="682"/>
      <c r="C21" s="682"/>
      <c r="D21" s="682"/>
      <c r="E21" s="682"/>
      <c r="F21" s="682"/>
      <c r="G21" s="682"/>
    </row>
    <row r="22" spans="1:7" ht="24.95" customHeight="1" thickBot="1" x14ac:dyDescent="0.25">
      <c r="A22" s="682"/>
      <c r="B22" s="682"/>
      <c r="C22" s="682"/>
      <c r="D22" s="682"/>
      <c r="E22" s="682"/>
      <c r="F22" s="682"/>
      <c r="G22" s="682"/>
    </row>
    <row r="23" spans="1:7" ht="24.95" customHeight="1" thickBot="1" x14ac:dyDescent="0.25">
      <c r="A23" s="682"/>
      <c r="B23" s="682"/>
      <c r="C23" s="682"/>
      <c r="D23" s="682"/>
      <c r="E23" s="682"/>
      <c r="F23" s="682"/>
      <c r="G23" s="682"/>
    </row>
    <row r="24" spans="1:7" ht="24.95" customHeight="1" thickBot="1" x14ac:dyDescent="0.25">
      <c r="A24" s="682"/>
      <c r="B24" s="682"/>
      <c r="C24" s="682"/>
      <c r="D24" s="682"/>
      <c r="E24" s="682"/>
      <c r="F24" s="682"/>
      <c r="G24" s="682"/>
    </row>
    <row r="25" spans="1:7" ht="24.95" customHeight="1" thickBot="1" x14ac:dyDescent="0.25">
      <c r="A25" s="682"/>
      <c r="B25" s="682"/>
      <c r="C25" s="682"/>
      <c r="D25" s="682"/>
      <c r="E25" s="682"/>
      <c r="F25" s="682"/>
      <c r="G25" s="682"/>
    </row>
    <row r="26" spans="1:7" ht="24.95" customHeight="1" thickBot="1" x14ac:dyDescent="0.25">
      <c r="A26" s="682"/>
      <c r="B26" s="682"/>
      <c r="C26" s="682"/>
      <c r="D26" s="682"/>
      <c r="E26" s="682"/>
      <c r="F26" s="682"/>
      <c r="G26" s="682"/>
    </row>
    <row r="27" spans="1:7" ht="24.95" customHeight="1" thickBot="1" x14ac:dyDescent="0.25">
      <c r="A27" s="682"/>
      <c r="B27" s="682"/>
      <c r="C27" s="682"/>
      <c r="D27" s="682"/>
      <c r="E27" s="682"/>
      <c r="F27" s="682"/>
      <c r="G27" s="682"/>
    </row>
    <row r="28" spans="1:7" ht="24.95" customHeight="1" thickBot="1" x14ac:dyDescent="0.25">
      <c r="A28" s="682"/>
      <c r="B28" s="682"/>
      <c r="C28" s="682"/>
      <c r="D28" s="682"/>
      <c r="E28" s="682"/>
      <c r="F28" s="682"/>
      <c r="G28" s="682"/>
    </row>
    <row r="29" spans="1:7" ht="24.95" customHeight="1" thickBot="1" x14ac:dyDescent="0.25">
      <c r="A29" s="682"/>
      <c r="B29" s="682"/>
      <c r="C29" s="682"/>
      <c r="D29" s="682"/>
      <c r="E29" s="682"/>
      <c r="F29" s="682"/>
      <c r="G29" s="682"/>
    </row>
    <row r="30" spans="1:7" ht="24.95" customHeight="1" thickBot="1" x14ac:dyDescent="0.25">
      <c r="A30" s="682"/>
      <c r="B30" s="682"/>
      <c r="C30" s="682"/>
      <c r="D30" s="682"/>
      <c r="E30" s="682"/>
      <c r="F30" s="682"/>
      <c r="G30" s="682"/>
    </row>
    <row r="31" spans="1:7" ht="24.95" customHeight="1" thickBot="1" x14ac:dyDescent="0.25">
      <c r="A31" s="682"/>
      <c r="B31" s="682"/>
      <c r="C31" s="682"/>
      <c r="D31" s="682"/>
      <c r="E31" s="682"/>
      <c r="F31" s="682"/>
      <c r="G31" s="682"/>
    </row>
    <row r="32" spans="1:7" ht="24.95" customHeight="1" thickBot="1" x14ac:dyDescent="0.25">
      <c r="A32" s="682"/>
      <c r="B32" s="682"/>
      <c r="C32" s="682"/>
      <c r="D32" s="682"/>
      <c r="E32" s="682"/>
      <c r="F32" s="682"/>
      <c r="G32" s="682"/>
    </row>
    <row r="33" spans="1:7" ht="24.95" customHeight="1" thickBot="1" x14ac:dyDescent="0.25">
      <c r="A33" s="682"/>
      <c r="B33" s="682"/>
      <c r="C33" s="682"/>
      <c r="D33" s="682"/>
      <c r="E33" s="682"/>
      <c r="F33" s="682"/>
      <c r="G33" s="682"/>
    </row>
    <row r="34" spans="1:7" ht="24.95" customHeight="1" thickBot="1" x14ac:dyDescent="0.25">
      <c r="A34" s="682"/>
      <c r="B34" s="682"/>
      <c r="C34" s="682"/>
      <c r="D34" s="682"/>
      <c r="E34" s="682"/>
      <c r="F34" s="682"/>
      <c r="G34" s="682"/>
    </row>
    <row r="35" spans="1:7" ht="24.95" customHeight="1" thickBot="1" x14ac:dyDescent="0.25">
      <c r="A35" s="682"/>
      <c r="B35" s="682"/>
      <c r="C35" s="682"/>
      <c r="D35" s="682"/>
      <c r="E35" s="682"/>
      <c r="F35" s="682"/>
      <c r="G35" s="682"/>
    </row>
    <row r="36" spans="1:7" ht="24.95" customHeight="1" thickBot="1" x14ac:dyDescent="0.25">
      <c r="A36" s="682"/>
      <c r="B36" s="682"/>
      <c r="C36" s="682"/>
      <c r="D36" s="682"/>
      <c r="E36" s="682"/>
      <c r="F36" s="682"/>
      <c r="G36" s="682"/>
    </row>
    <row r="37" spans="1:7" ht="24.95" customHeight="1" thickBot="1" x14ac:dyDescent="0.25">
      <c r="A37" s="682"/>
      <c r="B37" s="682"/>
      <c r="C37" s="682"/>
      <c r="D37" s="682"/>
      <c r="E37" s="682"/>
      <c r="F37" s="682"/>
      <c r="G37" s="682"/>
    </row>
    <row r="38" spans="1:7" ht="24.95" customHeight="1" thickBot="1" x14ac:dyDescent="0.25">
      <c r="A38" s="682"/>
      <c r="B38" s="682"/>
      <c r="C38" s="682"/>
      <c r="D38" s="682"/>
      <c r="E38" s="682"/>
      <c r="F38" s="682"/>
      <c r="G38" s="682"/>
    </row>
    <row r="39" spans="1:7" ht="24.95" customHeight="1" thickBot="1" x14ac:dyDescent="0.25">
      <c r="A39" s="682"/>
      <c r="B39" s="682"/>
      <c r="C39" s="682"/>
      <c r="D39" s="682"/>
      <c r="E39" s="682"/>
      <c r="F39" s="682"/>
      <c r="G39" s="682"/>
    </row>
    <row r="40" spans="1:7" ht="24.95" customHeight="1" thickBot="1" x14ac:dyDescent="0.25">
      <c r="A40" s="682"/>
      <c r="B40" s="682"/>
      <c r="C40" s="682"/>
      <c r="D40" s="682"/>
      <c r="E40" s="682"/>
      <c r="F40" s="682"/>
      <c r="G40" s="682"/>
    </row>
    <row r="41" spans="1:7" ht="24.95" customHeight="1" thickBot="1" x14ac:dyDescent="0.25">
      <c r="A41" s="682"/>
      <c r="B41" s="682"/>
      <c r="C41" s="682"/>
      <c r="D41" s="682"/>
      <c r="E41" s="682"/>
      <c r="F41" s="682"/>
      <c r="G41" s="682"/>
    </row>
    <row r="42" spans="1:7" ht="24.95" customHeight="1" thickBot="1" x14ac:dyDescent="0.25">
      <c r="A42" s="682"/>
      <c r="B42" s="682"/>
      <c r="C42" s="682"/>
      <c r="D42" s="682"/>
      <c r="E42" s="682"/>
      <c r="F42" s="682"/>
      <c r="G42" s="682"/>
    </row>
    <row r="43" spans="1:7" ht="24.95" customHeight="1" thickBot="1" x14ac:dyDescent="0.25">
      <c r="A43" s="682"/>
      <c r="B43" s="682"/>
      <c r="C43" s="682"/>
      <c r="D43" s="682"/>
      <c r="E43" s="682"/>
      <c r="F43" s="682"/>
      <c r="G43" s="682"/>
    </row>
    <row r="44" spans="1:7" ht="24.95" customHeight="1" thickBot="1" x14ac:dyDescent="0.25">
      <c r="A44" s="682"/>
      <c r="B44" s="682"/>
      <c r="C44" s="682"/>
      <c r="D44" s="682"/>
      <c r="E44" s="682"/>
      <c r="F44" s="682"/>
      <c r="G44" s="682"/>
    </row>
    <row r="45" spans="1:7" ht="24.95" customHeight="1" thickBot="1" x14ac:dyDescent="0.25">
      <c r="A45" s="682"/>
      <c r="B45" s="682"/>
      <c r="C45" s="682"/>
      <c r="D45" s="682"/>
      <c r="E45" s="682"/>
      <c r="F45" s="682"/>
      <c r="G45" s="682"/>
    </row>
    <row r="46" spans="1:7" ht="24.95" customHeight="1" thickBot="1" x14ac:dyDescent="0.25">
      <c r="A46" s="682"/>
      <c r="B46" s="682"/>
      <c r="C46" s="682"/>
      <c r="D46" s="682"/>
      <c r="E46" s="682"/>
      <c r="F46" s="682"/>
      <c r="G46" s="682"/>
    </row>
    <row r="47" spans="1:7" ht="24.95" customHeight="1" thickBot="1" x14ac:dyDescent="0.25">
      <c r="A47" s="682"/>
      <c r="B47" s="682"/>
      <c r="C47" s="682"/>
      <c r="D47" s="682"/>
      <c r="E47" s="682"/>
      <c r="F47" s="682"/>
      <c r="G47" s="682"/>
    </row>
    <row r="48" spans="1:7" ht="24.95" customHeight="1" thickBot="1" x14ac:dyDescent="0.25">
      <c r="A48" s="682"/>
      <c r="B48" s="682"/>
      <c r="C48" s="682"/>
      <c r="D48" s="682"/>
      <c r="E48" s="682"/>
      <c r="F48" s="682"/>
      <c r="G48" s="682"/>
    </row>
    <row r="49" spans="1:7" ht="24.95" customHeight="1" thickBot="1" x14ac:dyDescent="0.25">
      <c r="A49" s="682"/>
      <c r="B49" s="682"/>
      <c r="C49" s="682"/>
      <c r="D49" s="682"/>
      <c r="E49" s="682"/>
      <c r="F49" s="682"/>
      <c r="G49" s="682"/>
    </row>
    <row r="50" spans="1:7" ht="24.95" customHeight="1" thickBot="1" x14ac:dyDescent="0.25">
      <c r="A50" s="682"/>
      <c r="B50" s="682"/>
      <c r="C50" s="682"/>
      <c r="D50" s="682"/>
      <c r="E50" s="682"/>
      <c r="F50" s="682"/>
      <c r="G50" s="682"/>
    </row>
    <row r="51" spans="1:7" ht="24.95" customHeight="1" thickBot="1" x14ac:dyDescent="0.25">
      <c r="A51" s="682"/>
      <c r="B51" s="682"/>
      <c r="C51" s="682"/>
      <c r="D51" s="682"/>
      <c r="E51" s="682"/>
      <c r="F51" s="682"/>
      <c r="G51" s="682"/>
    </row>
    <row r="52" spans="1:7" ht="24.95" customHeight="1" thickBot="1" x14ac:dyDescent="0.25">
      <c r="A52" s="682"/>
      <c r="B52" s="682"/>
      <c r="C52" s="682"/>
      <c r="D52" s="682"/>
      <c r="E52" s="682"/>
      <c r="F52" s="682"/>
      <c r="G52" s="682"/>
    </row>
    <row r="53" spans="1:7" ht="24.95" customHeight="1" thickBot="1" x14ac:dyDescent="0.25">
      <c r="A53" s="682"/>
      <c r="B53" s="682"/>
      <c r="C53" s="682"/>
      <c r="D53" s="682"/>
      <c r="E53" s="682"/>
      <c r="F53" s="682"/>
      <c r="G53" s="682"/>
    </row>
    <row r="54" spans="1:7" ht="24.95" customHeight="1" thickBot="1" x14ac:dyDescent="0.25">
      <c r="A54" s="682"/>
      <c r="B54" s="682"/>
      <c r="C54" s="682"/>
      <c r="D54" s="682"/>
      <c r="E54" s="682"/>
      <c r="F54" s="682"/>
      <c r="G54" s="682"/>
    </row>
    <row r="55" spans="1:7" ht="24.95" customHeight="1" thickBot="1" x14ac:dyDescent="0.25">
      <c r="A55" s="682"/>
      <c r="B55" s="682"/>
      <c r="C55" s="682"/>
      <c r="D55" s="682"/>
      <c r="E55" s="682"/>
      <c r="F55" s="682"/>
      <c r="G55" s="682"/>
    </row>
    <row r="56" spans="1:7" ht="24.95" customHeight="1" thickBot="1" x14ac:dyDescent="0.25">
      <c r="A56" s="682"/>
      <c r="B56" s="682"/>
      <c r="C56" s="682"/>
      <c r="D56" s="682"/>
      <c r="E56" s="682"/>
      <c r="F56" s="682"/>
      <c r="G56" s="682"/>
    </row>
    <row r="57" spans="1:7" ht="24.95" customHeight="1" thickBot="1" x14ac:dyDescent="0.25">
      <c r="A57" s="682"/>
      <c r="B57" s="682"/>
      <c r="C57" s="682"/>
      <c r="D57" s="682"/>
      <c r="E57" s="682"/>
      <c r="F57" s="682"/>
      <c r="G57" s="682"/>
    </row>
    <row r="58" spans="1:7" ht="24.95" customHeight="1" thickBot="1" x14ac:dyDescent="0.25">
      <c r="A58" s="682"/>
      <c r="B58" s="682"/>
      <c r="C58" s="682"/>
      <c r="D58" s="682"/>
      <c r="E58" s="682"/>
      <c r="F58" s="682"/>
      <c r="G58" s="682"/>
    </row>
    <row r="59" spans="1:7" ht="24.95" customHeight="1" thickBot="1" x14ac:dyDescent="0.25">
      <c r="A59" s="682"/>
      <c r="B59" s="682"/>
      <c r="C59" s="682"/>
      <c r="D59" s="682"/>
      <c r="E59" s="682"/>
      <c r="F59" s="682"/>
      <c r="G59" s="682"/>
    </row>
    <row r="60" spans="1:7" ht="24.95" customHeight="1" thickBot="1" x14ac:dyDescent="0.25">
      <c r="A60" s="682"/>
      <c r="B60" s="682"/>
      <c r="C60" s="682"/>
      <c r="D60" s="682"/>
      <c r="E60" s="682"/>
      <c r="F60" s="682"/>
      <c r="G60" s="682"/>
    </row>
    <row r="61" spans="1:7" ht="24.95" customHeight="1" thickBot="1" x14ac:dyDescent="0.25">
      <c r="A61" s="682"/>
      <c r="B61" s="682"/>
      <c r="C61" s="682"/>
      <c r="D61" s="682"/>
      <c r="E61" s="682"/>
      <c r="F61" s="682"/>
      <c r="G61" s="682"/>
    </row>
    <row r="62" spans="1:7" ht="24.95" customHeight="1" thickBot="1" x14ac:dyDescent="0.25">
      <c r="A62" s="682"/>
      <c r="B62" s="682"/>
      <c r="C62" s="682"/>
      <c r="D62" s="682"/>
      <c r="E62" s="682"/>
      <c r="F62" s="682"/>
      <c r="G62" s="682"/>
    </row>
    <row r="63" spans="1:7" ht="24.95" customHeight="1" thickBot="1" x14ac:dyDescent="0.25">
      <c r="A63" s="682"/>
      <c r="B63" s="682"/>
      <c r="C63" s="682"/>
      <c r="D63" s="682"/>
      <c r="E63" s="682"/>
      <c r="F63" s="682"/>
      <c r="G63" s="682"/>
    </row>
    <row r="64" spans="1:7" ht="24.95" customHeight="1" thickBot="1" x14ac:dyDescent="0.25">
      <c r="A64" s="682"/>
      <c r="B64" s="682"/>
      <c r="C64" s="682"/>
      <c r="D64" s="682"/>
      <c r="E64" s="682"/>
      <c r="F64" s="682"/>
      <c r="G64" s="682"/>
    </row>
    <row r="65" spans="1:7" ht="24.95" customHeight="1" thickBot="1" x14ac:dyDescent="0.25">
      <c r="A65" s="682"/>
      <c r="B65" s="682"/>
      <c r="C65" s="682"/>
      <c r="D65" s="682"/>
      <c r="E65" s="682"/>
      <c r="F65" s="682"/>
      <c r="G65" s="682"/>
    </row>
    <row r="66" spans="1:7" ht="24.95" customHeight="1" thickBot="1" x14ac:dyDescent="0.25">
      <c r="A66" s="682"/>
      <c r="B66" s="682"/>
      <c r="C66" s="682"/>
      <c r="D66" s="682"/>
      <c r="E66" s="682"/>
      <c r="F66" s="682"/>
      <c r="G66" s="682"/>
    </row>
  </sheetData>
  <printOptions horizontalCentered="1"/>
  <pageMargins left="0.19685039370078741" right="0.19685039370078741" top="0.39370078740157483" bottom="0.39370078740157483" header="0.31496062992125984" footer="0.31496062992125984"/>
  <pageSetup paperSize="9"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3">
    <pageSetUpPr fitToPage="1"/>
  </sheetPr>
  <dimension ref="A1:E14"/>
  <sheetViews>
    <sheetView workbookViewId="0">
      <selection activeCell="J18" sqref="J18"/>
    </sheetView>
  </sheetViews>
  <sheetFormatPr baseColWidth="10" defaultRowHeight="12.75" x14ac:dyDescent="0.2"/>
  <cols>
    <col min="1" max="1" width="25.7109375" customWidth="1"/>
    <col min="2" max="2" width="38" customWidth="1"/>
    <col min="3" max="3" width="42.85546875" customWidth="1"/>
    <col min="4" max="4" width="28.42578125" customWidth="1"/>
    <col min="5" max="5" width="28.5703125" customWidth="1"/>
  </cols>
  <sheetData>
    <row r="1" spans="1:5" ht="15.75" x14ac:dyDescent="0.25">
      <c r="A1" s="1073"/>
      <c r="B1" s="3242" t="s">
        <v>518</v>
      </c>
      <c r="C1" s="3242"/>
      <c r="D1" s="3242"/>
      <c r="E1" s="1060"/>
    </row>
    <row r="2" spans="1:5" x14ac:dyDescent="0.2">
      <c r="A2" s="1073"/>
      <c r="B2" s="1060"/>
      <c r="C2" s="1060"/>
      <c r="D2" s="1060"/>
      <c r="E2" s="1060"/>
    </row>
    <row r="3" spans="1:5" ht="13.5" thickBot="1" x14ac:dyDescent="0.25">
      <c r="A3" s="1073"/>
      <c r="B3" s="1060"/>
      <c r="C3" s="1060"/>
      <c r="D3" s="1060"/>
      <c r="E3" s="1060"/>
    </row>
    <row r="4" spans="1:5" ht="30" customHeight="1" thickBot="1" x14ac:dyDescent="0.3">
      <c r="A4" s="3213" t="s">
        <v>519</v>
      </c>
      <c r="B4" s="3213" t="s">
        <v>520</v>
      </c>
      <c r="C4" s="1370" t="s">
        <v>521</v>
      </c>
      <c r="D4" s="1371" t="s">
        <v>522</v>
      </c>
      <c r="E4" s="1372" t="s">
        <v>133</v>
      </c>
    </row>
    <row r="5" spans="1:5" ht="18.75" customHeight="1" x14ac:dyDescent="0.2">
      <c r="A5" s="3214"/>
      <c r="B5" s="3214"/>
      <c r="C5" s="1064"/>
      <c r="D5" s="1064"/>
      <c r="E5" s="1373"/>
    </row>
    <row r="6" spans="1:5" ht="30.75" customHeight="1" x14ac:dyDescent="0.2">
      <c r="A6" s="3218" t="s">
        <v>495</v>
      </c>
      <c r="B6" s="1576" t="s">
        <v>882</v>
      </c>
      <c r="C6" s="1571" t="s">
        <v>715</v>
      </c>
      <c r="D6" s="1375"/>
      <c r="E6" s="1375"/>
    </row>
    <row r="7" spans="1:5" ht="71.25" customHeight="1" thickBot="1" x14ac:dyDescent="0.35">
      <c r="A7" s="3219"/>
      <c r="B7" s="1577" t="s">
        <v>539</v>
      </c>
      <c r="C7" s="1581" t="s">
        <v>884</v>
      </c>
      <c r="D7" s="1378" t="s">
        <v>885</v>
      </c>
      <c r="E7" s="1570" t="s">
        <v>542</v>
      </c>
    </row>
    <row r="8" spans="1:5" ht="42.75" customHeight="1" x14ac:dyDescent="0.3">
      <c r="A8" s="3219"/>
      <c r="B8" s="1574" t="s">
        <v>883</v>
      </c>
      <c r="C8" s="1581" t="s">
        <v>895</v>
      </c>
      <c r="D8" s="1582" t="s">
        <v>887</v>
      </c>
      <c r="E8" s="1570" t="s">
        <v>886</v>
      </c>
    </row>
    <row r="9" spans="1:5" ht="30" customHeight="1" x14ac:dyDescent="0.3">
      <c r="A9" s="3241" t="s">
        <v>879</v>
      </c>
      <c r="B9" s="1578" t="s">
        <v>720</v>
      </c>
      <c r="C9" s="700" t="s">
        <v>878</v>
      </c>
      <c r="D9" s="1573" t="s">
        <v>888</v>
      </c>
      <c r="E9" s="1570"/>
    </row>
    <row r="10" spans="1:5" ht="47.25" customHeight="1" x14ac:dyDescent="0.3">
      <c r="A10" s="3241"/>
      <c r="B10" s="1579" t="s">
        <v>880</v>
      </c>
      <c r="C10" s="700" t="s">
        <v>881</v>
      </c>
      <c r="D10" s="1569" t="s">
        <v>889</v>
      </c>
      <c r="E10" s="1570"/>
    </row>
    <row r="11" spans="1:5" ht="24" customHeight="1" x14ac:dyDescent="0.3">
      <c r="A11" s="3241"/>
      <c r="B11" s="1580" t="s">
        <v>894</v>
      </c>
      <c r="C11" s="1572" t="s">
        <v>890</v>
      </c>
      <c r="D11" s="1573"/>
      <c r="E11" s="1570"/>
    </row>
    <row r="12" spans="1:5" ht="18" customHeight="1" x14ac:dyDescent="0.3">
      <c r="A12" s="3241"/>
      <c r="B12" s="1575" t="s">
        <v>891</v>
      </c>
      <c r="C12" s="1572" t="s">
        <v>892</v>
      </c>
      <c r="D12" s="319" t="s">
        <v>893</v>
      </c>
      <c r="E12" s="319"/>
    </row>
    <row r="13" spans="1:5" x14ac:dyDescent="0.2">
      <c r="B13" s="39"/>
      <c r="C13" s="39"/>
      <c r="D13" s="39"/>
      <c r="E13" s="39"/>
    </row>
    <row r="14" spans="1:5" x14ac:dyDescent="0.2">
      <c r="B14" s="39"/>
      <c r="C14" s="39"/>
      <c r="D14" s="39"/>
      <c r="E14" s="39"/>
    </row>
  </sheetData>
  <mergeCells count="5">
    <mergeCell ref="A9:A12"/>
    <mergeCell ref="A6:A8"/>
    <mergeCell ref="B1:D1"/>
    <mergeCell ref="A4:A5"/>
    <mergeCell ref="B4:B5"/>
  </mergeCells>
  <pageMargins left="0.70866141732283472" right="0.70866141732283472" top="0.74803149606299213" bottom="0.74803149606299213" header="0.31496062992125984" footer="0.31496062992125984"/>
  <pageSetup paperSize="9" scale="81" fitToHeight="14"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4"/>
  <dimension ref="A1:I31"/>
  <sheetViews>
    <sheetView workbookViewId="0">
      <selection activeCell="J18" sqref="J18"/>
    </sheetView>
  </sheetViews>
  <sheetFormatPr baseColWidth="10" defaultRowHeight="15.75" x14ac:dyDescent="0.25"/>
  <cols>
    <col min="2" max="2" width="13.5703125" style="60" customWidth="1"/>
    <col min="3" max="3" width="10" customWidth="1"/>
    <col min="4" max="4" width="8.42578125" customWidth="1"/>
    <col min="6" max="6" width="13" bestFit="1" customWidth="1"/>
    <col min="7" max="7" width="10.28515625" customWidth="1"/>
    <col min="8" max="8" width="11.140625" customWidth="1"/>
    <col min="9" max="9" width="14.42578125" customWidth="1"/>
  </cols>
  <sheetData>
    <row r="1" spans="1:9" x14ac:dyDescent="0.25">
      <c r="A1" s="60" t="s">
        <v>212</v>
      </c>
    </row>
    <row r="2" spans="1:9" x14ac:dyDescent="0.25">
      <c r="A2" s="60" t="s">
        <v>170</v>
      </c>
    </row>
    <row r="3" spans="1:9" ht="18.75" thickBot="1" x14ac:dyDescent="0.3">
      <c r="E3" s="74" t="s">
        <v>901</v>
      </c>
    </row>
    <row r="4" spans="1:9" s="1588" customFormat="1" ht="24.95" customHeight="1" x14ac:dyDescent="0.25">
      <c r="A4" s="1591" t="s">
        <v>3</v>
      </c>
      <c r="B4" s="1454" t="s">
        <v>898</v>
      </c>
      <c r="C4" s="527" t="s">
        <v>900</v>
      </c>
      <c r="D4" s="1456" t="s">
        <v>635</v>
      </c>
      <c r="E4" s="76" t="s">
        <v>742</v>
      </c>
      <c r="F4" s="1455" t="s">
        <v>899</v>
      </c>
      <c r="G4" s="527" t="s">
        <v>900</v>
      </c>
      <c r="H4" s="1456" t="s">
        <v>635</v>
      </c>
      <c r="I4" s="1598" t="s">
        <v>55</v>
      </c>
    </row>
    <row r="5" spans="1:9" ht="30" customHeight="1" x14ac:dyDescent="0.25">
      <c r="A5" s="1592"/>
      <c r="B5" s="1593"/>
      <c r="C5" s="429"/>
      <c r="D5" s="459"/>
      <c r="E5" s="1596"/>
      <c r="F5" s="429"/>
      <c r="G5" s="430"/>
      <c r="H5" s="454"/>
      <c r="I5" s="1599"/>
    </row>
    <row r="6" spans="1:9" ht="30" customHeight="1" x14ac:dyDescent="0.25">
      <c r="A6" s="1592"/>
      <c r="B6" s="1593"/>
      <c r="C6" s="429"/>
      <c r="D6" s="459"/>
      <c r="E6" s="1596"/>
      <c r="F6" s="429"/>
      <c r="G6" s="430"/>
      <c r="H6" s="454"/>
      <c r="I6" s="1599"/>
    </row>
    <row r="7" spans="1:9" ht="30" customHeight="1" x14ac:dyDescent="0.25">
      <c r="A7" s="1592"/>
      <c r="B7" s="1593"/>
      <c r="C7" s="429"/>
      <c r="D7" s="459"/>
      <c r="E7" s="1596"/>
      <c r="F7" s="429"/>
      <c r="G7" s="430"/>
      <c r="H7" s="454"/>
      <c r="I7" s="1599"/>
    </row>
    <row r="8" spans="1:9" ht="30" customHeight="1" x14ac:dyDescent="0.25">
      <c r="A8" s="1592"/>
      <c r="B8" s="1593"/>
      <c r="C8" s="429"/>
      <c r="D8" s="459"/>
      <c r="E8" s="1596"/>
      <c r="F8" s="429"/>
      <c r="G8" s="430"/>
      <c r="H8" s="454"/>
      <c r="I8" s="1599"/>
    </row>
    <row r="9" spans="1:9" ht="30" customHeight="1" x14ac:dyDescent="0.25">
      <c r="A9" s="1592"/>
      <c r="B9" s="1593"/>
      <c r="C9" s="429"/>
      <c r="D9" s="459"/>
      <c r="E9" s="1596"/>
      <c r="F9" s="429"/>
      <c r="G9" s="430"/>
      <c r="H9" s="454"/>
      <c r="I9" s="1599"/>
    </row>
    <row r="10" spans="1:9" ht="30" customHeight="1" x14ac:dyDescent="0.25">
      <c r="A10" s="1592"/>
      <c r="B10" s="1593"/>
      <c r="C10" s="429"/>
      <c r="D10" s="459"/>
      <c r="E10" s="1596"/>
      <c r="F10" s="429"/>
      <c r="G10" s="430"/>
      <c r="H10" s="454"/>
      <c r="I10" s="1599"/>
    </row>
    <row r="11" spans="1:9" ht="30" customHeight="1" x14ac:dyDescent="0.25">
      <c r="A11" s="1592"/>
      <c r="B11" s="1593"/>
      <c r="C11" s="429"/>
      <c r="D11" s="459"/>
      <c r="E11" s="1596"/>
      <c r="F11" s="429"/>
      <c r="G11" s="430"/>
      <c r="H11" s="454"/>
      <c r="I11" s="1599"/>
    </row>
    <row r="12" spans="1:9" ht="30" customHeight="1" x14ac:dyDescent="0.25">
      <c r="A12" s="1592"/>
      <c r="B12" s="1593"/>
      <c r="C12" s="429"/>
      <c r="D12" s="459"/>
      <c r="E12" s="1596"/>
      <c r="F12" s="429"/>
      <c r="G12" s="430"/>
      <c r="H12" s="454"/>
      <c r="I12" s="1599"/>
    </row>
    <row r="13" spans="1:9" ht="30" customHeight="1" x14ac:dyDescent="0.25">
      <c r="A13" s="1592"/>
      <c r="B13" s="1593"/>
      <c r="C13" s="429"/>
      <c r="D13" s="459"/>
      <c r="E13" s="1596"/>
      <c r="F13" s="429"/>
      <c r="G13" s="430"/>
      <c r="H13" s="454"/>
      <c r="I13" s="1599"/>
    </row>
    <row r="14" spans="1:9" ht="30" customHeight="1" x14ac:dyDescent="0.25">
      <c r="A14" s="1592"/>
      <c r="B14" s="1593"/>
      <c r="C14" s="429"/>
      <c r="D14" s="459"/>
      <c r="E14" s="1596"/>
      <c r="F14" s="429"/>
      <c r="G14" s="430"/>
      <c r="H14" s="454"/>
      <c r="I14" s="1599"/>
    </row>
    <row r="15" spans="1:9" ht="30" customHeight="1" x14ac:dyDescent="0.25">
      <c r="A15" s="1592"/>
      <c r="B15" s="1593"/>
      <c r="C15" s="429"/>
      <c r="D15" s="459"/>
      <c r="E15" s="1596"/>
      <c r="F15" s="429"/>
      <c r="G15" s="430"/>
      <c r="H15" s="454"/>
      <c r="I15" s="1599"/>
    </row>
    <row r="16" spans="1:9" ht="30" customHeight="1" x14ac:dyDescent="0.25">
      <c r="A16" s="1592"/>
      <c r="B16" s="1593"/>
      <c r="C16" s="429"/>
      <c r="D16" s="459"/>
      <c r="E16" s="1596"/>
      <c r="F16" s="429"/>
      <c r="G16" s="430"/>
      <c r="H16" s="454"/>
      <c r="I16" s="1599"/>
    </row>
    <row r="17" spans="1:9" ht="30" customHeight="1" x14ac:dyDescent="0.25">
      <c r="A17" s="1592"/>
      <c r="B17" s="1593"/>
      <c r="C17" s="429"/>
      <c r="D17" s="459"/>
      <c r="E17" s="1596"/>
      <c r="F17" s="429"/>
      <c r="G17" s="430"/>
      <c r="H17" s="454"/>
      <c r="I17" s="1599"/>
    </row>
    <row r="18" spans="1:9" ht="30" customHeight="1" x14ac:dyDescent="0.25">
      <c r="A18" s="1592"/>
      <c r="B18" s="1593"/>
      <c r="C18" s="429"/>
      <c r="D18" s="459"/>
      <c r="E18" s="1596"/>
      <c r="F18" s="429"/>
      <c r="G18" s="430"/>
      <c r="H18" s="454"/>
      <c r="I18" s="1599"/>
    </row>
    <row r="19" spans="1:9" ht="30" customHeight="1" x14ac:dyDescent="0.25">
      <c r="A19" s="1592"/>
      <c r="B19" s="1593"/>
      <c r="C19" s="429"/>
      <c r="D19" s="459"/>
      <c r="E19" s="1596"/>
      <c r="F19" s="429"/>
      <c r="G19" s="430"/>
      <c r="H19" s="454"/>
      <c r="I19" s="1599"/>
    </row>
    <row r="20" spans="1:9" ht="30" customHeight="1" x14ac:dyDescent="0.25">
      <c r="A20" s="1592"/>
      <c r="B20" s="1593"/>
      <c r="C20" s="429"/>
      <c r="D20" s="459"/>
      <c r="E20" s="1596"/>
      <c r="F20" s="429"/>
      <c r="G20" s="430"/>
      <c r="H20" s="454"/>
      <c r="I20" s="1599"/>
    </row>
    <row r="21" spans="1:9" ht="30" customHeight="1" x14ac:dyDescent="0.25">
      <c r="A21" s="1592"/>
      <c r="B21" s="1593"/>
      <c r="C21" s="429"/>
      <c r="D21" s="459"/>
      <c r="E21" s="1596"/>
      <c r="F21" s="429"/>
      <c r="G21" s="430"/>
      <c r="H21" s="454"/>
      <c r="I21" s="1599"/>
    </row>
    <row r="22" spans="1:9" ht="30" customHeight="1" x14ac:dyDescent="0.25">
      <c r="A22" s="1592"/>
      <c r="B22" s="1593"/>
      <c r="C22" s="429"/>
      <c r="D22" s="459"/>
      <c r="E22" s="1596"/>
      <c r="F22" s="429"/>
      <c r="G22" s="430"/>
      <c r="H22" s="454"/>
      <c r="I22" s="1599"/>
    </row>
    <row r="23" spans="1:9" ht="30" customHeight="1" x14ac:dyDescent="0.25">
      <c r="A23" s="1592"/>
      <c r="B23" s="1593"/>
      <c r="C23" s="429"/>
      <c r="D23" s="459"/>
      <c r="E23" s="1596"/>
      <c r="F23" s="429"/>
      <c r="G23" s="430"/>
      <c r="H23" s="454"/>
      <c r="I23" s="1599"/>
    </row>
    <row r="24" spans="1:9" ht="30" customHeight="1" x14ac:dyDescent="0.25">
      <c r="A24" s="1592"/>
      <c r="B24" s="1593"/>
      <c r="C24" s="429"/>
      <c r="D24" s="459"/>
      <c r="E24" s="1596"/>
      <c r="F24" s="429"/>
      <c r="G24" s="430"/>
      <c r="H24" s="454"/>
      <c r="I24" s="1599"/>
    </row>
    <row r="25" spans="1:9" ht="30" customHeight="1" x14ac:dyDescent="0.25">
      <c r="A25" s="1592"/>
      <c r="B25" s="1593"/>
      <c r="C25" s="429"/>
      <c r="D25" s="459"/>
      <c r="E25" s="1596"/>
      <c r="F25" s="429"/>
      <c r="G25" s="430"/>
      <c r="H25" s="454"/>
      <c r="I25" s="1599"/>
    </row>
    <row r="26" spans="1:9" ht="30" customHeight="1" x14ac:dyDescent="0.25">
      <c r="A26" s="1592"/>
      <c r="B26" s="1593"/>
      <c r="C26" s="429"/>
      <c r="D26" s="459"/>
      <c r="E26" s="1596"/>
      <c r="F26" s="429"/>
      <c r="G26" s="430"/>
      <c r="H26" s="454"/>
      <c r="I26" s="1599"/>
    </row>
    <row r="27" spans="1:9" ht="30" customHeight="1" x14ac:dyDescent="0.25">
      <c r="A27" s="1592"/>
      <c r="B27" s="1593"/>
      <c r="C27" s="429"/>
      <c r="D27" s="459"/>
      <c r="E27" s="1596"/>
      <c r="F27" s="429"/>
      <c r="G27" s="430"/>
      <c r="H27" s="454"/>
      <c r="I27" s="1599"/>
    </row>
    <row r="28" spans="1:9" ht="30" customHeight="1" thickBot="1" x14ac:dyDescent="0.3">
      <c r="A28" s="1592"/>
      <c r="B28" s="1594"/>
      <c r="C28" s="1589"/>
      <c r="D28" s="1595"/>
      <c r="E28" s="1597"/>
      <c r="F28" s="1589"/>
      <c r="G28" s="448"/>
      <c r="H28" s="503"/>
      <c r="I28" s="1600"/>
    </row>
    <row r="29" spans="1:9" x14ac:dyDescent="0.25">
      <c r="B29" s="1590"/>
      <c r="C29" s="476"/>
      <c r="D29" s="476"/>
      <c r="E29" s="476"/>
      <c r="F29" s="476"/>
      <c r="I29" s="476"/>
    </row>
    <row r="30" spans="1:9" x14ac:dyDescent="0.25">
      <c r="B30" s="1590"/>
      <c r="C30" s="476"/>
      <c r="D30" s="476"/>
      <c r="E30" s="476"/>
      <c r="F30" s="476"/>
      <c r="I30" s="476"/>
    </row>
    <row r="31" spans="1:9" x14ac:dyDescent="0.25">
      <c r="B31" s="1590"/>
      <c r="C31" s="476"/>
      <c r="D31" s="476"/>
      <c r="E31" s="476"/>
      <c r="F31" s="476"/>
      <c r="I31" s="476"/>
    </row>
  </sheetData>
  <printOptions horizontalCentered="1"/>
  <pageMargins left="0" right="0" top="0.39370078740157483" bottom="0.39370078740157483" header="0.31496062992125984" footer="0.31496062992125984"/>
  <pageSetup paperSize="9"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5"/>
  <dimension ref="A2:L23"/>
  <sheetViews>
    <sheetView topLeftCell="A10" workbookViewId="0">
      <selection activeCell="J18" sqref="J18"/>
    </sheetView>
  </sheetViews>
  <sheetFormatPr baseColWidth="10" defaultRowHeight="12.75" x14ac:dyDescent="0.2"/>
  <cols>
    <col min="1" max="1" width="35" customWidth="1"/>
    <col min="3" max="3" width="37.5703125" customWidth="1"/>
    <col min="4" max="4" width="23" customWidth="1"/>
  </cols>
  <sheetData>
    <row r="2" spans="1:12" ht="5.25" customHeight="1" x14ac:dyDescent="0.2"/>
    <row r="3" spans="1:12" x14ac:dyDescent="0.2">
      <c r="A3" s="3249" t="s">
        <v>1819</v>
      </c>
      <c r="B3" s="3250"/>
      <c r="C3" s="3251"/>
    </row>
    <row r="4" spans="1:12" ht="25.5" customHeight="1" x14ac:dyDescent="0.2">
      <c r="A4" s="3252"/>
      <c r="B4" s="3253"/>
      <c r="C4" s="3254"/>
    </row>
    <row r="5" spans="1:12" x14ac:dyDescent="0.2">
      <c r="A5" s="3243" t="s">
        <v>139</v>
      </c>
      <c r="B5" s="3255" t="s">
        <v>1820</v>
      </c>
      <c r="C5" s="3257" t="s">
        <v>1821</v>
      </c>
    </row>
    <row r="6" spans="1:12" ht="27.75" customHeight="1" x14ac:dyDescent="0.2">
      <c r="A6" s="3245"/>
      <c r="B6" s="3256"/>
      <c r="C6" s="3258"/>
    </row>
    <row r="7" spans="1:12" ht="18" x14ac:dyDescent="0.25">
      <c r="A7" s="2203" t="s">
        <v>950</v>
      </c>
      <c r="B7" s="2461">
        <v>46</v>
      </c>
      <c r="C7" s="3246"/>
    </row>
    <row r="8" spans="1:12" ht="35.25" customHeight="1" x14ac:dyDescent="0.2">
      <c r="A8" s="2463"/>
      <c r="B8" s="2463"/>
      <c r="C8" s="3248"/>
    </row>
    <row r="9" spans="1:12" x14ac:dyDescent="0.2">
      <c r="A9" s="3243" t="s">
        <v>1131</v>
      </c>
      <c r="B9" s="3243">
        <v>44</v>
      </c>
      <c r="C9" s="3246"/>
    </row>
    <row r="10" spans="1:12" x14ac:dyDescent="0.2">
      <c r="A10" s="3244"/>
      <c r="B10" s="3244"/>
      <c r="C10" s="3247"/>
    </row>
    <row r="11" spans="1:12" ht="30" customHeight="1" x14ac:dyDescent="0.2">
      <c r="A11" s="3245"/>
      <c r="B11" s="3245"/>
      <c r="C11" s="3248"/>
    </row>
    <row r="12" spans="1:12" x14ac:dyDescent="0.2">
      <c r="A12" s="3243" t="s">
        <v>1816</v>
      </c>
      <c r="B12" s="3243">
        <v>44</v>
      </c>
      <c r="C12" s="3246"/>
    </row>
    <row r="13" spans="1:12" ht="39" customHeight="1" x14ac:dyDescent="0.2">
      <c r="A13" s="3245"/>
      <c r="B13" s="3245"/>
      <c r="C13" s="3248"/>
    </row>
    <row r="14" spans="1:12" x14ac:dyDescent="0.2">
      <c r="A14" s="3243" t="s">
        <v>1244</v>
      </c>
      <c r="B14" s="3243">
        <v>42</v>
      </c>
      <c r="C14" s="3246"/>
      <c r="L14" s="401"/>
    </row>
    <row r="15" spans="1:12" ht="34.5" customHeight="1" x14ac:dyDescent="0.2">
      <c r="A15" s="3245"/>
      <c r="B15" s="3245"/>
      <c r="C15" s="3248"/>
    </row>
    <row r="16" spans="1:12" s="764" customFormat="1" x14ac:dyDescent="0.2">
      <c r="A16" s="3243" t="s">
        <v>1822</v>
      </c>
      <c r="B16" s="3243">
        <v>42</v>
      </c>
      <c r="C16" s="3259"/>
    </row>
    <row r="17" spans="1:3" ht="35.25" customHeight="1" x14ac:dyDescent="0.2">
      <c r="A17" s="3245"/>
      <c r="B17" s="3245"/>
      <c r="C17" s="3260"/>
    </row>
    <row r="18" spans="1:3" ht="18" x14ac:dyDescent="0.25">
      <c r="A18" s="2461" t="s">
        <v>1125</v>
      </c>
      <c r="B18" s="3243">
        <v>46</v>
      </c>
      <c r="C18" s="3246"/>
    </row>
    <row r="19" spans="1:3" ht="33.75" customHeight="1" x14ac:dyDescent="0.25">
      <c r="A19" s="2462"/>
      <c r="B19" s="3245"/>
      <c r="C19" s="3248"/>
    </row>
    <row r="20" spans="1:3" s="1590" customFormat="1" ht="15.75" x14ac:dyDescent="0.25">
      <c r="A20" s="3261" t="s">
        <v>1817</v>
      </c>
      <c r="B20" s="3261">
        <v>48</v>
      </c>
      <c r="C20" s="3263"/>
    </row>
    <row r="21" spans="1:3" ht="38.25" customHeight="1" x14ac:dyDescent="0.2">
      <c r="A21" s="3262"/>
      <c r="B21" s="3262"/>
      <c r="C21" s="3264"/>
    </row>
    <row r="22" spans="1:3" ht="45.75" customHeight="1" x14ac:dyDescent="0.25">
      <c r="A22" s="2464" t="s">
        <v>1618</v>
      </c>
      <c r="B22" s="2464">
        <v>42</v>
      </c>
      <c r="C22" s="72"/>
    </row>
    <row r="23" spans="1:3" ht="18" x14ac:dyDescent="0.25">
      <c r="C23" s="38"/>
    </row>
  </sheetData>
  <mergeCells count="22">
    <mergeCell ref="B18:B19"/>
    <mergeCell ref="C18:C19"/>
    <mergeCell ref="A20:A21"/>
    <mergeCell ref="B20:B21"/>
    <mergeCell ref="C20:C21"/>
    <mergeCell ref="A14:A15"/>
    <mergeCell ref="B14:B15"/>
    <mergeCell ref="C14:C15"/>
    <mergeCell ref="A16:A17"/>
    <mergeCell ref="B16:B17"/>
    <mergeCell ref="C16:C17"/>
    <mergeCell ref="A3:C4"/>
    <mergeCell ref="A5:A6"/>
    <mergeCell ref="B5:B6"/>
    <mergeCell ref="C5:C6"/>
    <mergeCell ref="C7:C8"/>
    <mergeCell ref="A9:A11"/>
    <mergeCell ref="B9:B11"/>
    <mergeCell ref="C9:C11"/>
    <mergeCell ref="A12:A13"/>
    <mergeCell ref="B12:B13"/>
    <mergeCell ref="C12:C13"/>
  </mergeCells>
  <pageMargins left="0.7" right="0.7" top="0.75" bottom="0.75" header="0.3" footer="0.3"/>
  <pageSetup paperSize="9"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6"/>
  <dimension ref="A1"/>
  <sheetViews>
    <sheetView workbookViewId="0">
      <selection activeCell="L1" sqref="L1"/>
    </sheetView>
  </sheetViews>
  <sheetFormatPr baseColWidth="10" defaultRowHeight="12.75" x14ac:dyDescent="0.2"/>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7"/>
  <dimension ref="A1:L36"/>
  <sheetViews>
    <sheetView workbookViewId="0">
      <selection activeCell="J29" sqref="J29"/>
    </sheetView>
  </sheetViews>
  <sheetFormatPr baseColWidth="10" defaultRowHeight="12.75" x14ac:dyDescent="0.2"/>
  <cols>
    <col min="1" max="1" width="12.7109375" customWidth="1"/>
    <col min="2" max="2" width="15.7109375" customWidth="1"/>
    <col min="3" max="3" width="10.7109375" customWidth="1"/>
    <col min="4" max="4" width="9.5703125" customWidth="1"/>
    <col min="5" max="5" width="15.7109375" customWidth="1"/>
    <col min="6" max="6" width="6.85546875" customWidth="1"/>
    <col min="7" max="7" width="6.42578125" customWidth="1"/>
    <col min="8" max="8" width="12.7109375" customWidth="1"/>
    <col min="9" max="9" width="15.7109375" customWidth="1"/>
    <col min="10" max="10" width="10.7109375" customWidth="1"/>
    <col min="11" max="11" width="7.7109375" customWidth="1"/>
    <col min="12" max="12" width="16" customWidth="1"/>
  </cols>
  <sheetData>
    <row r="1" spans="1:12" s="42" customFormat="1" ht="15" x14ac:dyDescent="0.25">
      <c r="A1" s="1647" t="s">
        <v>170</v>
      </c>
      <c r="B1" s="1616"/>
      <c r="C1" s="1616"/>
      <c r="D1" s="1646" t="s">
        <v>47</v>
      </c>
      <c r="E1" s="1645">
        <v>42187</v>
      </c>
      <c r="F1" s="1632"/>
      <c r="G1" s="1635"/>
      <c r="H1" s="1647" t="s">
        <v>170</v>
      </c>
      <c r="I1" s="1616"/>
      <c r="J1" s="1616"/>
      <c r="K1" s="1646" t="s">
        <v>47</v>
      </c>
      <c r="L1" s="1645">
        <v>42187</v>
      </c>
    </row>
    <row r="2" spans="1:12" s="42" customFormat="1" x14ac:dyDescent="0.2">
      <c r="A2" s="462"/>
      <c r="B2" s="434"/>
      <c r="C2" s="434"/>
      <c r="D2" s="434"/>
      <c r="E2" s="1629"/>
      <c r="F2" s="1632"/>
      <c r="G2" s="1635"/>
      <c r="H2" s="462"/>
      <c r="I2" s="434"/>
      <c r="J2" s="434"/>
      <c r="K2" s="434"/>
      <c r="L2" s="1629"/>
    </row>
    <row r="3" spans="1:12" ht="18" x14ac:dyDescent="0.25">
      <c r="A3" s="1617"/>
      <c r="B3" s="816" t="s">
        <v>909</v>
      </c>
      <c r="C3" s="283"/>
      <c r="D3" s="283"/>
      <c r="E3" s="1420"/>
      <c r="F3" s="149"/>
      <c r="G3" s="1636"/>
      <c r="H3" s="1617"/>
      <c r="I3" s="816" t="s">
        <v>909</v>
      </c>
      <c r="J3" s="283"/>
      <c r="K3" s="283"/>
      <c r="L3" s="1420"/>
    </row>
    <row r="4" spans="1:12" ht="15.75" x14ac:dyDescent="0.25">
      <c r="A4" s="1618"/>
      <c r="B4" s="401"/>
      <c r="C4" s="1626" t="s">
        <v>916</v>
      </c>
      <c r="D4" s="401"/>
      <c r="E4" s="457"/>
      <c r="F4" s="467"/>
      <c r="G4" s="1637"/>
      <c r="H4" s="1618"/>
      <c r="I4" s="401"/>
      <c r="J4" s="434" t="s">
        <v>916</v>
      </c>
      <c r="K4" s="401"/>
      <c r="L4" s="457"/>
    </row>
    <row r="5" spans="1:12" ht="15.75" x14ac:dyDescent="0.25">
      <c r="A5" s="1618"/>
      <c r="B5" s="401"/>
      <c r="C5" s="1626"/>
      <c r="D5" s="401"/>
      <c r="E5" s="457"/>
      <c r="F5" s="467"/>
      <c r="G5" s="1637"/>
      <c r="H5" s="1618"/>
      <c r="I5" s="401"/>
      <c r="J5" s="434"/>
      <c r="K5" s="401"/>
      <c r="L5" s="457"/>
    </row>
    <row r="6" spans="1:12" ht="6.75" customHeight="1" x14ac:dyDescent="0.25">
      <c r="A6" s="1618"/>
      <c r="B6" s="401"/>
      <c r="C6" s="1626"/>
      <c r="D6" s="401"/>
      <c r="E6" s="457"/>
      <c r="F6" s="467"/>
      <c r="G6" s="1637"/>
      <c r="H6" s="1618"/>
      <c r="I6" s="401"/>
      <c r="J6" s="434"/>
      <c r="K6" s="401"/>
      <c r="L6" s="457"/>
    </row>
    <row r="7" spans="1:12" ht="15" x14ac:dyDescent="0.25">
      <c r="A7" s="78" t="s">
        <v>917</v>
      </c>
      <c r="B7" s="401"/>
      <c r="C7" s="92"/>
      <c r="D7" s="401"/>
      <c r="E7" s="457"/>
      <c r="F7" s="467"/>
      <c r="G7" s="1637"/>
      <c r="H7" s="78" t="s">
        <v>917</v>
      </c>
      <c r="I7" s="401"/>
      <c r="J7" s="401"/>
      <c r="K7" s="401"/>
      <c r="L7" s="457"/>
    </row>
    <row r="8" spans="1:12" ht="15" x14ac:dyDescent="0.25">
      <c r="A8" s="78"/>
      <c r="B8" s="401"/>
      <c r="C8" s="92"/>
      <c r="D8" s="401"/>
      <c r="E8" s="457"/>
      <c r="F8" s="467"/>
      <c r="G8" s="1637"/>
      <c r="H8" s="78"/>
      <c r="I8" s="401"/>
      <c r="J8" s="401"/>
      <c r="K8" s="401"/>
      <c r="L8" s="457"/>
    </row>
    <row r="9" spans="1:12" ht="15" x14ac:dyDescent="0.25">
      <c r="A9" s="78" t="s">
        <v>920</v>
      </c>
      <c r="B9" s="401"/>
      <c r="C9" s="92"/>
      <c r="D9" s="401"/>
      <c r="E9" s="457"/>
      <c r="F9" s="467"/>
      <c r="G9" s="1637"/>
      <c r="H9" s="78" t="s">
        <v>920</v>
      </c>
      <c r="I9" s="401"/>
      <c r="J9" s="401"/>
      <c r="K9" s="401"/>
      <c r="L9" s="457"/>
    </row>
    <row r="10" spans="1:12" ht="15" x14ac:dyDescent="0.25">
      <c r="A10" s="78"/>
      <c r="B10" s="401"/>
      <c r="C10" s="92"/>
      <c r="D10" s="401"/>
      <c r="E10" s="457"/>
      <c r="F10" s="467"/>
      <c r="G10" s="1637"/>
      <c r="H10" s="78"/>
      <c r="I10" s="401"/>
      <c r="J10" s="401"/>
      <c r="K10" s="401"/>
      <c r="L10" s="457"/>
    </row>
    <row r="11" spans="1:12" ht="15" x14ac:dyDescent="0.25">
      <c r="A11" s="78" t="s">
        <v>922</v>
      </c>
      <c r="B11" s="401"/>
      <c r="C11" s="92"/>
      <c r="D11" s="401"/>
      <c r="E11" s="457"/>
      <c r="F11" s="467"/>
      <c r="G11" s="1637"/>
      <c r="H11" s="78" t="s">
        <v>922</v>
      </c>
      <c r="I11" s="401"/>
      <c r="J11" s="401"/>
      <c r="K11" s="401"/>
      <c r="L11" s="457"/>
    </row>
    <row r="12" spans="1:12" ht="15" x14ac:dyDescent="0.25">
      <c r="A12" s="78"/>
      <c r="B12" s="401"/>
      <c r="C12" s="92"/>
      <c r="D12" s="401"/>
      <c r="E12" s="457"/>
      <c r="F12" s="467"/>
      <c r="G12" s="1637"/>
      <c r="H12" s="78"/>
      <c r="I12" s="401"/>
      <c r="J12" s="401"/>
      <c r="K12" s="401"/>
      <c r="L12" s="457"/>
    </row>
    <row r="13" spans="1:12" ht="15" x14ac:dyDescent="0.25">
      <c r="A13" s="78" t="s">
        <v>923</v>
      </c>
      <c r="B13" s="401"/>
      <c r="C13" s="92"/>
      <c r="D13" s="401"/>
      <c r="E13" s="457"/>
      <c r="F13" s="467"/>
      <c r="G13" s="1637"/>
      <c r="H13" s="78" t="s">
        <v>923</v>
      </c>
      <c r="I13" s="401"/>
      <c r="J13" s="401"/>
      <c r="K13" s="401"/>
      <c r="L13" s="457"/>
    </row>
    <row r="14" spans="1:12" x14ac:dyDescent="0.2">
      <c r="A14" s="461"/>
      <c r="B14" s="401"/>
      <c r="C14" s="401"/>
      <c r="D14" s="401"/>
      <c r="E14" s="457"/>
      <c r="F14" s="467"/>
      <c r="G14" s="1637"/>
      <c r="H14" s="461"/>
      <c r="I14" s="401"/>
      <c r="J14" s="401"/>
      <c r="K14" s="401"/>
      <c r="L14" s="457"/>
    </row>
    <row r="15" spans="1:12" ht="20.25" x14ac:dyDescent="0.3">
      <c r="A15" s="1619"/>
      <c r="B15" s="77" t="s">
        <v>918</v>
      </c>
      <c r="C15" s="1611" t="s">
        <v>921</v>
      </c>
      <c r="D15" s="1611"/>
      <c r="E15" s="1620"/>
      <c r="F15" s="1613"/>
      <c r="G15" s="1638"/>
      <c r="H15" s="1619"/>
      <c r="I15" s="77" t="s">
        <v>918</v>
      </c>
      <c r="J15" s="1611" t="s">
        <v>921</v>
      </c>
      <c r="K15" s="1611"/>
      <c r="L15" s="1620"/>
    </row>
    <row r="16" spans="1:12" x14ac:dyDescent="0.2">
      <c r="A16" s="461"/>
      <c r="B16" s="401"/>
      <c r="C16" s="401"/>
      <c r="D16" s="401"/>
      <c r="E16" s="457"/>
      <c r="F16" s="467"/>
      <c r="G16" s="1637"/>
      <c r="H16" s="461"/>
      <c r="I16" s="401"/>
      <c r="J16" s="401"/>
      <c r="K16" s="401"/>
      <c r="L16" s="457"/>
    </row>
    <row r="17" spans="1:12" s="1180" customFormat="1" ht="20.25" x14ac:dyDescent="0.3">
      <c r="A17" s="1618"/>
      <c r="B17" s="3265" t="s">
        <v>919</v>
      </c>
      <c r="C17" s="3265"/>
      <c r="D17" s="3265"/>
      <c r="E17" s="1621"/>
      <c r="F17" s="1633"/>
      <c r="G17" s="1639"/>
      <c r="H17" s="1618"/>
      <c r="I17" s="3265" t="s">
        <v>919</v>
      </c>
      <c r="J17" s="3265"/>
      <c r="K17" s="3265"/>
      <c r="L17" s="1621"/>
    </row>
    <row r="18" spans="1:12" x14ac:dyDescent="0.2">
      <c r="A18" s="461"/>
      <c r="B18" s="401"/>
      <c r="C18" s="401"/>
      <c r="D18" s="401"/>
      <c r="E18" s="457"/>
      <c r="F18" s="467"/>
      <c r="G18" s="1637"/>
      <c r="H18" s="461"/>
      <c r="I18" s="401"/>
      <c r="J18" s="401"/>
      <c r="K18" s="401"/>
      <c r="L18" s="457"/>
    </row>
    <row r="19" spans="1:12" ht="13.5" thickBot="1" x14ac:dyDescent="0.25">
      <c r="A19" s="744" t="s">
        <v>911</v>
      </c>
      <c r="B19" s="674"/>
      <c r="C19" s="674" t="s">
        <v>912</v>
      </c>
      <c r="D19" s="674"/>
      <c r="E19" s="1622" t="s">
        <v>910</v>
      </c>
      <c r="F19" s="1634"/>
      <c r="G19" s="1640"/>
      <c r="H19" s="744" t="s">
        <v>911</v>
      </c>
      <c r="I19" s="674"/>
      <c r="J19" s="674" t="s">
        <v>912</v>
      </c>
      <c r="K19" s="674"/>
      <c r="L19" s="1622" t="s">
        <v>910</v>
      </c>
    </row>
    <row r="20" spans="1:12" s="60" customFormat="1" ht="15.75" x14ac:dyDescent="0.25">
      <c r="A20" s="3266"/>
      <c r="B20" s="401"/>
      <c r="C20" s="3266"/>
      <c r="D20" s="401"/>
      <c r="E20" s="3266"/>
      <c r="F20" s="1615"/>
      <c r="G20" s="1641"/>
      <c r="H20" s="3266"/>
      <c r="I20" s="401"/>
      <c r="J20" s="3266"/>
      <c r="K20" s="401"/>
      <c r="L20" s="3266"/>
    </row>
    <row r="21" spans="1:12" ht="9" customHeight="1" thickBot="1" x14ac:dyDescent="0.25">
      <c r="A21" s="3267"/>
      <c r="B21" s="401"/>
      <c r="C21" s="3267"/>
      <c r="D21" s="401"/>
      <c r="E21" s="3267"/>
      <c r="F21" s="1615"/>
      <c r="G21" s="1641"/>
      <c r="H21" s="3267"/>
      <c r="I21" s="401"/>
      <c r="J21" s="3267"/>
      <c r="K21" s="401"/>
      <c r="L21" s="3267"/>
    </row>
    <row r="22" spans="1:12" s="764" customFormat="1" ht="13.5" thickBot="1" x14ac:dyDescent="0.25">
      <c r="A22" s="461"/>
      <c r="B22" s="401"/>
      <c r="C22" s="401"/>
      <c r="D22" s="401"/>
      <c r="E22" s="457"/>
      <c r="F22" s="467"/>
      <c r="G22" s="1637"/>
      <c r="H22" s="461"/>
      <c r="I22" s="401"/>
      <c r="J22" s="401"/>
      <c r="K22" s="401"/>
      <c r="L22" s="457"/>
    </row>
    <row r="23" spans="1:12" ht="18.75" thickBot="1" x14ac:dyDescent="0.3">
      <c r="A23" s="1606" t="s">
        <v>148</v>
      </c>
      <c r="B23" s="1607" t="s">
        <v>913</v>
      </c>
      <c r="C23" s="3268" t="s">
        <v>914</v>
      </c>
      <c r="D23" s="3268"/>
      <c r="E23" s="1610" t="s">
        <v>465</v>
      </c>
      <c r="F23" s="1614"/>
      <c r="G23" s="1642"/>
      <c r="H23" s="1606" t="s">
        <v>148</v>
      </c>
      <c r="I23" s="1607" t="s">
        <v>913</v>
      </c>
      <c r="J23" s="3268" t="s">
        <v>914</v>
      </c>
      <c r="K23" s="3268"/>
      <c r="L23" s="1610" t="s">
        <v>465</v>
      </c>
    </row>
    <row r="24" spans="1:12" ht="20.100000000000001" customHeight="1" x14ac:dyDescent="0.2">
      <c r="A24" s="1608"/>
      <c r="B24" s="1604"/>
      <c r="C24" s="3269"/>
      <c r="D24" s="3269"/>
      <c r="E24" s="1609"/>
      <c r="F24" s="467"/>
      <c r="G24" s="1637"/>
      <c r="H24" s="1608"/>
      <c r="I24" s="1604"/>
      <c r="J24" s="3269"/>
      <c r="K24" s="3269"/>
      <c r="L24" s="1609"/>
    </row>
    <row r="25" spans="1:12" ht="20.100000000000001" customHeight="1" x14ac:dyDescent="0.2">
      <c r="A25" s="455"/>
      <c r="B25" s="430"/>
      <c r="C25" s="3130"/>
      <c r="D25" s="3130"/>
      <c r="E25" s="454"/>
      <c r="F25" s="467"/>
      <c r="G25" s="1637"/>
      <c r="H25" s="455"/>
      <c r="I25" s="430"/>
      <c r="J25" s="3130"/>
      <c r="K25" s="3130"/>
      <c r="L25" s="454"/>
    </row>
    <row r="26" spans="1:12" s="38" customFormat="1" ht="20.100000000000001" customHeight="1" x14ac:dyDescent="0.25">
      <c r="A26" s="455"/>
      <c r="B26" s="430"/>
      <c r="C26" s="3130"/>
      <c r="D26" s="3130"/>
      <c r="E26" s="454"/>
      <c r="F26" s="467"/>
      <c r="G26" s="1637"/>
      <c r="H26" s="455"/>
      <c r="I26" s="430"/>
      <c r="J26" s="3130"/>
      <c r="K26" s="3130"/>
      <c r="L26" s="454"/>
    </row>
    <row r="27" spans="1:12" ht="20.100000000000001" customHeight="1" x14ac:dyDescent="0.2">
      <c r="A27" s="455"/>
      <c r="B27" s="430"/>
      <c r="C27" s="3130"/>
      <c r="D27" s="3130"/>
      <c r="E27" s="454"/>
      <c r="F27" s="467"/>
      <c r="G27" s="1637"/>
      <c r="H27" s="455"/>
      <c r="I27" s="430"/>
      <c r="J27" s="3130"/>
      <c r="K27" s="3130"/>
      <c r="L27" s="454"/>
    </row>
    <row r="28" spans="1:12" ht="26.25" customHeight="1" thickBot="1" x14ac:dyDescent="0.3">
      <c r="A28" s="1612" t="s">
        <v>18</v>
      </c>
      <c r="B28" s="448"/>
      <c r="C28" s="3132"/>
      <c r="D28" s="3132"/>
      <c r="E28" s="503"/>
      <c r="F28" s="467"/>
      <c r="G28" s="1637"/>
      <c r="H28" s="1612" t="s">
        <v>18</v>
      </c>
      <c r="I28" s="448"/>
      <c r="J28" s="3132"/>
      <c r="K28" s="3132"/>
      <c r="L28" s="503"/>
    </row>
    <row r="29" spans="1:12" ht="30" customHeight="1" x14ac:dyDescent="0.2">
      <c r="A29" s="461"/>
      <c r="B29" s="401"/>
      <c r="C29" s="401"/>
      <c r="D29" s="401"/>
      <c r="E29" s="457"/>
      <c r="F29" s="401"/>
      <c r="G29" s="1643"/>
      <c r="H29" s="461"/>
      <c r="I29" s="401"/>
      <c r="J29" s="401"/>
      <c r="K29" s="401"/>
      <c r="L29" s="457"/>
    </row>
    <row r="30" spans="1:12" ht="30" customHeight="1" x14ac:dyDescent="0.2">
      <c r="A30" s="1623" t="s">
        <v>915</v>
      </c>
      <c r="B30" s="1627"/>
      <c r="C30" s="1630" t="s">
        <v>149</v>
      </c>
      <c r="D30" s="1624"/>
      <c r="E30" s="1625" t="s">
        <v>190</v>
      </c>
      <c r="F30" s="1628"/>
      <c r="G30" s="1644"/>
      <c r="H30" s="1623" t="s">
        <v>915</v>
      </c>
      <c r="I30" s="1624"/>
      <c r="J30" s="1631" t="s">
        <v>149</v>
      </c>
      <c r="K30" s="1624"/>
      <c r="L30" s="1625" t="s">
        <v>190</v>
      </c>
    </row>
    <row r="31" spans="1:12" ht="30" customHeight="1" thickBot="1" x14ac:dyDescent="0.25">
      <c r="A31" s="463"/>
      <c r="B31" s="464"/>
      <c r="C31" s="464"/>
      <c r="D31" s="464"/>
      <c r="E31" s="465"/>
      <c r="F31" s="401"/>
      <c r="G31" s="1643"/>
      <c r="H31" s="463"/>
      <c r="I31" s="464"/>
      <c r="J31" s="464"/>
      <c r="K31" s="464"/>
      <c r="L31" s="465"/>
    </row>
    <row r="32" spans="1:12" x14ac:dyDescent="0.2">
      <c r="F32" s="401"/>
      <c r="H32" s="401"/>
      <c r="I32" s="401"/>
      <c r="J32" s="401"/>
      <c r="K32" s="401"/>
      <c r="L32" s="401"/>
    </row>
    <row r="36" s="42" customFormat="1" x14ac:dyDescent="0.2"/>
  </sheetData>
  <mergeCells count="20">
    <mergeCell ref="L20:L21"/>
    <mergeCell ref="J23:K23"/>
    <mergeCell ref="J24:K24"/>
    <mergeCell ref="J25:K25"/>
    <mergeCell ref="A20:A21"/>
    <mergeCell ref="C20:C21"/>
    <mergeCell ref="E20:E21"/>
    <mergeCell ref="C23:D23"/>
    <mergeCell ref="C24:D24"/>
    <mergeCell ref="C25:D25"/>
    <mergeCell ref="H20:H21"/>
    <mergeCell ref="J20:J21"/>
    <mergeCell ref="C26:D26"/>
    <mergeCell ref="C27:D27"/>
    <mergeCell ref="C28:D28"/>
    <mergeCell ref="I17:K17"/>
    <mergeCell ref="B17:D17"/>
    <mergeCell ref="J26:K26"/>
    <mergeCell ref="J27:K27"/>
    <mergeCell ref="J28:K28"/>
  </mergeCells>
  <printOptions horizontalCentered="1"/>
  <pageMargins left="0.39370078740157483" right="0.39370078740157483" top="0.39370078740157483" bottom="0.39370078740157483" header="0.31496062992125984" footer="0.31496062992125984"/>
  <pageSetup paperSize="9" orientation="landscape"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8"/>
  <dimension ref="A1:L37"/>
  <sheetViews>
    <sheetView topLeftCell="A6" workbookViewId="0">
      <selection activeCell="I18" sqref="I18:K18"/>
    </sheetView>
  </sheetViews>
  <sheetFormatPr baseColWidth="10" defaultRowHeight="12.75" x14ac:dyDescent="0.2"/>
  <cols>
    <col min="1" max="1" width="12.7109375" customWidth="1"/>
    <col min="2" max="2" width="15.7109375" customWidth="1"/>
    <col min="3" max="3" width="10.7109375" customWidth="1"/>
    <col min="4" max="4" width="9.5703125" customWidth="1"/>
    <col min="5" max="5" width="12.5703125" customWidth="1"/>
    <col min="6" max="6" width="6.85546875" customWidth="1"/>
    <col min="7" max="7" width="6.42578125" customWidth="1"/>
    <col min="8" max="8" width="12.7109375" customWidth="1"/>
    <col min="9" max="9" width="15.7109375" customWidth="1"/>
    <col min="10" max="10" width="10.7109375" customWidth="1"/>
    <col min="11" max="11" width="7.7109375" customWidth="1"/>
    <col min="12" max="12" width="16" customWidth="1"/>
    <col min="16" max="16" width="11.5703125" bestFit="1" customWidth="1"/>
  </cols>
  <sheetData>
    <row r="1" spans="1:12" s="42" customFormat="1" ht="15" x14ac:dyDescent="0.25">
      <c r="A1" s="1647" t="s">
        <v>170</v>
      </c>
      <c r="B1" s="1616"/>
      <c r="C1" s="1616"/>
      <c r="D1" s="1616" t="s">
        <v>928</v>
      </c>
      <c r="E1" s="1645"/>
      <c r="F1" s="1632"/>
      <c r="G1" s="1635"/>
      <c r="H1" s="1647" t="s">
        <v>170</v>
      </c>
      <c r="I1" s="1616"/>
      <c r="J1" s="1616"/>
      <c r="K1" s="1616" t="s">
        <v>928</v>
      </c>
      <c r="L1" s="1645"/>
    </row>
    <row r="2" spans="1:12" s="42" customFormat="1" x14ac:dyDescent="0.2">
      <c r="A2" s="462"/>
      <c r="B2" s="434"/>
      <c r="C2" s="434"/>
      <c r="D2" s="434"/>
      <c r="E2" s="1629"/>
      <c r="F2" s="1632"/>
      <c r="G2" s="1635"/>
      <c r="H2" s="462"/>
      <c r="I2" s="434"/>
      <c r="J2" s="434"/>
      <c r="K2" s="434"/>
      <c r="L2" s="1629"/>
    </row>
    <row r="3" spans="1:12" ht="18" x14ac:dyDescent="0.25">
      <c r="A3" s="1617"/>
      <c r="B3" s="816" t="s">
        <v>909</v>
      </c>
      <c r="C3" s="283"/>
      <c r="D3" s="283"/>
      <c r="E3" s="1420"/>
      <c r="F3" s="149"/>
      <c r="G3" s="1636"/>
      <c r="H3" s="1617"/>
      <c r="I3" s="816" t="s">
        <v>909</v>
      </c>
      <c r="J3" s="283"/>
      <c r="K3" s="283"/>
      <c r="L3" s="1420"/>
    </row>
    <row r="4" spans="1:12" ht="15.75" x14ac:dyDescent="0.25">
      <c r="A4" s="1618"/>
      <c r="B4" s="401"/>
      <c r="C4" s="1626" t="s">
        <v>916</v>
      </c>
      <c r="D4" s="401"/>
      <c r="E4" s="457"/>
      <c r="F4" s="467"/>
      <c r="G4" s="1637"/>
      <c r="H4" s="1618"/>
      <c r="I4" s="401"/>
      <c r="J4" s="434" t="s">
        <v>916</v>
      </c>
      <c r="K4" s="401"/>
      <c r="L4" s="457"/>
    </row>
    <row r="5" spans="1:12" ht="15.75" x14ac:dyDescent="0.25">
      <c r="A5" s="1618"/>
      <c r="B5" s="401"/>
      <c r="C5" s="1626"/>
      <c r="D5" s="401"/>
      <c r="E5" s="457"/>
      <c r="F5" s="467"/>
      <c r="G5" s="1637"/>
      <c r="H5" s="1618"/>
      <c r="I5" s="401"/>
      <c r="J5" s="434"/>
      <c r="K5" s="401"/>
      <c r="L5" s="457"/>
    </row>
    <row r="6" spans="1:12" ht="6.75" customHeight="1" x14ac:dyDescent="0.25">
      <c r="A6" s="1618"/>
      <c r="B6" s="401"/>
      <c r="C6" s="1626"/>
      <c r="D6" s="401"/>
      <c r="E6" s="457"/>
      <c r="F6" s="467"/>
      <c r="G6" s="1637"/>
      <c r="H6" s="1618"/>
      <c r="I6" s="401"/>
      <c r="J6" s="434"/>
      <c r="K6" s="401"/>
      <c r="L6" s="457"/>
    </row>
    <row r="7" spans="1:12" ht="15" x14ac:dyDescent="0.25">
      <c r="A7" s="78" t="s">
        <v>924</v>
      </c>
      <c r="B7" s="401"/>
      <c r="C7" s="92"/>
      <c r="D7" s="401"/>
      <c r="E7" s="457"/>
      <c r="F7" s="467"/>
      <c r="G7" s="1637"/>
      <c r="H7" s="78" t="s">
        <v>924</v>
      </c>
      <c r="I7" s="401"/>
      <c r="J7" s="401"/>
      <c r="K7" s="401"/>
      <c r="L7" s="457"/>
    </row>
    <row r="8" spans="1:12" ht="15" x14ac:dyDescent="0.25">
      <c r="A8" s="78"/>
      <c r="B8" s="401"/>
      <c r="C8" s="92"/>
      <c r="D8" s="401"/>
      <c r="E8" s="457"/>
      <c r="F8" s="467"/>
      <c r="G8" s="1637"/>
      <c r="H8" s="78"/>
      <c r="I8" s="401"/>
      <c r="J8" s="401"/>
      <c r="K8" s="401"/>
      <c r="L8" s="457"/>
    </row>
    <row r="9" spans="1:12" ht="15" x14ac:dyDescent="0.25">
      <c r="A9" s="78" t="s">
        <v>925</v>
      </c>
      <c r="B9" s="401"/>
      <c r="C9" s="92"/>
      <c r="D9" s="401"/>
      <c r="E9" s="457"/>
      <c r="F9" s="467"/>
      <c r="G9" s="1637"/>
      <c r="H9" s="78" t="s">
        <v>925</v>
      </c>
      <c r="I9" s="401"/>
      <c r="J9" s="401"/>
      <c r="K9" s="401"/>
      <c r="L9" s="457"/>
    </row>
    <row r="10" spans="1:12" ht="15" x14ac:dyDescent="0.25">
      <c r="A10" s="78"/>
      <c r="B10" s="401"/>
      <c r="C10" s="92"/>
      <c r="D10" s="401"/>
      <c r="E10" s="457"/>
      <c r="F10" s="467"/>
      <c r="G10" s="1637"/>
      <c r="H10" s="78"/>
      <c r="I10" s="401"/>
      <c r="J10" s="401"/>
      <c r="K10" s="401"/>
      <c r="L10" s="457"/>
    </row>
    <row r="11" spans="1:12" ht="15" x14ac:dyDescent="0.25">
      <c r="A11" s="78" t="s">
        <v>926</v>
      </c>
      <c r="B11" s="401"/>
      <c r="C11" s="92"/>
      <c r="D11" s="401"/>
      <c r="E11" s="457"/>
      <c r="F11" s="467"/>
      <c r="G11" s="1637"/>
      <c r="H11" s="78" t="s">
        <v>926</v>
      </c>
      <c r="I11" s="401"/>
      <c r="J11" s="401"/>
      <c r="K11" s="401"/>
      <c r="L11" s="457"/>
    </row>
    <row r="12" spans="1:12" ht="15" x14ac:dyDescent="0.25">
      <c r="A12" s="78"/>
      <c r="B12" s="401"/>
      <c r="C12" s="92"/>
      <c r="D12" s="401"/>
      <c r="E12" s="457"/>
      <c r="F12" s="467"/>
      <c r="G12" s="1637"/>
      <c r="H12" s="78"/>
      <c r="I12" s="401"/>
      <c r="J12" s="401"/>
      <c r="K12" s="401"/>
      <c r="L12" s="457"/>
    </row>
    <row r="13" spans="1:12" ht="15" x14ac:dyDescent="0.25">
      <c r="A13" s="78" t="s">
        <v>927</v>
      </c>
      <c r="B13" s="401"/>
      <c r="C13" s="92"/>
      <c r="D13" s="401"/>
      <c r="E13" s="457"/>
      <c r="F13" s="467"/>
      <c r="G13" s="1637"/>
      <c r="H13" s="78" t="s">
        <v>927</v>
      </c>
      <c r="I13" s="401"/>
      <c r="J13" s="401"/>
      <c r="K13" s="401"/>
      <c r="L13" s="457"/>
    </row>
    <row r="14" spans="1:12" x14ac:dyDescent="0.2">
      <c r="A14" s="461"/>
      <c r="B14" s="401"/>
      <c r="C14" s="401"/>
      <c r="D14" s="401"/>
      <c r="E14" s="457"/>
      <c r="F14" s="467"/>
      <c r="G14" s="1637"/>
      <c r="H14" s="461"/>
      <c r="I14" s="401"/>
      <c r="J14" s="401"/>
      <c r="K14" s="401"/>
      <c r="L14" s="457"/>
    </row>
    <row r="15" spans="1:12" ht="18" x14ac:dyDescent="0.25">
      <c r="A15" s="461"/>
      <c r="B15" s="77" t="s">
        <v>918</v>
      </c>
      <c r="C15" s="1730" t="s">
        <v>941</v>
      </c>
      <c r="D15" s="401"/>
      <c r="E15" s="457"/>
      <c r="F15" s="467"/>
      <c r="G15" s="1637"/>
      <c r="H15" s="461"/>
      <c r="I15" s="77" t="s">
        <v>918</v>
      </c>
      <c r="J15" s="1730" t="s">
        <v>941</v>
      </c>
      <c r="K15" s="401"/>
      <c r="L15" s="457"/>
    </row>
    <row r="16" spans="1:12" ht="20.25" x14ac:dyDescent="0.3">
      <c r="A16" s="1619"/>
      <c r="B16" s="77"/>
      <c r="C16" s="1730" t="s">
        <v>942</v>
      </c>
      <c r="D16" s="1611"/>
      <c r="E16" s="1620"/>
      <c r="F16" s="1613"/>
      <c r="G16" s="1638"/>
      <c r="H16" s="1619"/>
      <c r="I16" s="77"/>
      <c r="J16" s="1730" t="s">
        <v>942</v>
      </c>
      <c r="K16" s="1611"/>
      <c r="L16" s="1620"/>
    </row>
    <row r="17" spans="1:12" x14ac:dyDescent="0.2">
      <c r="A17" s="461"/>
      <c r="B17" s="401"/>
      <c r="C17" s="401"/>
      <c r="D17" s="401"/>
      <c r="E17" s="457"/>
      <c r="F17" s="467"/>
      <c r="G17" s="1637"/>
      <c r="H17" s="461"/>
      <c r="I17" s="401"/>
      <c r="J17" s="401"/>
      <c r="K17" s="401"/>
      <c r="L17" s="457"/>
    </row>
    <row r="18" spans="1:12" s="1180" customFormat="1" ht="20.25" x14ac:dyDescent="0.3">
      <c r="A18" s="1618"/>
      <c r="B18" s="3265" t="s">
        <v>919</v>
      </c>
      <c r="C18" s="3265"/>
      <c r="D18" s="3265"/>
      <c r="E18" s="1621"/>
      <c r="F18" s="1633"/>
      <c r="G18" s="1639"/>
      <c r="H18" s="1618"/>
      <c r="I18" s="3265" t="s">
        <v>919</v>
      </c>
      <c r="J18" s="3265"/>
      <c r="K18" s="3265"/>
      <c r="L18" s="1621"/>
    </row>
    <row r="19" spans="1:12" x14ac:dyDescent="0.2">
      <c r="A19" s="461"/>
      <c r="B19" s="401"/>
      <c r="C19" s="401"/>
      <c r="D19" s="401"/>
      <c r="E19" s="457"/>
      <c r="F19" s="467"/>
      <c r="G19" s="1637"/>
      <c r="H19" s="461"/>
      <c r="I19" s="401"/>
      <c r="J19" s="401"/>
      <c r="K19" s="401"/>
      <c r="L19" s="457"/>
    </row>
    <row r="20" spans="1:12" ht="13.5" thickBot="1" x14ac:dyDescent="0.25">
      <c r="A20" s="744" t="s">
        <v>911</v>
      </c>
      <c r="B20" s="674"/>
      <c r="C20" s="674" t="s">
        <v>912</v>
      </c>
      <c r="D20" s="674"/>
      <c r="E20" s="1622" t="s">
        <v>910</v>
      </c>
      <c r="F20" s="1634"/>
      <c r="G20" s="1640"/>
      <c r="H20" s="744" t="s">
        <v>911</v>
      </c>
      <c r="I20" s="674"/>
      <c r="J20" s="674" t="s">
        <v>912</v>
      </c>
      <c r="K20" s="674"/>
      <c r="L20" s="1622" t="s">
        <v>910</v>
      </c>
    </row>
    <row r="21" spans="1:12" s="60" customFormat="1" ht="15.75" x14ac:dyDescent="0.25">
      <c r="A21" s="3266"/>
      <c r="B21" s="401"/>
      <c r="C21" s="3266"/>
      <c r="D21" s="401"/>
      <c r="E21" s="3266"/>
      <c r="F21" s="1615"/>
      <c r="G21" s="1641"/>
      <c r="H21" s="3266"/>
      <c r="I21" s="401"/>
      <c r="J21" s="3266"/>
      <c r="K21" s="401"/>
      <c r="L21" s="3266"/>
    </row>
    <row r="22" spans="1:12" ht="9" customHeight="1" thickBot="1" x14ac:dyDescent="0.25">
      <c r="A22" s="3267"/>
      <c r="B22" s="401"/>
      <c r="C22" s="3267"/>
      <c r="D22" s="401"/>
      <c r="E22" s="3267"/>
      <c r="F22" s="1615"/>
      <c r="G22" s="1641"/>
      <c r="H22" s="3267"/>
      <c r="I22" s="401"/>
      <c r="J22" s="3267"/>
      <c r="K22" s="401"/>
      <c r="L22" s="3267"/>
    </row>
    <row r="23" spans="1:12" s="764" customFormat="1" ht="13.5" thickBot="1" x14ac:dyDescent="0.25">
      <c r="A23" s="461"/>
      <c r="B23" s="401"/>
      <c r="C23" s="401"/>
      <c r="D23" s="401"/>
      <c r="E23" s="457"/>
      <c r="F23" s="467"/>
      <c r="G23" s="1637"/>
      <c r="H23" s="461"/>
      <c r="I23" s="401"/>
      <c r="J23" s="401"/>
      <c r="K23" s="401"/>
      <c r="L23" s="457"/>
    </row>
    <row r="24" spans="1:12" ht="18.75" thickBot="1" x14ac:dyDescent="0.3">
      <c r="A24" s="1606" t="s">
        <v>148</v>
      </c>
      <c r="B24" s="1607" t="s">
        <v>913</v>
      </c>
      <c r="C24" s="3268" t="s">
        <v>914</v>
      </c>
      <c r="D24" s="3268"/>
      <c r="E24" s="1610" t="s">
        <v>465</v>
      </c>
      <c r="F24" s="1614"/>
      <c r="G24" s="1642"/>
      <c r="H24" s="1606" t="s">
        <v>148</v>
      </c>
      <c r="I24" s="1607" t="s">
        <v>913</v>
      </c>
      <c r="J24" s="3268" t="s">
        <v>914</v>
      </c>
      <c r="K24" s="3268"/>
      <c r="L24" s="1610" t="s">
        <v>465</v>
      </c>
    </row>
    <row r="25" spans="1:12" ht="20.100000000000001" customHeight="1" x14ac:dyDescent="0.2">
      <c r="A25" s="1608"/>
      <c r="B25" s="1605"/>
      <c r="C25" s="3269"/>
      <c r="D25" s="3269"/>
      <c r="E25" s="1609"/>
      <c r="F25" s="467"/>
      <c r="G25" s="1637"/>
      <c r="H25" s="1608"/>
      <c r="I25" s="1605"/>
      <c r="J25" s="3269"/>
      <c r="K25" s="3269"/>
      <c r="L25" s="1609"/>
    </row>
    <row r="26" spans="1:12" ht="20.100000000000001" customHeight="1" x14ac:dyDescent="0.2">
      <c r="A26" s="455"/>
      <c r="B26" s="430"/>
      <c r="C26" s="3130"/>
      <c r="D26" s="3130"/>
      <c r="E26" s="454"/>
      <c r="F26" s="467"/>
      <c r="G26" s="1637"/>
      <c r="H26" s="455"/>
      <c r="I26" s="430"/>
      <c r="J26" s="3130"/>
      <c r="K26" s="3130"/>
      <c r="L26" s="454"/>
    </row>
    <row r="27" spans="1:12" s="38" customFormat="1" ht="20.100000000000001" customHeight="1" x14ac:dyDescent="0.25">
      <c r="A27" s="455"/>
      <c r="B27" s="430"/>
      <c r="C27" s="3130"/>
      <c r="D27" s="3130"/>
      <c r="E27" s="454"/>
      <c r="F27" s="467"/>
      <c r="G27" s="1637"/>
      <c r="H27" s="455"/>
      <c r="I27" s="430"/>
      <c r="J27" s="3130"/>
      <c r="K27" s="3130"/>
      <c r="L27" s="454"/>
    </row>
    <row r="28" spans="1:12" ht="20.100000000000001" customHeight="1" x14ac:dyDescent="0.2">
      <c r="A28" s="455"/>
      <c r="B28" s="430"/>
      <c r="C28" s="3130"/>
      <c r="D28" s="3130"/>
      <c r="E28" s="454"/>
      <c r="F28" s="467"/>
      <c r="G28" s="1637"/>
      <c r="H28" s="455"/>
      <c r="I28" s="430"/>
      <c r="J28" s="3130"/>
      <c r="K28" s="3130"/>
      <c r="L28" s="454"/>
    </row>
    <row r="29" spans="1:12" ht="26.25" customHeight="1" thickBot="1" x14ac:dyDescent="0.3">
      <c r="A29" s="1612" t="s">
        <v>18</v>
      </c>
      <c r="B29" s="448"/>
      <c r="C29" s="3132"/>
      <c r="D29" s="3132"/>
      <c r="E29" s="503"/>
      <c r="F29" s="467"/>
      <c r="G29" s="1637"/>
      <c r="H29" s="1612" t="s">
        <v>18</v>
      </c>
      <c r="I29" s="448"/>
      <c r="J29" s="3132"/>
      <c r="K29" s="3132"/>
      <c r="L29" s="503"/>
    </row>
    <row r="30" spans="1:12" ht="30" customHeight="1" x14ac:dyDescent="0.2">
      <c r="A30" s="461"/>
      <c r="B30" s="401"/>
      <c r="C30" s="401"/>
      <c r="D30" s="401"/>
      <c r="E30" s="457"/>
      <c r="F30" s="401"/>
      <c r="G30" s="1643"/>
      <c r="H30" s="461"/>
      <c r="I30" s="401"/>
      <c r="J30" s="401"/>
      <c r="K30" s="401"/>
      <c r="L30" s="457"/>
    </row>
    <row r="31" spans="1:12" ht="30" customHeight="1" x14ac:dyDescent="0.2">
      <c r="A31" s="1623" t="s">
        <v>915</v>
      </c>
      <c r="B31" s="1627"/>
      <c r="C31" s="1630" t="s">
        <v>149</v>
      </c>
      <c r="D31" s="1624"/>
      <c r="E31" s="1625" t="s">
        <v>190</v>
      </c>
      <c r="F31" s="1628"/>
      <c r="G31" s="1644"/>
      <c r="H31" s="1623" t="s">
        <v>915</v>
      </c>
      <c r="I31" s="1624"/>
      <c r="J31" s="1631" t="s">
        <v>149</v>
      </c>
      <c r="K31" s="1624"/>
      <c r="L31" s="1625" t="s">
        <v>190</v>
      </c>
    </row>
    <row r="32" spans="1:12" ht="30" customHeight="1" thickBot="1" x14ac:dyDescent="0.25">
      <c r="A32" s="463"/>
      <c r="B32" s="464"/>
      <c r="C32" s="464"/>
      <c r="D32" s="464"/>
      <c r="E32" s="465"/>
      <c r="F32" s="401"/>
      <c r="G32" s="1643"/>
      <c r="H32" s="463"/>
      <c r="I32" s="464"/>
      <c r="J32" s="464"/>
      <c r="K32" s="464"/>
      <c r="L32" s="465"/>
    </row>
    <row r="33" spans="6:12" x14ac:dyDescent="0.2">
      <c r="F33" s="401"/>
      <c r="H33" s="401"/>
      <c r="I33" s="401"/>
      <c r="J33" s="401"/>
      <c r="K33" s="401"/>
      <c r="L33" s="401"/>
    </row>
    <row r="37" spans="6:12" s="42" customFormat="1" x14ac:dyDescent="0.2"/>
  </sheetData>
  <mergeCells count="20">
    <mergeCell ref="C26:D26"/>
    <mergeCell ref="J26:K26"/>
    <mergeCell ref="B18:D18"/>
    <mergeCell ref="I18:K18"/>
    <mergeCell ref="A21:A22"/>
    <mergeCell ref="C21:C22"/>
    <mergeCell ref="E21:E22"/>
    <mergeCell ref="H21:H22"/>
    <mergeCell ref="J21:J22"/>
    <mergeCell ref="L21:L22"/>
    <mergeCell ref="C24:D24"/>
    <mergeCell ref="J24:K24"/>
    <mergeCell ref="C25:D25"/>
    <mergeCell ref="J25:K25"/>
    <mergeCell ref="C27:D27"/>
    <mergeCell ref="J27:K27"/>
    <mergeCell ref="C28:D28"/>
    <mergeCell ref="J28:K28"/>
    <mergeCell ref="C29:D29"/>
    <mergeCell ref="J29:K29"/>
  </mergeCells>
  <printOptions horizontalCentered="1"/>
  <pageMargins left="0.39370078740157483" right="0.39370078740157483" top="0.39370078740157483" bottom="0.39370078740157483" header="0.31496062992125984" footer="0.31496062992125984"/>
  <pageSetup paperSize="9"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9"/>
  <dimension ref="A1"/>
  <sheetViews>
    <sheetView workbookViewId="0"/>
  </sheetViews>
  <sheetFormatPr baseColWidth="10" defaultRowHeight="12.75" x14ac:dyDescent="0.2"/>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0"/>
  <dimension ref="A1"/>
  <sheetViews>
    <sheetView workbookViewId="0"/>
  </sheetViews>
  <sheetFormatPr baseColWidth="10" defaultRowHeight="12.75" x14ac:dyDescent="0.2"/>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1"/>
  <dimension ref="A1"/>
  <sheetViews>
    <sheetView workbookViewId="0"/>
  </sheetViews>
  <sheetFormatPr baseColWidth="10" defaultRowHeight="12.75" x14ac:dyDescent="0.2"/>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2"/>
  <dimension ref="A1"/>
  <sheetViews>
    <sheetView workbookViewId="0"/>
  </sheetViews>
  <sheetFormatPr baseColWidth="10" defaultRowHeight="12.75" x14ac:dyDescent="0.2"/>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3"/>
  <dimension ref="A1:AO54"/>
  <sheetViews>
    <sheetView workbookViewId="0">
      <selection activeCell="J18" sqref="J18"/>
    </sheetView>
  </sheetViews>
  <sheetFormatPr baseColWidth="10" defaultRowHeight="14.25" x14ac:dyDescent="0.2"/>
  <cols>
    <col min="2" max="2" width="14" style="922" customWidth="1"/>
    <col min="3" max="3" width="13.5703125" customWidth="1"/>
    <col min="4" max="4" width="13.140625" style="922" customWidth="1"/>
    <col min="5" max="5" width="15.42578125" customWidth="1"/>
    <col min="6" max="6" width="16" style="922" customWidth="1"/>
    <col min="7" max="7" width="17.85546875" customWidth="1"/>
    <col min="8" max="8" width="13.85546875" style="922" customWidth="1"/>
    <col min="9" max="9" width="15.42578125" customWidth="1"/>
    <col min="10" max="10" width="14" style="922" customWidth="1"/>
    <col min="11" max="11" width="14.85546875" customWidth="1"/>
    <col min="12" max="12" width="15.28515625" style="922" customWidth="1"/>
    <col min="13" max="13" width="14.5703125" customWidth="1"/>
    <col min="14" max="14" width="13.42578125" customWidth="1"/>
    <col min="15" max="15" width="15" customWidth="1"/>
    <col min="16" max="16" width="14.28515625" customWidth="1"/>
    <col min="17" max="17" width="13.28515625" customWidth="1"/>
    <col min="18" max="18" width="14.28515625" bestFit="1" customWidth="1"/>
    <col min="19" max="19" width="15.28515625" customWidth="1"/>
    <col min="20" max="20" width="13.42578125" customWidth="1"/>
    <col min="21" max="21" width="14.42578125" customWidth="1"/>
    <col min="22" max="22" width="13.85546875" customWidth="1"/>
    <col min="23" max="23" width="13.5703125" customWidth="1"/>
    <col min="25" max="25" width="12.85546875" customWidth="1"/>
    <col min="29" max="29" width="16.140625" customWidth="1"/>
    <col min="31" max="31" width="16.140625" customWidth="1"/>
    <col min="36" max="36" width="15.28515625" style="922" customWidth="1"/>
    <col min="37" max="37" width="14.5703125" customWidth="1"/>
    <col min="38" max="38" width="15.28515625" style="922" customWidth="1"/>
    <col min="39" max="39" width="14.5703125" customWidth="1"/>
    <col min="41" max="41" width="13.7109375" bestFit="1" customWidth="1"/>
  </cols>
  <sheetData>
    <row r="1" spans="1:41" ht="15" x14ac:dyDescent="0.2">
      <c r="A1" s="922" t="s">
        <v>229</v>
      </c>
      <c r="D1" s="1689"/>
      <c r="E1" s="401"/>
      <c r="F1" s="1690"/>
    </row>
    <row r="2" spans="1:41" ht="22.5" x14ac:dyDescent="0.3">
      <c r="A2" s="922"/>
      <c r="D2" s="1691"/>
      <c r="E2" s="401"/>
      <c r="F2" s="1691">
        <f>5950000*3</f>
        <v>17850000</v>
      </c>
      <c r="I2" s="1692" t="s">
        <v>896</v>
      </c>
      <c r="J2" s="1693">
        <v>42125</v>
      </c>
      <c r="K2" s="1692"/>
      <c r="U2">
        <f>1164000/600</f>
        <v>1940</v>
      </c>
    </row>
    <row r="3" spans="1:41" ht="15" x14ac:dyDescent="0.2">
      <c r="A3" s="922" t="s">
        <v>938</v>
      </c>
      <c r="D3" s="1691"/>
      <c r="E3" s="401"/>
      <c r="F3" s="1690">
        <v>2975000</v>
      </c>
    </row>
    <row r="4" spans="1:41" x14ac:dyDescent="0.2">
      <c r="A4" s="922"/>
      <c r="D4" s="1691"/>
      <c r="E4" s="401"/>
      <c r="F4" s="1689"/>
      <c r="X4">
        <f>26150+19974+36560+41210+41020+20300+40000</f>
        <v>225214</v>
      </c>
    </row>
    <row r="5" spans="1:41" x14ac:dyDescent="0.2">
      <c r="B5" s="922">
        <f>'[7]RELEVE D''ECHEANCE'!B5</f>
        <v>0</v>
      </c>
      <c r="C5">
        <f>'[7]RELEVE D''ECHEANCE'!C5</f>
        <v>0</v>
      </c>
      <c r="D5" s="922">
        <f>'[7]RELEVE D''ECHEANCE'!D5</f>
        <v>0</v>
      </c>
      <c r="E5">
        <f>'[7]RELEVE D''ECHEANCE'!E5</f>
        <v>0</v>
      </c>
      <c r="F5" s="922">
        <f>'[7]RELEVE D''ECHEANCE'!F5</f>
        <v>0</v>
      </c>
      <c r="G5">
        <f>'[7]RELEVE D''ECHEANCE'!G5</f>
        <v>0</v>
      </c>
      <c r="H5" s="922">
        <f>'[7]RELEVE D''ECHEANCE'!H5</f>
        <v>0</v>
      </c>
      <c r="I5">
        <f>'[7]RELEVE D''ECHEANCE'!I5</f>
        <v>0</v>
      </c>
      <c r="J5" s="922">
        <f>'[7]RELEVE D''ECHEANCE'!J5</f>
        <v>0</v>
      </c>
      <c r="K5">
        <f>'[7]RELEVE D''ECHEANCE'!K5</f>
        <v>0</v>
      </c>
      <c r="L5" s="922">
        <f>'[7]RELEVE D''ECHEANCE'!L5</f>
        <v>0</v>
      </c>
      <c r="M5">
        <f>'[7]RELEVE D''ECHEANCE'!M5</f>
        <v>0</v>
      </c>
      <c r="N5">
        <f>'[7]RELEVE D''ECHEANCE'!N5</f>
        <v>0</v>
      </c>
      <c r="O5">
        <f>'[7]RELEVE D''ECHEANCE'!O5</f>
        <v>0</v>
      </c>
      <c r="P5">
        <f>'[7]RELEVE D''ECHEANCE'!P5</f>
        <v>0</v>
      </c>
      <c r="Q5">
        <f>'[7]RELEVE D''ECHEANCE'!Q5</f>
        <v>0</v>
      </c>
      <c r="R5">
        <f>'[7]RELEVE D''ECHEANCE'!R5</f>
        <v>0</v>
      </c>
      <c r="S5">
        <f>'[7]RELEVE D''ECHEANCE'!S5</f>
        <v>0</v>
      </c>
      <c r="T5">
        <f>'[7]RELEVE D''ECHEANCE'!T5</f>
        <v>0</v>
      </c>
      <c r="U5">
        <f>'[7]RELEVE D''ECHEANCE'!U5</f>
        <v>0</v>
      </c>
      <c r="V5">
        <f>'[7]RELEVE D''ECHEANCE'!V5</f>
        <v>0</v>
      </c>
      <c r="W5">
        <f>'[7]RELEVE D''ECHEANCE'!W5</f>
        <v>0</v>
      </c>
      <c r="X5">
        <f>'[7]RELEVE D''ECHEANCE'!X5</f>
        <v>0</v>
      </c>
      <c r="Y5">
        <f>'[7]RELEVE D''ECHEANCE'!Y5</f>
        <v>0</v>
      </c>
      <c r="Z5">
        <f>'[7]RELEVE D''ECHEANCE'!Z5</f>
        <v>0</v>
      </c>
      <c r="AA5">
        <f>'[7]RELEVE D''ECHEANCE'!AA5</f>
        <v>0</v>
      </c>
      <c r="AB5">
        <f>'[7]RELEVE D''ECHEANCE'!AB5</f>
        <v>0</v>
      </c>
      <c r="AC5">
        <f>'[7]RELEVE D''ECHEANCE'!AC5</f>
        <v>0</v>
      </c>
      <c r="AD5">
        <f>'[7]RELEVE D''ECHEANCE'!AD5</f>
        <v>0</v>
      </c>
      <c r="AE5">
        <f>'[7]RELEVE D''ECHEANCE'!AE5</f>
        <v>0</v>
      </c>
      <c r="AF5">
        <f>'[7]RELEVE D''ECHEANCE'!AF5</f>
        <v>0</v>
      </c>
      <c r="AG5">
        <f>'[7]RELEVE D''ECHEANCE'!AG5</f>
        <v>0</v>
      </c>
      <c r="AH5">
        <f>'[7]RELEVE D''ECHEANCE'!AH5</f>
        <v>0</v>
      </c>
      <c r="AI5">
        <f>'[7]RELEVE D''ECHEANCE'!AI5</f>
        <v>0</v>
      </c>
      <c r="AJ5" s="922">
        <f>'[7]RELEVE D''ECHEANCE'!AJ5</f>
        <v>0</v>
      </c>
      <c r="AK5">
        <f>'[7]RELEVE D''ECHEANCE'!AK5</f>
        <v>0</v>
      </c>
      <c r="AL5" s="922">
        <f>'[7]RELEVE D''ECHEANCE'!AL5</f>
        <v>0</v>
      </c>
      <c r="AM5">
        <f>'[7]RELEVE D''ECHEANCE'!AM5</f>
        <v>0</v>
      </c>
      <c r="AN5">
        <f>'[7]RELEVE D''ECHEANCE'!AN5</f>
        <v>0</v>
      </c>
      <c r="AO5">
        <f>'[7]RELEVE D''ECHEANCE'!AO5</f>
        <v>0</v>
      </c>
    </row>
    <row r="6" spans="1:41" s="922" customFormat="1" x14ac:dyDescent="0.2">
      <c r="A6" s="3272" t="s">
        <v>939</v>
      </c>
      <c r="B6" s="3273" t="str">
        <f>'[7]RELEVE D''ECHEANCE'!B6</f>
        <v>SODITRA</v>
      </c>
      <c r="C6" s="3273"/>
      <c r="D6" s="3274" t="str">
        <f>'[7]RELEVE D''ECHEANCE'!D6</f>
        <v>KONGFU</v>
      </c>
      <c r="E6" s="3275"/>
      <c r="F6" s="3274" t="str">
        <f>'[7]RELEVE D''ECHEANCE'!F6</f>
        <v>SAPTRANS</v>
      </c>
      <c r="G6" s="3275"/>
      <c r="H6" s="3274" t="str">
        <f>'[7]RELEVE D''ECHEANCE'!H6</f>
        <v>Mezatrans</v>
      </c>
      <c r="I6" s="3275"/>
      <c r="J6" s="3274" t="str">
        <f>'[7]RELEVE D''ECHEANCE'!J6</f>
        <v>E-TRANSCOM</v>
      </c>
      <c r="K6" s="3275"/>
      <c r="L6" s="3274" t="str">
        <f>'[7]RELEVE D''ECHEANCE'!L6</f>
        <v>SOFERCO</v>
      </c>
      <c r="M6" s="3275"/>
      <c r="N6" s="3274" t="str">
        <f>'[7]RELEVE D''ECHEANCE'!N6</f>
        <v>JEAB</v>
      </c>
      <c r="O6" s="3275"/>
      <c r="P6" s="3276" t="str">
        <f>'[7]RELEVE D''ECHEANCE'!P6</f>
        <v>STC</v>
      </c>
      <c r="Q6" s="3277"/>
      <c r="R6" s="3276" t="str">
        <f>'[7]RELEVE D''ECHEANCE'!R6</f>
        <v>PROGRES AUTO</v>
      </c>
      <c r="S6" s="3277"/>
      <c r="T6" s="3276" t="str">
        <f>'[7]RELEVE D''ECHEANCE'!T6</f>
        <v>IHM</v>
      </c>
      <c r="U6" s="3277"/>
      <c r="V6" s="3270" t="str">
        <f>'[7]RELEVE D''ECHEANCE'!V6</f>
        <v>X-TRADE</v>
      </c>
      <c r="W6" s="3271"/>
      <c r="X6" s="3270" t="str">
        <f>'[7]RELEVE D''ECHEANCE'!X6</f>
        <v>Terminal</v>
      </c>
      <c r="Y6" s="3271"/>
      <c r="Z6" s="3270" t="str">
        <f>'[7]RELEVE D''ECHEANCE'!Z6</f>
        <v>YOSSI</v>
      </c>
      <c r="AA6" s="3271"/>
      <c r="AB6" s="3270" t="str">
        <f>'[7]RELEVE D''ECHEANCE'!AB6</f>
        <v>NEW GEX</v>
      </c>
      <c r="AC6" s="3271"/>
      <c r="AD6" s="3270" t="str">
        <f>'[7]RELEVE D''ECHEANCE'!AD6</f>
        <v>GRD BETON</v>
      </c>
      <c r="AE6" s="3271"/>
      <c r="AF6" s="3270" t="str">
        <f>'[7]RELEVE D''ECHEANCE'!AF6</f>
        <v>ABS</v>
      </c>
      <c r="AG6" s="3271"/>
      <c r="AH6" s="3270" t="str">
        <f>'[7]RELEVE D''ECHEANCE'!AH6</f>
        <v>GSCI</v>
      </c>
      <c r="AI6" s="3271"/>
      <c r="AJ6" s="3274" t="str">
        <f>'[7]RELEVE D''ECHEANCE'!AJ6</f>
        <v>STBL</v>
      </c>
      <c r="AK6" s="3275"/>
      <c r="AL6" s="3274" t="str">
        <f>'[7]RELEVE D''ECHEANCE'!AL6</f>
        <v>CTTC</v>
      </c>
      <c r="AM6" s="3275"/>
      <c r="AN6" s="3278" t="str">
        <f>'[7]RELEVE D''ECHEANCE'!AN6</f>
        <v xml:space="preserve">HAMITEX </v>
      </c>
      <c r="AO6" s="3278"/>
    </row>
    <row r="7" spans="1:41" x14ac:dyDescent="0.2">
      <c r="A7" s="3272"/>
      <c r="B7" s="1694" t="str">
        <f>'[7]RELEVE D''ECHEANCE'!B7</f>
        <v>REGLEMENT</v>
      </c>
      <c r="C7" s="1695" t="str">
        <f>'[7]RELEVE D''ECHEANCE'!C7</f>
        <v>REF</v>
      </c>
      <c r="D7" s="1694" t="str">
        <f>'[7]RELEVE D''ECHEANCE'!D7</f>
        <v>REGLEMENT</v>
      </c>
      <c r="E7" s="1695" t="str">
        <f>'[7]RELEVE D''ECHEANCE'!E7</f>
        <v>REF</v>
      </c>
      <c r="F7" s="1694" t="str">
        <f>'[7]RELEVE D''ECHEANCE'!F7</f>
        <v>REGLEMENT</v>
      </c>
      <c r="G7" s="1695" t="str">
        <f>'[7]RELEVE D''ECHEANCE'!G7</f>
        <v>REF</v>
      </c>
      <c r="H7" s="1694" t="str">
        <f>'[7]RELEVE D''ECHEANCE'!H7</f>
        <v>REGLEMENT</v>
      </c>
      <c r="I7" s="1695" t="str">
        <f>'[7]RELEVE D''ECHEANCE'!I7</f>
        <v>REF</v>
      </c>
      <c r="J7" s="1694" t="str">
        <f>'[7]RELEVE D''ECHEANCE'!J7</f>
        <v>REGLEMENT</v>
      </c>
      <c r="K7" s="1695" t="str">
        <f>'[7]RELEVE D''ECHEANCE'!K7</f>
        <v>REF</v>
      </c>
      <c r="L7" s="1694" t="str">
        <f>'[7]RELEVE D''ECHEANCE'!L7</f>
        <v>REGLEMENT</v>
      </c>
      <c r="M7" s="1695" t="str">
        <f>'[7]RELEVE D''ECHEANCE'!M7</f>
        <v>REF</v>
      </c>
      <c r="N7" s="1695" t="str">
        <f>'[7]RELEVE D''ECHEANCE'!N7</f>
        <v>REGLEMENT</v>
      </c>
      <c r="O7" s="1695" t="str">
        <f>'[7]RELEVE D''ECHEANCE'!O7</f>
        <v>REF</v>
      </c>
      <c r="P7" s="1695" t="str">
        <f>'[7]RELEVE D''ECHEANCE'!P7</f>
        <v>REGLEMENT</v>
      </c>
      <c r="Q7" s="1695" t="str">
        <f>'[7]RELEVE D''ECHEANCE'!Q7</f>
        <v>REF</v>
      </c>
      <c r="R7" s="1695" t="str">
        <f>'[7]RELEVE D''ECHEANCE'!R7</f>
        <v>REGLEMENT</v>
      </c>
      <c r="S7" s="1695" t="str">
        <f>'[7]RELEVE D''ECHEANCE'!S7</f>
        <v>REF</v>
      </c>
      <c r="T7" s="1695" t="str">
        <f>'[7]RELEVE D''ECHEANCE'!T7</f>
        <v>REGLEMENT</v>
      </c>
      <c r="U7" s="1695" t="str">
        <f>'[7]RELEVE D''ECHEANCE'!U7</f>
        <v>REF</v>
      </c>
      <c r="V7" s="1695" t="str">
        <f>'[7]RELEVE D''ECHEANCE'!V7</f>
        <v>REGLEMENT</v>
      </c>
      <c r="W7" s="1695" t="str">
        <f>'[7]RELEVE D''ECHEANCE'!W7</f>
        <v>REF</v>
      </c>
      <c r="X7" s="1695" t="str">
        <f>'[7]RELEVE D''ECHEANCE'!X7</f>
        <v>REGLEMENT</v>
      </c>
      <c r="Y7" s="1695" t="str">
        <f>'[7]RELEVE D''ECHEANCE'!Y7</f>
        <v>REF</v>
      </c>
      <c r="Z7" s="1695" t="str">
        <f>'[7]RELEVE D''ECHEANCE'!Z7</f>
        <v>REGLEMENT</v>
      </c>
      <c r="AA7" s="1695" t="str">
        <f>'[7]RELEVE D''ECHEANCE'!AA7</f>
        <v>REF</v>
      </c>
      <c r="AB7" s="1695" t="str">
        <f>'[7]RELEVE D''ECHEANCE'!AB7</f>
        <v>REGLEMENT</v>
      </c>
      <c r="AC7" s="1695" t="str">
        <f>'[7]RELEVE D''ECHEANCE'!AC7</f>
        <v>REF</v>
      </c>
      <c r="AD7" s="1695" t="str">
        <f>'[7]RELEVE D''ECHEANCE'!AD7</f>
        <v>REGLEMENT</v>
      </c>
      <c r="AE7" s="1695" t="str">
        <f>'[7]RELEVE D''ECHEANCE'!AE7</f>
        <v>REF</v>
      </c>
      <c r="AF7" s="1695" t="str">
        <f>'[7]RELEVE D''ECHEANCE'!AF7</f>
        <v>REGLEMENT</v>
      </c>
      <c r="AG7" s="1695" t="str">
        <f>'[7]RELEVE D''ECHEANCE'!AG7</f>
        <v>REF</v>
      </c>
      <c r="AH7" s="1695" t="str">
        <f>'[7]RELEVE D''ECHEANCE'!AH7</f>
        <v>REGLEMENT</v>
      </c>
      <c r="AI7" s="1695" t="str">
        <f>'[7]RELEVE D''ECHEANCE'!AI7</f>
        <v>REF</v>
      </c>
      <c r="AJ7" s="1694" t="str">
        <f>'[7]RELEVE D''ECHEANCE'!AJ7</f>
        <v>REGLEMENT</v>
      </c>
      <c r="AK7" s="1695" t="str">
        <f>'[7]RELEVE D''ECHEANCE'!AK7</f>
        <v>REF</v>
      </c>
      <c r="AL7" s="1694" t="str">
        <f>'[7]RELEVE D''ECHEANCE'!AL7</f>
        <v>REGLEMENT</v>
      </c>
      <c r="AM7" s="1695" t="str">
        <f>'[7]RELEVE D''ECHEANCE'!AM7</f>
        <v>REF</v>
      </c>
      <c r="AN7" s="1695" t="str">
        <f>'[7]RELEVE D''ECHEANCE'!AN7</f>
        <v>REGLEMENT</v>
      </c>
      <c r="AO7" s="1695" t="str">
        <f>'[7]RELEVE D''ECHEANCE'!AO7</f>
        <v>REF</v>
      </c>
    </row>
    <row r="8" spans="1:41" x14ac:dyDescent="0.2">
      <c r="A8" s="401">
        <v>1</v>
      </c>
      <c r="B8" s="1696">
        <f>'[7]RELEVE D''ECHEANCE'!B8</f>
        <v>0</v>
      </c>
      <c r="C8" s="1697">
        <f>'[7]RELEVE D''ECHEANCE'!C8</f>
        <v>0</v>
      </c>
      <c r="D8" s="1696">
        <f>'[7]RELEVE D''ECHEANCE'!D8</f>
        <v>-20272</v>
      </c>
      <c r="E8" s="1697" t="str">
        <f>'[7]RELEVE D''ECHEANCE'!E8</f>
        <v>FAE30312</v>
      </c>
      <c r="F8" s="1696">
        <f>'[7]RELEVE D''ECHEANCE'!F8</f>
        <v>2380000</v>
      </c>
      <c r="G8" s="1697" t="str">
        <f>'[7]RELEVE D''ECHEANCE'!G8</f>
        <v>SGBC8434102</v>
      </c>
      <c r="H8" s="1696">
        <f>'[7]RELEVE D''ECHEANCE'!H8</f>
        <v>0</v>
      </c>
      <c r="I8" s="1697">
        <f>'[7]RELEVE D''ECHEANCE'!I8</f>
        <v>0</v>
      </c>
      <c r="J8" s="1696">
        <f>'[7]RELEVE D''ECHEANCE'!J8</f>
        <v>5000000</v>
      </c>
      <c r="K8" s="1697" t="str">
        <f>'[7]RELEVE D''ECHEANCE'!K8</f>
        <v>Afrld6592741</v>
      </c>
      <c r="L8" s="1696">
        <f>'[7]RELEVE D''ECHEANCE'!L8</f>
        <v>0</v>
      </c>
      <c r="M8" s="1697">
        <f>'[7]RELEVE D''ECHEANCE'!M8</f>
        <v>0</v>
      </c>
      <c r="N8" s="1697">
        <f>'[7]RELEVE D''ECHEANCE'!N8</f>
        <v>0</v>
      </c>
      <c r="O8" s="1697">
        <f>'[7]RELEVE D''ECHEANCE'!O8</f>
        <v>0</v>
      </c>
      <c r="P8" s="1697">
        <f>'[7]RELEVE D''ECHEANCE'!P8</f>
        <v>0</v>
      </c>
      <c r="Q8" s="1697">
        <f>'[7]RELEVE D''ECHEANCE'!Q8</f>
        <v>0</v>
      </c>
      <c r="R8" s="1697">
        <f>'[7]RELEVE D''ECHEANCE'!R8</f>
        <v>-11925</v>
      </c>
      <c r="S8" s="1697" t="str">
        <f>'[7]RELEVE D''ECHEANCE'!S8</f>
        <v>FAE30315</v>
      </c>
      <c r="T8" s="1697">
        <f>'[7]RELEVE D''ECHEANCE'!T8</f>
        <v>0</v>
      </c>
      <c r="U8" s="1697">
        <f>'[7]RELEVE D''ECHEANCE'!U8</f>
        <v>0</v>
      </c>
      <c r="V8" s="1697">
        <f>'[7]RELEVE D''ECHEANCE'!V8</f>
        <v>-11925</v>
      </c>
      <c r="W8" s="1697" t="str">
        <f>'[7]RELEVE D''ECHEANCE'!W8</f>
        <v>FAE30310</v>
      </c>
      <c r="X8" s="1698">
        <f>'[7]RELEVE D''ECHEANCE'!X8</f>
        <v>0</v>
      </c>
      <c r="Y8" s="1698">
        <f>'[7]RELEVE D''ECHEANCE'!Y8</f>
        <v>0</v>
      </c>
      <c r="Z8" s="1697">
        <f>'[7]RELEVE D''ECHEANCE'!Z8</f>
        <v>0</v>
      </c>
      <c r="AA8" s="1697">
        <f>'[7]RELEVE D''ECHEANCE'!AA8</f>
        <v>0</v>
      </c>
      <c r="AB8" s="1697">
        <f>'[7]RELEVE D''ECHEANCE'!AB8</f>
        <v>0</v>
      </c>
      <c r="AC8" s="1697">
        <f>'[7]RELEVE D''ECHEANCE'!AC8</f>
        <v>0</v>
      </c>
      <c r="AD8" s="1697">
        <f>'[7]RELEVE D''ECHEANCE'!AD8</f>
        <v>-23850</v>
      </c>
      <c r="AE8" s="1697" t="str">
        <f>'[7]RELEVE D''ECHEANCE'!AE8</f>
        <v>FAE30309</v>
      </c>
      <c r="AF8" s="1697">
        <f>'[7]RELEVE D''ECHEANCE'!AF8</f>
        <v>-35775</v>
      </c>
      <c r="AG8" s="1697" t="str">
        <f>'[7]RELEVE D''ECHEANCE'!AG8</f>
        <v>FAE30313</v>
      </c>
      <c r="AH8" s="1697">
        <f>'[7]RELEVE D''ECHEANCE'!AH8</f>
        <v>-11925</v>
      </c>
      <c r="AI8" s="1697" t="str">
        <f>'[7]RELEVE D''ECHEANCE'!AI8</f>
        <v>FAE30314</v>
      </c>
      <c r="AJ8" s="1696">
        <f>'[7]RELEVE D''ECHEANCE'!AJ8</f>
        <v>-10136</v>
      </c>
      <c r="AK8" s="1697" t="str">
        <f>'[7]RELEVE D''ECHEANCE'!AK8</f>
        <v>FAE30316</v>
      </c>
      <c r="AL8" s="1696">
        <f>'[7]RELEVE D''ECHEANCE'!AL8</f>
        <v>-40544</v>
      </c>
      <c r="AM8" s="1697" t="str">
        <f>'[7]RELEVE D''ECHEANCE'!AM8</f>
        <v>FAE30317</v>
      </c>
      <c r="AN8" s="1697">
        <f>'[7]RELEVE D''ECHEANCE'!AN8</f>
        <v>0</v>
      </c>
      <c r="AO8" s="430">
        <f>'[7]RELEVE D''ECHEANCE'!AO8</f>
        <v>0</v>
      </c>
    </row>
    <row r="9" spans="1:41" ht="15" x14ac:dyDescent="0.25">
      <c r="A9" s="401">
        <f>+A8+1</f>
        <v>2</v>
      </c>
      <c r="B9" s="1696">
        <f>'[7]RELEVE D''ECHEANCE'!B9</f>
        <v>0</v>
      </c>
      <c r="C9" s="1697">
        <f>'[7]RELEVE D''ECHEANCE'!C9</f>
        <v>0</v>
      </c>
      <c r="D9" s="1696">
        <f>'[7]RELEVE D''ECHEANCE'!D9</f>
        <v>0</v>
      </c>
      <c r="E9" s="1697">
        <f>'[7]RELEVE D''ECHEANCE'!E9</f>
        <v>0</v>
      </c>
      <c r="F9" s="1699">
        <f>'[7]RELEVE D''ECHEANCE'!F9</f>
        <v>-20272</v>
      </c>
      <c r="G9" s="1700" t="str">
        <f>'[7]RELEVE D''ECHEANCE'!G9</f>
        <v>FAE30318</v>
      </c>
      <c r="H9" s="1696">
        <f>'[7]RELEVE D''ECHEANCE'!H9</f>
        <v>0</v>
      </c>
      <c r="I9" s="1697">
        <f>'[7]RELEVE D''ECHEANCE'!I9</f>
        <v>0</v>
      </c>
      <c r="J9" s="1696">
        <f>'[7]RELEVE D''ECHEANCE'!J9</f>
        <v>0</v>
      </c>
      <c r="K9" s="1697">
        <f>'[7]RELEVE D''ECHEANCE'!K9</f>
        <v>0</v>
      </c>
      <c r="L9" s="1696">
        <f>'[7]RELEVE D''ECHEANCE'!L9</f>
        <v>0</v>
      </c>
      <c r="M9" s="1697">
        <f>'[7]RELEVE D''ECHEANCE'!M9</f>
        <v>0</v>
      </c>
      <c r="N9" s="1697">
        <f>'[7]RELEVE D''ECHEANCE'!N9</f>
        <v>0</v>
      </c>
      <c r="O9" s="1697">
        <f>'[7]RELEVE D''ECHEANCE'!O9</f>
        <v>0</v>
      </c>
      <c r="P9" s="430">
        <f>'[7]RELEVE D''ECHEANCE'!P9</f>
        <v>0</v>
      </c>
      <c r="Q9" s="430">
        <f>'[7]RELEVE D''ECHEANCE'!Q9</f>
        <v>0</v>
      </c>
      <c r="R9" s="430">
        <f>'[7]RELEVE D''ECHEANCE'!R9</f>
        <v>0</v>
      </c>
      <c r="S9" s="430">
        <f>'[7]RELEVE D''ECHEANCE'!S9</f>
        <v>0</v>
      </c>
      <c r="T9" s="1697">
        <f>'[7]RELEVE D''ECHEANCE'!T9</f>
        <v>0</v>
      </c>
      <c r="U9" s="1697">
        <f>'[7]RELEVE D''ECHEANCE'!U9</f>
        <v>0</v>
      </c>
      <c r="V9" s="1697">
        <f>'[7]RELEVE D''ECHEANCE'!V9</f>
        <v>0</v>
      </c>
      <c r="W9" s="1697">
        <f>'[7]RELEVE D''ECHEANCE'!W9</f>
        <v>0</v>
      </c>
      <c r="X9" s="1701">
        <f>'[7]RELEVE D''ECHEANCE'!X9</f>
        <v>0</v>
      </c>
      <c r="Y9" s="1697">
        <f>'[7]RELEVE D''ECHEANCE'!Y9</f>
        <v>0</v>
      </c>
      <c r="Z9" s="1697">
        <f>'[7]RELEVE D''ECHEANCE'!Z9</f>
        <v>0</v>
      </c>
      <c r="AA9" s="1697">
        <f>'[7]RELEVE D''ECHEANCE'!AA9</f>
        <v>0</v>
      </c>
      <c r="AB9" s="1697">
        <f>'[7]RELEVE D''ECHEANCE'!AB9</f>
        <v>0</v>
      </c>
      <c r="AC9" s="1697">
        <f>'[7]RELEVE D''ECHEANCE'!AC9</f>
        <v>0</v>
      </c>
      <c r="AD9" s="1697">
        <f>'[7]RELEVE D''ECHEANCE'!AD9</f>
        <v>0</v>
      </c>
      <c r="AE9" s="1697">
        <f>'[7]RELEVE D''ECHEANCE'!AE9</f>
        <v>0</v>
      </c>
      <c r="AF9" s="1697">
        <f>'[7]RELEVE D''ECHEANCE'!AF9</f>
        <v>0</v>
      </c>
      <c r="AG9" s="1697">
        <f>'[7]RELEVE D''ECHEANCE'!AG9</f>
        <v>0</v>
      </c>
      <c r="AH9" s="1697">
        <f>'[7]RELEVE D''ECHEANCE'!AH9</f>
        <v>0</v>
      </c>
      <c r="AI9" s="1697">
        <f>'[7]RELEVE D''ECHEANCE'!AI9</f>
        <v>0</v>
      </c>
      <c r="AJ9" s="1696">
        <f>'[7]RELEVE D''ECHEANCE'!AJ9</f>
        <v>0</v>
      </c>
      <c r="AK9" s="1697">
        <f>'[7]RELEVE D''ECHEANCE'!AK9</f>
        <v>0</v>
      </c>
      <c r="AL9" s="1696">
        <f>'[7]RELEVE D''ECHEANCE'!AL9</f>
        <v>0</v>
      </c>
      <c r="AM9" s="1697">
        <f>'[7]RELEVE D''ECHEANCE'!AM9</f>
        <v>0</v>
      </c>
      <c r="AN9" s="1697">
        <f>'[7]RELEVE D''ECHEANCE'!AN9</f>
        <v>0</v>
      </c>
      <c r="AO9" s="430">
        <f>'[7]RELEVE D''ECHEANCE'!AO9</f>
        <v>0</v>
      </c>
    </row>
    <row r="10" spans="1:41" x14ac:dyDescent="0.2">
      <c r="A10" s="401">
        <f t="shared" ref="A10:A22" si="0">+A9+1</f>
        <v>3</v>
      </c>
      <c r="B10" s="1696">
        <f>'[7]RELEVE D''ECHEANCE'!B10</f>
        <v>0</v>
      </c>
      <c r="C10" s="1697">
        <f>'[7]RELEVE D''ECHEANCE'!C10</f>
        <v>0</v>
      </c>
      <c r="D10" s="1696">
        <f>'[7]RELEVE D''ECHEANCE'!D10</f>
        <v>0</v>
      </c>
      <c r="E10" s="1697">
        <f>'[7]RELEVE D''ECHEANCE'!E10</f>
        <v>0</v>
      </c>
      <c r="F10" s="1702">
        <f>'[7]RELEVE D''ECHEANCE'!F10</f>
        <v>0</v>
      </c>
      <c r="G10" s="1701">
        <f>'[7]RELEVE D''ECHEANCE'!G10</f>
        <v>0</v>
      </c>
      <c r="H10" s="1696">
        <f>'[7]RELEVE D''ECHEANCE'!H10</f>
        <v>0</v>
      </c>
      <c r="I10" s="1697">
        <f>'[7]RELEVE D''ECHEANCE'!I10</f>
        <v>0</v>
      </c>
      <c r="J10" s="1696">
        <f>'[7]RELEVE D''ECHEANCE'!J10</f>
        <v>0</v>
      </c>
      <c r="K10" s="1697">
        <f>'[7]RELEVE D''ECHEANCE'!K10</f>
        <v>0</v>
      </c>
      <c r="L10" s="1696">
        <f>'[7]RELEVE D''ECHEANCE'!L10</f>
        <v>0</v>
      </c>
      <c r="M10" s="1697">
        <f>'[7]RELEVE D''ECHEANCE'!M10</f>
        <v>0</v>
      </c>
      <c r="N10" s="1697">
        <f>'[7]RELEVE D''ECHEANCE'!N10</f>
        <v>0</v>
      </c>
      <c r="O10" s="1697">
        <f>'[7]RELEVE D''ECHEANCE'!O10</f>
        <v>0</v>
      </c>
      <c r="P10" s="430">
        <f>'[7]RELEVE D''ECHEANCE'!P10</f>
        <v>0</v>
      </c>
      <c r="Q10" s="430">
        <f>'[7]RELEVE D''ECHEANCE'!Q10</f>
        <v>0</v>
      </c>
      <c r="R10" s="430">
        <f>'[7]RELEVE D''ECHEANCE'!R10</f>
        <v>0</v>
      </c>
      <c r="S10" s="430">
        <f>'[7]RELEVE D''ECHEANCE'!S10</f>
        <v>0</v>
      </c>
      <c r="T10" s="1697">
        <f>'[7]RELEVE D''ECHEANCE'!T10</f>
        <v>0</v>
      </c>
      <c r="U10" s="1697">
        <f>'[7]RELEVE D''ECHEANCE'!U10</f>
        <v>0</v>
      </c>
      <c r="V10" s="1697">
        <f>'[7]RELEVE D''ECHEANCE'!V10</f>
        <v>0</v>
      </c>
      <c r="W10" s="1697">
        <f>'[7]RELEVE D''ECHEANCE'!W10</f>
        <v>0</v>
      </c>
      <c r="X10" s="1701">
        <f>'[7]RELEVE D''ECHEANCE'!X10</f>
        <v>0</v>
      </c>
      <c r="Y10" s="1697">
        <f>'[7]RELEVE D''ECHEANCE'!Y10</f>
        <v>0</v>
      </c>
      <c r="Z10" s="1697">
        <f>'[7]RELEVE D''ECHEANCE'!Z10</f>
        <v>0</v>
      </c>
      <c r="AA10" s="1697">
        <f>'[7]RELEVE D''ECHEANCE'!AA10</f>
        <v>0</v>
      </c>
      <c r="AB10" s="1697">
        <f>'[7]RELEVE D''ECHEANCE'!AB10</f>
        <v>0</v>
      </c>
      <c r="AC10" s="1697">
        <f>'[7]RELEVE D''ECHEANCE'!AC10</f>
        <v>0</v>
      </c>
      <c r="AD10" s="1697">
        <f>'[7]RELEVE D''ECHEANCE'!AD10</f>
        <v>0</v>
      </c>
      <c r="AE10" s="1697">
        <f>'[7]RELEVE D''ECHEANCE'!AE10</f>
        <v>0</v>
      </c>
      <c r="AF10" s="1697">
        <f>'[7]RELEVE D''ECHEANCE'!AF10</f>
        <v>0</v>
      </c>
      <c r="AG10" s="1697">
        <f>'[7]RELEVE D''ECHEANCE'!AG10</f>
        <v>0</v>
      </c>
      <c r="AH10" s="1697">
        <f>'[7]RELEVE D''ECHEANCE'!AH10</f>
        <v>0</v>
      </c>
      <c r="AI10" s="1697">
        <f>'[7]RELEVE D''ECHEANCE'!AI10</f>
        <v>0</v>
      </c>
      <c r="AJ10" s="1696">
        <f>'[7]RELEVE D''ECHEANCE'!AJ10</f>
        <v>0</v>
      </c>
      <c r="AK10" s="1697">
        <f>'[7]RELEVE D''ECHEANCE'!AK10</f>
        <v>0</v>
      </c>
      <c r="AL10" s="1696">
        <f>'[7]RELEVE D''ECHEANCE'!AL10</f>
        <v>0</v>
      </c>
      <c r="AM10" s="1697">
        <f>'[7]RELEVE D''ECHEANCE'!AM10</f>
        <v>0</v>
      </c>
      <c r="AN10" s="1697">
        <f>'[7]RELEVE D''ECHEANCE'!AN10</f>
        <v>0</v>
      </c>
      <c r="AO10" s="430">
        <f>'[7]RELEVE D''ECHEANCE'!AO10</f>
        <v>0</v>
      </c>
    </row>
    <row r="11" spans="1:41" x14ac:dyDescent="0.2">
      <c r="A11" s="401">
        <f t="shared" si="0"/>
        <v>4</v>
      </c>
      <c r="B11" s="1696">
        <f>'[7]RELEVE D''ECHEANCE'!B11</f>
        <v>0</v>
      </c>
      <c r="C11" s="1697">
        <f>'[7]RELEVE D''ECHEANCE'!C11</f>
        <v>0</v>
      </c>
      <c r="D11" s="1696">
        <f>'[7]RELEVE D''ECHEANCE'!D11</f>
        <v>0</v>
      </c>
      <c r="E11" s="1697">
        <f>'[7]RELEVE D''ECHEANCE'!E11</f>
        <v>0</v>
      </c>
      <c r="F11" s="1702">
        <f>'[7]RELEVE D''ECHEANCE'!F11</f>
        <v>0</v>
      </c>
      <c r="G11" s="1701">
        <f>'[7]RELEVE D''ECHEANCE'!G11</f>
        <v>0</v>
      </c>
      <c r="H11" s="1696">
        <f>'[7]RELEVE D''ECHEANCE'!H11</f>
        <v>0</v>
      </c>
      <c r="I11" s="1697">
        <f>'[7]RELEVE D''ECHEANCE'!I11</f>
        <v>0</v>
      </c>
      <c r="J11" s="1696">
        <f>'[7]RELEVE D''ECHEANCE'!J11</f>
        <v>0</v>
      </c>
      <c r="K11" s="1697">
        <f>'[7]RELEVE D''ECHEANCE'!K11</f>
        <v>0</v>
      </c>
      <c r="L11" s="1696">
        <f>'[7]RELEVE D''ECHEANCE'!L11</f>
        <v>0</v>
      </c>
      <c r="M11" s="1697">
        <f>'[7]RELEVE D''ECHEANCE'!M11</f>
        <v>0</v>
      </c>
      <c r="N11" s="1697">
        <f>'[7]RELEVE D''ECHEANCE'!N11</f>
        <v>0</v>
      </c>
      <c r="O11" s="1697">
        <f>'[7]RELEVE D''ECHEANCE'!O11</f>
        <v>0</v>
      </c>
      <c r="P11" s="1697">
        <f>'[7]RELEVE D''ECHEANCE'!P11</f>
        <v>0</v>
      </c>
      <c r="Q11" s="430">
        <f>'[7]RELEVE D''ECHEANCE'!Q11</f>
        <v>0</v>
      </c>
      <c r="R11" s="430">
        <f>'[7]RELEVE D''ECHEANCE'!R11</f>
        <v>0</v>
      </c>
      <c r="S11" s="430">
        <f>'[7]RELEVE D''ECHEANCE'!S11</f>
        <v>0</v>
      </c>
      <c r="T11" s="1697">
        <f>'[7]RELEVE D''ECHEANCE'!T11</f>
        <v>0</v>
      </c>
      <c r="U11" s="1697">
        <f>'[7]RELEVE D''ECHEANCE'!U11</f>
        <v>0</v>
      </c>
      <c r="V11" s="1697">
        <f>'[7]RELEVE D''ECHEANCE'!V11</f>
        <v>0</v>
      </c>
      <c r="W11" s="1697">
        <f>'[7]RELEVE D''ECHEANCE'!W11</f>
        <v>0</v>
      </c>
      <c r="X11" s="1701">
        <f>'[7]RELEVE D''ECHEANCE'!X11</f>
        <v>0</v>
      </c>
      <c r="Y11" s="1697">
        <f>'[7]RELEVE D''ECHEANCE'!Y11</f>
        <v>0</v>
      </c>
      <c r="Z11" s="1697">
        <f>'[7]RELEVE D''ECHEANCE'!Z11</f>
        <v>0</v>
      </c>
      <c r="AA11" s="1697">
        <f>'[7]RELEVE D''ECHEANCE'!AA11</f>
        <v>0</v>
      </c>
      <c r="AB11" s="1697">
        <f>'[7]RELEVE D''ECHEANCE'!AB11</f>
        <v>0</v>
      </c>
      <c r="AC11" s="1697">
        <f>'[7]RELEVE D''ECHEANCE'!AC11</f>
        <v>0</v>
      </c>
      <c r="AD11" s="1697">
        <f>'[7]RELEVE D''ECHEANCE'!AD11</f>
        <v>0</v>
      </c>
      <c r="AE11" s="1697">
        <f>'[7]RELEVE D''ECHEANCE'!AE11</f>
        <v>0</v>
      </c>
      <c r="AF11" s="1697">
        <f>'[7]RELEVE D''ECHEANCE'!AF11</f>
        <v>0</v>
      </c>
      <c r="AG11" s="1697">
        <f>'[7]RELEVE D''ECHEANCE'!AG11</f>
        <v>0</v>
      </c>
      <c r="AH11" s="1697">
        <f>'[7]RELEVE D''ECHEANCE'!AH11</f>
        <v>0</v>
      </c>
      <c r="AI11" s="1697">
        <f>'[7]RELEVE D''ECHEANCE'!AI11</f>
        <v>0</v>
      </c>
      <c r="AJ11" s="1696">
        <f>'[7]RELEVE D''ECHEANCE'!AJ11</f>
        <v>0</v>
      </c>
      <c r="AK11" s="1697">
        <f>'[7]RELEVE D''ECHEANCE'!AK11</f>
        <v>0</v>
      </c>
      <c r="AL11" s="1696">
        <f>'[7]RELEVE D''ECHEANCE'!AL11</f>
        <v>0</v>
      </c>
      <c r="AM11" s="1697">
        <f>'[7]RELEVE D''ECHEANCE'!AM11</f>
        <v>0</v>
      </c>
      <c r="AN11" s="1697">
        <f>'[7]RELEVE D''ECHEANCE'!AN11</f>
        <v>0</v>
      </c>
      <c r="AO11" s="430">
        <f>'[7]RELEVE D''ECHEANCE'!AO11</f>
        <v>0</v>
      </c>
    </row>
    <row r="12" spans="1:41" x14ac:dyDescent="0.2">
      <c r="A12" s="401">
        <f t="shared" si="0"/>
        <v>5</v>
      </c>
      <c r="B12" s="1696">
        <f>'[7]RELEVE D''ECHEANCE'!B12</f>
        <v>0</v>
      </c>
      <c r="C12" s="1697">
        <f>'[7]RELEVE D''ECHEANCE'!C12</f>
        <v>0</v>
      </c>
      <c r="D12" s="1696">
        <f>'[7]RELEVE D''ECHEANCE'!D12</f>
        <v>0</v>
      </c>
      <c r="E12" s="1697">
        <f>'[7]RELEVE D''ECHEANCE'!E12</f>
        <v>0</v>
      </c>
      <c r="F12" s="1696">
        <f>'[7]RELEVE D''ECHEANCE'!F12</f>
        <v>0</v>
      </c>
      <c r="G12" s="1697">
        <f>'[7]RELEVE D''ECHEANCE'!G12</f>
        <v>0</v>
      </c>
      <c r="H12" s="1696">
        <f>'[7]RELEVE D''ECHEANCE'!H12</f>
        <v>0</v>
      </c>
      <c r="I12" s="1697">
        <f>'[7]RELEVE D''ECHEANCE'!I12</f>
        <v>0</v>
      </c>
      <c r="J12" s="1696">
        <f>'[7]RELEVE D''ECHEANCE'!J12</f>
        <v>0</v>
      </c>
      <c r="K12" s="1697">
        <f>'[7]RELEVE D''ECHEANCE'!K12</f>
        <v>0</v>
      </c>
      <c r="L12" s="1696">
        <f>'[7]RELEVE D''ECHEANCE'!L12</f>
        <v>0</v>
      </c>
      <c r="M12" s="1697">
        <f>'[7]RELEVE D''ECHEANCE'!M12</f>
        <v>0</v>
      </c>
      <c r="N12" s="1697">
        <f>'[7]RELEVE D''ECHEANCE'!N12</f>
        <v>0</v>
      </c>
      <c r="O12" s="1697">
        <f>'[7]RELEVE D''ECHEANCE'!O12</f>
        <v>0</v>
      </c>
      <c r="P12" s="1697">
        <f>'[7]RELEVE D''ECHEANCE'!P12</f>
        <v>0</v>
      </c>
      <c r="Q12" s="430">
        <f>'[7]RELEVE D''ECHEANCE'!Q12</f>
        <v>0</v>
      </c>
      <c r="R12" s="430">
        <f>'[7]RELEVE D''ECHEANCE'!R12</f>
        <v>0</v>
      </c>
      <c r="S12" s="430">
        <f>'[7]RELEVE D''ECHEANCE'!S12</f>
        <v>0</v>
      </c>
      <c r="T12" s="1697">
        <f>'[7]RELEVE D''ECHEANCE'!T12</f>
        <v>0</v>
      </c>
      <c r="U12" s="1697">
        <f>'[7]RELEVE D''ECHEANCE'!U12</f>
        <v>0</v>
      </c>
      <c r="V12" s="1697">
        <f>'[7]RELEVE D''ECHEANCE'!V12</f>
        <v>0</v>
      </c>
      <c r="W12" s="1697">
        <f>'[7]RELEVE D''ECHEANCE'!W12</f>
        <v>0</v>
      </c>
      <c r="X12" s="1701">
        <f>'[7]RELEVE D''ECHEANCE'!X12</f>
        <v>0</v>
      </c>
      <c r="Y12" s="1697">
        <f>'[7]RELEVE D''ECHEANCE'!Y12</f>
        <v>0</v>
      </c>
      <c r="Z12" s="1697">
        <f>'[7]RELEVE D''ECHEANCE'!Z12</f>
        <v>0</v>
      </c>
      <c r="AA12" s="1697">
        <f>'[7]RELEVE D''ECHEANCE'!AA12</f>
        <v>0</v>
      </c>
      <c r="AB12" s="1697">
        <f>'[7]RELEVE D''ECHEANCE'!AB12</f>
        <v>0</v>
      </c>
      <c r="AC12" s="1697">
        <f>'[7]RELEVE D''ECHEANCE'!AC12</f>
        <v>0</v>
      </c>
      <c r="AD12" s="1697">
        <f>'[7]RELEVE D''ECHEANCE'!AD12</f>
        <v>0</v>
      </c>
      <c r="AE12" s="1697">
        <f>'[7]RELEVE D''ECHEANCE'!AE12</f>
        <v>0</v>
      </c>
      <c r="AF12" s="1697">
        <f>'[7]RELEVE D''ECHEANCE'!AF12</f>
        <v>0</v>
      </c>
      <c r="AG12" s="1697">
        <f>'[7]RELEVE D''ECHEANCE'!AG12</f>
        <v>0</v>
      </c>
      <c r="AH12" s="1697">
        <f>'[7]RELEVE D''ECHEANCE'!AH12</f>
        <v>0</v>
      </c>
      <c r="AI12" s="1697">
        <f>'[7]RELEVE D''ECHEANCE'!AI12</f>
        <v>0</v>
      </c>
      <c r="AJ12" s="1696">
        <f>'[7]RELEVE D''ECHEANCE'!AJ12</f>
        <v>0</v>
      </c>
      <c r="AK12" s="1697">
        <f>'[7]RELEVE D''ECHEANCE'!AK12</f>
        <v>0</v>
      </c>
      <c r="AL12" s="1696">
        <f>'[7]RELEVE D''ECHEANCE'!AL12</f>
        <v>0</v>
      </c>
      <c r="AM12" s="1697">
        <f>'[7]RELEVE D''ECHEANCE'!AM12</f>
        <v>0</v>
      </c>
      <c r="AN12" s="1697">
        <f>'[7]RELEVE D''ECHEANCE'!AN12</f>
        <v>0</v>
      </c>
      <c r="AO12" s="430">
        <f>'[7]RELEVE D''ECHEANCE'!AO12</f>
        <v>0</v>
      </c>
    </row>
    <row r="13" spans="1:41" ht="15" x14ac:dyDescent="0.2">
      <c r="A13" s="401">
        <f t="shared" si="0"/>
        <v>6</v>
      </c>
      <c r="B13" s="1701">
        <f>'[7]RELEVE D''ECHEANCE'!B13</f>
        <v>0</v>
      </c>
      <c r="C13" s="1702">
        <f>'[7]RELEVE D''ECHEANCE'!C13</f>
        <v>0</v>
      </c>
      <c r="D13" s="1703">
        <f>'[7]RELEVE D''ECHEANCE'!D13</f>
        <v>0</v>
      </c>
      <c r="E13" s="1704">
        <f>'[7]RELEVE D''ECHEANCE'!E13</f>
        <v>0</v>
      </c>
      <c r="F13" s="1696">
        <f>'[7]RELEVE D''ECHEANCE'!F13</f>
        <v>0</v>
      </c>
      <c r="G13" s="1697">
        <f>'[7]RELEVE D''ECHEANCE'!G13</f>
        <v>0</v>
      </c>
      <c r="H13" s="1702">
        <f>'[7]RELEVE D''ECHEANCE'!H13</f>
        <v>0</v>
      </c>
      <c r="I13" s="1701">
        <f>'[7]RELEVE D''ECHEANCE'!I13</f>
        <v>0</v>
      </c>
      <c r="J13" s="1696">
        <f>'[7]RELEVE D''ECHEANCE'!J13</f>
        <v>0</v>
      </c>
      <c r="K13" s="1697">
        <f>'[7]RELEVE D''ECHEANCE'!K13</f>
        <v>0</v>
      </c>
      <c r="L13" s="1696">
        <f>'[7]RELEVE D''ECHEANCE'!L13</f>
        <v>0</v>
      </c>
      <c r="M13" s="1697">
        <f>'[7]RELEVE D''ECHEANCE'!M13</f>
        <v>0</v>
      </c>
      <c r="N13" s="1697">
        <f>'[7]RELEVE D''ECHEANCE'!N13</f>
        <v>0</v>
      </c>
      <c r="O13" s="1697">
        <f>'[7]RELEVE D''ECHEANCE'!O13</f>
        <v>0</v>
      </c>
      <c r="P13" s="1702">
        <f>'[7]RELEVE D''ECHEANCE'!P13</f>
        <v>0</v>
      </c>
      <c r="Q13" s="1705">
        <f>'[7]RELEVE D''ECHEANCE'!Q13</f>
        <v>0</v>
      </c>
      <c r="R13" s="430">
        <f>'[7]RELEVE D''ECHEANCE'!R13</f>
        <v>0</v>
      </c>
      <c r="S13" s="430">
        <f>'[7]RELEVE D''ECHEANCE'!S13</f>
        <v>0</v>
      </c>
      <c r="T13" s="1697">
        <f>'[7]RELEVE D''ECHEANCE'!T13</f>
        <v>0</v>
      </c>
      <c r="U13" s="1697">
        <f>'[7]RELEVE D''ECHEANCE'!U13</f>
        <v>0</v>
      </c>
      <c r="V13" s="1697">
        <f>'[7]RELEVE D''ECHEANCE'!V13</f>
        <v>0</v>
      </c>
      <c r="W13" s="1697">
        <f>'[7]RELEVE D''ECHEANCE'!W13</f>
        <v>0</v>
      </c>
      <c r="X13" s="1701">
        <f>'[7]RELEVE D''ECHEANCE'!X13</f>
        <v>0</v>
      </c>
      <c r="Y13" s="1697">
        <f>'[7]RELEVE D''ECHEANCE'!Y13</f>
        <v>0</v>
      </c>
      <c r="Z13" s="1697">
        <f>'[7]RELEVE D''ECHEANCE'!Z13</f>
        <v>0</v>
      </c>
      <c r="AA13" s="1697">
        <f>'[7]RELEVE D''ECHEANCE'!AA13</f>
        <v>0</v>
      </c>
      <c r="AB13" s="1697">
        <f>'[7]RELEVE D''ECHEANCE'!AB13</f>
        <v>0</v>
      </c>
      <c r="AC13" s="1697">
        <f>'[7]RELEVE D''ECHEANCE'!AC13</f>
        <v>0</v>
      </c>
      <c r="AD13" s="1697">
        <f>'[7]RELEVE D''ECHEANCE'!AD13</f>
        <v>0</v>
      </c>
      <c r="AE13" s="1697">
        <f>'[7]RELEVE D''ECHEANCE'!AE13</f>
        <v>0</v>
      </c>
      <c r="AF13" s="1697">
        <f>'[7]RELEVE D''ECHEANCE'!AF13</f>
        <v>0</v>
      </c>
      <c r="AG13" s="1697">
        <f>'[7]RELEVE D''ECHEANCE'!AG13</f>
        <v>0</v>
      </c>
      <c r="AH13" s="1697">
        <f>'[7]RELEVE D''ECHEANCE'!AH13</f>
        <v>0</v>
      </c>
      <c r="AI13" s="1697">
        <f>'[7]RELEVE D''ECHEANCE'!AI13</f>
        <v>0</v>
      </c>
      <c r="AJ13" s="1696">
        <f>'[7]RELEVE D''ECHEANCE'!AJ13</f>
        <v>0</v>
      </c>
      <c r="AK13" s="1697">
        <f>'[7]RELEVE D''ECHEANCE'!AK13</f>
        <v>0</v>
      </c>
      <c r="AL13" s="1696">
        <f>'[7]RELEVE D''ECHEANCE'!AL13</f>
        <v>0</v>
      </c>
      <c r="AM13" s="1697">
        <f>'[7]RELEVE D''ECHEANCE'!AM13</f>
        <v>0</v>
      </c>
      <c r="AN13" s="1697">
        <f>'[7]RELEVE D''ECHEANCE'!AN13</f>
        <v>0</v>
      </c>
      <c r="AO13" s="430">
        <f>'[7]RELEVE D''ECHEANCE'!AO13</f>
        <v>0</v>
      </c>
    </row>
    <row r="14" spans="1:41" x14ac:dyDescent="0.2">
      <c r="A14" s="401">
        <f t="shared" si="0"/>
        <v>7</v>
      </c>
      <c r="B14" s="1697">
        <f>'[7]RELEVE D''ECHEANCE'!B14</f>
        <v>0</v>
      </c>
      <c r="C14" s="1696">
        <f>'[7]RELEVE D''ECHEANCE'!C14</f>
        <v>0</v>
      </c>
      <c r="D14" s="1676">
        <f>'[7]RELEVE D''ECHEANCE'!D14</f>
        <v>0</v>
      </c>
      <c r="E14" s="1696">
        <f>'[7]RELEVE D''ECHEANCE'!E14</f>
        <v>0</v>
      </c>
      <c r="F14" s="1696">
        <f>'[7]RELEVE D''ECHEANCE'!F14</f>
        <v>0</v>
      </c>
      <c r="G14" s="1697">
        <f>'[7]RELEVE D''ECHEANCE'!G14</f>
        <v>0</v>
      </c>
      <c r="H14" s="1696">
        <f>'[7]RELEVE D''ECHEANCE'!H14</f>
        <v>0</v>
      </c>
      <c r="I14" s="1697">
        <f>'[7]RELEVE D''ECHEANCE'!I14</f>
        <v>0</v>
      </c>
      <c r="J14" s="1696">
        <f>'[7]RELEVE D''ECHEANCE'!J14</f>
        <v>0</v>
      </c>
      <c r="K14" s="1697">
        <f>'[7]RELEVE D''ECHEANCE'!K14</f>
        <v>0</v>
      </c>
      <c r="L14" s="1696">
        <f>'[7]RELEVE D''ECHEANCE'!L14</f>
        <v>0</v>
      </c>
      <c r="M14" s="1697">
        <f>'[7]RELEVE D''ECHEANCE'!M14</f>
        <v>0</v>
      </c>
      <c r="N14" s="1697">
        <f>'[7]RELEVE D''ECHEANCE'!N14</f>
        <v>0</v>
      </c>
      <c r="O14" s="1697">
        <f>'[7]RELEVE D''ECHEANCE'!O14</f>
        <v>0</v>
      </c>
      <c r="P14" s="1701">
        <f>'[7]RELEVE D''ECHEANCE'!P14</f>
        <v>0</v>
      </c>
      <c r="Q14" s="1706">
        <f>'[7]RELEVE D''ECHEANCE'!Q14</f>
        <v>0</v>
      </c>
      <c r="R14" s="1697">
        <f>'[7]RELEVE D''ECHEANCE'!R14</f>
        <v>0</v>
      </c>
      <c r="S14" s="430">
        <f>'[7]RELEVE D''ECHEANCE'!S14</f>
        <v>0</v>
      </c>
      <c r="T14" s="1697">
        <f>'[7]RELEVE D''ECHEANCE'!T14</f>
        <v>0</v>
      </c>
      <c r="U14" s="1697">
        <f>'[7]RELEVE D''ECHEANCE'!U14</f>
        <v>0</v>
      </c>
      <c r="V14" s="1697">
        <f>'[7]RELEVE D''ECHEANCE'!V14</f>
        <v>0</v>
      </c>
      <c r="W14" s="1697">
        <f>'[7]RELEVE D''ECHEANCE'!W14</f>
        <v>0</v>
      </c>
      <c r="X14" s="1701">
        <f>'[7]RELEVE D''ECHEANCE'!X14</f>
        <v>20397</v>
      </c>
      <c r="Y14" s="1697" t="str">
        <f>'[7]RELEVE D''ECHEANCE'!Y14</f>
        <v>SGBC1160215</v>
      </c>
      <c r="Z14" s="1697">
        <f>'[7]RELEVE D''ECHEANCE'!Z14</f>
        <v>0</v>
      </c>
      <c r="AA14" s="1697">
        <f>'[7]RELEVE D''ECHEANCE'!AA14</f>
        <v>0</v>
      </c>
      <c r="AB14" s="1697">
        <f>'[7]RELEVE D''ECHEANCE'!AB14</f>
        <v>0</v>
      </c>
      <c r="AC14" s="1697">
        <f>'[7]RELEVE D''ECHEANCE'!AC14</f>
        <v>0</v>
      </c>
      <c r="AD14" s="1697">
        <f>'[7]RELEVE D''ECHEANCE'!AD14</f>
        <v>0</v>
      </c>
      <c r="AE14" s="1697">
        <f>'[7]RELEVE D''ECHEANCE'!AE14</f>
        <v>0</v>
      </c>
      <c r="AF14" s="1697">
        <f>'[7]RELEVE D''ECHEANCE'!AF14</f>
        <v>0</v>
      </c>
      <c r="AG14" s="1697">
        <f>'[7]RELEVE D''ECHEANCE'!AG14</f>
        <v>0</v>
      </c>
      <c r="AH14" s="1697">
        <f>'[7]RELEVE D''ECHEANCE'!AH14</f>
        <v>0</v>
      </c>
      <c r="AI14" s="1697">
        <f>'[7]RELEVE D''ECHEANCE'!AI14</f>
        <v>0</v>
      </c>
      <c r="AJ14" s="1696">
        <f>'[7]RELEVE D''ECHEANCE'!AJ14</f>
        <v>0</v>
      </c>
      <c r="AK14" s="1697">
        <f>'[7]RELEVE D''ECHEANCE'!AK14</f>
        <v>0</v>
      </c>
      <c r="AL14" s="1696">
        <f>'[7]RELEVE D''ECHEANCE'!AL14</f>
        <v>0</v>
      </c>
      <c r="AM14" s="1697">
        <f>'[7]RELEVE D''ECHEANCE'!AM14</f>
        <v>0</v>
      </c>
      <c r="AN14" s="1697">
        <f>'[7]RELEVE D''ECHEANCE'!AN14</f>
        <v>480000</v>
      </c>
      <c r="AO14" s="430" t="str">
        <f>'[7]RELEVE D''ECHEANCE'!AO14</f>
        <v>RC8312</v>
      </c>
    </row>
    <row r="15" spans="1:41" ht="15" x14ac:dyDescent="0.2">
      <c r="A15" s="401">
        <f t="shared" si="0"/>
        <v>8</v>
      </c>
      <c r="B15" s="1701">
        <f>'[7]RELEVE D''ECHEANCE'!B15</f>
        <v>0</v>
      </c>
      <c r="C15" s="1702">
        <f>'[7]RELEVE D''ECHEANCE'!C15</f>
        <v>0</v>
      </c>
      <c r="D15" s="1703">
        <f>'[7]RELEVE D''ECHEANCE'!D15</f>
        <v>5950000</v>
      </c>
      <c r="E15" s="1707" t="str">
        <f>'[7]RELEVE D''ECHEANCE'!E15</f>
        <v>SGBC5353564</v>
      </c>
      <c r="F15" s="1696">
        <f>'[7]RELEVE D''ECHEANCE'!F15</f>
        <v>0</v>
      </c>
      <c r="G15" s="1697">
        <f>'[7]RELEVE D''ECHEANCE'!G15</f>
        <v>0</v>
      </c>
      <c r="H15" s="1696">
        <f>'[7]RELEVE D''ECHEANCE'!H15</f>
        <v>0</v>
      </c>
      <c r="I15" s="1697">
        <f>'[7]RELEVE D''ECHEANCE'!I15</f>
        <v>0</v>
      </c>
      <c r="J15" s="1696">
        <f>'[7]RELEVE D''ECHEANCE'!J15</f>
        <v>0</v>
      </c>
      <c r="K15" s="1697">
        <f>'[7]RELEVE D''ECHEANCE'!K15</f>
        <v>0</v>
      </c>
      <c r="L15" s="1696">
        <f>'[7]RELEVE D''ECHEANCE'!L15</f>
        <v>0</v>
      </c>
      <c r="M15" s="1697">
        <f>'[7]RELEVE D''ECHEANCE'!M15</f>
        <v>0</v>
      </c>
      <c r="N15" s="1697">
        <f>'[7]RELEVE D''ECHEANCE'!N15</f>
        <v>2000000</v>
      </c>
      <c r="O15" s="1697" t="str">
        <f>'[7]RELEVE D''ECHEANCE'!O15</f>
        <v>SGBC8789680</v>
      </c>
      <c r="P15" s="1697">
        <f>'[7]RELEVE D''ECHEANCE'!P15</f>
        <v>0</v>
      </c>
      <c r="Q15" s="430">
        <f>'[7]RELEVE D''ECHEANCE'!Q15</f>
        <v>0</v>
      </c>
      <c r="R15" s="430">
        <f>'[7]RELEVE D''ECHEANCE'!R15</f>
        <v>0</v>
      </c>
      <c r="S15" s="430">
        <f>'[7]RELEVE D''ECHEANCE'!S15</f>
        <v>0</v>
      </c>
      <c r="T15" s="1697">
        <f>'[7]RELEVE D''ECHEANCE'!T15</f>
        <v>0</v>
      </c>
      <c r="U15" s="1697">
        <f>'[7]RELEVE D''ECHEANCE'!U15</f>
        <v>0</v>
      </c>
      <c r="V15" s="1697">
        <f>'[7]RELEVE D''ECHEANCE'!V15</f>
        <v>2100000</v>
      </c>
      <c r="W15" s="1697" t="str">
        <f>'[7]RELEVE D''ECHEANCE'!W15</f>
        <v>BICEC6983901</v>
      </c>
      <c r="X15" s="1701">
        <f>'[7]RELEVE D''ECHEANCE'!X15</f>
        <v>0</v>
      </c>
      <c r="Y15" s="1697">
        <f>'[7]RELEVE D''ECHEANCE'!Y15</f>
        <v>0</v>
      </c>
      <c r="Z15" s="1697">
        <f>'[7]RELEVE D''ECHEANCE'!Z15</f>
        <v>0</v>
      </c>
      <c r="AA15" s="1697">
        <f>'[7]RELEVE D''ECHEANCE'!AA15</f>
        <v>0</v>
      </c>
      <c r="AB15" s="1697">
        <f>'[7]RELEVE D''ECHEANCE'!AB15</f>
        <v>0</v>
      </c>
      <c r="AC15" s="1697">
        <f>'[7]RELEVE D''ECHEANCE'!AC15</f>
        <v>0</v>
      </c>
      <c r="AD15" s="1697">
        <f>'[7]RELEVE D''ECHEANCE'!AD15</f>
        <v>0</v>
      </c>
      <c r="AE15" s="1697">
        <f>'[7]RELEVE D''ECHEANCE'!AE15</f>
        <v>0</v>
      </c>
      <c r="AF15" s="1697">
        <f>'[7]RELEVE D''ECHEANCE'!AF15</f>
        <v>0</v>
      </c>
      <c r="AG15" s="1697">
        <f>'[7]RELEVE D''ECHEANCE'!AG15</f>
        <v>0</v>
      </c>
      <c r="AH15" s="1697">
        <f>'[7]RELEVE D''ECHEANCE'!AH15</f>
        <v>0</v>
      </c>
      <c r="AI15" s="1697">
        <f>'[7]RELEVE D''ECHEANCE'!AI15</f>
        <v>0</v>
      </c>
      <c r="AJ15" s="1696">
        <f>'[7]RELEVE D''ECHEANCE'!AJ15</f>
        <v>0</v>
      </c>
      <c r="AK15" s="1697">
        <f>'[7]RELEVE D''ECHEANCE'!AK15</f>
        <v>0</v>
      </c>
      <c r="AL15" s="1696">
        <f>'[7]RELEVE D''ECHEANCE'!AL15</f>
        <v>0</v>
      </c>
      <c r="AM15" s="1697">
        <f>'[7]RELEVE D''ECHEANCE'!AM15</f>
        <v>0</v>
      </c>
      <c r="AN15" s="1697">
        <f>'[7]RELEVE D''ECHEANCE'!AN15</f>
        <v>0</v>
      </c>
      <c r="AO15" s="430">
        <f>'[7]RELEVE D''ECHEANCE'!AO15</f>
        <v>0</v>
      </c>
    </row>
    <row r="16" spans="1:41" ht="15" x14ac:dyDescent="0.25">
      <c r="A16" s="401">
        <f t="shared" si="0"/>
        <v>9</v>
      </c>
      <c r="B16" s="1696">
        <f>'[7]RELEVE D''ECHEANCE'!B16</f>
        <v>0</v>
      </c>
      <c r="C16" s="1697">
        <f>'[7]RELEVE D''ECHEANCE'!C16</f>
        <v>0</v>
      </c>
      <c r="D16" s="1696">
        <f>'[7]RELEVE D''ECHEANCE'!D16</f>
        <v>0</v>
      </c>
      <c r="E16" s="1708">
        <f>'[7]RELEVE D''ECHEANCE'!E16</f>
        <v>0</v>
      </c>
      <c r="F16" s="1696">
        <f>'[7]RELEVE D''ECHEANCE'!F16</f>
        <v>0</v>
      </c>
      <c r="G16" s="1697">
        <f>'[7]RELEVE D''ECHEANCE'!G16</f>
        <v>0</v>
      </c>
      <c r="H16" s="1696">
        <f>'[7]RELEVE D''ECHEANCE'!H16</f>
        <v>0</v>
      </c>
      <c r="I16" s="1697">
        <f>'[7]RELEVE D''ECHEANCE'!I16</f>
        <v>0</v>
      </c>
      <c r="J16" s="1696">
        <f>'[7]RELEVE D''ECHEANCE'!J16</f>
        <v>5600000</v>
      </c>
      <c r="K16" s="1697" t="str">
        <f>'[7]RELEVE D''ECHEANCE'!K16</f>
        <v>AFRLD6592752</v>
      </c>
      <c r="L16" s="1696">
        <f>'[7]RELEVE D''ECHEANCE'!L16</f>
        <v>0</v>
      </c>
      <c r="M16" s="1697">
        <f>'[7]RELEVE D''ECHEANCE'!M16</f>
        <v>0</v>
      </c>
      <c r="N16" s="1697">
        <f>'[7]RELEVE D''ECHEANCE'!N16</f>
        <v>0</v>
      </c>
      <c r="O16" s="1697">
        <f>'[7]RELEVE D''ECHEANCE'!O16</f>
        <v>0</v>
      </c>
      <c r="P16" s="1697">
        <f>'[7]RELEVE D''ECHEANCE'!P16</f>
        <v>0</v>
      </c>
      <c r="Q16" s="430">
        <f>'[7]RELEVE D''ECHEANCE'!Q16</f>
        <v>0</v>
      </c>
      <c r="R16" s="430">
        <f>'[7]RELEVE D''ECHEANCE'!R16</f>
        <v>0</v>
      </c>
      <c r="S16" s="430">
        <f>'[7]RELEVE D''ECHEANCE'!S16</f>
        <v>0</v>
      </c>
      <c r="T16" s="1697">
        <f>'[7]RELEVE D''ECHEANCE'!T16</f>
        <v>0</v>
      </c>
      <c r="U16" s="1697">
        <f>'[7]RELEVE D''ECHEANCE'!U16</f>
        <v>0</v>
      </c>
      <c r="V16" s="1697">
        <f>'[7]RELEVE D''ECHEANCE'!V16</f>
        <v>0</v>
      </c>
      <c r="W16" s="1697">
        <f>'[7]RELEVE D''ECHEANCE'!W16</f>
        <v>0</v>
      </c>
      <c r="X16" s="1701">
        <f>'[7]RELEVE D''ECHEANCE'!X16</f>
        <v>100000</v>
      </c>
      <c r="Y16" s="1697" t="str">
        <f>'[7]RELEVE D''ECHEANCE'!Y16</f>
        <v>SGBC160715</v>
      </c>
      <c r="Z16" s="1697">
        <f>'[7]RELEVE D''ECHEANCE'!Z16</f>
        <v>0</v>
      </c>
      <c r="AA16" s="1697">
        <f>'[7]RELEVE D''ECHEANCE'!AA16</f>
        <v>0</v>
      </c>
      <c r="AB16" s="1697">
        <f>'[7]RELEVE D''ECHEANCE'!AB16</f>
        <v>100000</v>
      </c>
      <c r="AC16" s="1697" t="str">
        <f>'[7]RELEVE D''ECHEANCE'!AC16</f>
        <v>AFRLD YDE080715</v>
      </c>
      <c r="AD16" s="1697">
        <f>'[7]RELEVE D''ECHEANCE'!AD16</f>
        <v>0</v>
      </c>
      <c r="AE16" s="1697">
        <f>'[7]RELEVE D''ECHEANCE'!AE16</f>
        <v>0</v>
      </c>
      <c r="AF16" s="1697">
        <f>'[7]RELEVE D''ECHEANCE'!AF16</f>
        <v>0</v>
      </c>
      <c r="AG16" s="1697">
        <f>'[7]RELEVE D''ECHEANCE'!AG16</f>
        <v>0</v>
      </c>
      <c r="AH16" s="1697">
        <f>'[7]RELEVE D''ECHEANCE'!AH16</f>
        <v>0</v>
      </c>
      <c r="AI16" s="1697">
        <f>'[7]RELEVE D''ECHEANCE'!AI16</f>
        <v>0</v>
      </c>
      <c r="AJ16" s="1696">
        <f>'[7]RELEVE D''ECHEANCE'!AJ16</f>
        <v>0</v>
      </c>
      <c r="AK16" s="1697">
        <f>'[7]RELEVE D''ECHEANCE'!AK16</f>
        <v>0</v>
      </c>
      <c r="AL16" s="1696">
        <f>'[7]RELEVE D''ECHEANCE'!AL16</f>
        <v>0</v>
      </c>
      <c r="AM16" s="1697">
        <f>'[7]RELEVE D''ECHEANCE'!AM16</f>
        <v>0</v>
      </c>
      <c r="AN16" s="1697">
        <f>'[7]RELEVE D''ECHEANCE'!AN16</f>
        <v>0</v>
      </c>
      <c r="AO16" s="430">
        <f>'[7]RELEVE D''ECHEANCE'!AO16</f>
        <v>0</v>
      </c>
    </row>
    <row r="17" spans="1:41" x14ac:dyDescent="0.2">
      <c r="A17" s="401">
        <f t="shared" si="0"/>
        <v>10</v>
      </c>
      <c r="B17" s="1696">
        <f>'[7]RELEVE D''ECHEANCE'!B17</f>
        <v>0</v>
      </c>
      <c r="C17" s="1697">
        <f>'[7]RELEVE D''ECHEANCE'!C17</f>
        <v>0</v>
      </c>
      <c r="D17" s="1696">
        <f>'[7]RELEVE D''ECHEANCE'!D17</f>
        <v>0</v>
      </c>
      <c r="E17" s="1697">
        <f>'[7]RELEVE D''ECHEANCE'!E17</f>
        <v>0</v>
      </c>
      <c r="F17" s="1696">
        <f>'[7]RELEVE D''ECHEANCE'!F17</f>
        <v>2975000</v>
      </c>
      <c r="G17" s="1697" t="str">
        <f>'[7]RELEVE D''ECHEANCE'!G17</f>
        <v>SGBC8434112</v>
      </c>
      <c r="H17" s="1702">
        <f>'[7]RELEVE D''ECHEANCE'!H17</f>
        <v>2000000</v>
      </c>
      <c r="I17" s="1701" t="str">
        <f>'[7]RELEVE D''ECHEANCE'!I17</f>
        <v>SGBC8399252</v>
      </c>
      <c r="J17" s="1696">
        <f>'[7]RELEVE D''ECHEANCE'!J17</f>
        <v>0</v>
      </c>
      <c r="K17" s="1697">
        <f>'[7]RELEVE D''ECHEANCE'!K17</f>
        <v>0</v>
      </c>
      <c r="L17" s="1696">
        <f>'[7]RELEVE D''ECHEANCE'!L17</f>
        <v>0</v>
      </c>
      <c r="M17" s="1697">
        <f>'[7]RELEVE D''ECHEANCE'!M17</f>
        <v>0</v>
      </c>
      <c r="N17" s="1697">
        <f>'[7]RELEVE D''ECHEANCE'!N17</f>
        <v>0</v>
      </c>
      <c r="O17" s="1697">
        <f>'[7]RELEVE D''ECHEANCE'!O17</f>
        <v>0</v>
      </c>
      <c r="P17" s="1697">
        <f>'[7]RELEVE D''ECHEANCE'!P17</f>
        <v>0</v>
      </c>
      <c r="Q17" s="430">
        <f>'[7]RELEVE D''ECHEANCE'!Q17</f>
        <v>0</v>
      </c>
      <c r="R17" s="430">
        <f>'[7]RELEVE D''ECHEANCE'!R17</f>
        <v>0</v>
      </c>
      <c r="S17" s="430">
        <f>'[7]RELEVE D''ECHEANCE'!S17</f>
        <v>0</v>
      </c>
      <c r="T17" s="1697">
        <f>'[7]RELEVE D''ECHEANCE'!T17</f>
        <v>0</v>
      </c>
      <c r="U17" s="1697">
        <f>'[7]RELEVE D''ECHEANCE'!U17</f>
        <v>0</v>
      </c>
      <c r="V17" s="1697">
        <f>'[7]RELEVE D''ECHEANCE'!V17</f>
        <v>3000000</v>
      </c>
      <c r="W17" s="1697" t="str">
        <f>'[7]RELEVE D''ECHEANCE'!W17</f>
        <v>BICEC 6983902</v>
      </c>
      <c r="X17" s="1697">
        <f>'[7]RELEVE D''ECHEANCE'!X17</f>
        <v>0</v>
      </c>
      <c r="Y17" s="1697">
        <f>'[7]RELEVE D''ECHEANCE'!Y17</f>
        <v>0</v>
      </c>
      <c r="Z17" s="1697">
        <f>'[7]RELEVE D''ECHEANCE'!Z17</f>
        <v>0</v>
      </c>
      <c r="AA17" s="1697">
        <f>'[7]RELEVE D''ECHEANCE'!AA17</f>
        <v>0</v>
      </c>
      <c r="AB17" s="1697">
        <f>'[7]RELEVE D''ECHEANCE'!AB17</f>
        <v>0</v>
      </c>
      <c r="AC17" s="1697">
        <f>'[7]RELEVE D''ECHEANCE'!AC17</f>
        <v>0</v>
      </c>
      <c r="AD17" s="1697">
        <f>'[7]RELEVE D''ECHEANCE'!AD17</f>
        <v>0</v>
      </c>
      <c r="AE17" s="1697">
        <f>'[7]RELEVE D''ECHEANCE'!AE17</f>
        <v>0</v>
      </c>
      <c r="AF17" s="1697">
        <f>'[7]RELEVE D''ECHEANCE'!AF17</f>
        <v>0</v>
      </c>
      <c r="AG17" s="1697">
        <f>'[7]RELEVE D''ECHEANCE'!AG17</f>
        <v>0</v>
      </c>
      <c r="AH17" s="1697">
        <f>'[7]RELEVE D''ECHEANCE'!AH17</f>
        <v>0</v>
      </c>
      <c r="AI17" s="1697">
        <f>'[7]RELEVE D''ECHEANCE'!AI17</f>
        <v>0</v>
      </c>
      <c r="AJ17" s="1696">
        <f>'[7]RELEVE D''ECHEANCE'!AJ17</f>
        <v>0</v>
      </c>
      <c r="AK17" s="1697">
        <f>'[7]RELEVE D''ECHEANCE'!AK17</f>
        <v>0</v>
      </c>
      <c r="AL17" s="1696">
        <f>'[7]RELEVE D''ECHEANCE'!AL17</f>
        <v>0</v>
      </c>
      <c r="AM17" s="1697">
        <f>'[7]RELEVE D''ECHEANCE'!AM17</f>
        <v>0</v>
      </c>
      <c r="AN17" s="1697">
        <f>'[7]RELEVE D''ECHEANCE'!AN17</f>
        <v>0</v>
      </c>
      <c r="AO17" s="430">
        <f>'[7]RELEVE D''ECHEANCE'!AO17</f>
        <v>0</v>
      </c>
    </row>
    <row r="18" spans="1:41" x14ac:dyDescent="0.2">
      <c r="A18" s="401">
        <f t="shared" si="0"/>
        <v>11</v>
      </c>
      <c r="B18" s="1696">
        <f>'[7]RELEVE D''ECHEANCE'!B18</f>
        <v>0</v>
      </c>
      <c r="C18" s="1697">
        <f>'[7]RELEVE D''ECHEANCE'!C18</f>
        <v>0</v>
      </c>
      <c r="D18" s="1696">
        <f>'[7]RELEVE D''ECHEANCE'!D18</f>
        <v>0</v>
      </c>
      <c r="E18" s="1697">
        <f>'[7]RELEVE D''ECHEANCE'!E18</f>
        <v>0</v>
      </c>
      <c r="F18" s="1696">
        <f>'[7]RELEVE D''ECHEANCE'!F18</f>
        <v>0</v>
      </c>
      <c r="G18" s="1697">
        <f>'[7]RELEVE D''ECHEANCE'!G18</f>
        <v>0</v>
      </c>
      <c r="H18" s="1696">
        <f>'[7]RELEVE D''ECHEANCE'!H18</f>
        <v>0</v>
      </c>
      <c r="I18" s="1697">
        <f>'[7]RELEVE D''ECHEANCE'!I18</f>
        <v>0</v>
      </c>
      <c r="J18" s="1696">
        <f>'[7]RELEVE D''ECHEANCE'!J18</f>
        <v>0</v>
      </c>
      <c r="K18" s="1697">
        <f>'[7]RELEVE D''ECHEANCE'!K18</f>
        <v>0</v>
      </c>
      <c r="L18" s="1696">
        <f>'[7]RELEVE D''ECHEANCE'!L18</f>
        <v>0</v>
      </c>
      <c r="M18" s="1697">
        <f>'[7]RELEVE D''ECHEANCE'!M18</f>
        <v>0</v>
      </c>
      <c r="N18" s="1697">
        <f>'[7]RELEVE D''ECHEANCE'!N18</f>
        <v>0</v>
      </c>
      <c r="O18" s="1697">
        <f>'[7]RELEVE D''ECHEANCE'!O18</f>
        <v>0</v>
      </c>
      <c r="P18" s="1697">
        <f>'[7]RELEVE D''ECHEANCE'!P18</f>
        <v>0</v>
      </c>
      <c r="Q18" s="430">
        <f>'[7]RELEVE D''ECHEANCE'!Q18</f>
        <v>0</v>
      </c>
      <c r="R18" s="430">
        <f>'[7]RELEVE D''ECHEANCE'!R18</f>
        <v>0</v>
      </c>
      <c r="S18" s="430">
        <f>'[7]RELEVE D''ECHEANCE'!S18</f>
        <v>0</v>
      </c>
      <c r="T18" s="1701">
        <f>'[7]RELEVE D''ECHEANCE'!T18</f>
        <v>0</v>
      </c>
      <c r="U18" s="1701">
        <f>'[7]RELEVE D''ECHEANCE'!U18</f>
        <v>0</v>
      </c>
      <c r="V18" s="1697">
        <f>'[7]RELEVE D''ECHEANCE'!V18</f>
        <v>0</v>
      </c>
      <c r="W18" s="1697">
        <f>'[7]RELEVE D''ECHEANCE'!W18</f>
        <v>0</v>
      </c>
      <c r="X18" s="1697">
        <f>'[7]RELEVE D''ECHEANCE'!X18</f>
        <v>0</v>
      </c>
      <c r="Y18" s="1697">
        <f>'[7]RELEVE D''ECHEANCE'!Y18</f>
        <v>0</v>
      </c>
      <c r="Z18" s="1697">
        <f>'[7]RELEVE D''ECHEANCE'!Z18</f>
        <v>0</v>
      </c>
      <c r="AA18" s="1697">
        <f>'[7]RELEVE D''ECHEANCE'!AA18</f>
        <v>0</v>
      </c>
      <c r="AB18" s="1697">
        <f>'[7]RELEVE D''ECHEANCE'!AB18</f>
        <v>0</v>
      </c>
      <c r="AC18" s="1697">
        <f>'[7]RELEVE D''ECHEANCE'!AC18</f>
        <v>0</v>
      </c>
      <c r="AD18" s="1697">
        <f>'[7]RELEVE D''ECHEANCE'!AD18</f>
        <v>0</v>
      </c>
      <c r="AE18" s="1697">
        <f>'[7]RELEVE D''ECHEANCE'!AE18</f>
        <v>0</v>
      </c>
      <c r="AF18" s="1697">
        <f>'[7]RELEVE D''ECHEANCE'!AF18</f>
        <v>0</v>
      </c>
      <c r="AG18" s="1697">
        <f>'[7]RELEVE D''ECHEANCE'!AG18</f>
        <v>0</v>
      </c>
      <c r="AH18" s="1697">
        <f>'[7]RELEVE D''ECHEANCE'!AH18</f>
        <v>0</v>
      </c>
      <c r="AI18" s="1697">
        <f>'[7]RELEVE D''ECHEANCE'!AI18</f>
        <v>0</v>
      </c>
      <c r="AJ18" s="1696">
        <f>'[7]RELEVE D''ECHEANCE'!AJ18</f>
        <v>0</v>
      </c>
      <c r="AK18" s="1697">
        <f>'[7]RELEVE D''ECHEANCE'!AK18</f>
        <v>0</v>
      </c>
      <c r="AL18" s="1696">
        <f>'[7]RELEVE D''ECHEANCE'!AL18</f>
        <v>0</v>
      </c>
      <c r="AM18" s="1697">
        <f>'[7]RELEVE D''ECHEANCE'!AM18</f>
        <v>0</v>
      </c>
      <c r="AN18" s="1697">
        <f>'[7]RELEVE D''ECHEANCE'!AN18</f>
        <v>0</v>
      </c>
      <c r="AO18" s="430">
        <f>'[7]RELEVE D''ECHEANCE'!AO18</f>
        <v>0</v>
      </c>
    </row>
    <row r="19" spans="1:41" x14ac:dyDescent="0.2">
      <c r="A19" s="401">
        <f t="shared" si="0"/>
        <v>12</v>
      </c>
      <c r="B19" s="1696">
        <f>'[7]RELEVE D''ECHEANCE'!B19</f>
        <v>0</v>
      </c>
      <c r="C19" s="1709">
        <f>'[7]RELEVE D''ECHEANCE'!C19</f>
        <v>0</v>
      </c>
      <c r="D19" s="1696">
        <f>'[7]RELEVE D''ECHEANCE'!D19</f>
        <v>0</v>
      </c>
      <c r="E19" s="1697">
        <f>'[7]RELEVE D''ECHEANCE'!E19</f>
        <v>0</v>
      </c>
      <c r="F19" s="1696">
        <f>'[7]RELEVE D''ECHEANCE'!F19</f>
        <v>0</v>
      </c>
      <c r="G19" s="1697">
        <f>'[7]RELEVE D''ECHEANCE'!G19</f>
        <v>0</v>
      </c>
      <c r="H19" s="1696">
        <f>'[7]RELEVE D''ECHEANCE'!H19</f>
        <v>0</v>
      </c>
      <c r="I19" s="1697">
        <f>'[7]RELEVE D''ECHEANCE'!I19</f>
        <v>0</v>
      </c>
      <c r="J19" s="1696">
        <f>'[7]RELEVE D''ECHEANCE'!J19</f>
        <v>0</v>
      </c>
      <c r="K19" s="1697">
        <f>'[7]RELEVE D''ECHEANCE'!K19</f>
        <v>0</v>
      </c>
      <c r="L19" s="1696">
        <f>'[7]RELEVE D''ECHEANCE'!L19</f>
        <v>0</v>
      </c>
      <c r="M19" s="1697">
        <f>'[7]RELEVE D''ECHEANCE'!M19</f>
        <v>0</v>
      </c>
      <c r="N19" s="1697">
        <f>'[7]RELEVE D''ECHEANCE'!N19</f>
        <v>0</v>
      </c>
      <c r="O19" s="1697">
        <f>'[7]RELEVE D''ECHEANCE'!O19</f>
        <v>0</v>
      </c>
      <c r="P19" s="1697">
        <f>'[7]RELEVE D''ECHEANCE'!P19</f>
        <v>0</v>
      </c>
      <c r="Q19" s="430">
        <f>'[7]RELEVE D''ECHEANCE'!Q19</f>
        <v>0</v>
      </c>
      <c r="R19" s="430">
        <f>'[7]RELEVE D''ECHEANCE'!R19</f>
        <v>0</v>
      </c>
      <c r="S19" s="430">
        <f>'[7]RELEVE D''ECHEANCE'!S19</f>
        <v>0</v>
      </c>
      <c r="T19" s="1701">
        <f>'[7]RELEVE D''ECHEANCE'!T19</f>
        <v>0</v>
      </c>
      <c r="U19" s="1701">
        <f>'[7]RELEVE D''ECHEANCE'!U19</f>
        <v>0</v>
      </c>
      <c r="V19" s="1697">
        <f>'[7]RELEVE D''ECHEANCE'!V19</f>
        <v>0</v>
      </c>
      <c r="W19" s="1697">
        <f>'[7]RELEVE D''ECHEANCE'!W19</f>
        <v>0</v>
      </c>
      <c r="X19" s="1697">
        <f>'[7]RELEVE D''ECHEANCE'!X19</f>
        <v>0</v>
      </c>
      <c r="Y19" s="1697">
        <f>'[7]RELEVE D''ECHEANCE'!Y19</f>
        <v>0</v>
      </c>
      <c r="Z19" s="1697">
        <f>'[7]RELEVE D''ECHEANCE'!Z19</f>
        <v>0</v>
      </c>
      <c r="AA19" s="1697">
        <f>'[7]RELEVE D''ECHEANCE'!AA19</f>
        <v>0</v>
      </c>
      <c r="AB19" s="1697">
        <f>'[7]RELEVE D''ECHEANCE'!AB19</f>
        <v>0</v>
      </c>
      <c r="AC19" s="1697">
        <f>'[7]RELEVE D''ECHEANCE'!AC19</f>
        <v>0</v>
      </c>
      <c r="AD19" s="1697">
        <f>'[7]RELEVE D''ECHEANCE'!AD19</f>
        <v>0</v>
      </c>
      <c r="AE19" s="1697">
        <f>'[7]RELEVE D''ECHEANCE'!AE19</f>
        <v>0</v>
      </c>
      <c r="AF19" s="1697">
        <f>'[7]RELEVE D''ECHEANCE'!AF19</f>
        <v>0</v>
      </c>
      <c r="AG19" s="1697">
        <f>'[7]RELEVE D''ECHEANCE'!AG19</f>
        <v>0</v>
      </c>
      <c r="AH19" s="1697">
        <f>'[7]RELEVE D''ECHEANCE'!AH19</f>
        <v>0</v>
      </c>
      <c r="AI19" s="1697">
        <f>'[7]RELEVE D''ECHEANCE'!AI19</f>
        <v>0</v>
      </c>
      <c r="AJ19" s="1696">
        <f>'[7]RELEVE D''ECHEANCE'!AJ19</f>
        <v>0</v>
      </c>
      <c r="AK19" s="1697">
        <f>'[7]RELEVE D''ECHEANCE'!AK19</f>
        <v>0</v>
      </c>
      <c r="AL19" s="1696">
        <f>'[7]RELEVE D''ECHEANCE'!AL19</f>
        <v>0</v>
      </c>
      <c r="AM19" s="1697">
        <f>'[7]RELEVE D''ECHEANCE'!AM19</f>
        <v>0</v>
      </c>
      <c r="AN19" s="1697">
        <f>'[7]RELEVE D''ECHEANCE'!AN19</f>
        <v>0</v>
      </c>
      <c r="AO19" s="430">
        <f>'[7]RELEVE D''ECHEANCE'!AO19</f>
        <v>0</v>
      </c>
    </row>
    <row r="20" spans="1:41" x14ac:dyDescent="0.2">
      <c r="A20" s="401">
        <f t="shared" si="0"/>
        <v>13</v>
      </c>
      <c r="B20" s="1696">
        <f>'[7]RELEVE D''ECHEANCE'!B20</f>
        <v>0</v>
      </c>
      <c r="C20" s="1697">
        <f>'[7]RELEVE D''ECHEANCE'!C20</f>
        <v>0</v>
      </c>
      <c r="D20" s="1696">
        <f>'[7]RELEVE D''ECHEANCE'!D20</f>
        <v>0</v>
      </c>
      <c r="E20" s="1697">
        <f>'[7]RELEVE D''ECHEANCE'!E20</f>
        <v>0</v>
      </c>
      <c r="F20" s="1696">
        <f>'[7]RELEVE D''ECHEANCE'!F20</f>
        <v>0</v>
      </c>
      <c r="G20" s="1697">
        <f>'[7]RELEVE D''ECHEANCE'!G20</f>
        <v>0</v>
      </c>
      <c r="H20" s="1696">
        <f>'[7]RELEVE D''ECHEANCE'!H20</f>
        <v>0</v>
      </c>
      <c r="I20" s="1697">
        <f>'[7]RELEVE D''ECHEANCE'!I20</f>
        <v>0</v>
      </c>
      <c r="J20" s="1696">
        <f>'[7]RELEVE D''ECHEANCE'!J20</f>
        <v>0</v>
      </c>
      <c r="K20" s="1697">
        <f>'[7]RELEVE D''ECHEANCE'!K20</f>
        <v>0</v>
      </c>
      <c r="L20" s="1696">
        <f>'[7]RELEVE D''ECHEANCE'!L20</f>
        <v>0</v>
      </c>
      <c r="M20" s="1697">
        <f>'[7]RELEVE D''ECHEANCE'!M20</f>
        <v>0</v>
      </c>
      <c r="N20" s="1697">
        <f>'[7]RELEVE D''ECHEANCE'!N20</f>
        <v>0</v>
      </c>
      <c r="O20" s="1697">
        <f>'[7]RELEVE D''ECHEANCE'!O20</f>
        <v>0</v>
      </c>
      <c r="P20" s="1697">
        <f>'[7]RELEVE D''ECHEANCE'!P20</f>
        <v>0</v>
      </c>
      <c r="Q20" s="430">
        <f>'[7]RELEVE D''ECHEANCE'!Q20</f>
        <v>0</v>
      </c>
      <c r="R20" s="430">
        <f>'[7]RELEVE D''ECHEANCE'!R20</f>
        <v>0</v>
      </c>
      <c r="S20" s="430">
        <f>'[7]RELEVE D''ECHEANCE'!S20</f>
        <v>0</v>
      </c>
      <c r="T20" s="1697">
        <f>'[7]RELEVE D''ECHEANCE'!T20</f>
        <v>0</v>
      </c>
      <c r="U20" s="1697">
        <f>'[7]RELEVE D''ECHEANCE'!U20</f>
        <v>0</v>
      </c>
      <c r="V20" s="1697">
        <f>'[7]RELEVE D''ECHEANCE'!V20</f>
        <v>0</v>
      </c>
      <c r="W20" s="1697">
        <f>'[7]RELEVE D''ECHEANCE'!W20</f>
        <v>0</v>
      </c>
      <c r="X20" s="1697">
        <f>'[7]RELEVE D''ECHEANCE'!X20</f>
        <v>0</v>
      </c>
      <c r="Y20" s="1697">
        <f>'[7]RELEVE D''ECHEANCE'!Y20</f>
        <v>0</v>
      </c>
      <c r="Z20" s="1697">
        <f>'[7]RELEVE D''ECHEANCE'!Z20</f>
        <v>0</v>
      </c>
      <c r="AA20" s="1697">
        <f>'[7]RELEVE D''ECHEANCE'!AA20</f>
        <v>0</v>
      </c>
      <c r="AB20" s="1697">
        <f>'[7]RELEVE D''ECHEANCE'!AB20</f>
        <v>0</v>
      </c>
      <c r="AC20" s="1697">
        <f>'[7]RELEVE D''ECHEANCE'!AC20</f>
        <v>0</v>
      </c>
      <c r="AD20" s="1697">
        <f>'[7]RELEVE D''ECHEANCE'!AD20</f>
        <v>0</v>
      </c>
      <c r="AE20" s="1697">
        <f>'[7]RELEVE D''ECHEANCE'!AE20</f>
        <v>0</v>
      </c>
      <c r="AF20" s="1697">
        <f>'[7]RELEVE D''ECHEANCE'!AF20</f>
        <v>0</v>
      </c>
      <c r="AG20" s="1697">
        <f>'[7]RELEVE D''ECHEANCE'!AG20</f>
        <v>0</v>
      </c>
      <c r="AH20" s="1697">
        <f>'[7]RELEVE D''ECHEANCE'!AH20</f>
        <v>0</v>
      </c>
      <c r="AI20" s="1697">
        <f>'[7]RELEVE D''ECHEANCE'!AI20</f>
        <v>0</v>
      </c>
      <c r="AJ20" s="1696">
        <f>'[7]RELEVE D''ECHEANCE'!AJ20</f>
        <v>0</v>
      </c>
      <c r="AK20" s="1697">
        <f>'[7]RELEVE D''ECHEANCE'!AK20</f>
        <v>0</v>
      </c>
      <c r="AL20" s="1696">
        <f>'[7]RELEVE D''ECHEANCE'!AL20</f>
        <v>0</v>
      </c>
      <c r="AM20" s="1697">
        <f>'[7]RELEVE D''ECHEANCE'!AM20</f>
        <v>0</v>
      </c>
      <c r="AN20" s="1697">
        <f>'[7]RELEVE D''ECHEANCE'!AN20</f>
        <v>0</v>
      </c>
      <c r="AO20" s="430">
        <f>'[7]RELEVE D''ECHEANCE'!AO20</f>
        <v>0</v>
      </c>
    </row>
    <row r="21" spans="1:41" x14ac:dyDescent="0.2">
      <c r="A21" s="401">
        <f t="shared" si="0"/>
        <v>14</v>
      </c>
      <c r="B21" s="1696">
        <f>'[7]RELEVE D''ECHEANCE'!B21</f>
        <v>0</v>
      </c>
      <c r="C21" s="1697">
        <f>'[7]RELEVE D''ECHEANCE'!C21</f>
        <v>0</v>
      </c>
      <c r="D21" s="1696">
        <f>'[7]RELEVE D''ECHEANCE'!D21</f>
        <v>5950000</v>
      </c>
      <c r="E21" s="1697" t="str">
        <f>'[7]RELEVE D''ECHEANCE'!E21</f>
        <v>SGBC5353565</v>
      </c>
      <c r="F21" s="1696">
        <f>'[7]RELEVE D''ECHEANCE'!F21</f>
        <v>2975000</v>
      </c>
      <c r="G21" s="1697" t="str">
        <f>'[7]RELEVE D''ECHEANCE'!G21</f>
        <v>SGBC 8434115</v>
      </c>
      <c r="H21" s="1696">
        <f>'[7]RELEVE D''ECHEANCE'!H21</f>
        <v>0</v>
      </c>
      <c r="I21" s="1697">
        <f>'[7]RELEVE D''ECHEANCE'!I21</f>
        <v>0</v>
      </c>
      <c r="J21" s="1696">
        <f>'[7]RELEVE D''ECHEANCE'!J21</f>
        <v>0</v>
      </c>
      <c r="K21" s="1697">
        <f>'[7]RELEVE D''ECHEANCE'!K21</f>
        <v>0</v>
      </c>
      <c r="L21" s="1696">
        <f>'[7]RELEVE D''ECHEANCE'!L21</f>
        <v>0</v>
      </c>
      <c r="M21" s="1697">
        <f>'[7]RELEVE D''ECHEANCE'!M21</f>
        <v>0</v>
      </c>
      <c r="N21" s="1697">
        <f>'[7]RELEVE D''ECHEANCE'!N21</f>
        <v>0</v>
      </c>
      <c r="O21" s="1697">
        <f>'[7]RELEVE D''ECHEANCE'!O21</f>
        <v>0</v>
      </c>
      <c r="P21" s="1697">
        <f>'[7]RELEVE D''ECHEANCE'!P21</f>
        <v>0</v>
      </c>
      <c r="Q21" s="430">
        <f>'[7]RELEVE D''ECHEANCE'!Q21</f>
        <v>0</v>
      </c>
      <c r="R21" s="430">
        <f>'[7]RELEVE D''ECHEANCE'!R21</f>
        <v>3000000</v>
      </c>
      <c r="S21" s="430" t="str">
        <f>'[7]RELEVE D''ECHEANCE'!S21</f>
        <v>AFRLD3982399</v>
      </c>
      <c r="T21" s="1697">
        <f>'[7]RELEVE D''ECHEANCE'!T21</f>
        <v>0</v>
      </c>
      <c r="U21" s="1697">
        <f>'[7]RELEVE D''ECHEANCE'!U21</f>
        <v>0</v>
      </c>
      <c r="V21" s="1697">
        <f>'[7]RELEVE D''ECHEANCE'!V21</f>
        <v>0</v>
      </c>
      <c r="W21" s="1697">
        <f>'[7]RELEVE D''ECHEANCE'!W21</f>
        <v>0</v>
      </c>
      <c r="X21" s="1697">
        <f>'[7]RELEVE D''ECHEANCE'!X21</f>
        <v>0</v>
      </c>
      <c r="Y21" s="1697">
        <f>'[7]RELEVE D''ECHEANCE'!Y21</f>
        <v>0</v>
      </c>
      <c r="Z21" s="1697">
        <f>'[7]RELEVE D''ECHEANCE'!Z21</f>
        <v>0</v>
      </c>
      <c r="AA21" s="1697">
        <f>'[7]RELEVE D''ECHEANCE'!AA21</f>
        <v>0</v>
      </c>
      <c r="AB21" s="1697">
        <f>'[7]RELEVE D''ECHEANCE'!AB21</f>
        <v>0</v>
      </c>
      <c r="AC21" s="1697">
        <f>'[7]RELEVE D''ECHEANCE'!AC21</f>
        <v>0</v>
      </c>
      <c r="AD21" s="1697">
        <f>'[7]RELEVE D''ECHEANCE'!AD21</f>
        <v>0</v>
      </c>
      <c r="AE21" s="1697">
        <f>'[7]RELEVE D''ECHEANCE'!AE21</f>
        <v>0</v>
      </c>
      <c r="AF21" s="1697">
        <f>'[7]RELEVE D''ECHEANCE'!AF21</f>
        <v>0</v>
      </c>
      <c r="AG21" s="1697">
        <f>'[7]RELEVE D''ECHEANCE'!AG21</f>
        <v>0</v>
      </c>
      <c r="AH21" s="1697">
        <f>'[7]RELEVE D''ECHEANCE'!AH21</f>
        <v>0</v>
      </c>
      <c r="AI21" s="1697">
        <f>'[7]RELEVE D''ECHEANCE'!AI21</f>
        <v>0</v>
      </c>
      <c r="AJ21" s="1696">
        <f>'[7]RELEVE D''ECHEANCE'!AJ21</f>
        <v>0</v>
      </c>
      <c r="AK21" s="1697">
        <f>'[7]RELEVE D''ECHEANCE'!AK21</f>
        <v>0</v>
      </c>
      <c r="AL21" s="1696">
        <f>'[7]RELEVE D''ECHEANCE'!AL21</f>
        <v>0</v>
      </c>
      <c r="AM21" s="1697">
        <f>'[7]RELEVE D''ECHEANCE'!AM21</f>
        <v>0</v>
      </c>
      <c r="AN21" s="1697">
        <f>'[7]RELEVE D''ECHEANCE'!AN21</f>
        <v>0</v>
      </c>
      <c r="AO21" s="430">
        <f>'[7]RELEVE D''ECHEANCE'!AO21</f>
        <v>0</v>
      </c>
    </row>
    <row r="22" spans="1:41" x14ac:dyDescent="0.2">
      <c r="A22" s="401">
        <f t="shared" si="0"/>
        <v>15</v>
      </c>
      <c r="B22" s="1696">
        <f>'[7]RELEVE D''ECHEANCE'!B22</f>
        <v>0</v>
      </c>
      <c r="C22" s="1697">
        <f>'[7]RELEVE D''ECHEANCE'!C22</f>
        <v>0</v>
      </c>
      <c r="D22" s="1696">
        <f>'[7]RELEVE D''ECHEANCE'!D22</f>
        <v>0</v>
      </c>
      <c r="E22" s="1697">
        <f>'[7]RELEVE D''ECHEANCE'!E22</f>
        <v>0</v>
      </c>
      <c r="F22" s="1696">
        <f>'[7]RELEVE D''ECHEANCE'!F22</f>
        <v>0</v>
      </c>
      <c r="G22" s="1697">
        <f>'[7]RELEVE D''ECHEANCE'!G22</f>
        <v>0</v>
      </c>
      <c r="H22" s="1696">
        <f>'[7]RELEVE D''ECHEANCE'!H22</f>
        <v>0</v>
      </c>
      <c r="I22" s="1697">
        <f>'[7]RELEVE D''ECHEANCE'!I22</f>
        <v>0</v>
      </c>
      <c r="J22" s="1696">
        <f>'[7]RELEVE D''ECHEANCE'!J22</f>
        <v>0</v>
      </c>
      <c r="K22" s="1697">
        <f>'[7]RELEVE D''ECHEANCE'!K22</f>
        <v>0</v>
      </c>
      <c r="L22" s="1696">
        <f>'[7]RELEVE D''ECHEANCE'!L22</f>
        <v>0</v>
      </c>
      <c r="M22" s="1697">
        <f>'[7]RELEVE D''ECHEANCE'!M22</f>
        <v>0</v>
      </c>
      <c r="N22" s="1697">
        <f>'[7]RELEVE D''ECHEANCE'!N22</f>
        <v>0</v>
      </c>
      <c r="O22" s="1697">
        <f>'[7]RELEVE D''ECHEANCE'!O22</f>
        <v>0</v>
      </c>
      <c r="P22" s="1697">
        <f>'[7]RELEVE D''ECHEANCE'!P22</f>
        <v>0</v>
      </c>
      <c r="Q22" s="430">
        <f>'[7]RELEVE D''ECHEANCE'!Q22</f>
        <v>0</v>
      </c>
      <c r="R22" s="430">
        <f>'[7]RELEVE D''ECHEANCE'!R22</f>
        <v>0</v>
      </c>
      <c r="S22" s="430">
        <f>'[7]RELEVE D''ECHEANCE'!S22</f>
        <v>0</v>
      </c>
      <c r="T22" s="1697">
        <f>'[7]RELEVE D''ECHEANCE'!T22</f>
        <v>0</v>
      </c>
      <c r="U22" s="1697">
        <f>'[7]RELEVE D''ECHEANCE'!U22</f>
        <v>0</v>
      </c>
      <c r="V22" s="1697">
        <f>'[7]RELEVE D''ECHEANCE'!V22</f>
        <v>0</v>
      </c>
      <c r="W22" s="1697">
        <f>'[7]RELEVE D''ECHEANCE'!W22</f>
        <v>0</v>
      </c>
      <c r="X22" s="1697">
        <f>'[7]RELEVE D''ECHEANCE'!X22</f>
        <v>0</v>
      </c>
      <c r="Y22" s="1697">
        <f>'[7]RELEVE D''ECHEANCE'!Y22</f>
        <v>0</v>
      </c>
      <c r="Z22" s="1697">
        <f>'[7]RELEVE D''ECHEANCE'!Z22</f>
        <v>0</v>
      </c>
      <c r="AA22" s="1697">
        <f>'[7]RELEVE D''ECHEANCE'!AA22</f>
        <v>0</v>
      </c>
      <c r="AB22" s="1697">
        <f>'[7]RELEVE D''ECHEANCE'!AB22</f>
        <v>0</v>
      </c>
      <c r="AC22" s="1697">
        <f>'[7]RELEVE D''ECHEANCE'!AC22</f>
        <v>0</v>
      </c>
      <c r="AD22" s="1697">
        <f>'[7]RELEVE D''ECHEANCE'!AD22</f>
        <v>0</v>
      </c>
      <c r="AE22" s="1697">
        <f>'[7]RELEVE D''ECHEANCE'!AE22</f>
        <v>0</v>
      </c>
      <c r="AF22" s="1697">
        <f>'[7]RELEVE D''ECHEANCE'!AF22</f>
        <v>0</v>
      </c>
      <c r="AG22" s="1697">
        <f>'[7]RELEVE D''ECHEANCE'!AG22</f>
        <v>0</v>
      </c>
      <c r="AH22" s="1697">
        <f>'[7]RELEVE D''ECHEANCE'!AH22</f>
        <v>0</v>
      </c>
      <c r="AI22" s="1697">
        <f>'[7]RELEVE D''ECHEANCE'!AI22</f>
        <v>0</v>
      </c>
      <c r="AJ22" s="1696">
        <f>'[7]RELEVE D''ECHEANCE'!AJ22</f>
        <v>0</v>
      </c>
      <c r="AK22" s="1697">
        <f>'[7]RELEVE D''ECHEANCE'!AK22</f>
        <v>0</v>
      </c>
      <c r="AL22" s="1696">
        <f>'[7]RELEVE D''ECHEANCE'!AL22</f>
        <v>0</v>
      </c>
      <c r="AM22" s="1697">
        <f>'[7]RELEVE D''ECHEANCE'!AM22</f>
        <v>0</v>
      </c>
      <c r="AN22" s="1697">
        <f>'[7]RELEVE D''ECHEANCE'!AN22</f>
        <v>0</v>
      </c>
      <c r="AO22" s="430">
        <f>'[7]RELEVE D''ECHEANCE'!AO22</f>
        <v>0</v>
      </c>
    </row>
    <row r="23" spans="1:41" x14ac:dyDescent="0.2">
      <c r="A23" s="401" t="s">
        <v>49</v>
      </c>
      <c r="B23" s="1710">
        <f>'[7]RELEVE D''ECHEANCE'!B23</f>
        <v>0</v>
      </c>
      <c r="C23" s="1710">
        <f>'[7]RELEVE D''ECHEANCE'!C23</f>
        <v>0</v>
      </c>
      <c r="D23" s="1710">
        <f>'[7]RELEVE D''ECHEANCE'!D23</f>
        <v>11879728</v>
      </c>
      <c r="E23" s="1710">
        <f>'[7]RELEVE D''ECHEANCE'!E23</f>
        <v>0</v>
      </c>
      <c r="F23" s="1710">
        <f>'[7]RELEVE D''ECHEANCE'!F23</f>
        <v>8309728</v>
      </c>
      <c r="G23" s="1710">
        <f>'[7]RELEVE D''ECHEANCE'!G23</f>
        <v>0</v>
      </c>
      <c r="H23" s="1710">
        <f>'[7]RELEVE D''ECHEANCE'!H23</f>
        <v>2000000</v>
      </c>
      <c r="I23" s="1710">
        <f>'[7]RELEVE D''ECHEANCE'!I23</f>
        <v>0</v>
      </c>
      <c r="J23" s="1710">
        <f>'[7]RELEVE D''ECHEANCE'!J23</f>
        <v>10600000</v>
      </c>
      <c r="K23" s="1710">
        <f>'[7]RELEVE D''ECHEANCE'!K23</f>
        <v>0</v>
      </c>
      <c r="L23" s="1710">
        <f>'[7]RELEVE D''ECHEANCE'!L23</f>
        <v>0</v>
      </c>
      <c r="M23" s="1710">
        <f>'[7]RELEVE D''ECHEANCE'!M23</f>
        <v>0</v>
      </c>
      <c r="N23" s="1710">
        <f>'[7]RELEVE D''ECHEANCE'!N23</f>
        <v>2000000</v>
      </c>
      <c r="O23" s="1710">
        <f>'[7]RELEVE D''ECHEANCE'!O23</f>
        <v>0</v>
      </c>
      <c r="P23" s="1710">
        <f>'[7]RELEVE D''ECHEANCE'!P23</f>
        <v>0</v>
      </c>
      <c r="Q23" s="1710">
        <f>'[7]RELEVE D''ECHEANCE'!Q23</f>
        <v>0</v>
      </c>
      <c r="R23" s="1710">
        <f>'[7]RELEVE D''ECHEANCE'!R23</f>
        <v>2988075</v>
      </c>
      <c r="S23" s="1710">
        <f>'[7]RELEVE D''ECHEANCE'!S23</f>
        <v>0</v>
      </c>
      <c r="T23" s="1710">
        <f>'[7]RELEVE D''ECHEANCE'!T23</f>
        <v>0</v>
      </c>
      <c r="U23" s="1710">
        <f>'[7]RELEVE D''ECHEANCE'!U23</f>
        <v>0</v>
      </c>
      <c r="V23" s="1710">
        <f>'[7]RELEVE D''ECHEANCE'!V23</f>
        <v>5088075</v>
      </c>
      <c r="W23" s="1710">
        <f>'[7]RELEVE D''ECHEANCE'!W23</f>
        <v>0</v>
      </c>
      <c r="X23" s="1710">
        <f>'[7]RELEVE D''ECHEANCE'!X23</f>
        <v>120397</v>
      </c>
      <c r="Y23" s="1710">
        <f>'[7]RELEVE D''ECHEANCE'!Y23</f>
        <v>0</v>
      </c>
      <c r="Z23" s="1710">
        <f>'[7]RELEVE D''ECHEANCE'!Z23</f>
        <v>0</v>
      </c>
      <c r="AA23" s="1710">
        <f>'[7]RELEVE D''ECHEANCE'!AA23</f>
        <v>0</v>
      </c>
      <c r="AB23" s="1710">
        <f>'[7]RELEVE D''ECHEANCE'!AB23</f>
        <v>100000</v>
      </c>
      <c r="AC23" s="1710">
        <f>'[7]RELEVE D''ECHEANCE'!AC23</f>
        <v>0</v>
      </c>
      <c r="AD23" s="1710">
        <f>'[7]RELEVE D''ECHEANCE'!AD23</f>
        <v>-23850</v>
      </c>
      <c r="AE23" s="1710">
        <f>'[7]RELEVE D''ECHEANCE'!AE23</f>
        <v>0</v>
      </c>
      <c r="AF23" s="1710">
        <f>'[7]RELEVE D''ECHEANCE'!AF23</f>
        <v>-35775</v>
      </c>
      <c r="AG23" s="1710">
        <f>'[7]RELEVE D''ECHEANCE'!AG23</f>
        <v>0</v>
      </c>
      <c r="AH23" s="1710">
        <f>'[7]RELEVE D''ECHEANCE'!AH23</f>
        <v>-11925</v>
      </c>
      <c r="AI23" s="1710">
        <f>'[7]RELEVE D''ECHEANCE'!AI23</f>
        <v>0</v>
      </c>
      <c r="AJ23" s="1710">
        <f>'[7]RELEVE D''ECHEANCE'!AJ23</f>
        <v>-10136</v>
      </c>
      <c r="AK23" s="1710">
        <f>'[7]RELEVE D''ECHEANCE'!AK23</f>
        <v>0</v>
      </c>
      <c r="AL23" s="1710">
        <f>'[7]RELEVE D''ECHEANCE'!AL23</f>
        <v>-40544</v>
      </c>
      <c r="AM23" s="1710">
        <f>'[7]RELEVE D''ECHEANCE'!AM23</f>
        <v>0</v>
      </c>
      <c r="AN23" s="1710">
        <f>'[7]RELEVE D''ECHEANCE'!AN23</f>
        <v>480000</v>
      </c>
      <c r="AO23" s="430">
        <f>'[7]RELEVE D''ECHEANCE'!AO23</f>
        <v>0</v>
      </c>
    </row>
    <row r="24" spans="1:41" ht="15" x14ac:dyDescent="0.25">
      <c r="A24" s="467">
        <f>+A22+1</f>
        <v>16</v>
      </c>
      <c r="B24" s="1696">
        <f>'[7]RELEVE D''ECHEANCE'!B24</f>
        <v>0</v>
      </c>
      <c r="C24" s="1697">
        <f>'[7]RELEVE D''ECHEANCE'!C24</f>
        <v>0</v>
      </c>
      <c r="D24" s="1696">
        <f>'[7]RELEVE D''ECHEANCE'!D24</f>
        <v>0</v>
      </c>
      <c r="E24" s="1697">
        <f>'[7]RELEVE D''ECHEANCE'!E24</f>
        <v>0</v>
      </c>
      <c r="F24" s="1711">
        <f>'[7]RELEVE D''ECHEANCE'!F24</f>
        <v>0</v>
      </c>
      <c r="G24" s="1712">
        <f>'[7]RELEVE D''ECHEANCE'!G24</f>
        <v>0</v>
      </c>
      <c r="H24" s="1696">
        <f>'[7]RELEVE D''ECHEANCE'!H24</f>
        <v>0</v>
      </c>
      <c r="I24" s="1697">
        <f>'[7]RELEVE D''ECHEANCE'!I24</f>
        <v>0</v>
      </c>
      <c r="J24" s="1696">
        <f>'[7]RELEVE D''ECHEANCE'!J24</f>
        <v>0</v>
      </c>
      <c r="K24" s="1697">
        <f>'[7]RELEVE D''ECHEANCE'!K24</f>
        <v>0</v>
      </c>
      <c r="L24" s="1696">
        <f>'[7]RELEVE D''ECHEANCE'!L24</f>
        <v>0</v>
      </c>
      <c r="M24" s="1697">
        <f>'[7]RELEVE D''ECHEANCE'!M24</f>
        <v>0</v>
      </c>
      <c r="N24" s="1697">
        <f>'[7]RELEVE D''ECHEANCE'!N24</f>
        <v>0</v>
      </c>
      <c r="O24" s="1697">
        <f>'[7]RELEVE D''ECHEANCE'!O24</f>
        <v>0</v>
      </c>
      <c r="P24" s="1697">
        <f>'[7]RELEVE D''ECHEANCE'!P24</f>
        <v>0</v>
      </c>
      <c r="Q24" s="430">
        <f>'[7]RELEVE D''ECHEANCE'!Q24</f>
        <v>0</v>
      </c>
      <c r="R24" s="430">
        <f>'[7]RELEVE D''ECHEANCE'!R24</f>
        <v>0</v>
      </c>
      <c r="S24" s="430">
        <f>'[7]RELEVE D''ECHEANCE'!S24</f>
        <v>0</v>
      </c>
      <c r="T24" s="1697">
        <f>'[7]RELEVE D''ECHEANCE'!T24</f>
        <v>0</v>
      </c>
      <c r="U24" s="1697">
        <f>'[7]RELEVE D''ECHEANCE'!U24</f>
        <v>0</v>
      </c>
      <c r="V24" s="1698">
        <f>'[7]RELEVE D''ECHEANCE'!V24</f>
        <v>0</v>
      </c>
      <c r="W24" s="1698">
        <f>'[7]RELEVE D''ECHEANCE'!W24</f>
        <v>0</v>
      </c>
      <c r="X24" s="1697">
        <f>'[7]RELEVE D''ECHEANCE'!X24</f>
        <v>0</v>
      </c>
      <c r="Y24" s="1697">
        <f>'[7]RELEVE D''ECHEANCE'!Y24</f>
        <v>0</v>
      </c>
      <c r="Z24" s="1697">
        <f>'[7]RELEVE D''ECHEANCE'!Z24</f>
        <v>0</v>
      </c>
      <c r="AA24" s="1697">
        <f>'[7]RELEVE D''ECHEANCE'!AA24</f>
        <v>0</v>
      </c>
      <c r="AB24" s="1697">
        <f>'[7]RELEVE D''ECHEANCE'!AB24</f>
        <v>0</v>
      </c>
      <c r="AC24" s="1697">
        <f>'[7]RELEVE D''ECHEANCE'!AC24</f>
        <v>0</v>
      </c>
      <c r="AD24" s="1697">
        <f>'[7]RELEVE D''ECHEANCE'!AD24</f>
        <v>0</v>
      </c>
      <c r="AE24" s="1697">
        <f>'[7]RELEVE D''ECHEANCE'!AE24</f>
        <v>0</v>
      </c>
      <c r="AF24" s="1697">
        <f>'[7]RELEVE D''ECHEANCE'!AF24</f>
        <v>0</v>
      </c>
      <c r="AG24" s="1697">
        <f>'[7]RELEVE D''ECHEANCE'!AG24</f>
        <v>0</v>
      </c>
      <c r="AH24" s="1697">
        <f>'[7]RELEVE D''ECHEANCE'!AH24</f>
        <v>0</v>
      </c>
      <c r="AI24" s="1697">
        <f>'[7]RELEVE D''ECHEANCE'!AI24</f>
        <v>0</v>
      </c>
      <c r="AJ24" s="1696">
        <f>'[7]RELEVE D''ECHEANCE'!AJ24</f>
        <v>0</v>
      </c>
      <c r="AK24" s="1697">
        <f>'[7]RELEVE D''ECHEANCE'!AK24</f>
        <v>0</v>
      </c>
      <c r="AL24" s="1696">
        <f>'[7]RELEVE D''ECHEANCE'!AL24</f>
        <v>0</v>
      </c>
      <c r="AM24" s="1697">
        <f>'[7]RELEVE D''ECHEANCE'!AM24</f>
        <v>0</v>
      </c>
      <c r="AN24" s="1697">
        <f>'[7]RELEVE D''ECHEANCE'!AN24</f>
        <v>0</v>
      </c>
      <c r="AO24" s="430">
        <f>'[7]RELEVE D''ECHEANCE'!AO24</f>
        <v>0</v>
      </c>
    </row>
    <row r="25" spans="1:41" ht="15" x14ac:dyDescent="0.25">
      <c r="A25" s="467">
        <f>+A24+1</f>
        <v>17</v>
      </c>
      <c r="B25" s="1696">
        <f>'[7]RELEVE D''ECHEANCE'!B25</f>
        <v>0</v>
      </c>
      <c r="C25" s="1697">
        <f>'[7]RELEVE D''ECHEANCE'!C25</f>
        <v>0</v>
      </c>
      <c r="D25" s="1696">
        <f>'[7]RELEVE D''ECHEANCE'!D25</f>
        <v>0</v>
      </c>
      <c r="E25" s="1697">
        <f>'[7]RELEVE D''ECHEANCE'!E25</f>
        <v>0</v>
      </c>
      <c r="F25" s="1713">
        <f>'[7]RELEVE D''ECHEANCE'!F25</f>
        <v>0</v>
      </c>
      <c r="G25" s="1714">
        <f>'[7]RELEVE D''ECHEANCE'!G25</f>
        <v>0</v>
      </c>
      <c r="H25" s="1696">
        <f>'[7]RELEVE D''ECHEANCE'!H25</f>
        <v>0</v>
      </c>
      <c r="I25" s="1697">
        <f>'[7]RELEVE D''ECHEANCE'!I25</f>
        <v>0</v>
      </c>
      <c r="J25" s="1696">
        <f>'[7]RELEVE D''ECHEANCE'!J25</f>
        <v>0</v>
      </c>
      <c r="K25" s="1697">
        <f>'[7]RELEVE D''ECHEANCE'!K25</f>
        <v>0</v>
      </c>
      <c r="L25" s="1696">
        <f>'[7]RELEVE D''ECHEANCE'!L25</f>
        <v>0</v>
      </c>
      <c r="M25" s="1697">
        <f>'[7]RELEVE D''ECHEANCE'!M25</f>
        <v>0</v>
      </c>
      <c r="N25" s="1697">
        <f>'[7]RELEVE D''ECHEANCE'!N25</f>
        <v>0</v>
      </c>
      <c r="O25" s="1697">
        <f>'[7]RELEVE D''ECHEANCE'!O25</f>
        <v>0</v>
      </c>
      <c r="P25" s="1697">
        <f>'[7]RELEVE D''ECHEANCE'!P25</f>
        <v>0</v>
      </c>
      <c r="Q25" s="430">
        <f>'[7]RELEVE D''ECHEANCE'!Q25</f>
        <v>0</v>
      </c>
      <c r="R25" s="430">
        <f>'[7]RELEVE D''ECHEANCE'!R25</f>
        <v>0</v>
      </c>
      <c r="S25" s="430">
        <f>'[7]RELEVE D''ECHEANCE'!S25</f>
        <v>0</v>
      </c>
      <c r="T25" s="1697">
        <f>'[7]RELEVE D''ECHEANCE'!T25</f>
        <v>0</v>
      </c>
      <c r="U25" s="1697">
        <f>'[7]RELEVE D''ECHEANCE'!U25</f>
        <v>0</v>
      </c>
      <c r="V25" s="1698">
        <f>'[7]RELEVE D''ECHEANCE'!V25</f>
        <v>0</v>
      </c>
      <c r="W25" s="1698">
        <f>'[7]RELEVE D''ECHEANCE'!W25</f>
        <v>0</v>
      </c>
      <c r="X25" s="1697">
        <f>'[7]RELEVE D''ECHEANCE'!X25</f>
        <v>0</v>
      </c>
      <c r="Y25" s="1697">
        <f>'[7]RELEVE D''ECHEANCE'!Y25</f>
        <v>0</v>
      </c>
      <c r="Z25" s="1697">
        <f>'[7]RELEVE D''ECHEANCE'!Z25</f>
        <v>0</v>
      </c>
      <c r="AA25" s="1697">
        <f>'[7]RELEVE D''ECHEANCE'!AA25</f>
        <v>0</v>
      </c>
      <c r="AB25" s="1697">
        <f>'[7]RELEVE D''ECHEANCE'!AB25</f>
        <v>0</v>
      </c>
      <c r="AC25" s="1697">
        <f>'[7]RELEVE D''ECHEANCE'!AC25</f>
        <v>0</v>
      </c>
      <c r="AD25" s="1697">
        <f>'[7]RELEVE D''ECHEANCE'!AD25</f>
        <v>0</v>
      </c>
      <c r="AE25" s="1697">
        <f>'[7]RELEVE D''ECHEANCE'!AE25</f>
        <v>0</v>
      </c>
      <c r="AF25" s="1697">
        <f>'[7]RELEVE D''ECHEANCE'!AF25</f>
        <v>0</v>
      </c>
      <c r="AG25" s="1697">
        <f>'[7]RELEVE D''ECHEANCE'!AG25</f>
        <v>0</v>
      </c>
      <c r="AH25" s="1697">
        <f>'[7]RELEVE D''ECHEANCE'!AH25</f>
        <v>0</v>
      </c>
      <c r="AI25" s="1697">
        <f>'[7]RELEVE D''ECHEANCE'!AI25</f>
        <v>0</v>
      </c>
      <c r="AJ25" s="1696">
        <f>'[7]RELEVE D''ECHEANCE'!AJ25</f>
        <v>0</v>
      </c>
      <c r="AK25" s="1697">
        <f>'[7]RELEVE D''ECHEANCE'!AK25</f>
        <v>0</v>
      </c>
      <c r="AL25" s="1696">
        <f>'[7]RELEVE D''ECHEANCE'!AL25</f>
        <v>0</v>
      </c>
      <c r="AM25" s="1697">
        <f>'[7]RELEVE D''ECHEANCE'!AM25</f>
        <v>0</v>
      </c>
      <c r="AN25" s="1697">
        <f>'[7]RELEVE D''ECHEANCE'!AN25</f>
        <v>0</v>
      </c>
      <c r="AO25" s="430">
        <f>'[7]RELEVE D''ECHEANCE'!AO25</f>
        <v>0</v>
      </c>
    </row>
    <row r="26" spans="1:41" ht="15" x14ac:dyDescent="0.25">
      <c r="A26" s="467">
        <f t="shared" ref="A26:A39" si="1">+A25+1</f>
        <v>18</v>
      </c>
      <c r="B26" s="1696">
        <f>'[7]RELEVE D''ECHEANCE'!B26</f>
        <v>0</v>
      </c>
      <c r="C26" s="1697">
        <f>'[7]RELEVE D''ECHEANCE'!C26</f>
        <v>0</v>
      </c>
      <c r="D26" s="1696">
        <f>'[7]RELEVE D''ECHEANCE'!D26</f>
        <v>0</v>
      </c>
      <c r="E26" s="1697">
        <f>'[7]RELEVE D''ECHEANCE'!E26</f>
        <v>0</v>
      </c>
      <c r="F26" s="1713">
        <f>'[7]RELEVE D''ECHEANCE'!F26</f>
        <v>0</v>
      </c>
      <c r="G26" s="1714">
        <f>'[7]RELEVE D''ECHEANCE'!G26</f>
        <v>0</v>
      </c>
      <c r="H26" s="1696">
        <f>'[7]RELEVE D''ECHEANCE'!H26</f>
        <v>0</v>
      </c>
      <c r="I26" s="1697">
        <f>'[7]RELEVE D''ECHEANCE'!I26</f>
        <v>0</v>
      </c>
      <c r="J26" s="1696">
        <f>'[7]RELEVE D''ECHEANCE'!J26</f>
        <v>0</v>
      </c>
      <c r="K26" s="1697">
        <f>'[7]RELEVE D''ECHEANCE'!K26</f>
        <v>0</v>
      </c>
      <c r="L26" s="1696">
        <f>'[7]RELEVE D''ECHEANCE'!L26</f>
        <v>0</v>
      </c>
      <c r="M26" s="1709">
        <f>'[7]RELEVE D''ECHEANCE'!M26</f>
        <v>0</v>
      </c>
      <c r="N26" s="1697">
        <f>'[7]RELEVE D''ECHEANCE'!N26</f>
        <v>0</v>
      </c>
      <c r="O26" s="1697">
        <f>'[7]RELEVE D''ECHEANCE'!O26</f>
        <v>0</v>
      </c>
      <c r="P26" s="1697">
        <f>'[7]RELEVE D''ECHEANCE'!P26</f>
        <v>0</v>
      </c>
      <c r="Q26" s="430">
        <f>'[7]RELEVE D''ECHEANCE'!Q26</f>
        <v>0</v>
      </c>
      <c r="R26" s="1697">
        <f>'[7]RELEVE D''ECHEANCE'!R26</f>
        <v>0</v>
      </c>
      <c r="S26" s="430">
        <f>'[7]RELEVE D''ECHEANCE'!S26</f>
        <v>0</v>
      </c>
      <c r="T26" s="1697">
        <f>'[7]RELEVE D''ECHEANCE'!T26</f>
        <v>0</v>
      </c>
      <c r="U26" s="1697">
        <f>'[7]RELEVE D''ECHEANCE'!U26</f>
        <v>0</v>
      </c>
      <c r="V26" s="1698">
        <f>'[7]RELEVE D''ECHEANCE'!V26</f>
        <v>0</v>
      </c>
      <c r="W26" s="1698">
        <f>'[7]RELEVE D''ECHEANCE'!W26</f>
        <v>0</v>
      </c>
      <c r="X26" s="1697">
        <f>'[7]RELEVE D''ECHEANCE'!X26</f>
        <v>0</v>
      </c>
      <c r="Y26" s="1697">
        <f>'[7]RELEVE D''ECHEANCE'!Y26</f>
        <v>0</v>
      </c>
      <c r="Z26" s="1697">
        <f>'[7]RELEVE D''ECHEANCE'!Z26</f>
        <v>0</v>
      </c>
      <c r="AA26" s="1697">
        <f>'[7]RELEVE D''ECHEANCE'!AA26</f>
        <v>0</v>
      </c>
      <c r="AB26" s="1697">
        <f>'[7]RELEVE D''ECHEANCE'!AB26</f>
        <v>0</v>
      </c>
      <c r="AC26" s="1697">
        <f>'[7]RELEVE D''ECHEANCE'!AC26</f>
        <v>0</v>
      </c>
      <c r="AD26" s="1697">
        <f>'[7]RELEVE D''ECHEANCE'!AD26</f>
        <v>0</v>
      </c>
      <c r="AE26" s="1697">
        <f>'[7]RELEVE D''ECHEANCE'!AE26</f>
        <v>0</v>
      </c>
      <c r="AF26" s="1697">
        <f>'[7]RELEVE D''ECHEANCE'!AF26</f>
        <v>0</v>
      </c>
      <c r="AG26" s="1697">
        <f>'[7]RELEVE D''ECHEANCE'!AG26</f>
        <v>0</v>
      </c>
      <c r="AH26" s="1697">
        <f>'[7]RELEVE D''ECHEANCE'!AH26</f>
        <v>0</v>
      </c>
      <c r="AI26" s="1697">
        <f>'[7]RELEVE D''ECHEANCE'!AI26</f>
        <v>0</v>
      </c>
      <c r="AJ26" s="1696">
        <f>'[7]RELEVE D''ECHEANCE'!AJ26</f>
        <v>0</v>
      </c>
      <c r="AK26" s="1709">
        <f>'[7]RELEVE D''ECHEANCE'!AK26</f>
        <v>0</v>
      </c>
      <c r="AL26" s="1696">
        <f>'[7]RELEVE D''ECHEANCE'!AL26</f>
        <v>0</v>
      </c>
      <c r="AM26" s="1709">
        <f>'[7]RELEVE D''ECHEANCE'!AM26</f>
        <v>0</v>
      </c>
      <c r="AN26" s="1697">
        <f>'[7]RELEVE D''ECHEANCE'!AN26</f>
        <v>0</v>
      </c>
      <c r="AO26" s="430">
        <f>'[7]RELEVE D''ECHEANCE'!AO26</f>
        <v>0</v>
      </c>
    </row>
    <row r="27" spans="1:41" ht="15" x14ac:dyDescent="0.25">
      <c r="A27" s="467">
        <f t="shared" si="1"/>
        <v>19</v>
      </c>
      <c r="B27" s="1696">
        <f>'[7]RELEVE D''ECHEANCE'!B27</f>
        <v>0</v>
      </c>
      <c r="C27" s="1697">
        <f>'[7]RELEVE D''ECHEANCE'!C27</f>
        <v>0</v>
      </c>
      <c r="D27" s="1696">
        <f>'[7]RELEVE D''ECHEANCE'!D27</f>
        <v>0</v>
      </c>
      <c r="E27" s="1697">
        <f>'[7]RELEVE D''ECHEANCE'!E27</f>
        <v>0</v>
      </c>
      <c r="F27" s="1713">
        <f>'[7]RELEVE D''ECHEANCE'!F27</f>
        <v>0</v>
      </c>
      <c r="G27" s="1714">
        <f>'[7]RELEVE D''ECHEANCE'!G27</f>
        <v>0</v>
      </c>
      <c r="H27" s="1696">
        <f>'[7]RELEVE D''ECHEANCE'!H27</f>
        <v>0</v>
      </c>
      <c r="I27" s="1697">
        <f>'[7]RELEVE D''ECHEANCE'!I27</f>
        <v>0</v>
      </c>
      <c r="J27" s="1696">
        <f>'[7]RELEVE D''ECHEANCE'!J27</f>
        <v>0</v>
      </c>
      <c r="K27" s="1697">
        <f>'[7]RELEVE D''ECHEANCE'!K27</f>
        <v>0</v>
      </c>
      <c r="L27" s="1696">
        <f>'[7]RELEVE D''ECHEANCE'!L27</f>
        <v>0</v>
      </c>
      <c r="M27" s="1709">
        <f>'[7]RELEVE D''ECHEANCE'!M27</f>
        <v>0</v>
      </c>
      <c r="N27" s="1697">
        <f>'[7]RELEVE D''ECHEANCE'!N27</f>
        <v>0</v>
      </c>
      <c r="O27" s="1697">
        <f>'[7]RELEVE D''ECHEANCE'!O27</f>
        <v>0</v>
      </c>
      <c r="P27" s="1697">
        <f>'[7]RELEVE D''ECHEANCE'!P27</f>
        <v>0</v>
      </c>
      <c r="Q27" s="430">
        <f>'[7]RELEVE D''ECHEANCE'!Q27</f>
        <v>0</v>
      </c>
      <c r="R27" s="1697">
        <f>'[7]RELEVE D''ECHEANCE'!R27</f>
        <v>0</v>
      </c>
      <c r="S27" s="430">
        <f>'[7]RELEVE D''ECHEANCE'!S27</f>
        <v>0</v>
      </c>
      <c r="T27" s="1697">
        <f>'[7]RELEVE D''ECHEANCE'!T27</f>
        <v>0</v>
      </c>
      <c r="U27" s="1697">
        <f>'[7]RELEVE D''ECHEANCE'!U27</f>
        <v>0</v>
      </c>
      <c r="V27" s="1698">
        <f>'[7]RELEVE D''ECHEANCE'!V27</f>
        <v>0</v>
      </c>
      <c r="W27" s="1698">
        <f>'[7]RELEVE D''ECHEANCE'!W27</f>
        <v>0</v>
      </c>
      <c r="X27" s="1697">
        <f>'[7]RELEVE D''ECHEANCE'!X27</f>
        <v>0</v>
      </c>
      <c r="Y27" s="1697">
        <f>'[7]RELEVE D''ECHEANCE'!Y27</f>
        <v>0</v>
      </c>
      <c r="Z27" s="1697">
        <f>'[7]RELEVE D''ECHEANCE'!Z27</f>
        <v>0</v>
      </c>
      <c r="AA27" s="1697">
        <f>'[7]RELEVE D''ECHEANCE'!AA27</f>
        <v>0</v>
      </c>
      <c r="AB27" s="1697">
        <f>'[7]RELEVE D''ECHEANCE'!AB27</f>
        <v>0</v>
      </c>
      <c r="AC27" s="1697">
        <f>'[7]RELEVE D''ECHEANCE'!AC27</f>
        <v>0</v>
      </c>
      <c r="AD27" s="1697">
        <f>'[7]RELEVE D''ECHEANCE'!AD27</f>
        <v>0</v>
      </c>
      <c r="AE27" s="1697">
        <f>'[7]RELEVE D''ECHEANCE'!AE27</f>
        <v>0</v>
      </c>
      <c r="AF27" s="1697">
        <f>'[7]RELEVE D''ECHEANCE'!AF27</f>
        <v>0</v>
      </c>
      <c r="AG27" s="1697">
        <f>'[7]RELEVE D''ECHEANCE'!AG27</f>
        <v>0</v>
      </c>
      <c r="AH27" s="1697">
        <f>'[7]RELEVE D''ECHEANCE'!AH27</f>
        <v>0</v>
      </c>
      <c r="AI27" s="1697">
        <f>'[7]RELEVE D''ECHEANCE'!AI27</f>
        <v>0</v>
      </c>
      <c r="AJ27" s="1696">
        <f>'[7]RELEVE D''ECHEANCE'!AJ27</f>
        <v>0</v>
      </c>
      <c r="AK27" s="1709">
        <f>'[7]RELEVE D''ECHEANCE'!AK27</f>
        <v>0</v>
      </c>
      <c r="AL27" s="1696">
        <f>'[7]RELEVE D''ECHEANCE'!AL27</f>
        <v>0</v>
      </c>
      <c r="AM27" s="1709">
        <f>'[7]RELEVE D''ECHEANCE'!AM27</f>
        <v>0</v>
      </c>
      <c r="AN27" s="1697">
        <f>'[7]RELEVE D''ECHEANCE'!AN27</f>
        <v>0</v>
      </c>
      <c r="AO27" s="430" t="str">
        <f>'[7]RELEVE D''ECHEANCE'!AO27</f>
        <v>R0008110</v>
      </c>
    </row>
    <row r="28" spans="1:41" ht="15" x14ac:dyDescent="0.25">
      <c r="A28" s="467">
        <f t="shared" si="1"/>
        <v>20</v>
      </c>
      <c r="B28" s="1696">
        <f>'[7]RELEVE D''ECHEANCE'!B28</f>
        <v>0</v>
      </c>
      <c r="C28" s="1697">
        <f>'[7]RELEVE D''ECHEANCE'!C28</f>
        <v>0</v>
      </c>
      <c r="D28" s="1696">
        <f>'[7]RELEVE D''ECHEANCE'!D28</f>
        <v>0</v>
      </c>
      <c r="E28" s="1697">
        <f>'[7]RELEVE D''ECHEANCE'!E28</f>
        <v>0</v>
      </c>
      <c r="F28" s="1713">
        <f>'[7]RELEVE D''ECHEANCE'!F28</f>
        <v>5950000</v>
      </c>
      <c r="G28" s="1714" t="str">
        <f>'[7]RELEVE D''ECHEANCE'!G28</f>
        <v>SGBC8434116</v>
      </c>
      <c r="H28" s="1696">
        <f>'[7]RELEVE D''ECHEANCE'!H28</f>
        <v>0</v>
      </c>
      <c r="I28" s="1697">
        <f>'[7]RELEVE D''ECHEANCE'!I28</f>
        <v>0</v>
      </c>
      <c r="J28" s="1696">
        <f>'[7]RELEVE D''ECHEANCE'!J28</f>
        <v>0</v>
      </c>
      <c r="K28" s="1697">
        <f>'[7]RELEVE D''ECHEANCE'!K28</f>
        <v>0</v>
      </c>
      <c r="L28" s="1696">
        <f>'[7]RELEVE D''ECHEANCE'!L28</f>
        <v>0</v>
      </c>
      <c r="M28" s="1709">
        <f>'[7]RELEVE D''ECHEANCE'!M28</f>
        <v>0</v>
      </c>
      <c r="N28" s="1697">
        <f>'[7]RELEVE D''ECHEANCE'!N28</f>
        <v>0</v>
      </c>
      <c r="O28" s="1697">
        <f>'[7]RELEVE D''ECHEANCE'!O28</f>
        <v>0</v>
      </c>
      <c r="P28" s="1697">
        <f>'[7]RELEVE D''ECHEANCE'!P28</f>
        <v>0</v>
      </c>
      <c r="Q28" s="430">
        <f>'[7]RELEVE D''ECHEANCE'!Q28</f>
        <v>0</v>
      </c>
      <c r="R28" s="1697">
        <f>'[7]RELEVE D''ECHEANCE'!R28</f>
        <v>4855700</v>
      </c>
      <c r="S28" s="430" t="str">
        <f>'[7]RELEVE D''ECHEANCE'!S28</f>
        <v>AFRLD39872400</v>
      </c>
      <c r="T28" s="1697">
        <f>'[7]RELEVE D''ECHEANCE'!T28</f>
        <v>0</v>
      </c>
      <c r="U28" s="1697">
        <f>'[7]RELEVE D''ECHEANCE'!U28</f>
        <v>0</v>
      </c>
      <c r="V28" s="1698">
        <f>'[7]RELEVE D''ECHEANCE'!V28</f>
        <v>2920000</v>
      </c>
      <c r="W28" s="1698" t="str">
        <f>'[7]RELEVE D''ECHEANCE'!W28</f>
        <v>BICEC6983914</v>
      </c>
      <c r="X28" s="1697">
        <f>'[7]RELEVE D''ECHEANCE'!X28</f>
        <v>0</v>
      </c>
      <c r="Y28" s="1697">
        <f>'[7]RELEVE D''ECHEANCE'!Y28</f>
        <v>0</v>
      </c>
      <c r="Z28" s="1697">
        <f>'[7]RELEVE D''ECHEANCE'!Z28</f>
        <v>0</v>
      </c>
      <c r="AA28" s="1697">
        <f>'[7]RELEVE D''ECHEANCE'!AA28</f>
        <v>0</v>
      </c>
      <c r="AB28" s="1697">
        <f>'[7]RELEVE D''ECHEANCE'!AB28</f>
        <v>0</v>
      </c>
      <c r="AC28" s="1697">
        <f>'[7]RELEVE D''ECHEANCE'!AC28</f>
        <v>0</v>
      </c>
      <c r="AD28" s="1697">
        <f>'[7]RELEVE D''ECHEANCE'!AD28</f>
        <v>0</v>
      </c>
      <c r="AE28" s="1697">
        <f>'[7]RELEVE D''ECHEANCE'!AE28</f>
        <v>0</v>
      </c>
      <c r="AF28" s="1697">
        <f>'[7]RELEVE D''ECHEANCE'!AF28</f>
        <v>0</v>
      </c>
      <c r="AG28" s="1697">
        <f>'[7]RELEVE D''ECHEANCE'!AG28</f>
        <v>0</v>
      </c>
      <c r="AH28" s="1697">
        <f>'[7]RELEVE D''ECHEANCE'!AH28</f>
        <v>0</v>
      </c>
      <c r="AI28" s="1697">
        <f>'[7]RELEVE D''ECHEANCE'!AI28</f>
        <v>0</v>
      </c>
      <c r="AJ28" s="1696">
        <f>'[7]RELEVE D''ECHEANCE'!AJ28</f>
        <v>0</v>
      </c>
      <c r="AK28" s="1709">
        <f>'[7]RELEVE D''ECHEANCE'!AK28</f>
        <v>0</v>
      </c>
      <c r="AL28" s="1696">
        <f>'[7]RELEVE D''ECHEANCE'!AL28</f>
        <v>0</v>
      </c>
      <c r="AM28" s="1709">
        <f>'[7]RELEVE D''ECHEANCE'!AM28</f>
        <v>0</v>
      </c>
      <c r="AN28" s="1697">
        <f>'[7]RELEVE D''ECHEANCE'!AN28</f>
        <v>0</v>
      </c>
      <c r="AO28" s="430">
        <f>'[7]RELEVE D''ECHEANCE'!AO28</f>
        <v>0</v>
      </c>
    </row>
    <row r="29" spans="1:41" ht="15" x14ac:dyDescent="0.25">
      <c r="A29" s="467">
        <f t="shared" si="1"/>
        <v>21</v>
      </c>
      <c r="B29" s="1696">
        <f>'[7]RELEVE D''ECHEANCE'!B29</f>
        <v>0</v>
      </c>
      <c r="C29" s="1697">
        <f>'[7]RELEVE D''ECHEANCE'!C29</f>
        <v>0</v>
      </c>
      <c r="D29" s="1696">
        <f>'[7]RELEVE D''ECHEANCE'!D29</f>
        <v>5950000</v>
      </c>
      <c r="E29" s="1697" t="str">
        <f>'[7]RELEVE D''ECHEANCE'!E29</f>
        <v>SGBC5353568</v>
      </c>
      <c r="F29" s="1713">
        <f>'[7]RELEVE D''ECHEANCE'!F29</f>
        <v>0</v>
      </c>
      <c r="G29" s="1714">
        <f>'[7]RELEVE D''ECHEANCE'!G29</f>
        <v>0</v>
      </c>
      <c r="H29" s="1696">
        <f>'[7]RELEVE D''ECHEANCE'!H29</f>
        <v>0</v>
      </c>
      <c r="I29" s="1697">
        <f>'[7]RELEVE D''ECHEANCE'!I29</f>
        <v>0</v>
      </c>
      <c r="J29" s="1696">
        <f>'[7]RELEVE D''ECHEANCE'!J29</f>
        <v>5000000</v>
      </c>
      <c r="K29" s="1697" t="str">
        <f>'[7]RELEVE D''ECHEANCE'!K29</f>
        <v>AFRLD6592749</v>
      </c>
      <c r="L29" s="1696">
        <f>'[7]RELEVE D''ECHEANCE'!L29</f>
        <v>0</v>
      </c>
      <c r="M29" s="1709">
        <f>'[7]RELEVE D''ECHEANCE'!M29</f>
        <v>0</v>
      </c>
      <c r="N29" s="1697">
        <f>'[7]RELEVE D''ECHEANCE'!N29</f>
        <v>0</v>
      </c>
      <c r="O29" s="1697">
        <f>'[7]RELEVE D''ECHEANCE'!O29</f>
        <v>0</v>
      </c>
      <c r="P29" s="1697">
        <f>'[7]RELEVE D''ECHEANCE'!P29</f>
        <v>0</v>
      </c>
      <c r="Q29" s="430">
        <f>'[7]RELEVE D''ECHEANCE'!Q29</f>
        <v>0</v>
      </c>
      <c r="R29" s="1697">
        <f>'[7]RELEVE D''ECHEANCE'!R29</f>
        <v>0</v>
      </c>
      <c r="S29" s="430">
        <f>'[7]RELEVE D''ECHEANCE'!S29</f>
        <v>0</v>
      </c>
      <c r="T29" s="1697">
        <f>'[7]RELEVE D''ECHEANCE'!T29</f>
        <v>0</v>
      </c>
      <c r="U29" s="1697">
        <f>'[7]RELEVE D''ECHEANCE'!U29</f>
        <v>0</v>
      </c>
      <c r="V29" s="1698">
        <f>'[7]RELEVE D''ECHEANCE'!V29</f>
        <v>0</v>
      </c>
      <c r="W29" s="1698">
        <f>'[7]RELEVE D''ECHEANCE'!W29</f>
        <v>0</v>
      </c>
      <c r="X29" s="1697">
        <f>'[7]RELEVE D''ECHEANCE'!X29</f>
        <v>0</v>
      </c>
      <c r="Y29" s="1697">
        <f>'[7]RELEVE D''ECHEANCE'!Y29</f>
        <v>0</v>
      </c>
      <c r="Z29" s="1697">
        <f>'[7]RELEVE D''ECHEANCE'!Z29</f>
        <v>0</v>
      </c>
      <c r="AA29" s="1697">
        <f>'[7]RELEVE D''ECHEANCE'!AA29</f>
        <v>0</v>
      </c>
      <c r="AB29" s="1697">
        <f>'[7]RELEVE D''ECHEANCE'!AB29</f>
        <v>0</v>
      </c>
      <c r="AC29" s="1697">
        <f>'[7]RELEVE D''ECHEANCE'!AC29</f>
        <v>0</v>
      </c>
      <c r="AD29" s="1697">
        <f>'[7]RELEVE D''ECHEANCE'!AD29</f>
        <v>0</v>
      </c>
      <c r="AE29" s="1697">
        <f>'[7]RELEVE D''ECHEANCE'!AE29</f>
        <v>0</v>
      </c>
      <c r="AF29" s="1697">
        <f>'[7]RELEVE D''ECHEANCE'!AF29</f>
        <v>0</v>
      </c>
      <c r="AG29" s="1697">
        <f>'[7]RELEVE D''ECHEANCE'!AG29</f>
        <v>0</v>
      </c>
      <c r="AH29" s="1697">
        <f>'[7]RELEVE D''ECHEANCE'!AH29</f>
        <v>0</v>
      </c>
      <c r="AI29" s="1697">
        <f>'[7]RELEVE D''ECHEANCE'!AI29</f>
        <v>0</v>
      </c>
      <c r="AJ29" s="1696">
        <f>'[7]RELEVE D''ECHEANCE'!AJ29</f>
        <v>0</v>
      </c>
      <c r="AK29" s="1709">
        <f>'[7]RELEVE D''ECHEANCE'!AK29</f>
        <v>0</v>
      </c>
      <c r="AL29" s="1696">
        <f>'[7]RELEVE D''ECHEANCE'!AL29</f>
        <v>0</v>
      </c>
      <c r="AM29" s="1709">
        <f>'[7]RELEVE D''ECHEANCE'!AM29</f>
        <v>0</v>
      </c>
      <c r="AN29" s="1697">
        <f>'[7]RELEVE D''ECHEANCE'!AN29</f>
        <v>0</v>
      </c>
      <c r="AO29" s="430">
        <f>'[7]RELEVE D''ECHEANCE'!AO29</f>
        <v>0</v>
      </c>
    </row>
    <row r="30" spans="1:41" ht="15" x14ac:dyDescent="0.25">
      <c r="A30" s="467">
        <f t="shared" si="1"/>
        <v>22</v>
      </c>
      <c r="B30" s="1696">
        <f>'[7]RELEVE D''ECHEANCE'!B30</f>
        <v>0</v>
      </c>
      <c r="C30" s="1697">
        <f>'[7]RELEVE D''ECHEANCE'!C30</f>
        <v>0</v>
      </c>
      <c r="D30" s="1696">
        <f>'[7]RELEVE D''ECHEANCE'!D30</f>
        <v>0</v>
      </c>
      <c r="E30" s="1697">
        <f>'[7]RELEVE D''ECHEANCE'!E30</f>
        <v>0</v>
      </c>
      <c r="F30" s="1713">
        <f>'[7]RELEVE D''ECHEANCE'!F30</f>
        <v>0</v>
      </c>
      <c r="G30" s="1714">
        <f>'[7]RELEVE D''ECHEANCE'!G30</f>
        <v>0</v>
      </c>
      <c r="H30" s="1696">
        <f>'[7]RELEVE D''ECHEANCE'!H30</f>
        <v>2500000</v>
      </c>
      <c r="I30" s="1697" t="str">
        <f>'[7]RELEVE D''ECHEANCE'!I30</f>
        <v>SGBC8399253</v>
      </c>
      <c r="J30" s="1696">
        <f>'[7]RELEVE D''ECHEANCE'!J30</f>
        <v>0</v>
      </c>
      <c r="K30" s="1697">
        <f>'[7]RELEVE D''ECHEANCE'!K30</f>
        <v>0</v>
      </c>
      <c r="L30" s="1696">
        <f>'[7]RELEVE D''ECHEANCE'!L30</f>
        <v>0</v>
      </c>
      <c r="M30" s="1715">
        <f>'[7]RELEVE D''ECHEANCE'!M30</f>
        <v>0</v>
      </c>
      <c r="N30" s="1697">
        <f>'[7]RELEVE D''ECHEANCE'!N30</f>
        <v>0</v>
      </c>
      <c r="O30" s="1697">
        <f>'[7]RELEVE D''ECHEANCE'!O30</f>
        <v>0</v>
      </c>
      <c r="P30" s="1697">
        <f>'[7]RELEVE D''ECHEANCE'!P30</f>
        <v>13008533</v>
      </c>
      <c r="Q30" s="430" t="str">
        <f>'[7]RELEVE D''ECHEANCE'!Q30</f>
        <v>BICEC7831305</v>
      </c>
      <c r="R30" s="1697">
        <f>'[7]RELEVE D''ECHEANCE'!R30</f>
        <v>0</v>
      </c>
      <c r="S30" s="430">
        <f>'[7]RELEVE D''ECHEANCE'!S30</f>
        <v>0</v>
      </c>
      <c r="T30" s="1697">
        <f>'[7]RELEVE D''ECHEANCE'!T30</f>
        <v>0</v>
      </c>
      <c r="U30" s="1697">
        <f>'[7]RELEVE D''ECHEANCE'!U30</f>
        <v>0</v>
      </c>
      <c r="V30" s="1698">
        <f>'[7]RELEVE D''ECHEANCE'!V30</f>
        <v>0</v>
      </c>
      <c r="W30" s="1698">
        <f>'[7]RELEVE D''ECHEANCE'!W30</f>
        <v>0</v>
      </c>
      <c r="X30" s="1697">
        <f>'[7]RELEVE D''ECHEANCE'!X30</f>
        <v>0</v>
      </c>
      <c r="Y30" s="1697">
        <f>'[7]RELEVE D''ECHEANCE'!Y30</f>
        <v>0</v>
      </c>
      <c r="Z30" s="1697">
        <f>'[7]RELEVE D''ECHEANCE'!Z30</f>
        <v>0</v>
      </c>
      <c r="AA30" s="1697">
        <f>'[7]RELEVE D''ECHEANCE'!AA30</f>
        <v>0</v>
      </c>
      <c r="AB30" s="1697">
        <f>'[7]RELEVE D''ECHEANCE'!AB30</f>
        <v>0</v>
      </c>
      <c r="AC30" s="1697">
        <f>'[7]RELEVE D''ECHEANCE'!AC30</f>
        <v>0</v>
      </c>
      <c r="AD30" s="1697">
        <f>'[7]RELEVE D''ECHEANCE'!AD30</f>
        <v>0</v>
      </c>
      <c r="AE30" s="1697">
        <f>'[7]RELEVE D''ECHEANCE'!AE30</f>
        <v>0</v>
      </c>
      <c r="AF30" s="1697">
        <f>'[7]RELEVE D''ECHEANCE'!AF30</f>
        <v>0</v>
      </c>
      <c r="AG30" s="1697">
        <f>'[7]RELEVE D''ECHEANCE'!AG30</f>
        <v>0</v>
      </c>
      <c r="AH30" s="1697">
        <f>'[7]RELEVE D''ECHEANCE'!AH30</f>
        <v>0</v>
      </c>
      <c r="AI30" s="1697">
        <f>'[7]RELEVE D''ECHEANCE'!AI30</f>
        <v>0</v>
      </c>
      <c r="AJ30" s="1696">
        <f>'[7]RELEVE D''ECHEANCE'!AJ30</f>
        <v>0</v>
      </c>
      <c r="AK30" s="1715">
        <f>'[7]RELEVE D''ECHEANCE'!AK30</f>
        <v>0</v>
      </c>
      <c r="AL30" s="1696">
        <f>'[7]RELEVE D''ECHEANCE'!AL30</f>
        <v>0</v>
      </c>
      <c r="AM30" s="1715">
        <f>'[7]RELEVE D''ECHEANCE'!AM30</f>
        <v>0</v>
      </c>
      <c r="AN30" s="1697">
        <f>'[7]RELEVE D''ECHEANCE'!AN30</f>
        <v>0</v>
      </c>
      <c r="AO30" s="430">
        <f>'[7]RELEVE D''ECHEANCE'!AO30</f>
        <v>0</v>
      </c>
    </row>
    <row r="31" spans="1:41" x14ac:dyDescent="0.2">
      <c r="A31" s="467">
        <f t="shared" si="1"/>
        <v>23</v>
      </c>
      <c r="B31" s="1696">
        <f>'[7]RELEVE D''ECHEANCE'!B31</f>
        <v>0</v>
      </c>
      <c r="C31" s="1697">
        <f>'[7]RELEVE D''ECHEANCE'!C31</f>
        <v>0</v>
      </c>
      <c r="D31" s="1696">
        <f>'[7]RELEVE D''ECHEANCE'!D31</f>
        <v>0</v>
      </c>
      <c r="E31" s="1697">
        <f>'[7]RELEVE D''ECHEANCE'!E31</f>
        <v>0</v>
      </c>
      <c r="F31" s="1696">
        <f>'[7]RELEVE D''ECHEANCE'!F31</f>
        <v>0</v>
      </c>
      <c r="G31" s="1697">
        <f>'[7]RELEVE D''ECHEANCE'!G31</f>
        <v>0</v>
      </c>
      <c r="H31" s="1696">
        <f>'[7]RELEVE D''ECHEANCE'!H31</f>
        <v>0</v>
      </c>
      <c r="I31" s="1697">
        <f>'[7]RELEVE D''ECHEANCE'!I31</f>
        <v>0</v>
      </c>
      <c r="J31" s="1696">
        <f>'[7]RELEVE D''ECHEANCE'!J31</f>
        <v>0</v>
      </c>
      <c r="K31" s="1697">
        <f>'[7]RELEVE D''ECHEANCE'!K31</f>
        <v>0</v>
      </c>
      <c r="L31" s="1696">
        <f>'[7]RELEVE D''ECHEANCE'!L31</f>
        <v>0</v>
      </c>
      <c r="M31" s="1697">
        <f>'[7]RELEVE D''ECHEANCE'!M31</f>
        <v>0</v>
      </c>
      <c r="N31" s="1697">
        <f>'[7]RELEVE D''ECHEANCE'!N31</f>
        <v>0</v>
      </c>
      <c r="O31" s="1697">
        <f>'[7]RELEVE D''ECHEANCE'!O31</f>
        <v>0</v>
      </c>
      <c r="P31" s="1697">
        <f>'[7]RELEVE D''ECHEANCE'!P31</f>
        <v>292627</v>
      </c>
      <c r="Q31" s="430" t="str">
        <f>'[7]RELEVE D''ECHEANCE'!Q31</f>
        <v>BICEC7831305</v>
      </c>
      <c r="R31" s="1697">
        <f>'[7]RELEVE D''ECHEANCE'!R31</f>
        <v>0</v>
      </c>
      <c r="S31" s="430">
        <f>'[7]RELEVE D''ECHEANCE'!S31</f>
        <v>0</v>
      </c>
      <c r="T31" s="1697">
        <f>'[7]RELEVE D''ECHEANCE'!T31</f>
        <v>0</v>
      </c>
      <c r="U31" s="1697">
        <f>'[7]RELEVE D''ECHEANCE'!U31</f>
        <v>0</v>
      </c>
      <c r="V31" s="1697">
        <f>'[7]RELEVE D''ECHEANCE'!V31</f>
        <v>0</v>
      </c>
      <c r="W31" s="1697">
        <f>'[7]RELEVE D''ECHEANCE'!W31</f>
        <v>0</v>
      </c>
      <c r="X31" s="1697">
        <f>'[7]RELEVE D''ECHEANCE'!X31</f>
        <v>0</v>
      </c>
      <c r="Y31" s="1697">
        <f>'[7]RELEVE D''ECHEANCE'!Y31</f>
        <v>0</v>
      </c>
      <c r="Z31" s="1697">
        <f>'[7]RELEVE D''ECHEANCE'!Z31</f>
        <v>0</v>
      </c>
      <c r="AA31" s="1697">
        <f>'[7]RELEVE D''ECHEANCE'!AA31</f>
        <v>0</v>
      </c>
      <c r="AB31" s="1697">
        <f>'[7]RELEVE D''ECHEANCE'!AB31</f>
        <v>0</v>
      </c>
      <c r="AC31" s="1697">
        <f>'[7]RELEVE D''ECHEANCE'!AC31</f>
        <v>0</v>
      </c>
      <c r="AD31" s="1697">
        <f>'[7]RELEVE D''ECHEANCE'!AD31</f>
        <v>0</v>
      </c>
      <c r="AE31" s="1697">
        <f>'[7]RELEVE D''ECHEANCE'!AE31</f>
        <v>0</v>
      </c>
      <c r="AF31" s="1697">
        <f>'[7]RELEVE D''ECHEANCE'!AF31</f>
        <v>0</v>
      </c>
      <c r="AG31" s="1697">
        <f>'[7]RELEVE D''ECHEANCE'!AG31</f>
        <v>0</v>
      </c>
      <c r="AH31" s="1697">
        <f>'[7]RELEVE D''ECHEANCE'!AH31</f>
        <v>0</v>
      </c>
      <c r="AI31" s="1697">
        <f>'[7]RELEVE D''ECHEANCE'!AI31</f>
        <v>0</v>
      </c>
      <c r="AJ31" s="1696">
        <f>'[7]RELEVE D''ECHEANCE'!AJ31</f>
        <v>0</v>
      </c>
      <c r="AK31" s="1697">
        <f>'[7]RELEVE D''ECHEANCE'!AK31</f>
        <v>0</v>
      </c>
      <c r="AL31" s="1696">
        <f>'[7]RELEVE D''ECHEANCE'!AL31</f>
        <v>0</v>
      </c>
      <c r="AM31" s="1697">
        <f>'[7]RELEVE D''ECHEANCE'!AM31</f>
        <v>0</v>
      </c>
      <c r="AN31" s="1697">
        <f>'[7]RELEVE D''ECHEANCE'!AN31</f>
        <v>0</v>
      </c>
      <c r="AO31" s="430">
        <f>'[7]RELEVE D''ECHEANCE'!AO31</f>
        <v>0</v>
      </c>
    </row>
    <row r="32" spans="1:41" x14ac:dyDescent="0.2">
      <c r="A32" s="467">
        <f t="shared" si="1"/>
        <v>24</v>
      </c>
      <c r="B32" s="1696">
        <f>'[7]RELEVE D''ECHEANCE'!B32</f>
        <v>0</v>
      </c>
      <c r="C32" s="1697">
        <f>'[7]RELEVE D''ECHEANCE'!C32</f>
        <v>0</v>
      </c>
      <c r="D32" s="1696">
        <f>'[7]RELEVE D''ECHEANCE'!D32</f>
        <v>0</v>
      </c>
      <c r="E32" s="1697" t="str">
        <f>'[7]RELEVE D''ECHEANCE'!E32</f>
        <v>SGBC5353561</v>
      </c>
      <c r="F32" s="1696">
        <f>'[7]RELEVE D''ECHEANCE'!F32</f>
        <v>2975000</v>
      </c>
      <c r="G32" s="1697" t="str">
        <f>'[7]RELEVE D''ECHEANCE'!G32</f>
        <v>SGBC8434118</v>
      </c>
      <c r="H32" s="1696">
        <f>'[7]RELEVE D''ECHEANCE'!H32</f>
        <v>0</v>
      </c>
      <c r="I32" s="1697">
        <f>'[7]RELEVE D''ECHEANCE'!I32</f>
        <v>0</v>
      </c>
      <c r="J32" s="1696">
        <f>'[7]RELEVE D''ECHEANCE'!J32</f>
        <v>0</v>
      </c>
      <c r="K32" s="1697">
        <f>'[7]RELEVE D''ECHEANCE'!K32</f>
        <v>0</v>
      </c>
      <c r="L32" s="1696">
        <f>'[7]RELEVE D''ECHEANCE'!L32</f>
        <v>0</v>
      </c>
      <c r="M32" s="1697">
        <f>'[7]RELEVE D''ECHEANCE'!M32</f>
        <v>0</v>
      </c>
      <c r="N32" s="1697">
        <f>'[7]RELEVE D''ECHEANCE'!N32</f>
        <v>0</v>
      </c>
      <c r="O32" s="1697">
        <f>'[7]RELEVE D''ECHEANCE'!O32</f>
        <v>0</v>
      </c>
      <c r="P32" s="1697">
        <f>'[7]RELEVE D''ECHEANCE'!P32</f>
        <v>104490</v>
      </c>
      <c r="Q32" s="430" t="str">
        <f>'[7]RELEVE D''ECHEANCE'!Q32</f>
        <v>AVFC3836</v>
      </c>
      <c r="R32" s="1697">
        <f>'[7]RELEVE D''ECHEANCE'!R32</f>
        <v>2000000</v>
      </c>
      <c r="S32" s="430" t="str">
        <f>'[7]RELEVE D''ECHEANCE'!S32</f>
        <v>AFRLD3982404</v>
      </c>
      <c r="T32" s="1697">
        <f>'[7]RELEVE D''ECHEANCE'!T32</f>
        <v>0</v>
      </c>
      <c r="U32" s="1697">
        <f>'[7]RELEVE D''ECHEANCE'!U32</f>
        <v>0</v>
      </c>
      <c r="V32" s="1697">
        <f>'[7]RELEVE D''ECHEANCE'!V32</f>
        <v>0</v>
      </c>
      <c r="W32" s="1697">
        <f>'[7]RELEVE D''ECHEANCE'!W32</f>
        <v>0</v>
      </c>
      <c r="X32" s="1697">
        <f>'[7]RELEVE D''ECHEANCE'!X32</f>
        <v>0</v>
      </c>
      <c r="Y32" s="1697">
        <f>'[7]RELEVE D''ECHEANCE'!Y32</f>
        <v>0</v>
      </c>
      <c r="Z32" s="1697">
        <f>'[7]RELEVE D''ECHEANCE'!Z32</f>
        <v>0</v>
      </c>
      <c r="AA32" s="1697">
        <f>'[7]RELEVE D''ECHEANCE'!AA32</f>
        <v>0</v>
      </c>
      <c r="AB32" s="1697">
        <f>'[7]RELEVE D''ECHEANCE'!AB32</f>
        <v>0</v>
      </c>
      <c r="AC32" s="1697">
        <f>'[7]RELEVE D''ECHEANCE'!AC32</f>
        <v>0</v>
      </c>
      <c r="AD32" s="1697">
        <f>'[7]RELEVE D''ECHEANCE'!AD32</f>
        <v>0</v>
      </c>
      <c r="AE32" s="1697">
        <f>'[7]RELEVE D''ECHEANCE'!AE32</f>
        <v>0</v>
      </c>
      <c r="AF32" s="1697">
        <f>'[7]RELEVE D''ECHEANCE'!AF32</f>
        <v>0</v>
      </c>
      <c r="AG32" s="1697">
        <f>'[7]RELEVE D''ECHEANCE'!AG32</f>
        <v>0</v>
      </c>
      <c r="AH32" s="1697">
        <f>'[7]RELEVE D''ECHEANCE'!AH32</f>
        <v>0</v>
      </c>
      <c r="AI32" s="1697">
        <f>'[7]RELEVE D''ECHEANCE'!AI32</f>
        <v>0</v>
      </c>
      <c r="AJ32" s="1696">
        <f>'[7]RELEVE D''ECHEANCE'!AJ32</f>
        <v>0</v>
      </c>
      <c r="AK32" s="1697">
        <f>'[7]RELEVE D''ECHEANCE'!AK32</f>
        <v>0</v>
      </c>
      <c r="AL32" s="1696">
        <f>'[7]RELEVE D''ECHEANCE'!AL32</f>
        <v>0</v>
      </c>
      <c r="AM32" s="1697">
        <f>'[7]RELEVE D''ECHEANCE'!AM32</f>
        <v>0</v>
      </c>
      <c r="AN32" s="1697">
        <f>'[7]RELEVE D''ECHEANCE'!AN32</f>
        <v>0</v>
      </c>
      <c r="AO32" s="430">
        <f>'[7]RELEVE D''ECHEANCE'!AO32</f>
        <v>0</v>
      </c>
    </row>
    <row r="33" spans="1:41" x14ac:dyDescent="0.2">
      <c r="A33" s="467">
        <f t="shared" si="1"/>
        <v>25</v>
      </c>
      <c r="B33" s="1696">
        <f>'[7]RELEVE D''ECHEANCE'!B33</f>
        <v>0</v>
      </c>
      <c r="C33" s="1697">
        <f>'[7]RELEVE D''ECHEANCE'!C33</f>
        <v>0</v>
      </c>
      <c r="D33" s="1696">
        <f>'[7]RELEVE D''ECHEANCE'!D33</f>
        <v>0</v>
      </c>
      <c r="E33" s="1697" t="str">
        <f>'[7]RELEVE D''ECHEANCE'!E33</f>
        <v>AVFC3828</v>
      </c>
      <c r="F33" s="1696">
        <f>'[7]RELEVE D''ECHEANCE'!F33</f>
        <v>0</v>
      </c>
      <c r="G33" s="1697">
        <f>'[7]RELEVE D''ECHEANCE'!G33</f>
        <v>0</v>
      </c>
      <c r="H33" s="1696">
        <f>'[7]RELEVE D''ECHEANCE'!H33</f>
        <v>0</v>
      </c>
      <c r="I33" s="1697">
        <f>'[7]RELEVE D''ECHEANCE'!I33</f>
        <v>0</v>
      </c>
      <c r="J33" s="1696">
        <f>'[7]RELEVE D''ECHEANCE'!J33</f>
        <v>0</v>
      </c>
      <c r="K33" s="1697">
        <f>'[7]RELEVE D''ECHEANCE'!K33</f>
        <v>0</v>
      </c>
      <c r="L33" s="1696">
        <f>'[7]RELEVE D''ECHEANCE'!L33</f>
        <v>0</v>
      </c>
      <c r="M33" s="1697">
        <f>'[7]RELEVE D''ECHEANCE'!M33</f>
        <v>0</v>
      </c>
      <c r="N33" s="1697">
        <f>'[7]RELEVE D''ECHEANCE'!N33</f>
        <v>0</v>
      </c>
      <c r="O33" s="1697">
        <f>'[7]RELEVE D''ECHEANCE'!O33</f>
        <v>0</v>
      </c>
      <c r="P33" s="1697">
        <f>'[7]RELEVE D''ECHEANCE'!P33</f>
        <v>55875</v>
      </c>
      <c r="Q33" s="430" t="str">
        <f>'[7]RELEVE D''ECHEANCE'!Q33</f>
        <v>AVFC3837</v>
      </c>
      <c r="R33" s="1697">
        <f>'[7]RELEVE D''ECHEANCE'!R33</f>
        <v>0</v>
      </c>
      <c r="S33" s="430">
        <f>'[7]RELEVE D''ECHEANCE'!S33</f>
        <v>0</v>
      </c>
      <c r="T33" s="1697">
        <f>'[7]RELEVE D''ECHEANCE'!T33</f>
        <v>0</v>
      </c>
      <c r="U33" s="1697">
        <f>'[7]RELEVE D''ECHEANCE'!U33</f>
        <v>0</v>
      </c>
      <c r="V33" s="1697">
        <f>'[7]RELEVE D''ECHEANCE'!V33</f>
        <v>0</v>
      </c>
      <c r="W33" s="1697">
        <f>'[7]RELEVE D''ECHEANCE'!W33</f>
        <v>0</v>
      </c>
      <c r="X33" s="1697">
        <f>'[7]RELEVE D''ECHEANCE'!X33</f>
        <v>0</v>
      </c>
      <c r="Y33" s="1697">
        <f>'[7]RELEVE D''ECHEANCE'!Y33</f>
        <v>0</v>
      </c>
      <c r="Z33" s="1697">
        <f>'[7]RELEVE D''ECHEANCE'!Z33</f>
        <v>0</v>
      </c>
      <c r="AA33" s="1697">
        <f>'[7]RELEVE D''ECHEANCE'!AA33</f>
        <v>0</v>
      </c>
      <c r="AB33" s="1697">
        <f>'[7]RELEVE D''ECHEANCE'!AB33</f>
        <v>0</v>
      </c>
      <c r="AC33" s="1697">
        <f>'[7]RELEVE D''ECHEANCE'!AC33</f>
        <v>0</v>
      </c>
      <c r="AD33" s="1697">
        <f>'[7]RELEVE D''ECHEANCE'!AD33</f>
        <v>0</v>
      </c>
      <c r="AE33" s="1697">
        <f>'[7]RELEVE D''ECHEANCE'!AE33</f>
        <v>0</v>
      </c>
      <c r="AF33" s="1697">
        <f>'[7]RELEVE D''ECHEANCE'!AF33</f>
        <v>0</v>
      </c>
      <c r="AG33" s="1697">
        <f>'[7]RELEVE D''ECHEANCE'!AG33</f>
        <v>0</v>
      </c>
      <c r="AH33" s="1697">
        <f>'[7]RELEVE D''ECHEANCE'!AH33</f>
        <v>0</v>
      </c>
      <c r="AI33" s="1697">
        <f>'[7]RELEVE D''ECHEANCE'!AI33</f>
        <v>0</v>
      </c>
      <c r="AJ33" s="1696">
        <f>'[7]RELEVE D''ECHEANCE'!AJ33</f>
        <v>0</v>
      </c>
      <c r="AK33" s="1697">
        <f>'[7]RELEVE D''ECHEANCE'!AK33</f>
        <v>0</v>
      </c>
      <c r="AL33" s="1696">
        <f>'[7]RELEVE D''ECHEANCE'!AL33</f>
        <v>0</v>
      </c>
      <c r="AM33" s="1697">
        <f>'[7]RELEVE D''ECHEANCE'!AM33</f>
        <v>0</v>
      </c>
      <c r="AN33" s="1697">
        <f>'[7]RELEVE D''ECHEANCE'!AN33</f>
        <v>0</v>
      </c>
      <c r="AO33" s="430">
        <f>'[7]RELEVE D''ECHEANCE'!AO33</f>
        <v>0</v>
      </c>
    </row>
    <row r="34" spans="1:41" x14ac:dyDescent="0.2">
      <c r="A34" s="467">
        <f t="shared" si="1"/>
        <v>26</v>
      </c>
      <c r="B34" s="1696">
        <f>'[7]RELEVE D''ECHEANCE'!B34</f>
        <v>0</v>
      </c>
      <c r="C34" s="1697">
        <f>'[7]RELEVE D''ECHEANCE'!C34</f>
        <v>0</v>
      </c>
      <c r="D34" s="1696">
        <f>'[7]RELEVE D''ECHEANCE'!D34</f>
        <v>0</v>
      </c>
      <c r="E34" s="1697">
        <f>'[7]RELEVE D''ECHEANCE'!E34</f>
        <v>0</v>
      </c>
      <c r="F34" s="1696">
        <f>'[7]RELEVE D''ECHEANCE'!F34</f>
        <v>0</v>
      </c>
      <c r="G34" s="1697">
        <f>'[7]RELEVE D''ECHEANCE'!G34</f>
        <v>0</v>
      </c>
      <c r="H34" s="1696">
        <f>'[7]RELEVE D''ECHEANCE'!H34</f>
        <v>0</v>
      </c>
      <c r="I34" s="1697">
        <f>'[7]RELEVE D''ECHEANCE'!I34</f>
        <v>0</v>
      </c>
      <c r="J34" s="1696">
        <f>'[7]RELEVE D''ECHEANCE'!J34</f>
        <v>0</v>
      </c>
      <c r="K34" s="1697">
        <f>'[7]RELEVE D''ECHEANCE'!K34</f>
        <v>0</v>
      </c>
      <c r="L34" s="1696">
        <f>'[7]RELEVE D''ECHEANCE'!L34</f>
        <v>0</v>
      </c>
      <c r="M34" s="1697">
        <f>'[7]RELEVE D''ECHEANCE'!M34</f>
        <v>0</v>
      </c>
      <c r="N34" s="1697">
        <f>'[7]RELEVE D''ECHEANCE'!N34</f>
        <v>0</v>
      </c>
      <c r="O34" s="1697">
        <f>'[7]RELEVE D''ECHEANCE'!O34</f>
        <v>0</v>
      </c>
      <c r="P34" s="1697">
        <f>'[7]RELEVE D''ECHEANCE'!P34</f>
        <v>0</v>
      </c>
      <c r="Q34" s="430">
        <f>'[7]RELEVE D''ECHEANCE'!Q34</f>
        <v>0</v>
      </c>
      <c r="R34" s="1697">
        <f>'[7]RELEVE D''ECHEANCE'!R34</f>
        <v>0</v>
      </c>
      <c r="S34" s="430">
        <f>'[7]RELEVE D''ECHEANCE'!S34</f>
        <v>0</v>
      </c>
      <c r="T34" s="1697">
        <f>'[7]RELEVE D''ECHEANCE'!T34</f>
        <v>0</v>
      </c>
      <c r="U34" s="1697">
        <f>'[7]RELEVE D''ECHEANCE'!U34</f>
        <v>0</v>
      </c>
      <c r="V34" s="1697">
        <f>'[7]RELEVE D''ECHEANCE'!V34</f>
        <v>0</v>
      </c>
      <c r="W34" s="1697">
        <f>'[7]RELEVE D''ECHEANCE'!W34</f>
        <v>0</v>
      </c>
      <c r="X34" s="1697">
        <f>'[7]RELEVE D''ECHEANCE'!X34</f>
        <v>0</v>
      </c>
      <c r="Y34" s="1697">
        <f>'[7]RELEVE D''ECHEANCE'!Y34</f>
        <v>0</v>
      </c>
      <c r="Z34" s="1697">
        <f>'[7]RELEVE D''ECHEANCE'!Z34</f>
        <v>0</v>
      </c>
      <c r="AA34" s="1697">
        <f>'[7]RELEVE D''ECHEANCE'!AA34</f>
        <v>0</v>
      </c>
      <c r="AB34" s="1697">
        <f>'[7]RELEVE D''ECHEANCE'!AB34</f>
        <v>0</v>
      </c>
      <c r="AC34" s="1697">
        <f>'[7]RELEVE D''ECHEANCE'!AC34</f>
        <v>0</v>
      </c>
      <c r="AD34" s="1697">
        <f>'[7]RELEVE D''ECHEANCE'!AD34</f>
        <v>0</v>
      </c>
      <c r="AE34" s="1697">
        <f>'[7]RELEVE D''ECHEANCE'!AE34</f>
        <v>0</v>
      </c>
      <c r="AF34" s="1697">
        <f>'[7]RELEVE D''ECHEANCE'!AF34</f>
        <v>0</v>
      </c>
      <c r="AG34" s="1697">
        <f>'[7]RELEVE D''ECHEANCE'!AG34</f>
        <v>0</v>
      </c>
      <c r="AH34" s="1697">
        <f>'[7]RELEVE D''ECHEANCE'!AH34</f>
        <v>0</v>
      </c>
      <c r="AI34" s="1697">
        <f>'[7]RELEVE D''ECHEANCE'!AI34</f>
        <v>0</v>
      </c>
      <c r="AJ34" s="1696">
        <f>'[7]RELEVE D''ECHEANCE'!AJ34</f>
        <v>0</v>
      </c>
      <c r="AK34" s="1697">
        <f>'[7]RELEVE D''ECHEANCE'!AK34</f>
        <v>0</v>
      </c>
      <c r="AL34" s="1696">
        <f>'[7]RELEVE D''ECHEANCE'!AL34</f>
        <v>0</v>
      </c>
      <c r="AM34" s="1697">
        <f>'[7]RELEVE D''ECHEANCE'!AM34</f>
        <v>0</v>
      </c>
      <c r="AN34" s="1697">
        <f>'[7]RELEVE D''ECHEANCE'!AN34</f>
        <v>0</v>
      </c>
      <c r="AO34" s="430">
        <f>'[7]RELEVE D''ECHEANCE'!AO34</f>
        <v>0</v>
      </c>
    </row>
    <row r="35" spans="1:41" x14ac:dyDescent="0.2">
      <c r="A35" s="467">
        <f t="shared" si="1"/>
        <v>27</v>
      </c>
      <c r="B35" s="1696">
        <f>'[7]RELEVE D''ECHEANCE'!B35</f>
        <v>0</v>
      </c>
      <c r="C35" s="1697">
        <f>'[7]RELEVE D''ECHEANCE'!C35</f>
        <v>0</v>
      </c>
      <c r="D35" s="1696">
        <f>'[7]RELEVE D''ECHEANCE'!D35</f>
        <v>0</v>
      </c>
      <c r="E35" s="1697">
        <f>'[7]RELEVE D''ECHEANCE'!E35</f>
        <v>0</v>
      </c>
      <c r="F35" s="1696">
        <f>'[7]RELEVE D''ECHEANCE'!F35</f>
        <v>2975000</v>
      </c>
      <c r="G35" s="1697" t="str">
        <f>'[7]RELEVE D''ECHEANCE'!G35</f>
        <v>SGBC8434126</v>
      </c>
      <c r="H35" s="1696">
        <f>'[7]RELEVE D''ECHEANCE'!H35</f>
        <v>0</v>
      </c>
      <c r="I35" s="1697">
        <f>'[7]RELEVE D''ECHEANCE'!I35</f>
        <v>0</v>
      </c>
      <c r="J35" s="1696">
        <f>'[7]RELEVE D''ECHEANCE'!J35</f>
        <v>0</v>
      </c>
      <c r="K35" s="1697">
        <f>'[7]RELEVE D''ECHEANCE'!K35</f>
        <v>0</v>
      </c>
      <c r="L35" s="1696">
        <f>'[7]RELEVE D''ECHEANCE'!L35</f>
        <v>0</v>
      </c>
      <c r="M35" s="1697">
        <f>'[7]RELEVE D''ECHEANCE'!M35</f>
        <v>0</v>
      </c>
      <c r="N35" s="1697">
        <f>'[7]RELEVE D''ECHEANCE'!N35</f>
        <v>0</v>
      </c>
      <c r="O35" s="1697">
        <f>'[7]RELEVE D''ECHEANCE'!O35</f>
        <v>0</v>
      </c>
      <c r="P35" s="1697">
        <f>'[7]RELEVE D''ECHEANCE'!P35</f>
        <v>695177</v>
      </c>
      <c r="Q35" s="430" t="str">
        <f>'[7]RELEVE D''ECHEANCE'!Q35</f>
        <v>SGC8970887</v>
      </c>
      <c r="R35" s="1697">
        <f>'[7]RELEVE D''ECHEANCE'!R35</f>
        <v>0</v>
      </c>
      <c r="S35" s="430">
        <f>'[7]RELEVE D''ECHEANCE'!S35</f>
        <v>0</v>
      </c>
      <c r="T35" s="1697">
        <f>'[7]RELEVE D''ECHEANCE'!T35</f>
        <v>0</v>
      </c>
      <c r="U35" s="1697">
        <f>'[7]RELEVE D''ECHEANCE'!U35</f>
        <v>0</v>
      </c>
      <c r="V35" s="1697">
        <f>'[7]RELEVE D''ECHEANCE'!V35</f>
        <v>0</v>
      </c>
      <c r="W35" s="1697">
        <f>'[7]RELEVE D''ECHEANCE'!W35</f>
        <v>0</v>
      </c>
      <c r="X35" s="1697">
        <f>'[7]RELEVE D''ECHEANCE'!X35</f>
        <v>0</v>
      </c>
      <c r="Y35" s="1697">
        <f>'[7]RELEVE D''ECHEANCE'!Y35</f>
        <v>0</v>
      </c>
      <c r="Z35" s="1697">
        <f>'[7]RELEVE D''ECHEANCE'!Z35</f>
        <v>0</v>
      </c>
      <c r="AA35" s="1697">
        <f>'[7]RELEVE D''ECHEANCE'!AA35</f>
        <v>0</v>
      </c>
      <c r="AB35" s="1697">
        <f>'[7]RELEVE D''ECHEANCE'!AB35</f>
        <v>0</v>
      </c>
      <c r="AC35" s="1697">
        <f>'[7]RELEVE D''ECHEANCE'!AC35</f>
        <v>0</v>
      </c>
      <c r="AD35" s="1697">
        <f>'[7]RELEVE D''ECHEANCE'!AD35</f>
        <v>-25000</v>
      </c>
      <c r="AE35" s="1697" t="str">
        <f>'[7]RELEVE D''ECHEANCE'!AE35</f>
        <v>FAE30322</v>
      </c>
      <c r="AF35" s="1697">
        <f>'[7]RELEVE D''ECHEANCE'!AF35</f>
        <v>0</v>
      </c>
      <c r="AG35" s="1697">
        <f>'[7]RELEVE D''ECHEANCE'!AG35</f>
        <v>0</v>
      </c>
      <c r="AH35" s="1697">
        <f>'[7]RELEVE D''ECHEANCE'!AH35</f>
        <v>0</v>
      </c>
      <c r="AI35" s="1697">
        <f>'[7]RELEVE D''ECHEANCE'!AI35</f>
        <v>0</v>
      </c>
      <c r="AJ35" s="1696">
        <f>'[7]RELEVE D''ECHEANCE'!AJ35</f>
        <v>0</v>
      </c>
      <c r="AK35" s="1697">
        <f>'[7]RELEVE D''ECHEANCE'!AK35</f>
        <v>0</v>
      </c>
      <c r="AL35" s="1696">
        <f>'[7]RELEVE D''ECHEANCE'!AL35</f>
        <v>0</v>
      </c>
      <c r="AM35" s="1697">
        <f>'[7]RELEVE D''ECHEANCE'!AM35</f>
        <v>0</v>
      </c>
      <c r="AN35" s="1697">
        <f>'[7]RELEVE D''ECHEANCE'!AN35</f>
        <v>0</v>
      </c>
      <c r="AO35" s="430">
        <f>'[7]RELEVE D''ECHEANCE'!AO35</f>
        <v>0</v>
      </c>
    </row>
    <row r="36" spans="1:41" x14ac:dyDescent="0.2">
      <c r="A36" s="467">
        <f t="shared" si="1"/>
        <v>28</v>
      </c>
      <c r="B36" s="1696">
        <f>'[7]RELEVE D''ECHEANCE'!B36</f>
        <v>0</v>
      </c>
      <c r="C36" s="1697">
        <f>'[7]RELEVE D''ECHEANCE'!C36</f>
        <v>0</v>
      </c>
      <c r="D36" s="1696">
        <f>'[7]RELEVE D''ECHEANCE'!D36</f>
        <v>2975000</v>
      </c>
      <c r="E36" s="1697" t="str">
        <f>'[7]RELEVE D''ECHEANCE'!E36</f>
        <v>SGBC5353573</v>
      </c>
      <c r="F36" s="1696">
        <f>'[7]RELEVE D''ECHEANCE'!F36</f>
        <v>43325</v>
      </c>
      <c r="G36" s="1697" t="str">
        <f>'[7]RELEVE D''ECHEANCE'!G36</f>
        <v>AVFC3839</v>
      </c>
      <c r="H36" s="1696">
        <f>'[7]RELEVE D''ECHEANCE'!H36</f>
        <v>0</v>
      </c>
      <c r="I36" s="1697">
        <f>'[7]RELEVE D''ECHEANCE'!I36</f>
        <v>0</v>
      </c>
      <c r="J36" s="1696">
        <f>'[7]RELEVE D''ECHEANCE'!J36</f>
        <v>0</v>
      </c>
      <c r="K36" s="1697">
        <f>'[7]RELEVE D''ECHEANCE'!K36</f>
        <v>0</v>
      </c>
      <c r="L36" s="1696">
        <f>'[7]RELEVE D''ECHEANCE'!L36</f>
        <v>0</v>
      </c>
      <c r="M36" s="1697">
        <f>'[7]RELEVE D''ECHEANCE'!M36</f>
        <v>0</v>
      </c>
      <c r="N36" s="1697">
        <f>'[7]RELEVE D''ECHEANCE'!N36</f>
        <v>1404</v>
      </c>
      <c r="O36" s="1697" t="str">
        <f>'[7]RELEVE D''ECHEANCE'!O36</f>
        <v>AVFC3846</v>
      </c>
      <c r="P36" s="1697">
        <f>'[7]RELEVE D''ECHEANCE'!P36</f>
        <v>0</v>
      </c>
      <c r="Q36" s="430">
        <f>'[7]RELEVE D''ECHEANCE'!Q36</f>
        <v>0</v>
      </c>
      <c r="R36" s="1697">
        <f>'[7]RELEVE D''ECHEANCE'!R36</f>
        <v>0</v>
      </c>
      <c r="S36" s="430">
        <f>'[7]RELEVE D''ECHEANCE'!S36</f>
        <v>0</v>
      </c>
      <c r="T36" s="1697">
        <f>'[7]RELEVE D''ECHEANCE'!T36</f>
        <v>7426680</v>
      </c>
      <c r="U36" s="1697" t="str">
        <f>'[7]RELEVE D''ECHEANCE'!U36</f>
        <v>SGBC9346709</v>
      </c>
      <c r="V36" s="1697">
        <f>'[7]RELEVE D''ECHEANCE'!V36</f>
        <v>0</v>
      </c>
      <c r="W36" s="1697">
        <f>'[7]RELEVE D''ECHEANCE'!W36</f>
        <v>0</v>
      </c>
      <c r="X36" s="1697">
        <f>'[7]RELEVE D''ECHEANCE'!X36</f>
        <v>0</v>
      </c>
      <c r="Y36" s="1697">
        <f>'[7]RELEVE D''ECHEANCE'!Y36</f>
        <v>0</v>
      </c>
      <c r="Z36" s="1697">
        <f>'[7]RELEVE D''ECHEANCE'!Z36</f>
        <v>0</v>
      </c>
      <c r="AA36" s="1697">
        <f>'[7]RELEVE D''ECHEANCE'!AA36</f>
        <v>0</v>
      </c>
      <c r="AB36" s="1697">
        <f>'[7]RELEVE D''ECHEANCE'!AB36</f>
        <v>0</v>
      </c>
      <c r="AC36" s="1697">
        <f>'[7]RELEVE D''ECHEANCE'!AC36</f>
        <v>0</v>
      </c>
      <c r="AD36" s="1697">
        <f>'[7]RELEVE D''ECHEANCE'!AD36</f>
        <v>0</v>
      </c>
      <c r="AE36" s="1697">
        <f>'[7]RELEVE D''ECHEANCE'!AE36</f>
        <v>0</v>
      </c>
      <c r="AF36" s="1697">
        <f>'[7]RELEVE D''ECHEANCE'!AF36</f>
        <v>0</v>
      </c>
      <c r="AG36" s="1697">
        <f>'[7]RELEVE D''ECHEANCE'!AG36</f>
        <v>0</v>
      </c>
      <c r="AH36" s="1697">
        <f>'[7]RELEVE D''ECHEANCE'!AH36</f>
        <v>0</v>
      </c>
      <c r="AI36" s="1697">
        <f>'[7]RELEVE D''ECHEANCE'!AI36</f>
        <v>0</v>
      </c>
      <c r="AJ36" s="1696">
        <f>'[7]RELEVE D''ECHEANCE'!AJ36</f>
        <v>0</v>
      </c>
      <c r="AK36" s="1697">
        <f>'[7]RELEVE D''ECHEANCE'!AK36</f>
        <v>0</v>
      </c>
      <c r="AL36" s="1696">
        <f>'[7]RELEVE D''ECHEANCE'!AL36</f>
        <v>0</v>
      </c>
      <c r="AM36" s="1697">
        <f>'[7]RELEVE D''ECHEANCE'!AM36</f>
        <v>0</v>
      </c>
      <c r="AN36" s="1697">
        <f>'[7]RELEVE D''ECHEANCE'!AN36</f>
        <v>0</v>
      </c>
      <c r="AO36" s="430">
        <f>'[7]RELEVE D''ECHEANCE'!AO36</f>
        <v>0</v>
      </c>
    </row>
    <row r="37" spans="1:41" x14ac:dyDescent="0.2">
      <c r="A37" s="467">
        <f t="shared" si="1"/>
        <v>29</v>
      </c>
      <c r="B37" s="1696">
        <f>'[7]RELEVE D''ECHEANCE'!B37</f>
        <v>0</v>
      </c>
      <c r="C37" s="1697">
        <f>'[7]RELEVE D''ECHEANCE'!C37</f>
        <v>0</v>
      </c>
      <c r="D37" s="1696">
        <f>'[7]RELEVE D''ECHEANCE'!D37</f>
        <v>0</v>
      </c>
      <c r="E37" s="1697">
        <f>'[7]RELEVE D''ECHEANCE'!E37</f>
        <v>0</v>
      </c>
      <c r="F37" s="1696">
        <f>'[7]RELEVE D''ECHEANCE'!F37</f>
        <v>71575</v>
      </c>
      <c r="G37" s="1697" t="str">
        <f>'[7]RELEVE D''ECHEANCE'!G37</f>
        <v>AVFC3840</v>
      </c>
      <c r="H37" s="1696">
        <f>'[7]RELEVE D''ECHEANCE'!H37</f>
        <v>0</v>
      </c>
      <c r="I37" s="1697">
        <f>'[7]RELEVE D''ECHEANCE'!I37</f>
        <v>0</v>
      </c>
      <c r="J37" s="1696">
        <f>'[7]RELEVE D''ECHEANCE'!J37</f>
        <v>0</v>
      </c>
      <c r="K37" s="1697">
        <f>'[7]RELEVE D''ECHEANCE'!K37</f>
        <v>0</v>
      </c>
      <c r="L37" s="1696">
        <f>'[7]RELEVE D''ECHEANCE'!L37</f>
        <v>0</v>
      </c>
      <c r="M37" s="1697">
        <f>'[7]RELEVE D''ECHEANCE'!M37</f>
        <v>0</v>
      </c>
      <c r="N37" s="1697">
        <f>'[7]RELEVE D''ECHEANCE'!N37</f>
        <v>600</v>
      </c>
      <c r="O37" s="1697" t="str">
        <f>'[7]RELEVE D''ECHEANCE'!O37</f>
        <v>AVFC3847</v>
      </c>
      <c r="P37" s="1697">
        <f>'[7]RELEVE D''ECHEANCE'!P37</f>
        <v>0</v>
      </c>
      <c r="Q37" s="430">
        <f>'[7]RELEVE D''ECHEANCE'!Q37</f>
        <v>0</v>
      </c>
      <c r="R37" s="1697">
        <f>'[7]RELEVE D''ECHEANCE'!R37</f>
        <v>0</v>
      </c>
      <c r="S37" s="430">
        <f>'[7]RELEVE D''ECHEANCE'!S37</f>
        <v>0</v>
      </c>
      <c r="T37" s="1697">
        <f>'[7]RELEVE D''ECHEANCE'!T37</f>
        <v>0</v>
      </c>
      <c r="U37" s="1697">
        <f>'[7]RELEVE D''ECHEANCE'!U37</f>
        <v>0</v>
      </c>
      <c r="V37" s="1697">
        <f>'[7]RELEVE D''ECHEANCE'!V37</f>
        <v>0</v>
      </c>
      <c r="W37" s="1697">
        <f>'[7]RELEVE D''ECHEANCE'!W37</f>
        <v>0</v>
      </c>
      <c r="X37" s="1697">
        <f>'[7]RELEVE D''ECHEANCE'!X37</f>
        <v>0</v>
      </c>
      <c r="Y37" s="1697">
        <f>'[7]RELEVE D''ECHEANCE'!Y37</f>
        <v>0</v>
      </c>
      <c r="Z37" s="1697">
        <f>'[7]RELEVE D''ECHEANCE'!Z37</f>
        <v>0</v>
      </c>
      <c r="AA37" s="1697">
        <f>'[7]RELEVE D''ECHEANCE'!AA37</f>
        <v>0</v>
      </c>
      <c r="AB37" s="1697">
        <f>'[7]RELEVE D''ECHEANCE'!AB37</f>
        <v>0</v>
      </c>
      <c r="AC37" s="1697">
        <f>'[7]RELEVE D''ECHEANCE'!AC37</f>
        <v>0</v>
      </c>
      <c r="AD37" s="1697">
        <f>'[7]RELEVE D''ECHEANCE'!AD37</f>
        <v>0</v>
      </c>
      <c r="AE37" s="1697">
        <f>'[7]RELEVE D''ECHEANCE'!AE37</f>
        <v>0</v>
      </c>
      <c r="AF37" s="1697">
        <f>'[7]RELEVE D''ECHEANCE'!AF37</f>
        <v>0</v>
      </c>
      <c r="AG37" s="1697">
        <f>'[7]RELEVE D''ECHEANCE'!AG37</f>
        <v>0</v>
      </c>
      <c r="AH37" s="1697">
        <f>'[7]RELEVE D''ECHEANCE'!AH37</f>
        <v>0</v>
      </c>
      <c r="AI37" s="1697">
        <f>'[7]RELEVE D''ECHEANCE'!AI37</f>
        <v>0</v>
      </c>
      <c r="AJ37" s="1696">
        <f>'[7]RELEVE D''ECHEANCE'!AJ37</f>
        <v>0</v>
      </c>
      <c r="AK37" s="1697">
        <f>'[7]RELEVE D''ECHEANCE'!AK37</f>
        <v>0</v>
      </c>
      <c r="AL37" s="1696">
        <f>'[7]RELEVE D''ECHEANCE'!AL37</f>
        <v>0</v>
      </c>
      <c r="AM37" s="1697">
        <f>'[7]RELEVE D''ECHEANCE'!AM37</f>
        <v>0</v>
      </c>
      <c r="AN37" s="1697">
        <f>'[7]RELEVE D''ECHEANCE'!AN37</f>
        <v>0</v>
      </c>
      <c r="AO37" s="430">
        <f>'[7]RELEVE D''ECHEANCE'!AO37</f>
        <v>0</v>
      </c>
    </row>
    <row r="38" spans="1:41" x14ac:dyDescent="0.2">
      <c r="A38" s="467">
        <f t="shared" si="1"/>
        <v>30</v>
      </c>
      <c r="B38" s="1696">
        <f>'[7]RELEVE D''ECHEANCE'!B38</f>
        <v>0</v>
      </c>
      <c r="C38" s="1697">
        <f>'[7]RELEVE D''ECHEANCE'!C38</f>
        <v>0</v>
      </c>
      <c r="D38" s="1696">
        <f>'[7]RELEVE D''ECHEANCE'!D38</f>
        <v>25335</v>
      </c>
      <c r="E38" s="1697" t="str">
        <f>'[7]RELEVE D''ECHEANCE'!E38</f>
        <v>AVFC3841</v>
      </c>
      <c r="F38" s="1696">
        <f>'[7]RELEVE D''ECHEANCE'!F38</f>
        <v>0</v>
      </c>
      <c r="G38" s="1697">
        <f>'[7]RELEVE D''ECHEANCE'!G38</f>
        <v>0</v>
      </c>
      <c r="H38" s="1696">
        <f>'[7]RELEVE D''ECHEANCE'!H38</f>
        <v>0</v>
      </c>
      <c r="I38" s="1697">
        <f>'[7]RELEVE D''ECHEANCE'!I38</f>
        <v>0</v>
      </c>
      <c r="J38" s="1696">
        <f>'[7]RELEVE D''ECHEANCE'!J38</f>
        <v>0</v>
      </c>
      <c r="K38" s="1697">
        <f>'[7]RELEVE D''ECHEANCE'!K38</f>
        <v>0</v>
      </c>
      <c r="L38" s="1696">
        <f>'[7]RELEVE D''ECHEANCE'!L38</f>
        <v>0</v>
      </c>
      <c r="M38" s="1697">
        <f>'[7]RELEVE D''ECHEANCE'!M38</f>
        <v>0</v>
      </c>
      <c r="N38" s="1697">
        <f>'[7]RELEVE D''ECHEANCE'!N38</f>
        <v>1680</v>
      </c>
      <c r="O38" s="1697" t="str">
        <f>'[7]RELEVE D''ECHEANCE'!O38</f>
        <v>AVFC3848</v>
      </c>
      <c r="P38" s="1697">
        <f>'[7]RELEVE D''ECHEANCE'!P38</f>
        <v>0</v>
      </c>
      <c r="Q38" s="430">
        <f>'[7]RELEVE D''ECHEANCE'!Q38</f>
        <v>0</v>
      </c>
      <c r="R38" s="1697">
        <f>'[7]RELEVE D''ECHEANCE'!R38</f>
        <v>0</v>
      </c>
      <c r="S38" s="430">
        <f>'[7]RELEVE D''ECHEANCE'!S38</f>
        <v>0</v>
      </c>
      <c r="T38" s="1697">
        <f>'[7]RELEVE D''ECHEANCE'!T38</f>
        <v>0</v>
      </c>
      <c r="U38" s="1697">
        <f>'[7]RELEVE D''ECHEANCE'!U38</f>
        <v>0</v>
      </c>
      <c r="V38" s="1697">
        <f>'[7]RELEVE D''ECHEANCE'!V38</f>
        <v>3000000</v>
      </c>
      <c r="W38" s="1697" t="str">
        <f>'[7]RELEVE D''ECHEANCE'!W38</f>
        <v>RC8343</v>
      </c>
      <c r="X38" s="1697">
        <f>'[7]RELEVE D''ECHEANCE'!X38</f>
        <v>0</v>
      </c>
      <c r="Y38" s="1697">
        <f>'[7]RELEVE D''ECHEANCE'!Y38</f>
        <v>0</v>
      </c>
      <c r="Z38" s="1697">
        <f>'[7]RELEVE D''ECHEANCE'!Z38</f>
        <v>0</v>
      </c>
      <c r="AA38" s="1697">
        <f>'[7]RELEVE D''ECHEANCE'!AA38</f>
        <v>0</v>
      </c>
      <c r="AB38" s="1697">
        <f>'[7]RELEVE D''ECHEANCE'!AB38</f>
        <v>0</v>
      </c>
      <c r="AC38" s="1697">
        <f>'[7]RELEVE D''ECHEANCE'!AC38</f>
        <v>0</v>
      </c>
      <c r="AD38" s="1697">
        <f>'[7]RELEVE D''ECHEANCE'!AD38</f>
        <v>0</v>
      </c>
      <c r="AE38" s="1697">
        <f>'[7]RELEVE D''ECHEANCE'!AE38</f>
        <v>0</v>
      </c>
      <c r="AF38" s="1697">
        <f>'[7]RELEVE D''ECHEANCE'!AF38</f>
        <v>0</v>
      </c>
      <c r="AG38" s="1697">
        <f>'[7]RELEVE D''ECHEANCE'!AG38</f>
        <v>0</v>
      </c>
      <c r="AH38" s="1697">
        <f>'[7]RELEVE D''ECHEANCE'!AH38</f>
        <v>0</v>
      </c>
      <c r="AI38" s="1697">
        <f>'[7]RELEVE D''ECHEANCE'!AI38</f>
        <v>0</v>
      </c>
      <c r="AJ38" s="1696">
        <f>'[7]RELEVE D''ECHEANCE'!AJ38</f>
        <v>0</v>
      </c>
      <c r="AK38" s="1697">
        <f>'[7]RELEVE D''ECHEANCE'!AK38</f>
        <v>0</v>
      </c>
      <c r="AL38" s="1696">
        <f>'[7]RELEVE D''ECHEANCE'!AL38</f>
        <v>0</v>
      </c>
      <c r="AM38" s="1697">
        <f>'[7]RELEVE D''ECHEANCE'!AM38</f>
        <v>0</v>
      </c>
      <c r="AN38" s="1697">
        <f>'[7]RELEVE D''ECHEANCE'!AN38</f>
        <v>0</v>
      </c>
      <c r="AO38" s="430">
        <f>'[7]RELEVE D''ECHEANCE'!AO38</f>
        <v>0</v>
      </c>
    </row>
    <row r="39" spans="1:41" x14ac:dyDescent="0.2">
      <c r="A39" s="467">
        <f t="shared" si="1"/>
        <v>31</v>
      </c>
      <c r="B39" s="1696">
        <f>'[7]RELEVE D''ECHEANCE'!B39</f>
        <v>0</v>
      </c>
      <c r="C39" s="1697">
        <f>'[7]RELEVE D''ECHEANCE'!C39</f>
        <v>0</v>
      </c>
      <c r="D39" s="1696">
        <f>'[7]RELEVE D''ECHEANCE'!D39</f>
        <v>26655</v>
      </c>
      <c r="E39" s="1697" t="str">
        <f>'[7]RELEVE D''ECHEANCE'!E39</f>
        <v>AVFC3842</v>
      </c>
      <c r="F39" s="1696">
        <f>'[7]RELEVE D''ECHEANCE'!F39</f>
        <v>0</v>
      </c>
      <c r="G39" s="1697">
        <f>'[7]RELEVE D''ECHEANCE'!G39</f>
        <v>0</v>
      </c>
      <c r="H39" s="1696">
        <f>'[7]RELEVE D''ECHEANCE'!H39</f>
        <v>0</v>
      </c>
      <c r="I39" s="1697">
        <f>'[7]RELEVE D''ECHEANCE'!I39</f>
        <v>0</v>
      </c>
      <c r="J39" s="1696">
        <f>'[7]RELEVE D''ECHEANCE'!J39</f>
        <v>0</v>
      </c>
      <c r="K39" s="1697">
        <f>'[7]RELEVE D''ECHEANCE'!K39</f>
        <v>0</v>
      </c>
      <c r="L39" s="1696">
        <f>'[7]RELEVE D''ECHEANCE'!L39</f>
        <v>0</v>
      </c>
      <c r="M39" s="1697">
        <f>'[7]RELEVE D''ECHEANCE'!M39</f>
        <v>0</v>
      </c>
      <c r="N39" s="1697">
        <f>'[7]RELEVE D''ECHEANCE'!N39</f>
        <v>1170</v>
      </c>
      <c r="O39" s="1697" t="str">
        <f>'[7]RELEVE D''ECHEANCE'!O39</f>
        <v>AVFC3849</v>
      </c>
      <c r="P39" s="1697">
        <f>'[7]RELEVE D''ECHEANCE'!P39</f>
        <v>0</v>
      </c>
      <c r="Q39" s="430">
        <f>'[7]RELEVE D''ECHEANCE'!Q39</f>
        <v>0</v>
      </c>
      <c r="R39" s="1697">
        <f>'[7]RELEVE D''ECHEANCE'!R39</f>
        <v>0</v>
      </c>
      <c r="S39" s="430">
        <f>'[7]RELEVE D''ECHEANCE'!S39</f>
        <v>0</v>
      </c>
      <c r="T39" s="1697">
        <f>'[7]RELEVE D''ECHEANCE'!T39</f>
        <v>0</v>
      </c>
      <c r="U39" s="1697">
        <f>'[7]RELEVE D''ECHEANCE'!U39</f>
        <v>0</v>
      </c>
      <c r="V39" s="1697">
        <f>'[7]RELEVE D''ECHEANCE'!V39</f>
        <v>0</v>
      </c>
      <c r="W39" s="1697">
        <f>'[7]RELEVE D''ECHEANCE'!W39</f>
        <v>0</v>
      </c>
      <c r="X39" s="1697">
        <f>'[7]RELEVE D''ECHEANCE'!X39</f>
        <v>0</v>
      </c>
      <c r="Y39" s="1697">
        <f>'[7]RELEVE D''ECHEANCE'!Y39</f>
        <v>0</v>
      </c>
      <c r="Z39" s="1697">
        <f>'[7]RELEVE D''ECHEANCE'!Z39</f>
        <v>0</v>
      </c>
      <c r="AA39" s="1697">
        <f>'[7]RELEVE D''ECHEANCE'!AA39</f>
        <v>0</v>
      </c>
      <c r="AB39" s="1697">
        <f>'[7]RELEVE D''ECHEANCE'!AB39</f>
        <v>0</v>
      </c>
      <c r="AC39" s="1697">
        <f>'[7]RELEVE D''ECHEANCE'!AC39</f>
        <v>0</v>
      </c>
      <c r="AD39" s="1697">
        <f>'[7]RELEVE D''ECHEANCE'!AD39</f>
        <v>0</v>
      </c>
      <c r="AE39" s="1697">
        <f>'[7]RELEVE D''ECHEANCE'!AE39</f>
        <v>0</v>
      </c>
      <c r="AF39" s="1697">
        <f>'[7]RELEVE D''ECHEANCE'!AF39</f>
        <v>0</v>
      </c>
      <c r="AG39" s="1697">
        <f>'[7]RELEVE D''ECHEANCE'!AG39</f>
        <v>0</v>
      </c>
      <c r="AH39" s="1697">
        <f>'[7]RELEVE D''ECHEANCE'!AH39</f>
        <v>0</v>
      </c>
      <c r="AI39" s="1697">
        <f>'[7]RELEVE D''ECHEANCE'!AI39</f>
        <v>0</v>
      </c>
      <c r="AJ39" s="1696">
        <f>'[7]RELEVE D''ECHEANCE'!AJ39</f>
        <v>0</v>
      </c>
      <c r="AK39" s="1697">
        <f>'[7]RELEVE D''ECHEANCE'!AK39</f>
        <v>0</v>
      </c>
      <c r="AL39" s="1696">
        <f>'[7]RELEVE D''ECHEANCE'!AL39</f>
        <v>0</v>
      </c>
      <c r="AM39" s="1697">
        <f>'[7]RELEVE D''ECHEANCE'!AM39</f>
        <v>0</v>
      </c>
      <c r="AN39" s="1697">
        <f>'[7]RELEVE D''ECHEANCE'!AN39</f>
        <v>0</v>
      </c>
      <c r="AO39" s="430">
        <f>'[7]RELEVE D''ECHEANCE'!AO39</f>
        <v>0</v>
      </c>
    </row>
    <row r="40" spans="1:41" x14ac:dyDescent="0.2">
      <c r="A40" s="467"/>
      <c r="B40" s="1696">
        <f>'[7]RELEVE D''ECHEANCE'!B40</f>
        <v>0</v>
      </c>
      <c r="C40" s="1697">
        <f>'[7]RELEVE D''ECHEANCE'!C40</f>
        <v>0</v>
      </c>
      <c r="D40" s="1696">
        <f>'[7]RELEVE D''ECHEANCE'!D40</f>
        <v>35910</v>
      </c>
      <c r="E40" s="1697" t="str">
        <f>'[7]RELEVE D''ECHEANCE'!E40</f>
        <v>AVFC3843</v>
      </c>
      <c r="F40" s="1696">
        <f>'[7]RELEVE D''ECHEANCE'!F40</f>
        <v>0</v>
      </c>
      <c r="G40" s="1697">
        <f>'[7]RELEVE D''ECHEANCE'!G40</f>
        <v>0</v>
      </c>
      <c r="H40" s="1696">
        <f>'[7]RELEVE D''ECHEANCE'!H40</f>
        <v>0</v>
      </c>
      <c r="I40" s="1697">
        <f>'[7]RELEVE D''ECHEANCE'!I40</f>
        <v>0</v>
      </c>
      <c r="J40" s="1696">
        <f>'[7]RELEVE D''ECHEANCE'!J40</f>
        <v>0</v>
      </c>
      <c r="K40" s="1697">
        <f>'[7]RELEVE D''ECHEANCE'!K40</f>
        <v>0</v>
      </c>
      <c r="L40" s="1696">
        <f>'[7]RELEVE D''ECHEANCE'!L40</f>
        <v>0</v>
      </c>
      <c r="M40" s="1697">
        <f>'[7]RELEVE D''ECHEANCE'!M40</f>
        <v>0</v>
      </c>
      <c r="N40" s="1697">
        <f>'[7]RELEVE D''ECHEANCE'!N40</f>
        <v>0</v>
      </c>
      <c r="O40" s="1697">
        <f>'[7]RELEVE D''ECHEANCE'!O40</f>
        <v>0</v>
      </c>
      <c r="P40" s="1697">
        <f>'[7]RELEVE D''ECHEANCE'!P40</f>
        <v>0</v>
      </c>
      <c r="Q40" s="430">
        <f>'[7]RELEVE D''ECHEANCE'!Q40</f>
        <v>0</v>
      </c>
      <c r="R40" s="1697">
        <f>'[7]RELEVE D''ECHEANCE'!R40</f>
        <v>0</v>
      </c>
      <c r="S40" s="430">
        <f>'[7]RELEVE D''ECHEANCE'!S40</f>
        <v>0</v>
      </c>
      <c r="T40" s="1697">
        <f>'[7]RELEVE D''ECHEANCE'!T40</f>
        <v>0</v>
      </c>
      <c r="U40" s="1697">
        <f>'[7]RELEVE D''ECHEANCE'!U40</f>
        <v>0</v>
      </c>
      <c r="V40" s="1697">
        <f>'[7]RELEVE D''ECHEANCE'!V40</f>
        <v>0</v>
      </c>
      <c r="W40" s="1697">
        <f>'[7]RELEVE D''ECHEANCE'!W40</f>
        <v>0</v>
      </c>
      <c r="X40" s="1697">
        <f>'[7]RELEVE D''ECHEANCE'!X40</f>
        <v>0</v>
      </c>
      <c r="Y40" s="1697">
        <f>'[7]RELEVE D''ECHEANCE'!Y40</f>
        <v>0</v>
      </c>
      <c r="Z40" s="1697">
        <f>'[7]RELEVE D''ECHEANCE'!Z40</f>
        <v>0</v>
      </c>
      <c r="AA40" s="1697">
        <f>'[7]RELEVE D''ECHEANCE'!AA40</f>
        <v>0</v>
      </c>
      <c r="AB40" s="1697">
        <f>'[7]RELEVE D''ECHEANCE'!AB40</f>
        <v>0</v>
      </c>
      <c r="AC40" s="1697">
        <f>'[7]RELEVE D''ECHEANCE'!AC40</f>
        <v>0</v>
      </c>
      <c r="AD40" s="1697">
        <f>'[7]RELEVE D''ECHEANCE'!AD40</f>
        <v>0</v>
      </c>
      <c r="AE40" s="1697">
        <f>'[7]RELEVE D''ECHEANCE'!AE40</f>
        <v>0</v>
      </c>
      <c r="AF40" s="1697">
        <f>'[7]RELEVE D''ECHEANCE'!AF40</f>
        <v>0</v>
      </c>
      <c r="AG40" s="1697">
        <f>'[7]RELEVE D''ECHEANCE'!AG40</f>
        <v>0</v>
      </c>
      <c r="AH40" s="1697">
        <f>'[7]RELEVE D''ECHEANCE'!AH40</f>
        <v>0</v>
      </c>
      <c r="AI40" s="1697">
        <f>'[7]RELEVE D''ECHEANCE'!AI40</f>
        <v>0</v>
      </c>
      <c r="AJ40" s="1696">
        <f>'[7]RELEVE D''ECHEANCE'!AJ40</f>
        <v>0</v>
      </c>
      <c r="AK40" s="1697">
        <f>'[7]RELEVE D''ECHEANCE'!AK40</f>
        <v>0</v>
      </c>
      <c r="AL40" s="1696">
        <f>'[7]RELEVE D''ECHEANCE'!AL40</f>
        <v>0</v>
      </c>
      <c r="AM40" s="1697">
        <f>'[7]RELEVE D''ECHEANCE'!AM40</f>
        <v>0</v>
      </c>
      <c r="AN40" s="1697">
        <f>'[7]RELEVE D''ECHEANCE'!AN40</f>
        <v>0</v>
      </c>
      <c r="AO40" s="430">
        <f>'[7]RELEVE D''ECHEANCE'!AO40</f>
        <v>0</v>
      </c>
    </row>
    <row r="41" spans="1:41" x14ac:dyDescent="0.2">
      <c r="A41" s="401"/>
      <c r="B41" s="1716">
        <f>'[7]RELEVE D''ECHEANCE'!B41</f>
        <v>0</v>
      </c>
      <c r="C41" s="1716">
        <f>'[7]RELEVE D''ECHEANCE'!C41</f>
        <v>0</v>
      </c>
      <c r="D41" s="1716">
        <f>'[7]RELEVE D''ECHEANCE'!D41</f>
        <v>9012900</v>
      </c>
      <c r="E41" s="1716">
        <f>'[7]RELEVE D''ECHEANCE'!E41</f>
        <v>0</v>
      </c>
      <c r="F41" s="1716">
        <f>'[7]RELEVE D''ECHEANCE'!F41</f>
        <v>12014900</v>
      </c>
      <c r="G41" s="1716">
        <f>'[7]RELEVE D''ECHEANCE'!G41</f>
        <v>0</v>
      </c>
      <c r="H41" s="1716">
        <f>'[7]RELEVE D''ECHEANCE'!H41</f>
        <v>2500000</v>
      </c>
      <c r="I41" s="1716">
        <f>'[7]RELEVE D''ECHEANCE'!I41</f>
        <v>0</v>
      </c>
      <c r="J41" s="1716">
        <f>'[7]RELEVE D''ECHEANCE'!J41</f>
        <v>5000000</v>
      </c>
      <c r="K41" s="1716">
        <f>'[7]RELEVE D''ECHEANCE'!K41</f>
        <v>0</v>
      </c>
      <c r="L41" s="1716">
        <f>'[7]RELEVE D''ECHEANCE'!L41</f>
        <v>0</v>
      </c>
      <c r="M41" s="1716">
        <f>'[7]RELEVE D''ECHEANCE'!M41</f>
        <v>0</v>
      </c>
      <c r="N41" s="1716">
        <f>'[7]RELEVE D''ECHEANCE'!N41</f>
        <v>4854</v>
      </c>
      <c r="O41" s="1716">
        <f>'[7]RELEVE D''ECHEANCE'!O41</f>
        <v>0</v>
      </c>
      <c r="P41" s="1716">
        <f>'[7]RELEVE D''ECHEANCE'!P41</f>
        <v>14156702</v>
      </c>
      <c r="Q41" s="1716">
        <f>'[7]RELEVE D''ECHEANCE'!Q41</f>
        <v>0</v>
      </c>
      <c r="R41" s="1716">
        <f>'[7]RELEVE D''ECHEANCE'!R41</f>
        <v>6855700</v>
      </c>
      <c r="S41" s="1716">
        <f>'[7]RELEVE D''ECHEANCE'!S41</f>
        <v>0</v>
      </c>
      <c r="T41" s="1716">
        <f>'[7]RELEVE D''ECHEANCE'!T41</f>
        <v>7426680</v>
      </c>
      <c r="U41" s="1716">
        <f>'[7]RELEVE D''ECHEANCE'!U41</f>
        <v>0</v>
      </c>
      <c r="V41" s="1716">
        <f>'[7]RELEVE D''ECHEANCE'!V41</f>
        <v>5920000</v>
      </c>
      <c r="W41" s="1716">
        <f>'[7]RELEVE D''ECHEANCE'!W41</f>
        <v>0</v>
      </c>
      <c r="X41" s="1716">
        <f>'[7]RELEVE D''ECHEANCE'!X41</f>
        <v>0</v>
      </c>
      <c r="Y41" s="1716">
        <f>'[7]RELEVE D''ECHEANCE'!Y41</f>
        <v>0</v>
      </c>
      <c r="Z41" s="1716">
        <f>'[7]RELEVE D''ECHEANCE'!Z41</f>
        <v>0</v>
      </c>
      <c r="AA41" s="1716">
        <f>'[7]RELEVE D''ECHEANCE'!AA41</f>
        <v>0</v>
      </c>
      <c r="AB41" s="1716">
        <f>'[7]RELEVE D''ECHEANCE'!AB41</f>
        <v>0</v>
      </c>
      <c r="AC41" s="1716">
        <f>'[7]RELEVE D''ECHEANCE'!AC41</f>
        <v>0</v>
      </c>
      <c r="AD41" s="1716">
        <f>'[7]RELEVE D''ECHEANCE'!AD41</f>
        <v>-25000</v>
      </c>
      <c r="AE41" s="1716">
        <f>'[7]RELEVE D''ECHEANCE'!AE41</f>
        <v>0</v>
      </c>
      <c r="AF41" s="1716">
        <f>'[7]RELEVE D''ECHEANCE'!AF41</f>
        <v>0</v>
      </c>
      <c r="AG41" s="1716">
        <f>'[7]RELEVE D''ECHEANCE'!AG41</f>
        <v>0</v>
      </c>
      <c r="AH41" s="1716">
        <f>'[7]RELEVE D''ECHEANCE'!AH41</f>
        <v>0</v>
      </c>
      <c r="AI41" s="1716">
        <f>'[7]RELEVE D''ECHEANCE'!AI41</f>
        <v>0</v>
      </c>
      <c r="AJ41" s="1716">
        <f>'[7]RELEVE D''ECHEANCE'!AJ41</f>
        <v>0</v>
      </c>
      <c r="AK41" s="1716">
        <f>'[7]RELEVE D''ECHEANCE'!AK41</f>
        <v>0</v>
      </c>
      <c r="AL41" s="1716">
        <f>'[7]RELEVE D''ECHEANCE'!AL41</f>
        <v>0</v>
      </c>
      <c r="AM41" s="1716">
        <f>'[7]RELEVE D''ECHEANCE'!AM41</f>
        <v>0</v>
      </c>
      <c r="AN41" s="1716">
        <f>'[7]RELEVE D''ECHEANCE'!AN41</f>
        <v>0</v>
      </c>
      <c r="AO41" s="430">
        <f>'[7]RELEVE D''ECHEANCE'!AO41</f>
        <v>0</v>
      </c>
    </row>
    <row r="42" spans="1:41" s="1721" customFormat="1" ht="15" x14ac:dyDescent="0.25">
      <c r="A42" s="1717" t="s">
        <v>940</v>
      </c>
      <c r="B42" s="1718">
        <f>'[7]RELEVE D''ECHEANCE'!B42</f>
        <v>0</v>
      </c>
      <c r="C42" s="1719">
        <f>'[7]RELEVE D''ECHEANCE'!C42</f>
        <v>0</v>
      </c>
      <c r="D42" s="1718">
        <f>'[7]RELEVE D''ECHEANCE'!D42</f>
        <v>20892628</v>
      </c>
      <c r="E42" s="1719">
        <f>'[7]RELEVE D''ECHEANCE'!E42</f>
        <v>0</v>
      </c>
      <c r="F42" s="1718">
        <f>'[7]RELEVE D''ECHEANCE'!F42</f>
        <v>20324628</v>
      </c>
      <c r="G42" s="1719">
        <f>'[7]RELEVE D''ECHEANCE'!G42</f>
        <v>0</v>
      </c>
      <c r="H42" s="1718">
        <f>'[7]RELEVE D''ECHEANCE'!H42</f>
        <v>4500000</v>
      </c>
      <c r="I42" s="1719">
        <f>'[7]RELEVE D''ECHEANCE'!I42</f>
        <v>0</v>
      </c>
      <c r="J42" s="1718">
        <f>'[7]RELEVE D''ECHEANCE'!J42</f>
        <v>15600000</v>
      </c>
      <c r="K42" s="1719">
        <f>'[7]RELEVE D''ECHEANCE'!K42</f>
        <v>0</v>
      </c>
      <c r="L42" s="1718">
        <f>'[7]RELEVE D''ECHEANCE'!L42</f>
        <v>0</v>
      </c>
      <c r="M42" s="1719">
        <f>'[7]RELEVE D''ECHEANCE'!M42</f>
        <v>0</v>
      </c>
      <c r="N42" s="1718">
        <f>'[7]RELEVE D''ECHEANCE'!N42</f>
        <v>2004854</v>
      </c>
      <c r="O42" s="1719">
        <f>'[7]RELEVE D''ECHEANCE'!O42</f>
        <v>0</v>
      </c>
      <c r="P42" s="1718">
        <f>'[7]RELEVE D''ECHEANCE'!P42</f>
        <v>14156702</v>
      </c>
      <c r="Q42" s="1719">
        <f>'[7]RELEVE D''ECHEANCE'!Q42</f>
        <v>0</v>
      </c>
      <c r="R42" s="1718">
        <f>'[7]RELEVE D''ECHEANCE'!R42</f>
        <v>9843775</v>
      </c>
      <c r="S42" s="1719">
        <f>'[7]RELEVE D''ECHEANCE'!S42</f>
        <v>0</v>
      </c>
      <c r="T42" s="1718">
        <f>'[7]RELEVE D''ECHEANCE'!T42</f>
        <v>7426680</v>
      </c>
      <c r="U42" s="1719">
        <f>'[7]RELEVE D''ECHEANCE'!U42</f>
        <v>0</v>
      </c>
      <c r="V42" s="1718">
        <f>'[7]RELEVE D''ECHEANCE'!V42</f>
        <v>11008075</v>
      </c>
      <c r="W42" s="1719">
        <f>'[7]RELEVE D''ECHEANCE'!W42</f>
        <v>0</v>
      </c>
      <c r="X42" s="1718">
        <f>'[7]RELEVE D''ECHEANCE'!X42</f>
        <v>120397</v>
      </c>
      <c r="Y42" s="1719">
        <f>'[7]RELEVE D''ECHEANCE'!Y42</f>
        <v>0</v>
      </c>
      <c r="Z42" s="1718">
        <f>'[7]RELEVE D''ECHEANCE'!Z42</f>
        <v>0</v>
      </c>
      <c r="AA42" s="1720">
        <f>'[7]RELEVE D''ECHEANCE'!AA42</f>
        <v>0</v>
      </c>
      <c r="AB42" s="1718">
        <f>'[7]RELEVE D''ECHEANCE'!AB42</f>
        <v>100000</v>
      </c>
      <c r="AC42" s="1720">
        <f>'[7]RELEVE D''ECHEANCE'!AC42</f>
        <v>0</v>
      </c>
      <c r="AD42" s="1718">
        <f>'[7]RELEVE D''ECHEANCE'!AD42</f>
        <v>-48850</v>
      </c>
      <c r="AE42" s="1720">
        <f>'[7]RELEVE D''ECHEANCE'!AE42</f>
        <v>0</v>
      </c>
      <c r="AF42" s="1718">
        <f>'[7]RELEVE D''ECHEANCE'!AF42</f>
        <v>-35775</v>
      </c>
      <c r="AG42" s="1720">
        <f>'[7]RELEVE D''ECHEANCE'!AG42</f>
        <v>0</v>
      </c>
      <c r="AH42" s="1718">
        <f>'[7]RELEVE D''ECHEANCE'!AH42</f>
        <v>-11925</v>
      </c>
      <c r="AI42" s="1720">
        <f>'[7]RELEVE D''ECHEANCE'!AI42</f>
        <v>0</v>
      </c>
      <c r="AJ42" s="1718">
        <f>'[7]RELEVE D''ECHEANCE'!AJ42</f>
        <v>-10136</v>
      </c>
      <c r="AK42" s="1719">
        <f>'[7]RELEVE D''ECHEANCE'!AK42</f>
        <v>0</v>
      </c>
      <c r="AL42" s="1718">
        <f>'[7]RELEVE D''ECHEANCE'!AL42</f>
        <v>-40544</v>
      </c>
      <c r="AM42" s="1719">
        <f>'[7]RELEVE D''ECHEANCE'!AM42</f>
        <v>0</v>
      </c>
      <c r="AN42" s="1718">
        <f>'[7]RELEVE D''ECHEANCE'!AN42</f>
        <v>480000</v>
      </c>
      <c r="AO42" s="1720">
        <f>'[7]RELEVE D''ECHEANCE'!AO42</f>
        <v>106310509</v>
      </c>
    </row>
    <row r="43" spans="1:41" x14ac:dyDescent="0.2">
      <c r="B43" s="1691"/>
      <c r="C43" s="1722"/>
      <c r="D43" s="1691"/>
      <c r="E43" s="1722"/>
      <c r="F43" s="1691"/>
      <c r="G43" s="1722"/>
      <c r="H43" s="1691"/>
      <c r="I43" s="1722"/>
      <c r="J43" s="1691"/>
      <c r="K43" s="1722"/>
      <c r="L43" s="1691"/>
      <c r="M43" s="1722"/>
      <c r="N43" s="1676"/>
      <c r="O43" s="1676"/>
      <c r="AJ43" s="1691"/>
      <c r="AK43" s="1722"/>
      <c r="AL43" s="1691"/>
      <c r="AM43" s="1722"/>
    </row>
    <row r="44" spans="1:41" ht="15" x14ac:dyDescent="0.25">
      <c r="AD44" s="1718"/>
      <c r="AE44" s="1720"/>
      <c r="AF44" s="1718"/>
      <c r="AG44" s="1720"/>
      <c r="AH44" s="1718"/>
      <c r="AI44" s="1720"/>
      <c r="AJ44" s="1718"/>
      <c r="AK44" s="1719"/>
      <c r="AL44" s="1718"/>
    </row>
    <row r="45" spans="1:41" x14ac:dyDescent="0.2">
      <c r="F45" s="1723"/>
    </row>
    <row r="46" spans="1:41" x14ac:dyDescent="0.2">
      <c r="E46" s="1724">
        <f>'[7]RELEVE D''ECHEANCE'!E46</f>
        <v>106310509</v>
      </c>
    </row>
    <row r="54" spans="4:4" x14ac:dyDescent="0.2">
      <c r="D54" s="922">
        <f>50145+37500</f>
        <v>87645</v>
      </c>
    </row>
  </sheetData>
  <mergeCells count="21">
    <mergeCell ref="AJ6:AK6"/>
    <mergeCell ref="AL6:AM6"/>
    <mergeCell ref="AN6:AO6"/>
    <mergeCell ref="X6:Y6"/>
    <mergeCell ref="Z6:AA6"/>
    <mergeCell ref="AB6:AC6"/>
    <mergeCell ref="AD6:AE6"/>
    <mergeCell ref="AF6:AG6"/>
    <mergeCell ref="AH6:AI6"/>
    <mergeCell ref="V6:W6"/>
    <mergeCell ref="A6:A7"/>
    <mergeCell ref="B6:C6"/>
    <mergeCell ref="D6:E6"/>
    <mergeCell ref="F6:G6"/>
    <mergeCell ref="H6:I6"/>
    <mergeCell ref="J6:K6"/>
    <mergeCell ref="L6:M6"/>
    <mergeCell ref="N6:O6"/>
    <mergeCell ref="P6:Q6"/>
    <mergeCell ref="R6:S6"/>
    <mergeCell ref="T6:U6"/>
  </mergeCell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4"/>
  <dimension ref="A1:J38"/>
  <sheetViews>
    <sheetView workbookViewId="0">
      <selection activeCell="J18" sqref="J18"/>
    </sheetView>
  </sheetViews>
  <sheetFormatPr baseColWidth="10" defaultRowHeight="12.75" x14ac:dyDescent="0.2"/>
  <cols>
    <col min="1" max="1" width="11.140625" customWidth="1"/>
    <col min="2" max="2" width="10.85546875" customWidth="1"/>
    <col min="3" max="3" width="10" customWidth="1"/>
    <col min="4" max="4" width="9.140625" hidden="1" customWidth="1"/>
    <col min="5" max="5" width="10.7109375" customWidth="1"/>
    <col min="6" max="7" width="9.28515625" customWidth="1"/>
    <col min="8" max="8" width="10.28515625" customWidth="1"/>
    <col min="9" max="9" width="11.42578125" customWidth="1"/>
  </cols>
  <sheetData>
    <row r="1" spans="1:10" ht="15" x14ac:dyDescent="0.2">
      <c r="A1" s="329" t="s">
        <v>170</v>
      </c>
      <c r="B1" s="39"/>
      <c r="C1" s="39"/>
      <c r="D1" s="39"/>
      <c r="E1" s="39"/>
    </row>
    <row r="2" spans="1:10" ht="18" x14ac:dyDescent="0.25">
      <c r="A2" s="363" t="s">
        <v>212</v>
      </c>
      <c r="B2" s="39"/>
      <c r="C2" s="39"/>
      <c r="D2" s="39"/>
      <c r="E2" s="39"/>
    </row>
    <row r="3" spans="1:10" x14ac:dyDescent="0.2">
      <c r="A3" s="39"/>
      <c r="B3" s="39"/>
      <c r="C3" s="39"/>
      <c r="D3" s="39"/>
      <c r="E3" s="39"/>
    </row>
    <row r="4" spans="1:10" ht="16.5" x14ac:dyDescent="0.3">
      <c r="A4" s="1" t="s">
        <v>19</v>
      </c>
      <c r="B4" s="2">
        <v>42095</v>
      </c>
      <c r="C4" s="3"/>
      <c r="D4" s="39"/>
      <c r="E4" s="39"/>
      <c r="F4" s="793" t="s">
        <v>401</v>
      </c>
    </row>
    <row r="6" spans="1:10" x14ac:dyDescent="0.2">
      <c r="A6" s="1738" t="s">
        <v>164</v>
      </c>
      <c r="B6" s="1739" t="s">
        <v>943</v>
      </c>
      <c r="C6" s="1739" t="s">
        <v>944</v>
      </c>
      <c r="D6" s="1739" t="s">
        <v>945</v>
      </c>
      <c r="E6" s="1739" t="s">
        <v>946</v>
      </c>
      <c r="F6" s="1740" t="s">
        <v>947</v>
      </c>
      <c r="G6" s="1740" t="s">
        <v>948</v>
      </c>
      <c r="H6" s="1740" t="s">
        <v>955</v>
      </c>
      <c r="I6" s="1740" t="s">
        <v>629</v>
      </c>
    </row>
    <row r="7" spans="1:10" x14ac:dyDescent="0.2">
      <c r="A7" s="1738"/>
      <c r="B7" s="1741" t="s">
        <v>949</v>
      </c>
      <c r="C7" s="1741" t="s">
        <v>949</v>
      </c>
      <c r="D7" s="1741" t="s">
        <v>949</v>
      </c>
      <c r="E7" s="1741" t="s">
        <v>949</v>
      </c>
      <c r="F7" s="1741" t="s">
        <v>949</v>
      </c>
      <c r="G7" s="1741" t="s">
        <v>949</v>
      </c>
      <c r="H7" s="1741" t="s">
        <v>949</v>
      </c>
      <c r="I7" s="1741" t="s">
        <v>949</v>
      </c>
    </row>
    <row r="8" spans="1:10" ht="13.5" thickBot="1" x14ac:dyDescent="0.25">
      <c r="A8" s="1742">
        <v>42461</v>
      </c>
      <c r="B8" s="1743"/>
      <c r="C8" s="1743"/>
      <c r="D8" s="1743"/>
      <c r="E8" s="1743"/>
      <c r="F8" s="430"/>
      <c r="G8" s="430"/>
      <c r="H8" s="430"/>
      <c r="I8" s="430"/>
    </row>
    <row r="9" spans="1:10" ht="13.5" thickBot="1" x14ac:dyDescent="0.25">
      <c r="A9" s="1742">
        <f>1+A8</f>
        <v>42462</v>
      </c>
      <c r="B9" s="1736"/>
      <c r="C9" s="280"/>
      <c r="D9" s="1736"/>
      <c r="E9" s="1736"/>
      <c r="F9" s="430"/>
      <c r="G9" s="430"/>
      <c r="H9" s="430"/>
      <c r="I9" s="430"/>
    </row>
    <row r="10" spans="1:10" ht="13.5" thickBot="1" x14ac:dyDescent="0.25">
      <c r="A10" s="1742">
        <f t="shared" ref="A10:A38" si="0">1+A9</f>
        <v>42463</v>
      </c>
      <c r="B10" s="430"/>
      <c r="C10" s="280"/>
      <c r="D10" s="430"/>
      <c r="E10" s="430"/>
      <c r="F10" s="430"/>
      <c r="G10" s="430"/>
      <c r="H10" s="430"/>
      <c r="I10" s="430"/>
    </row>
    <row r="11" spans="1:10" ht="13.5" thickBot="1" x14ac:dyDescent="0.25">
      <c r="A11" s="1742">
        <f t="shared" si="0"/>
        <v>42464</v>
      </c>
      <c r="B11" s="430"/>
      <c r="C11" s="280"/>
      <c r="D11" s="430"/>
      <c r="E11" s="430"/>
      <c r="F11" s="430"/>
      <c r="G11" s="430"/>
      <c r="H11" s="430"/>
      <c r="I11" s="430"/>
    </row>
    <row r="12" spans="1:10" ht="13.5" thickBot="1" x14ac:dyDescent="0.25">
      <c r="A12" s="1742">
        <f t="shared" si="0"/>
        <v>42465</v>
      </c>
      <c r="B12" s="430"/>
      <c r="C12" s="280"/>
      <c r="D12" s="430"/>
      <c r="E12" s="430"/>
      <c r="F12" s="430"/>
      <c r="G12" s="430"/>
      <c r="H12" s="430"/>
      <c r="I12" s="430"/>
    </row>
    <row r="13" spans="1:10" ht="13.5" thickBot="1" x14ac:dyDescent="0.25">
      <c r="A13" s="1742">
        <f t="shared" si="0"/>
        <v>42466</v>
      </c>
      <c r="B13" s="430"/>
      <c r="C13" s="280"/>
      <c r="D13" s="430"/>
      <c r="E13" s="430"/>
      <c r="F13" s="430"/>
      <c r="G13" s="430"/>
      <c r="H13" s="430"/>
      <c r="I13" s="430"/>
    </row>
    <row r="14" spans="1:10" ht="13.5" thickBot="1" x14ac:dyDescent="0.25">
      <c r="A14" s="1742">
        <f t="shared" si="0"/>
        <v>42467</v>
      </c>
      <c r="B14" s="430"/>
      <c r="C14" s="280"/>
      <c r="D14" s="430"/>
      <c r="E14" s="430"/>
      <c r="F14" s="430"/>
      <c r="G14" s="430"/>
      <c r="H14" s="430"/>
      <c r="I14" s="430"/>
    </row>
    <row r="15" spans="1:10" ht="13.5" thickBot="1" x14ac:dyDescent="0.25">
      <c r="A15" s="1742">
        <f t="shared" si="0"/>
        <v>42468</v>
      </c>
      <c r="B15" s="430"/>
      <c r="C15" s="280"/>
      <c r="D15" s="430"/>
      <c r="E15" s="430"/>
      <c r="F15" s="430"/>
      <c r="G15" s="430"/>
      <c r="H15" s="430"/>
      <c r="I15" s="430"/>
    </row>
    <row r="16" spans="1:10" ht="13.5" thickBot="1" x14ac:dyDescent="0.25">
      <c r="A16" s="1742">
        <f t="shared" si="0"/>
        <v>42469</v>
      </c>
      <c r="B16" s="430"/>
      <c r="C16" s="280"/>
      <c r="D16" s="430"/>
      <c r="E16" s="430"/>
      <c r="F16" s="430"/>
      <c r="G16" s="430"/>
      <c r="H16" s="430"/>
      <c r="I16" s="430"/>
      <c r="J16">
        <f>11250/3</f>
        <v>3750</v>
      </c>
    </row>
    <row r="17" spans="1:9" ht="13.5" thickBot="1" x14ac:dyDescent="0.25">
      <c r="A17" s="1742">
        <f t="shared" si="0"/>
        <v>42470</v>
      </c>
      <c r="B17" s="430"/>
      <c r="C17" s="280"/>
      <c r="D17" s="430"/>
      <c r="E17" s="430"/>
      <c r="F17" s="430"/>
      <c r="G17" s="430"/>
      <c r="H17" s="430"/>
      <c r="I17" s="430"/>
    </row>
    <row r="18" spans="1:9" ht="13.5" thickBot="1" x14ac:dyDescent="0.25">
      <c r="A18" s="1742">
        <f t="shared" si="0"/>
        <v>42471</v>
      </c>
      <c r="B18" s="430"/>
      <c r="C18" s="280"/>
      <c r="D18" s="430"/>
      <c r="E18" s="430"/>
      <c r="F18" s="430"/>
      <c r="G18" s="430"/>
      <c r="H18" s="430"/>
      <c r="I18" s="430"/>
    </row>
    <row r="19" spans="1:9" ht="13.5" thickBot="1" x14ac:dyDescent="0.25">
      <c r="A19" s="1742">
        <f t="shared" si="0"/>
        <v>42472</v>
      </c>
      <c r="B19" s="430"/>
      <c r="C19" s="280"/>
      <c r="D19" s="430"/>
      <c r="E19" s="430"/>
      <c r="F19" s="430"/>
      <c r="G19" s="430"/>
      <c r="H19" s="430"/>
      <c r="I19" s="430"/>
    </row>
    <row r="20" spans="1:9" ht="13.5" thickBot="1" x14ac:dyDescent="0.25">
      <c r="A20" s="1742">
        <f t="shared" si="0"/>
        <v>42473</v>
      </c>
      <c r="B20" s="430"/>
      <c r="C20" s="280"/>
      <c r="D20" s="430"/>
      <c r="E20" s="430"/>
      <c r="F20" s="430"/>
      <c r="G20" s="430"/>
      <c r="H20" s="430"/>
      <c r="I20" s="430"/>
    </row>
    <row r="21" spans="1:9" ht="13.5" thickBot="1" x14ac:dyDescent="0.25">
      <c r="A21" s="1742">
        <f t="shared" si="0"/>
        <v>42474</v>
      </c>
      <c r="B21" s="430"/>
      <c r="C21" s="280"/>
      <c r="D21" s="430"/>
      <c r="E21" s="430"/>
      <c r="F21" s="430"/>
      <c r="G21" s="430"/>
      <c r="H21" s="430"/>
      <c r="I21" s="430"/>
    </row>
    <row r="22" spans="1:9" ht="13.5" thickBot="1" x14ac:dyDescent="0.25">
      <c r="A22" s="1742">
        <f t="shared" si="0"/>
        <v>42475</v>
      </c>
      <c r="B22" s="430"/>
      <c r="C22" s="280"/>
      <c r="D22" s="430"/>
      <c r="E22" s="430"/>
      <c r="F22" s="430"/>
      <c r="G22" s="430"/>
      <c r="H22" s="430"/>
      <c r="I22" s="430"/>
    </row>
    <row r="23" spans="1:9" ht="13.5" thickBot="1" x14ac:dyDescent="0.25">
      <c r="A23" s="1742">
        <f t="shared" si="0"/>
        <v>42476</v>
      </c>
      <c r="B23" s="430"/>
      <c r="C23" s="280"/>
      <c r="D23" s="430"/>
      <c r="E23" s="430"/>
      <c r="F23" s="430"/>
      <c r="G23" s="430"/>
      <c r="H23" s="430"/>
      <c r="I23" s="430"/>
    </row>
    <row r="24" spans="1:9" ht="13.5" thickBot="1" x14ac:dyDescent="0.25">
      <c r="A24" s="1742">
        <f t="shared" si="0"/>
        <v>42477</v>
      </c>
      <c r="B24" s="430"/>
      <c r="C24" s="280"/>
      <c r="D24" s="430"/>
      <c r="E24" s="430"/>
      <c r="F24" s="430"/>
      <c r="G24" s="430"/>
      <c r="H24" s="430"/>
      <c r="I24" s="430"/>
    </row>
    <row r="25" spans="1:9" ht="13.5" thickBot="1" x14ac:dyDescent="0.25">
      <c r="A25" s="1742">
        <f t="shared" si="0"/>
        <v>42478</v>
      </c>
      <c r="B25" s="430"/>
      <c r="C25" s="280"/>
      <c r="D25" s="430"/>
      <c r="E25" s="430"/>
      <c r="F25" s="430"/>
      <c r="G25" s="430"/>
      <c r="H25" s="430"/>
      <c r="I25" s="430"/>
    </row>
    <row r="26" spans="1:9" ht="13.5" thickBot="1" x14ac:dyDescent="0.25">
      <c r="A26" s="1742">
        <f t="shared" si="0"/>
        <v>42479</v>
      </c>
      <c r="B26" s="430"/>
      <c r="C26" s="280"/>
      <c r="D26" s="430"/>
      <c r="E26" s="430"/>
      <c r="F26" s="430"/>
      <c r="G26" s="430"/>
      <c r="H26" s="430"/>
      <c r="I26" s="430"/>
    </row>
    <row r="27" spans="1:9" ht="13.5" thickBot="1" x14ac:dyDescent="0.25">
      <c r="A27" s="1742">
        <f t="shared" si="0"/>
        <v>42480</v>
      </c>
      <c r="B27" s="430"/>
      <c r="C27" s="280"/>
      <c r="D27" s="430"/>
      <c r="E27" s="430"/>
      <c r="F27" s="430"/>
      <c r="G27" s="430"/>
      <c r="H27" s="430"/>
      <c r="I27" s="430"/>
    </row>
    <row r="28" spans="1:9" ht="13.5" thickBot="1" x14ac:dyDescent="0.25">
      <c r="A28" s="1742">
        <f t="shared" si="0"/>
        <v>42481</v>
      </c>
      <c r="B28" s="430"/>
      <c r="C28" s="280"/>
      <c r="D28" s="430"/>
      <c r="E28" s="430"/>
      <c r="F28" s="430"/>
      <c r="G28" s="430"/>
      <c r="H28" s="430"/>
    </row>
    <row r="29" spans="1:9" ht="13.5" thickBot="1" x14ac:dyDescent="0.25">
      <c r="A29" s="1742">
        <f t="shared" si="0"/>
        <v>42482</v>
      </c>
      <c r="B29" s="430"/>
      <c r="C29" s="280"/>
      <c r="D29" s="430"/>
      <c r="E29" s="430"/>
      <c r="F29" s="430"/>
      <c r="G29" s="430"/>
      <c r="H29" s="430"/>
    </row>
    <row r="30" spans="1:9" ht="13.5" thickBot="1" x14ac:dyDescent="0.25">
      <c r="A30" s="1742">
        <f t="shared" si="0"/>
        <v>42483</v>
      </c>
      <c r="B30" s="430"/>
      <c r="C30" s="280"/>
      <c r="D30" s="430"/>
      <c r="E30" s="430"/>
      <c r="F30" s="430"/>
      <c r="G30" s="430"/>
      <c r="H30" s="430"/>
      <c r="I30" s="430"/>
    </row>
    <row r="31" spans="1:9" ht="13.5" thickBot="1" x14ac:dyDescent="0.25">
      <c r="A31" s="1742">
        <f t="shared" si="0"/>
        <v>42484</v>
      </c>
      <c r="B31" s="430"/>
      <c r="C31" s="280"/>
      <c r="D31" s="430"/>
      <c r="E31" s="430"/>
      <c r="F31" s="430"/>
      <c r="G31" s="430"/>
      <c r="H31" s="430"/>
      <c r="I31" s="430"/>
    </row>
    <row r="32" spans="1:9" ht="13.5" thickBot="1" x14ac:dyDescent="0.25">
      <c r="A32" s="1742">
        <f t="shared" si="0"/>
        <v>42485</v>
      </c>
      <c r="B32" s="430"/>
      <c r="C32" s="280"/>
      <c r="D32" s="430"/>
      <c r="E32" s="430"/>
      <c r="F32" s="430"/>
      <c r="G32" s="430"/>
      <c r="H32" s="430"/>
      <c r="I32" s="430"/>
    </row>
    <row r="33" spans="1:9" ht="13.5" thickBot="1" x14ac:dyDescent="0.25">
      <c r="A33" s="1742">
        <f t="shared" si="0"/>
        <v>42486</v>
      </c>
      <c r="B33" s="430"/>
      <c r="C33" s="280"/>
      <c r="D33" s="430"/>
      <c r="E33" s="430"/>
      <c r="F33" s="430"/>
      <c r="G33" s="430"/>
      <c r="H33" s="430"/>
      <c r="I33" s="430"/>
    </row>
    <row r="34" spans="1:9" ht="13.5" thickBot="1" x14ac:dyDescent="0.25">
      <c r="A34" s="1742">
        <f t="shared" si="0"/>
        <v>42487</v>
      </c>
      <c r="B34" s="430"/>
      <c r="C34" s="280"/>
      <c r="D34" s="430"/>
      <c r="E34" s="430"/>
      <c r="F34" s="430"/>
      <c r="G34" s="430"/>
      <c r="H34" s="430"/>
      <c r="I34" s="430"/>
    </row>
    <row r="35" spans="1:9" ht="13.5" thickBot="1" x14ac:dyDescent="0.25">
      <c r="A35" s="1742">
        <f t="shared" si="0"/>
        <v>42488</v>
      </c>
      <c r="B35" s="430"/>
      <c r="C35" s="280"/>
      <c r="D35" s="430"/>
      <c r="E35" s="430"/>
      <c r="F35" s="430"/>
      <c r="G35" s="430"/>
      <c r="H35" s="430"/>
      <c r="I35" s="430"/>
    </row>
    <row r="36" spans="1:9" ht="13.5" thickBot="1" x14ac:dyDescent="0.25">
      <c r="A36" s="1742">
        <f t="shared" si="0"/>
        <v>42489</v>
      </c>
      <c r="B36" s="430"/>
      <c r="C36" s="280"/>
      <c r="D36" s="430"/>
      <c r="E36" s="430"/>
      <c r="F36" s="430"/>
      <c r="G36" s="430"/>
      <c r="H36" s="430"/>
      <c r="I36" s="430"/>
    </row>
    <row r="37" spans="1:9" ht="13.5" thickBot="1" x14ac:dyDescent="0.25">
      <c r="A37" s="1742">
        <f t="shared" si="0"/>
        <v>42490</v>
      </c>
      <c r="B37" s="430"/>
      <c r="C37" s="280"/>
      <c r="D37" s="430"/>
      <c r="E37" s="430"/>
      <c r="F37" s="430"/>
      <c r="G37" s="430"/>
      <c r="H37" s="430"/>
      <c r="I37" s="430"/>
    </row>
    <row r="38" spans="1:9" ht="13.5" thickBot="1" x14ac:dyDescent="0.25">
      <c r="A38" s="1742">
        <f t="shared" si="0"/>
        <v>42491</v>
      </c>
      <c r="B38" s="430"/>
      <c r="C38" s="280"/>
      <c r="D38" s="430"/>
      <c r="E38" s="430"/>
      <c r="F38" s="430"/>
      <c r="G38" s="430"/>
      <c r="H38" s="430"/>
      <c r="I38" s="430"/>
    </row>
  </sheetData>
  <pageMargins left="0.70866141732283472" right="0.15748031496062992" top="0.51181102362204722" bottom="0.74803149606299213" header="0.27559055118110237" footer="0.31496062992125984"/>
  <pageSetup paperSize="9" orientation="landscape" r:id="rId1"/>
  <drawing r:id="rId2"/>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7"/>
  <dimension ref="A2:J84"/>
  <sheetViews>
    <sheetView topLeftCell="A37" zoomScaleNormal="100" workbookViewId="0">
      <selection activeCell="I54" sqref="I54"/>
    </sheetView>
  </sheetViews>
  <sheetFormatPr baseColWidth="10" defaultRowHeight="12.75" x14ac:dyDescent="0.2"/>
  <cols>
    <col min="1" max="1" width="12.140625" customWidth="1"/>
    <col min="2" max="2" width="21.7109375" customWidth="1"/>
    <col min="3" max="3" width="20.7109375" customWidth="1"/>
    <col min="4" max="4" width="17" customWidth="1"/>
    <col min="5" max="5" width="17.5703125" customWidth="1"/>
    <col min="6" max="7" width="18.7109375" customWidth="1"/>
    <col min="8" max="8" width="19.42578125" customWidth="1"/>
    <col min="9" max="9" width="19" style="401" customWidth="1"/>
    <col min="10" max="10" width="11.42578125" style="401"/>
  </cols>
  <sheetData>
    <row r="2" spans="1:8" ht="15.75" x14ac:dyDescent="0.25">
      <c r="A2" s="60" t="s">
        <v>964</v>
      </c>
      <c r="C2" s="60"/>
    </row>
    <row r="3" spans="1:8" ht="15.75" x14ac:dyDescent="0.25">
      <c r="A3" s="60" t="s">
        <v>214</v>
      </c>
    </row>
    <row r="5" spans="1:8" x14ac:dyDescent="0.2">
      <c r="A5" s="401"/>
      <c r="B5" s="401"/>
      <c r="C5" s="401"/>
      <c r="D5" s="401"/>
      <c r="E5" s="401"/>
      <c r="F5" s="401"/>
      <c r="G5" s="401"/>
      <c r="H5" s="401"/>
    </row>
    <row r="6" spans="1:8" x14ac:dyDescent="0.2">
      <c r="A6" s="401"/>
      <c r="B6" s="401"/>
      <c r="C6" s="401"/>
      <c r="D6" s="401"/>
      <c r="E6" s="401"/>
      <c r="F6" s="401"/>
      <c r="G6" s="401"/>
      <c r="H6" s="401"/>
    </row>
    <row r="7" spans="1:8" x14ac:dyDescent="0.2">
      <c r="A7" s="401"/>
      <c r="B7" s="401"/>
      <c r="C7" s="2342" t="s">
        <v>102</v>
      </c>
      <c r="D7" s="401"/>
      <c r="E7" s="401"/>
      <c r="F7" s="401"/>
      <c r="G7" s="401"/>
      <c r="H7" s="401"/>
    </row>
    <row r="8" spans="1:8" ht="16.5" customHeight="1" x14ac:dyDescent="0.25">
      <c r="A8" s="1797" t="s">
        <v>3</v>
      </c>
      <c r="B8" s="1797" t="s">
        <v>977</v>
      </c>
      <c r="C8" s="1797" t="s">
        <v>973</v>
      </c>
      <c r="D8" s="1797" t="s">
        <v>978</v>
      </c>
      <c r="E8" s="1797"/>
      <c r="F8" s="1797"/>
      <c r="G8" s="1797"/>
      <c r="H8" s="1797"/>
    </row>
    <row r="9" spans="1:8" ht="20.25" customHeight="1" x14ac:dyDescent="0.25">
      <c r="A9" s="326" t="s">
        <v>979</v>
      </c>
      <c r="B9" s="326" t="s">
        <v>495</v>
      </c>
      <c r="C9" s="326" t="s">
        <v>975</v>
      </c>
      <c r="D9" s="326" t="s">
        <v>958</v>
      </c>
      <c r="E9" s="326" t="s">
        <v>980</v>
      </c>
      <c r="F9" s="326" t="s">
        <v>976</v>
      </c>
      <c r="G9" s="326"/>
      <c r="H9" s="326" t="s">
        <v>1858</v>
      </c>
    </row>
    <row r="10" spans="1:8" ht="81.75" customHeight="1" x14ac:dyDescent="0.2">
      <c r="A10" s="430"/>
      <c r="B10" s="430"/>
      <c r="C10" s="430"/>
      <c r="D10" s="430"/>
      <c r="E10" s="430"/>
      <c r="F10" s="430"/>
      <c r="G10" s="430"/>
      <c r="H10" s="430"/>
    </row>
    <row r="11" spans="1:8" ht="96.75" customHeight="1" x14ac:dyDescent="0.2">
      <c r="A11" s="430"/>
      <c r="B11" s="430"/>
      <c r="C11" s="430"/>
      <c r="D11" s="430"/>
      <c r="E11" s="430"/>
      <c r="F11" s="430"/>
      <c r="G11" s="430"/>
      <c r="H11" s="430"/>
    </row>
    <row r="12" spans="1:8" ht="89.25" customHeight="1" x14ac:dyDescent="0.2">
      <c r="A12" s="430"/>
      <c r="B12" s="430"/>
      <c r="C12" s="430"/>
      <c r="D12" s="430"/>
      <c r="E12" s="430"/>
      <c r="F12" s="430"/>
      <c r="G12" s="430"/>
      <c r="H12" s="430"/>
    </row>
    <row r="13" spans="1:8" ht="84.75" customHeight="1" x14ac:dyDescent="0.2">
      <c r="A13" s="430"/>
      <c r="B13" s="430"/>
      <c r="C13" s="430"/>
      <c r="D13" s="430"/>
      <c r="E13" s="430"/>
      <c r="F13" s="430"/>
      <c r="G13" s="430"/>
      <c r="H13" s="430"/>
    </row>
    <row r="14" spans="1:8" ht="15" x14ac:dyDescent="0.25">
      <c r="A14" s="401"/>
      <c r="B14" s="401"/>
      <c r="C14" s="893" t="s">
        <v>1859</v>
      </c>
      <c r="E14" s="401"/>
      <c r="F14" s="401"/>
      <c r="G14" s="401"/>
      <c r="H14" s="401"/>
    </row>
    <row r="15" spans="1:8" x14ac:dyDescent="0.2">
      <c r="A15" s="401"/>
      <c r="B15" s="401"/>
      <c r="C15" s="401"/>
      <c r="D15" s="401"/>
      <c r="E15" s="401"/>
      <c r="F15" s="401"/>
      <c r="G15" s="401"/>
      <c r="H15" s="401"/>
    </row>
    <row r="17" spans="2:2" ht="15" x14ac:dyDescent="0.25">
      <c r="B17" s="69" t="s">
        <v>1355</v>
      </c>
    </row>
    <row r="40" ht="5.25" customHeight="1" x14ac:dyDescent="0.2"/>
    <row r="53" spans="1:10" ht="5.25" customHeight="1" x14ac:dyDescent="0.25">
      <c r="A53" s="69" t="s">
        <v>62</v>
      </c>
      <c r="B53" s="69"/>
    </row>
    <row r="54" spans="1:10" ht="22.5" customHeight="1" x14ac:dyDescent="0.25">
      <c r="A54" s="1797" t="s">
        <v>1895</v>
      </c>
      <c r="C54" s="1797"/>
      <c r="D54" s="2342"/>
      <c r="E54" s="434"/>
      <c r="F54" s="434"/>
      <c r="G54" s="434"/>
      <c r="H54" s="2342"/>
    </row>
    <row r="55" spans="1:10" ht="15" x14ac:dyDescent="0.25">
      <c r="A55" s="2512" t="s">
        <v>1166</v>
      </c>
      <c r="D55" s="2342"/>
      <c r="E55" s="2342"/>
      <c r="F55" s="2342"/>
      <c r="G55" s="2342"/>
      <c r="H55" s="2342"/>
    </row>
    <row r="56" spans="1:10" ht="7.5" customHeight="1" x14ac:dyDescent="0.2">
      <c r="A56" s="2502"/>
      <c r="B56" s="2342"/>
      <c r="C56" s="2342"/>
      <c r="D56" s="2342"/>
      <c r="E56" s="2342"/>
      <c r="F56" s="2342"/>
      <c r="G56" s="2342"/>
      <c r="H56" s="2342"/>
    </row>
    <row r="57" spans="1:10" ht="21.75" customHeight="1" x14ac:dyDescent="0.25">
      <c r="A57" s="2502"/>
      <c r="B57" s="2342"/>
      <c r="C57" s="1797"/>
      <c r="D57" s="2513" t="s">
        <v>967</v>
      </c>
      <c r="E57" s="2514"/>
      <c r="F57" s="2515"/>
      <c r="G57" s="77"/>
      <c r="H57" s="2342"/>
    </row>
    <row r="58" spans="1:10" ht="6" customHeight="1" x14ac:dyDescent="0.2">
      <c r="A58" s="2502"/>
      <c r="B58" s="2342"/>
      <c r="C58" s="2342"/>
      <c r="D58" s="2342"/>
      <c r="E58" s="2342"/>
      <c r="F58" s="2342"/>
      <c r="G58" s="2342"/>
      <c r="H58" s="2342"/>
    </row>
    <row r="59" spans="1:10" ht="23.25" customHeight="1" x14ac:dyDescent="0.2">
      <c r="A59" s="2503"/>
      <c r="B59" s="2504"/>
      <c r="C59" s="2505" t="s">
        <v>1569</v>
      </c>
      <c r="D59" s="2504"/>
      <c r="E59" s="2504"/>
      <c r="F59" s="2504"/>
      <c r="G59" s="2504"/>
      <c r="H59" s="2504"/>
    </row>
    <row r="60" spans="1:10" ht="27" customHeight="1" x14ac:dyDescent="0.25">
      <c r="A60" s="326" t="s">
        <v>968</v>
      </c>
      <c r="B60" s="425"/>
      <c r="C60" s="425"/>
      <c r="D60" s="425"/>
      <c r="E60" s="425"/>
      <c r="F60" s="425"/>
      <c r="G60" s="425"/>
      <c r="H60" s="425"/>
      <c r="J60" s="401">
        <f>3000*575</f>
        <v>1725000</v>
      </c>
    </row>
    <row r="61" spans="1:10" ht="21" customHeight="1" x14ac:dyDescent="0.25">
      <c r="A61" s="326" t="s">
        <v>1117</v>
      </c>
      <c r="B61" s="1464" t="s">
        <v>969</v>
      </c>
      <c r="C61" s="326" t="s">
        <v>970</v>
      </c>
      <c r="D61" s="326" t="s">
        <v>971</v>
      </c>
      <c r="E61" s="326" t="s">
        <v>679</v>
      </c>
      <c r="F61" s="326" t="s">
        <v>680</v>
      </c>
      <c r="G61" s="326" t="s">
        <v>681</v>
      </c>
      <c r="H61" s="326" t="s">
        <v>682</v>
      </c>
    </row>
    <row r="62" spans="1:10" x14ac:dyDescent="0.2">
      <c r="A62" s="2256" t="s">
        <v>98</v>
      </c>
      <c r="B62" s="366"/>
      <c r="C62" s="366"/>
      <c r="D62" s="366"/>
      <c r="E62" s="366"/>
      <c r="F62" s="366"/>
      <c r="G62" s="366"/>
      <c r="H62" s="366"/>
    </row>
    <row r="63" spans="1:10" ht="36.75" customHeight="1" x14ac:dyDescent="0.2">
      <c r="A63" s="2506" t="s">
        <v>94</v>
      </c>
      <c r="B63" s="2507"/>
      <c r="C63" s="2507"/>
      <c r="D63" s="2507"/>
      <c r="E63" s="2507"/>
      <c r="F63" s="2507"/>
      <c r="G63" s="2507"/>
      <c r="H63" s="2507"/>
    </row>
    <row r="64" spans="1:10" x14ac:dyDescent="0.2">
      <c r="A64" s="2256" t="s">
        <v>99</v>
      </c>
      <c r="B64" s="366"/>
      <c r="C64" s="366"/>
      <c r="D64" s="366"/>
      <c r="E64" s="366"/>
      <c r="F64" s="366"/>
      <c r="G64" s="366"/>
      <c r="H64" s="366"/>
    </row>
    <row r="65" spans="1:9" ht="30.75" customHeight="1" x14ac:dyDescent="0.2">
      <c r="A65" s="2506" t="s">
        <v>95</v>
      </c>
      <c r="B65" s="2507"/>
      <c r="C65" s="2507"/>
      <c r="D65" s="2507"/>
      <c r="E65" s="2507"/>
      <c r="F65" s="2507"/>
      <c r="G65" s="2507"/>
      <c r="H65" s="2507"/>
    </row>
    <row r="66" spans="1:9" x14ac:dyDescent="0.2">
      <c r="A66" s="2256" t="s">
        <v>100</v>
      </c>
      <c r="B66" s="366"/>
      <c r="C66" s="366"/>
      <c r="D66" s="366"/>
      <c r="E66" s="366"/>
      <c r="F66" s="366"/>
      <c r="G66" s="366"/>
      <c r="H66" s="366"/>
    </row>
    <row r="67" spans="1:9" ht="25.5" customHeight="1" x14ac:dyDescent="0.2">
      <c r="A67" s="2506" t="s">
        <v>96</v>
      </c>
      <c r="B67" s="2507"/>
      <c r="C67" s="2507"/>
      <c r="D67" s="2507"/>
      <c r="E67" s="2507"/>
      <c r="F67" s="2507"/>
      <c r="G67" s="2507"/>
      <c r="H67" s="2507"/>
    </row>
    <row r="68" spans="1:9" ht="33.75" customHeight="1" x14ac:dyDescent="0.2">
      <c r="A68" s="1737" t="s">
        <v>972</v>
      </c>
      <c r="B68" s="319"/>
      <c r="C68" s="319"/>
      <c r="D68" s="319"/>
      <c r="E68" s="319"/>
      <c r="F68" s="319"/>
      <c r="G68" s="319"/>
      <c r="H68" s="319"/>
    </row>
    <row r="69" spans="1:9" ht="37.5" customHeight="1" x14ac:dyDescent="0.2">
      <c r="A69" s="2508" t="s">
        <v>1520</v>
      </c>
      <c r="B69" s="319"/>
      <c r="C69" s="319"/>
      <c r="D69" s="399"/>
      <c r="E69" s="319"/>
      <c r="F69" s="319"/>
      <c r="G69" s="319"/>
      <c r="H69" s="319"/>
    </row>
    <row r="70" spans="1:9" x14ac:dyDescent="0.2">
      <c r="A70" s="39"/>
      <c r="B70" s="440"/>
      <c r="C70" s="39"/>
      <c r="D70" s="39"/>
      <c r="E70" s="39"/>
      <c r="F70" s="39"/>
      <c r="G70" s="39"/>
      <c r="H70" s="39"/>
    </row>
    <row r="71" spans="1:9" ht="19.5" customHeight="1" x14ac:dyDescent="0.3">
      <c r="A71" s="39"/>
      <c r="B71" s="1179" t="s">
        <v>1863</v>
      </c>
      <c r="C71" s="1179"/>
      <c r="D71" s="1179"/>
      <c r="E71" s="1179"/>
      <c r="F71" s="1179"/>
      <c r="G71" s="1179"/>
      <c r="H71" s="1179"/>
      <c r="I71" s="2342"/>
    </row>
    <row r="72" spans="1:9" ht="25.5" customHeight="1" x14ac:dyDescent="0.3">
      <c r="A72" s="39"/>
      <c r="B72" s="1180" t="s">
        <v>1861</v>
      </c>
      <c r="C72" s="1179"/>
      <c r="D72" s="1179"/>
      <c r="E72" s="1179"/>
      <c r="F72" s="39"/>
      <c r="G72" s="39"/>
      <c r="H72" s="39"/>
      <c r="I72" s="2224"/>
    </row>
    <row r="73" spans="1:9" ht="29.25" customHeight="1" x14ac:dyDescent="0.3">
      <c r="A73" s="39"/>
      <c r="B73" s="1180" t="s">
        <v>1862</v>
      </c>
      <c r="C73" s="1179"/>
      <c r="D73" s="1179"/>
      <c r="E73" s="1179"/>
      <c r="F73" s="74"/>
      <c r="G73" s="74"/>
    </row>
    <row r="74" spans="1:9" x14ac:dyDescent="0.2">
      <c r="A74" s="39"/>
      <c r="C74" s="42"/>
      <c r="D74" s="434"/>
      <c r="E74" s="39"/>
      <c r="F74" s="39"/>
      <c r="G74" s="39"/>
    </row>
    <row r="75" spans="1:9" ht="18" customHeight="1" x14ac:dyDescent="0.2">
      <c r="A75" s="42" t="s">
        <v>1161</v>
      </c>
      <c r="C75" s="42"/>
      <c r="D75" s="42"/>
      <c r="E75" s="42"/>
      <c r="F75" s="42"/>
      <c r="G75" s="42"/>
      <c r="H75" s="42"/>
    </row>
    <row r="76" spans="1:9" ht="11.25" hidden="1" customHeight="1" x14ac:dyDescent="0.2">
      <c r="A76" s="42" t="s">
        <v>1160</v>
      </c>
      <c r="B76" s="42"/>
      <c r="C76" s="42"/>
      <c r="D76" s="42"/>
      <c r="E76" s="42"/>
      <c r="F76" s="42"/>
      <c r="G76" s="42"/>
      <c r="H76" s="42"/>
    </row>
    <row r="77" spans="1:9" ht="2.25" hidden="1" customHeight="1" x14ac:dyDescent="0.2">
      <c r="A77" s="42" t="s">
        <v>1159</v>
      </c>
      <c r="B77" s="42"/>
      <c r="C77" s="42"/>
      <c r="D77" s="42"/>
      <c r="E77" s="42"/>
      <c r="F77" s="42"/>
      <c r="G77" s="42"/>
      <c r="H77" s="42"/>
    </row>
    <row r="78" spans="1:9" ht="6" hidden="1" customHeight="1" x14ac:dyDescent="0.2">
      <c r="A78" s="42"/>
      <c r="B78" s="42"/>
      <c r="C78" s="42"/>
      <c r="D78" s="42"/>
      <c r="E78" s="42"/>
      <c r="F78" s="42"/>
      <c r="G78" s="42"/>
      <c r="H78" s="42"/>
    </row>
    <row r="79" spans="1:9" ht="15" customHeight="1" x14ac:dyDescent="0.2">
      <c r="A79" s="42"/>
      <c r="B79" s="42"/>
      <c r="C79" s="42"/>
      <c r="D79" s="42"/>
      <c r="E79" s="42"/>
      <c r="F79" s="42"/>
      <c r="G79" s="42"/>
      <c r="H79" s="42"/>
    </row>
    <row r="80" spans="1:9" x14ac:dyDescent="0.2">
      <c r="A80" s="39"/>
      <c r="B80" s="42"/>
      <c r="C80" s="39"/>
      <c r="D80" s="39"/>
      <c r="E80" s="39"/>
      <c r="F80" s="39"/>
      <c r="G80" s="39"/>
      <c r="H80" s="39"/>
    </row>
    <row r="81" spans="9:9" x14ac:dyDescent="0.2">
      <c r="I81" s="92"/>
    </row>
    <row r="82" spans="9:9" x14ac:dyDescent="0.2">
      <c r="I82" s="92"/>
    </row>
    <row r="83" spans="9:9" x14ac:dyDescent="0.2">
      <c r="I83" s="92"/>
    </row>
    <row r="84" spans="9:9" x14ac:dyDescent="0.2">
      <c r="I84" s="92"/>
    </row>
  </sheetData>
  <pageMargins left="0.70866141732283472" right="0.70866141732283472" top="0.74803149606299213" bottom="0.74803149606299213" header="0.31496062992125984" footer="0.31496062992125984"/>
  <pageSetup paperSize="9" scale="91" fitToWidth="2" fitToHeight="3" orientation="landscape"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8"/>
  <dimension ref="A1:G25"/>
  <sheetViews>
    <sheetView workbookViewId="0">
      <selection activeCell="A35" sqref="A35"/>
    </sheetView>
  </sheetViews>
  <sheetFormatPr baseColWidth="10" defaultRowHeight="12.75" x14ac:dyDescent="0.2"/>
  <cols>
    <col min="1" max="1" width="34.5703125" customWidth="1"/>
    <col min="2" max="2" width="39.140625" customWidth="1"/>
    <col min="3" max="3" width="13.140625" customWidth="1"/>
    <col min="4" max="4" width="13" customWidth="1"/>
    <col min="5" max="5" width="13.28515625" customWidth="1"/>
    <col min="6" max="6" width="14.42578125" customWidth="1"/>
    <col min="7" max="7" width="22.42578125" customWidth="1"/>
  </cols>
  <sheetData>
    <row r="1" spans="1:7" ht="25.5" x14ac:dyDescent="0.2">
      <c r="A1" s="445" t="s">
        <v>139</v>
      </c>
      <c r="B1" s="446" t="s">
        <v>258</v>
      </c>
      <c r="C1" s="446" t="s">
        <v>256</v>
      </c>
      <c r="D1" s="446" t="s">
        <v>257</v>
      </c>
      <c r="E1" s="446" t="s">
        <v>72</v>
      </c>
      <c r="F1" s="446" t="s">
        <v>259</v>
      </c>
      <c r="G1" s="446" t="s">
        <v>37</v>
      </c>
    </row>
    <row r="2" spans="1:7" x14ac:dyDescent="0.2">
      <c r="A2" s="3279" t="s">
        <v>262</v>
      </c>
      <c r="B2" s="319" t="s">
        <v>203</v>
      </c>
      <c r="C2" s="430">
        <v>100254</v>
      </c>
      <c r="D2" s="430">
        <v>100352</v>
      </c>
      <c r="E2" s="430"/>
      <c r="F2" s="429">
        <f>+D2-C2-E2</f>
        <v>98</v>
      </c>
      <c r="G2" s="438">
        <f>+F2*569</f>
        <v>55762</v>
      </c>
    </row>
    <row r="3" spans="1:7" x14ac:dyDescent="0.2">
      <c r="A3" s="3280"/>
      <c r="B3" s="319" t="s">
        <v>208</v>
      </c>
      <c r="C3" s="430">
        <v>276278</v>
      </c>
      <c r="D3" s="430">
        <v>277048</v>
      </c>
      <c r="E3" s="430"/>
      <c r="F3" s="429">
        <f>+D3-C3-E3</f>
        <v>770</v>
      </c>
      <c r="G3" s="438">
        <f>+F3*520</f>
        <v>400400</v>
      </c>
    </row>
    <row r="4" spans="1:7" x14ac:dyDescent="0.2">
      <c r="A4" s="3279" t="s">
        <v>263</v>
      </c>
      <c r="B4" s="319" t="s">
        <v>209</v>
      </c>
      <c r="C4" s="430">
        <v>437870</v>
      </c>
      <c r="D4" s="430">
        <v>439008</v>
      </c>
      <c r="E4" s="1823">
        <v>10</v>
      </c>
      <c r="F4" s="429">
        <f>+D4-C4-E4</f>
        <v>1128</v>
      </c>
      <c r="G4" s="438">
        <f>+F4*520</f>
        <v>586560</v>
      </c>
    </row>
    <row r="5" spans="1:7" x14ac:dyDescent="0.2">
      <c r="A5" s="3279"/>
      <c r="B5" s="319" t="s">
        <v>210</v>
      </c>
      <c r="C5" s="430">
        <v>365141</v>
      </c>
      <c r="D5" s="430">
        <v>366288</v>
      </c>
      <c r="E5" s="430"/>
      <c r="F5" s="429">
        <f>+D5-C5-E5</f>
        <v>1147</v>
      </c>
      <c r="G5" s="438">
        <f>+F5*520</f>
        <v>596440</v>
      </c>
    </row>
    <row r="6" spans="1:7" ht="13.5" thickBot="1" x14ac:dyDescent="0.25">
      <c r="A6" s="447" t="s">
        <v>266</v>
      </c>
      <c r="B6" s="448"/>
      <c r="C6" s="448"/>
      <c r="D6" s="448"/>
      <c r="E6" s="1824">
        <f>SUM(E2:E5)</f>
        <v>10</v>
      </c>
      <c r="F6" s="449">
        <f>SUM(F2:F5)</f>
        <v>3143</v>
      </c>
      <c r="G6" s="451">
        <f>SUM(G2:G5)</f>
        <v>1639162</v>
      </c>
    </row>
    <row r="7" spans="1:7" ht="13.5" thickBot="1" x14ac:dyDescent="0.25">
      <c r="A7" s="440"/>
      <c r="B7" s="400"/>
      <c r="C7" s="400"/>
      <c r="D7" s="400"/>
      <c r="E7" s="400"/>
      <c r="F7" s="441"/>
      <c r="G7" s="441"/>
    </row>
    <row r="8" spans="1:7" ht="13.5" thickBot="1" x14ac:dyDescent="0.25">
      <c r="A8" s="433" t="s">
        <v>264</v>
      </c>
      <c r="B8" s="61"/>
      <c r="C8" s="61"/>
      <c r="D8" s="61"/>
      <c r="E8" s="61"/>
      <c r="F8" s="61"/>
      <c r="G8" s="452">
        <v>35000</v>
      </c>
    </row>
    <row r="9" spans="1:7" ht="13.5" thickBot="1" x14ac:dyDescent="0.25">
      <c r="A9" s="439"/>
      <c r="B9" s="400"/>
      <c r="C9" s="400"/>
      <c r="D9" s="400"/>
      <c r="E9" s="400"/>
      <c r="F9" s="400"/>
      <c r="G9" s="400"/>
    </row>
    <row r="10" spans="1:7" ht="13.5" thickBot="1" x14ac:dyDescent="0.25">
      <c r="A10" s="443" t="s">
        <v>265</v>
      </c>
      <c r="B10" s="444"/>
      <c r="C10" s="444"/>
      <c r="D10" s="444"/>
      <c r="E10" s="444"/>
      <c r="F10" s="444"/>
      <c r="G10" s="453">
        <f>SUM(G6:G8)</f>
        <v>1674162</v>
      </c>
    </row>
    <row r="19" spans="1:2" s="42" customFormat="1" ht="25.5" customHeight="1" x14ac:dyDescent="0.2">
      <c r="A19" s="97" t="s">
        <v>425</v>
      </c>
      <c r="B19" s="97" t="s">
        <v>1021</v>
      </c>
    </row>
    <row r="20" spans="1:2" x14ac:dyDescent="0.2">
      <c r="A20" s="97" t="s">
        <v>1026</v>
      </c>
      <c r="B20" s="485" t="s">
        <v>1022</v>
      </c>
    </row>
    <row r="21" spans="1:2" x14ac:dyDescent="0.2">
      <c r="A21" s="97" t="s">
        <v>1027</v>
      </c>
      <c r="B21" s="485" t="s">
        <v>1023</v>
      </c>
    </row>
    <row r="22" spans="1:2" x14ac:dyDescent="0.2">
      <c r="A22" s="97" t="s">
        <v>1028</v>
      </c>
      <c r="B22" s="485" t="s">
        <v>1023</v>
      </c>
    </row>
    <row r="23" spans="1:2" x14ac:dyDescent="0.2">
      <c r="A23" s="97" t="s">
        <v>1030</v>
      </c>
      <c r="B23" s="855"/>
    </row>
    <row r="24" spans="1:2" ht="25.5" x14ac:dyDescent="0.2">
      <c r="A24" s="97" t="s">
        <v>1029</v>
      </c>
      <c r="B24" s="485" t="s">
        <v>1024</v>
      </c>
    </row>
    <row r="25" spans="1:2" hidden="1" x14ac:dyDescent="0.2">
      <c r="A25" s="1004" t="s">
        <v>1025</v>
      </c>
      <c r="B25" s="1365" t="s">
        <v>878</v>
      </c>
    </row>
  </sheetData>
  <mergeCells count="2">
    <mergeCell ref="A2:A3"/>
    <mergeCell ref="A4:A5"/>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9"/>
  <dimension ref="A1:C198"/>
  <sheetViews>
    <sheetView workbookViewId="0">
      <selection activeCell="H6" sqref="H6"/>
    </sheetView>
  </sheetViews>
  <sheetFormatPr baseColWidth="10" defaultRowHeight="12.75" x14ac:dyDescent="0.2"/>
  <cols>
    <col min="1" max="1" width="37.28515625" customWidth="1"/>
    <col min="2" max="2" width="24" customWidth="1"/>
    <col min="3" max="3" width="21.5703125" customWidth="1"/>
    <col min="4" max="4" width="19.5703125" customWidth="1"/>
    <col min="6" max="6" width="14.5703125" bestFit="1" customWidth="1"/>
  </cols>
  <sheetData>
    <row r="1" spans="1:3" ht="13.5" thickBot="1" x14ac:dyDescent="0.25"/>
    <row r="2" spans="1:3" ht="24.75" customHeight="1" thickBot="1" x14ac:dyDescent="0.25">
      <c r="A2" s="2543" t="s">
        <v>1847</v>
      </c>
      <c r="B2" s="2544" t="s">
        <v>1848</v>
      </c>
      <c r="C2" s="2544" t="s">
        <v>1849</v>
      </c>
    </row>
    <row r="3" spans="1:3" ht="54.75" customHeight="1" thickBot="1" x14ac:dyDescent="0.25">
      <c r="A3" s="2545" t="s">
        <v>1850</v>
      </c>
      <c r="B3" s="2542"/>
      <c r="C3" s="2542"/>
    </row>
    <row r="4" spans="1:3" ht="51.75" customHeight="1" thickBot="1" x14ac:dyDescent="0.25">
      <c r="A4" s="2545" t="s">
        <v>1851</v>
      </c>
      <c r="B4" s="2542"/>
      <c r="C4" s="2542"/>
    </row>
    <row r="5" spans="1:3" ht="69.75" customHeight="1" thickBot="1" x14ac:dyDescent="0.25">
      <c r="A5" s="2545" t="s">
        <v>1852</v>
      </c>
      <c r="B5" s="2542"/>
      <c r="C5" s="2542"/>
    </row>
    <row r="6" spans="1:3" ht="63.75" customHeight="1" thickBot="1" x14ac:dyDescent="0.25">
      <c r="A6" s="2545" t="s">
        <v>1853</v>
      </c>
      <c r="B6" s="2542"/>
      <c r="C6" s="2542"/>
    </row>
    <row r="7" spans="1:3" ht="56.25" customHeight="1" thickBot="1" x14ac:dyDescent="0.25">
      <c r="A7" s="2545" t="s">
        <v>1854</v>
      </c>
      <c r="B7" s="2542"/>
      <c r="C7" s="2542"/>
    </row>
    <row r="8" spans="1:3" ht="66" customHeight="1" thickBot="1" x14ac:dyDescent="0.25">
      <c r="A8" s="2545" t="s">
        <v>1855</v>
      </c>
      <c r="B8" s="2542"/>
      <c r="C8" s="2542"/>
    </row>
    <row r="9" spans="1:3" ht="55.5" customHeight="1" thickBot="1" x14ac:dyDescent="0.25">
      <c r="A9" s="2545" t="s">
        <v>1856</v>
      </c>
      <c r="B9" s="2542"/>
      <c r="C9" s="2542"/>
    </row>
    <row r="10" spans="1:3" ht="42.75" customHeight="1" thickBot="1" x14ac:dyDescent="0.25">
      <c r="A10" s="2545" t="s">
        <v>1857</v>
      </c>
      <c r="B10" s="2542"/>
      <c r="C10" s="2542"/>
    </row>
    <row r="11" spans="1:3" ht="15.75" thickBot="1" x14ac:dyDescent="0.25">
      <c r="A11" s="2541"/>
      <c r="B11" s="2542"/>
      <c r="C11" s="2542"/>
    </row>
    <row r="12" spans="1:3" ht="15.75" thickBot="1" x14ac:dyDescent="0.25">
      <c r="A12" s="2541"/>
      <c r="B12" s="2542"/>
      <c r="C12" s="2542"/>
    </row>
    <row r="13" spans="1:3" ht="15.75" thickBot="1" x14ac:dyDescent="0.25">
      <c r="A13" s="2541"/>
      <c r="B13" s="2542"/>
      <c r="C13" s="2542"/>
    </row>
    <row r="14" spans="1:3" ht="15.75" thickBot="1" x14ac:dyDescent="0.25">
      <c r="A14" s="2541"/>
      <c r="B14" s="2542"/>
      <c r="C14" s="2542"/>
    </row>
    <row r="182" spans="1:3" ht="15.75" x14ac:dyDescent="0.25">
      <c r="A182" s="60" t="s">
        <v>1838</v>
      </c>
      <c r="B182" s="60"/>
    </row>
    <row r="184" spans="1:3" ht="9" customHeight="1" x14ac:dyDescent="0.2"/>
    <row r="185" spans="1:3" hidden="1" x14ac:dyDescent="0.2"/>
    <row r="186" spans="1:3" ht="42" customHeight="1" x14ac:dyDescent="0.2">
      <c r="A186" s="3281" t="s">
        <v>1830</v>
      </c>
      <c r="B186" s="3282"/>
      <c r="C186" s="3283"/>
    </row>
    <row r="187" spans="1:3" x14ac:dyDescent="0.2">
      <c r="A187" s="3243" t="s">
        <v>3</v>
      </c>
      <c r="B187" s="3284">
        <v>43459</v>
      </c>
      <c r="C187" s="3284">
        <v>43435</v>
      </c>
    </row>
    <row r="188" spans="1:3" x14ac:dyDescent="0.2">
      <c r="A188" s="3245"/>
      <c r="B188" s="3285"/>
      <c r="C188" s="3285"/>
    </row>
    <row r="189" spans="1:3" ht="29.25" customHeight="1" x14ac:dyDescent="0.2">
      <c r="A189" s="3243" t="s">
        <v>139</v>
      </c>
      <c r="B189" s="2492" t="s">
        <v>1125</v>
      </c>
      <c r="C189" s="2492" t="s">
        <v>1831</v>
      </c>
    </row>
    <row r="190" spans="1:3" ht="27" customHeight="1" x14ac:dyDescent="0.2">
      <c r="A190" s="3244"/>
      <c r="B190" s="2492" t="s">
        <v>1131</v>
      </c>
      <c r="C190" s="2492" t="s">
        <v>1833</v>
      </c>
    </row>
    <row r="191" spans="1:3" ht="26.25" customHeight="1" x14ac:dyDescent="0.2">
      <c r="A191" s="3244"/>
      <c r="B191" s="2492" t="s">
        <v>1832</v>
      </c>
      <c r="C191" s="2492" t="s">
        <v>1132</v>
      </c>
    </row>
    <row r="192" spans="1:3" ht="21.75" customHeight="1" x14ac:dyDescent="0.2">
      <c r="A192" s="3244"/>
      <c r="B192" s="2492" t="s">
        <v>1823</v>
      </c>
      <c r="C192" s="2492" t="s">
        <v>1834</v>
      </c>
    </row>
    <row r="193" spans="1:3" ht="23.25" customHeight="1" x14ac:dyDescent="0.2">
      <c r="A193" s="3244"/>
      <c r="B193" s="2492" t="s">
        <v>1816</v>
      </c>
      <c r="C193" s="2492" t="s">
        <v>1835</v>
      </c>
    </row>
    <row r="194" spans="1:3" ht="23.25" customHeight="1" x14ac:dyDescent="0.2">
      <c r="A194" s="3244"/>
      <c r="B194" s="2492"/>
      <c r="C194" s="2492" t="s">
        <v>1836</v>
      </c>
    </row>
    <row r="195" spans="1:3" ht="25.5" customHeight="1" x14ac:dyDescent="0.2">
      <c r="A195" s="3244"/>
      <c r="B195" s="430"/>
      <c r="C195" s="430"/>
    </row>
    <row r="196" spans="1:3" ht="29.25" customHeight="1" x14ac:dyDescent="0.2">
      <c r="A196" s="3245"/>
      <c r="B196" s="430"/>
      <c r="C196" s="430"/>
    </row>
    <row r="197" spans="1:3" ht="31.5" customHeight="1" x14ac:dyDescent="0.2"/>
    <row r="198" spans="1:3" ht="18" customHeight="1" x14ac:dyDescent="0.25">
      <c r="A198" s="74" t="s">
        <v>1837</v>
      </c>
    </row>
  </sheetData>
  <mergeCells count="5">
    <mergeCell ref="A186:C186"/>
    <mergeCell ref="A187:A188"/>
    <mergeCell ref="B187:B188"/>
    <mergeCell ref="C187:C188"/>
    <mergeCell ref="A189:A196"/>
  </mergeCells>
  <pageMargins left="0.7" right="0.7" top="0.75" bottom="0.75" header="0.3" footer="0.3"/>
  <pageSetup paperSize="9" orientation="portrait" horizontalDpi="0" verticalDpi="0"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0"/>
  <dimension ref="A3:M41"/>
  <sheetViews>
    <sheetView zoomScaleNormal="100" workbookViewId="0">
      <selection activeCell="D32" sqref="D32"/>
    </sheetView>
  </sheetViews>
  <sheetFormatPr baseColWidth="10" defaultRowHeight="12.75" x14ac:dyDescent="0.2"/>
  <cols>
    <col min="1" max="1" width="14.140625" customWidth="1"/>
    <col min="2" max="2" width="14.5703125" hidden="1" customWidth="1"/>
    <col min="3" max="3" width="22.85546875" customWidth="1"/>
    <col min="4" max="4" width="24" customWidth="1"/>
    <col min="5" max="5" width="22.5703125" customWidth="1"/>
    <col min="6" max="6" width="29.5703125" customWidth="1"/>
    <col min="7" max="7" width="34.140625" customWidth="1"/>
    <col min="8" max="8" width="26.85546875" customWidth="1"/>
  </cols>
  <sheetData>
    <row r="3" spans="1:13" ht="15.75" x14ac:dyDescent="0.25">
      <c r="A3" s="60" t="s">
        <v>1155</v>
      </c>
      <c r="B3" s="60"/>
      <c r="C3" s="60"/>
      <c r="D3" s="60"/>
      <c r="E3" s="60"/>
      <c r="F3" s="60"/>
      <c r="G3" s="60"/>
      <c r="H3" s="37"/>
    </row>
    <row r="4" spans="1:13" ht="15.75" x14ac:dyDescent="0.25">
      <c r="A4" s="60" t="s">
        <v>1156</v>
      </c>
      <c r="B4" s="77"/>
      <c r="C4" s="60"/>
      <c r="D4" s="60"/>
      <c r="E4" s="60"/>
      <c r="F4" s="60"/>
      <c r="G4" s="60"/>
      <c r="H4" s="37"/>
    </row>
    <row r="5" spans="1:13" ht="15.75" x14ac:dyDescent="0.25">
      <c r="A5" s="60"/>
      <c r="B5" s="60"/>
      <c r="C5" s="60"/>
      <c r="D5" s="60"/>
      <c r="E5" s="60"/>
      <c r="F5" s="60"/>
      <c r="G5" s="60"/>
      <c r="H5" s="37"/>
    </row>
    <row r="6" spans="1:13" ht="15.75" x14ac:dyDescent="0.25">
      <c r="A6" s="60"/>
      <c r="B6" s="60"/>
      <c r="C6" s="60"/>
      <c r="D6" s="1588" t="s">
        <v>1748</v>
      </c>
      <c r="E6" s="1588"/>
      <c r="F6" s="1588"/>
      <c r="G6" s="60"/>
      <c r="H6" s="37"/>
    </row>
    <row r="7" spans="1:13" ht="15.75" x14ac:dyDescent="0.25">
      <c r="A7" s="60"/>
      <c r="B7" s="60"/>
      <c r="C7" s="1588"/>
      <c r="D7" s="1588"/>
      <c r="E7" s="1588"/>
      <c r="F7" s="1588"/>
      <c r="G7" s="1588"/>
      <c r="H7" s="37"/>
    </row>
    <row r="8" spans="1:13" ht="17.25" customHeight="1" x14ac:dyDescent="0.25">
      <c r="A8" s="60"/>
      <c r="B8" s="77"/>
      <c r="C8" s="60"/>
      <c r="D8" s="60"/>
      <c r="E8" s="60"/>
      <c r="F8" s="60"/>
      <c r="G8" s="60"/>
      <c r="H8" s="37"/>
    </row>
    <row r="9" spans="1:13" ht="18" customHeight="1" x14ac:dyDescent="0.2">
      <c r="A9" s="3218" t="s">
        <v>3</v>
      </c>
      <c r="B9" s="1245"/>
      <c r="C9" s="3218" t="s">
        <v>495</v>
      </c>
      <c r="D9" s="3255" t="s">
        <v>1987</v>
      </c>
      <c r="E9" s="3289" t="s">
        <v>975</v>
      </c>
      <c r="F9" s="3289" t="s">
        <v>1759</v>
      </c>
      <c r="G9" s="3289" t="s">
        <v>1860</v>
      </c>
    </row>
    <row r="10" spans="1:13" ht="21" customHeight="1" x14ac:dyDescent="0.2">
      <c r="A10" s="3291"/>
      <c r="B10" s="1245"/>
      <c r="C10" s="3291"/>
      <c r="D10" s="3256"/>
      <c r="E10" s="3290"/>
      <c r="F10" s="3290"/>
      <c r="G10" s="3290"/>
      <c r="I10" s="401"/>
      <c r="K10" s="401"/>
      <c r="M10" s="401"/>
    </row>
    <row r="11" spans="1:13" ht="19.5" customHeight="1" x14ac:dyDescent="0.2">
      <c r="A11" s="3286"/>
      <c r="B11" s="1038"/>
      <c r="C11" s="3286"/>
      <c r="D11" s="3286"/>
      <c r="E11" s="3286"/>
      <c r="F11" s="3286"/>
      <c r="G11" s="3286"/>
      <c r="I11" s="401"/>
    </row>
    <row r="12" spans="1:13" ht="21.75" customHeight="1" x14ac:dyDescent="0.2">
      <c r="A12" s="3287"/>
      <c r="B12" s="1038"/>
      <c r="C12" s="3287"/>
      <c r="D12" s="3287"/>
      <c r="E12" s="3287"/>
      <c r="F12" s="3287"/>
      <c r="G12" s="3287"/>
      <c r="J12" s="401"/>
    </row>
    <row r="13" spans="1:13" ht="18" customHeight="1" x14ac:dyDescent="0.2">
      <c r="A13" s="3287"/>
      <c r="B13" s="1038"/>
      <c r="C13" s="3287"/>
      <c r="D13" s="3287"/>
      <c r="E13" s="3287"/>
      <c r="F13" s="3287"/>
      <c r="G13" s="3287"/>
      <c r="J13" s="401"/>
      <c r="K13" s="401"/>
    </row>
    <row r="14" spans="1:13" ht="14.25" customHeight="1" x14ac:dyDescent="0.2">
      <c r="A14" s="3287"/>
      <c r="B14" s="1038"/>
      <c r="C14" s="3287"/>
      <c r="D14" s="3287"/>
      <c r="E14" s="3287"/>
      <c r="F14" s="3287"/>
      <c r="G14" s="3287"/>
      <c r="I14" s="401"/>
      <c r="J14" s="401"/>
    </row>
    <row r="15" spans="1:13" ht="9.75" customHeight="1" x14ac:dyDescent="0.2">
      <c r="A15" s="3287"/>
      <c r="B15" s="1038"/>
      <c r="C15" s="3287"/>
      <c r="D15" s="3287"/>
      <c r="E15" s="3287"/>
      <c r="F15" s="3287"/>
      <c r="G15" s="3287"/>
      <c r="I15" s="401"/>
      <c r="J15" s="401"/>
    </row>
    <row r="16" spans="1:13" ht="16.5" customHeight="1" x14ac:dyDescent="0.2">
      <c r="A16" s="3288"/>
      <c r="B16" s="1038"/>
      <c r="C16" s="3288"/>
      <c r="D16" s="3288"/>
      <c r="E16" s="3288"/>
      <c r="F16" s="3288"/>
      <c r="G16" s="3288"/>
      <c r="I16" s="401"/>
    </row>
    <row r="17" spans="1:10" ht="12.75" customHeight="1" x14ac:dyDescent="0.2">
      <c r="A17" s="3286"/>
      <c r="B17" s="1038"/>
      <c r="C17" s="3286"/>
      <c r="D17" s="3286"/>
      <c r="E17" s="3286"/>
      <c r="F17" s="3286"/>
      <c r="G17" s="3286"/>
      <c r="I17" s="401"/>
      <c r="J17" s="401"/>
    </row>
    <row r="18" spans="1:10" ht="12.75" customHeight="1" x14ac:dyDescent="0.2">
      <c r="A18" s="3287"/>
      <c r="B18" s="1038"/>
      <c r="C18" s="3287"/>
      <c r="D18" s="3287"/>
      <c r="E18" s="3287"/>
      <c r="F18" s="3287"/>
      <c r="G18" s="3287"/>
      <c r="I18" s="401"/>
    </row>
    <row r="19" spans="1:10" ht="13.5" customHeight="1" x14ac:dyDescent="0.2">
      <c r="A19" s="3287"/>
      <c r="B19" s="1038"/>
      <c r="C19" s="3287"/>
      <c r="D19" s="3287"/>
      <c r="E19" s="3287"/>
      <c r="F19" s="3287"/>
      <c r="G19" s="3287"/>
      <c r="I19" s="401"/>
    </row>
    <row r="20" spans="1:10" ht="13.5" customHeight="1" x14ac:dyDescent="0.2">
      <c r="A20" s="3287"/>
      <c r="B20" s="1038"/>
      <c r="C20" s="3287"/>
      <c r="D20" s="3287"/>
      <c r="E20" s="3287"/>
      <c r="F20" s="3287"/>
      <c r="G20" s="3287"/>
      <c r="H20" s="401"/>
      <c r="I20" s="401"/>
    </row>
    <row r="21" spans="1:10" ht="12.75" customHeight="1" x14ac:dyDescent="0.2">
      <c r="A21" s="3287"/>
      <c r="B21" s="1038"/>
      <c r="C21" s="3287"/>
      <c r="D21" s="3287"/>
      <c r="E21" s="3287"/>
      <c r="F21" s="3287"/>
      <c r="G21" s="3287"/>
      <c r="H21" s="401"/>
    </row>
    <row r="22" spans="1:10" ht="12.75" customHeight="1" x14ac:dyDescent="0.2">
      <c r="A22" s="3287"/>
      <c r="B22" s="1038"/>
      <c r="C22" s="3287"/>
      <c r="D22" s="3287"/>
      <c r="E22" s="3287"/>
      <c r="F22" s="3287"/>
      <c r="G22" s="3287"/>
      <c r="I22" s="401"/>
    </row>
    <row r="23" spans="1:10" ht="21.75" customHeight="1" x14ac:dyDescent="0.2">
      <c r="A23" s="3288"/>
      <c r="B23" s="1038"/>
      <c r="C23" s="3288"/>
      <c r="D23" s="3288"/>
      <c r="E23" s="3288"/>
      <c r="F23" s="3288"/>
      <c r="G23" s="3288"/>
      <c r="I23" s="401"/>
    </row>
    <row r="24" spans="1:10" ht="12.75" customHeight="1" x14ac:dyDescent="0.2">
      <c r="A24" s="3286"/>
      <c r="B24" s="1038"/>
      <c r="C24" s="3286"/>
      <c r="D24" s="3286"/>
      <c r="E24" s="3286"/>
      <c r="F24" s="3286"/>
      <c r="G24" s="3286"/>
    </row>
    <row r="25" spans="1:10" ht="12.75" customHeight="1" x14ac:dyDescent="0.2">
      <c r="A25" s="3287"/>
      <c r="B25" s="1038"/>
      <c r="C25" s="3287"/>
      <c r="D25" s="3287"/>
      <c r="E25" s="3287"/>
      <c r="F25" s="3287"/>
      <c r="G25" s="3287"/>
    </row>
    <row r="26" spans="1:10" ht="12.75" customHeight="1" x14ac:dyDescent="0.2">
      <c r="A26" s="3287"/>
      <c r="B26" s="1038"/>
      <c r="C26" s="3287"/>
      <c r="D26" s="3287"/>
      <c r="E26" s="3287"/>
      <c r="F26" s="3287"/>
      <c r="G26" s="3287"/>
    </row>
    <row r="27" spans="1:10" ht="13.5" customHeight="1" x14ac:dyDescent="0.2">
      <c r="A27" s="3287"/>
      <c r="B27" s="1038"/>
      <c r="C27" s="3287"/>
      <c r="D27" s="3287"/>
      <c r="E27" s="3287"/>
      <c r="F27" s="3287"/>
      <c r="G27" s="3287"/>
    </row>
    <row r="28" spans="1:10" ht="13.5" customHeight="1" x14ac:dyDescent="0.2">
      <c r="A28" s="3287"/>
      <c r="B28" s="1038"/>
      <c r="C28" s="3287"/>
      <c r="D28" s="3287"/>
      <c r="E28" s="3287"/>
      <c r="F28" s="3287"/>
      <c r="G28" s="3287"/>
    </row>
    <row r="29" spans="1:10" ht="12.75" customHeight="1" x14ac:dyDescent="0.2">
      <c r="A29" s="3287"/>
      <c r="B29" s="1038"/>
      <c r="C29" s="3287"/>
      <c r="D29" s="3287"/>
      <c r="E29" s="3287"/>
      <c r="F29" s="3287"/>
      <c r="G29" s="3287"/>
    </row>
    <row r="30" spans="1:10" ht="12.75" customHeight="1" x14ac:dyDescent="0.2">
      <c r="A30" s="3288"/>
      <c r="B30" s="1038"/>
      <c r="C30" s="3288"/>
      <c r="D30" s="3288"/>
      <c r="E30" s="3288"/>
      <c r="F30" s="3288"/>
      <c r="G30" s="3288"/>
    </row>
    <row r="31" spans="1:10" ht="12.75" customHeight="1" x14ac:dyDescent="0.2">
      <c r="A31" s="3286"/>
      <c r="B31" s="1038"/>
      <c r="C31" s="3286"/>
      <c r="D31" s="2290"/>
      <c r="E31" s="2290"/>
      <c r="F31" s="2290"/>
      <c r="G31" s="2290"/>
    </row>
    <row r="32" spans="1:10" ht="12.75" customHeight="1" x14ac:dyDescent="0.2">
      <c r="A32" s="3287"/>
      <c r="B32" s="1038"/>
      <c r="C32" s="3287"/>
      <c r="D32" s="2291"/>
      <c r="E32" s="2291"/>
      <c r="F32" s="2291"/>
      <c r="G32" s="2291"/>
    </row>
    <row r="33" spans="1:8" ht="13.5" customHeight="1" x14ac:dyDescent="0.2">
      <c r="A33" s="3287"/>
      <c r="B33" s="1038"/>
      <c r="C33" s="3287"/>
      <c r="D33" s="2291"/>
      <c r="E33" s="2291"/>
      <c r="F33" s="2291"/>
      <c r="G33" s="2291"/>
    </row>
    <row r="34" spans="1:8" ht="40.5" customHeight="1" x14ac:dyDescent="0.2">
      <c r="A34" s="3287"/>
      <c r="B34" s="1038"/>
      <c r="C34" s="3287"/>
      <c r="D34" s="2291"/>
      <c r="E34" s="2291"/>
      <c r="F34" s="2291"/>
      <c r="G34" s="2291"/>
    </row>
    <row r="35" spans="1:8" ht="13.5" customHeight="1" x14ac:dyDescent="0.2">
      <c r="A35" s="3287"/>
      <c r="B35" s="1038"/>
      <c r="C35" s="3287"/>
      <c r="D35" s="2291"/>
      <c r="E35" s="2291"/>
      <c r="F35" s="2291"/>
      <c r="G35" s="2291"/>
    </row>
    <row r="36" spans="1:8" ht="12.75" customHeight="1" x14ac:dyDescent="0.2">
      <c r="A36" s="3287"/>
      <c r="B36" s="1038"/>
      <c r="C36" s="3287"/>
      <c r="D36" s="2291"/>
      <c r="E36" s="2291"/>
      <c r="F36" s="2291"/>
      <c r="G36" s="2291"/>
    </row>
    <row r="37" spans="1:8" ht="3" customHeight="1" x14ac:dyDescent="0.2">
      <c r="A37" s="3288"/>
      <c r="B37" s="1038"/>
      <c r="C37" s="3288"/>
      <c r="D37" s="1038"/>
      <c r="E37" s="2292"/>
      <c r="F37" s="2292"/>
      <c r="G37" s="2292"/>
      <c r="H37" s="2292"/>
    </row>
    <row r="38" spans="1:8" ht="12.75" customHeight="1" x14ac:dyDescent="0.2"/>
    <row r="39" spans="1:8" ht="12.75" customHeight="1" x14ac:dyDescent="0.2"/>
    <row r="40" spans="1:8" ht="12.75" customHeight="1" x14ac:dyDescent="0.2"/>
    <row r="41" spans="1:8" ht="15.75" customHeight="1" x14ac:dyDescent="0.2"/>
  </sheetData>
  <mergeCells count="26">
    <mergeCell ref="G9:G10"/>
    <mergeCell ref="F9:F10"/>
    <mergeCell ref="A9:A10"/>
    <mergeCell ref="C9:C10"/>
    <mergeCell ref="D9:D10"/>
    <mergeCell ref="E9:E10"/>
    <mergeCell ref="F24:F30"/>
    <mergeCell ref="G24:G30"/>
    <mergeCell ref="A11:A16"/>
    <mergeCell ref="A17:A23"/>
    <mergeCell ref="A24:A30"/>
    <mergeCell ref="C11:C16"/>
    <mergeCell ref="D11:D16"/>
    <mergeCell ref="E11:E16"/>
    <mergeCell ref="F11:F16"/>
    <mergeCell ref="G11:G16"/>
    <mergeCell ref="C17:C23"/>
    <mergeCell ref="D17:D23"/>
    <mergeCell ref="E17:E23"/>
    <mergeCell ref="F17:F23"/>
    <mergeCell ref="G17:G23"/>
    <mergeCell ref="A31:A37"/>
    <mergeCell ref="C31:C37"/>
    <mergeCell ref="C24:C30"/>
    <mergeCell ref="D24:D30"/>
    <mergeCell ref="E24:E30"/>
  </mergeCells>
  <pageMargins left="0.70866141732283472" right="0.70866141732283472" top="0.74803149606299213" bottom="0.74803149606299213" header="0.31496062992125984" footer="0.31496062992125984"/>
  <pageSetup paperSize="9" scale="85" fitToWidth="2" fitToHeight="2" orientation="landscape"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4"/>
  <dimension ref="A1:H43"/>
  <sheetViews>
    <sheetView workbookViewId="0">
      <selection activeCell="J18" sqref="J18"/>
    </sheetView>
  </sheetViews>
  <sheetFormatPr baseColWidth="10" defaultRowHeight="12.75" x14ac:dyDescent="0.2"/>
  <cols>
    <col min="1" max="1" width="8.5703125" customWidth="1"/>
    <col min="2" max="2" width="33" customWidth="1"/>
    <col min="4" max="4" width="13" bestFit="1" customWidth="1"/>
    <col min="5" max="5" width="23" customWidth="1"/>
  </cols>
  <sheetData>
    <row r="1" spans="1:8" ht="15.75" x14ac:dyDescent="0.25">
      <c r="A1" s="60" t="s">
        <v>212</v>
      </c>
      <c r="E1" s="42" t="s">
        <v>1037</v>
      </c>
    </row>
    <row r="2" spans="1:8" ht="15.75" x14ac:dyDescent="0.25">
      <c r="A2" s="60" t="s">
        <v>170</v>
      </c>
      <c r="G2" s="401"/>
      <c r="H2" s="401"/>
    </row>
    <row r="3" spans="1:8" ht="15.75" x14ac:dyDescent="0.25">
      <c r="A3" s="60"/>
      <c r="G3" s="401"/>
      <c r="H3" s="401"/>
    </row>
    <row r="4" spans="1:8" ht="15.75" x14ac:dyDescent="0.25">
      <c r="A4" s="60"/>
      <c r="G4" s="401"/>
      <c r="H4" s="401"/>
    </row>
    <row r="5" spans="1:8" x14ac:dyDescent="0.2">
      <c r="G5" s="401"/>
      <c r="H5" s="401"/>
    </row>
    <row r="6" spans="1:8" x14ac:dyDescent="0.2">
      <c r="G6" s="401"/>
      <c r="H6" s="401"/>
    </row>
    <row r="7" spans="1:8" x14ac:dyDescent="0.2">
      <c r="G7" s="401"/>
      <c r="H7" s="401"/>
    </row>
    <row r="8" spans="1:8" x14ac:dyDescent="0.2">
      <c r="G8" s="401"/>
      <c r="H8" s="401"/>
    </row>
    <row r="9" spans="1:8" x14ac:dyDescent="0.2">
      <c r="A9" s="3292" t="s">
        <v>1036</v>
      </c>
      <c r="B9" s="3292"/>
      <c r="C9" s="3292"/>
      <c r="D9" s="3292"/>
      <c r="E9" s="3292"/>
      <c r="G9" s="401"/>
      <c r="H9" s="401"/>
    </row>
    <row r="10" spans="1:8" x14ac:dyDescent="0.2">
      <c r="G10" s="401"/>
      <c r="H10" s="401"/>
    </row>
    <row r="11" spans="1:8" x14ac:dyDescent="0.2">
      <c r="G11" s="401"/>
    </row>
    <row r="12" spans="1:8" x14ac:dyDescent="0.2">
      <c r="G12" s="401"/>
    </row>
    <row r="13" spans="1:8" x14ac:dyDescent="0.2">
      <c r="G13" s="401"/>
    </row>
    <row r="14" spans="1:8" s="1996" customFormat="1" ht="18.75" customHeight="1" thickBot="1" x14ac:dyDescent="0.3">
      <c r="A14" s="2103" t="s">
        <v>56</v>
      </c>
      <c r="B14" s="2103" t="s">
        <v>414</v>
      </c>
      <c r="C14" s="2103" t="s">
        <v>819</v>
      </c>
      <c r="D14" s="2103" t="s">
        <v>1038</v>
      </c>
      <c r="E14" s="2103" t="s">
        <v>37</v>
      </c>
      <c r="G14" s="821"/>
    </row>
    <row r="15" spans="1:8" s="42" customFormat="1" ht="57" customHeight="1" thickBot="1" x14ac:dyDescent="0.3">
      <c r="A15" s="2105" t="s">
        <v>1039</v>
      </c>
      <c r="B15" s="2074" t="s">
        <v>1040</v>
      </c>
      <c r="C15" s="1432" t="s">
        <v>392</v>
      </c>
      <c r="D15" s="2109">
        <v>402550</v>
      </c>
      <c r="E15" s="2107">
        <v>402550</v>
      </c>
      <c r="G15" s="434"/>
    </row>
    <row r="16" spans="1:8" s="42" customFormat="1" ht="15.75" x14ac:dyDescent="0.25">
      <c r="A16" s="2000"/>
      <c r="B16" s="674"/>
      <c r="C16" s="460"/>
      <c r="D16" s="2001"/>
      <c r="E16" s="2101"/>
      <c r="G16" s="434"/>
    </row>
    <row r="17" spans="1:7" s="42" customFormat="1" ht="15.75" x14ac:dyDescent="0.25">
      <c r="A17" s="2000"/>
      <c r="B17" s="674"/>
      <c r="C17" s="460"/>
      <c r="D17" s="2001"/>
      <c r="E17" s="2101"/>
      <c r="G17" s="434"/>
    </row>
    <row r="18" spans="1:7" s="42" customFormat="1" ht="15.75" x14ac:dyDescent="0.25">
      <c r="A18" s="2000"/>
      <c r="B18" s="674"/>
      <c r="C18" s="460"/>
      <c r="D18" s="2001"/>
      <c r="E18" s="2101"/>
      <c r="G18" s="434"/>
    </row>
    <row r="19" spans="1:7" s="42" customFormat="1" ht="15.75" x14ac:dyDescent="0.25">
      <c r="A19" s="2000"/>
      <c r="B19" s="674"/>
      <c r="C19" s="460"/>
      <c r="D19" s="2001"/>
      <c r="E19" s="2101"/>
    </row>
    <row r="20" spans="1:7" s="42" customFormat="1" ht="15.75" x14ac:dyDescent="0.25">
      <c r="A20" s="2000"/>
      <c r="B20" s="674"/>
      <c r="C20" s="460"/>
      <c r="D20" s="2001"/>
      <c r="E20" s="2101"/>
    </row>
    <row r="21" spans="1:7" s="42" customFormat="1" ht="78" customHeight="1" x14ac:dyDescent="0.25">
      <c r="A21" s="2102"/>
      <c r="B21" s="674"/>
      <c r="C21" s="460"/>
      <c r="D21" s="2001"/>
      <c r="E21" s="2101"/>
    </row>
    <row r="22" spans="1:7" s="1180" customFormat="1" ht="27" customHeight="1" x14ac:dyDescent="0.3">
      <c r="A22" s="2104" t="s">
        <v>33</v>
      </c>
      <c r="B22" s="2106"/>
      <c r="C22" s="2073"/>
      <c r="D22" s="2002"/>
      <c r="E22" s="2108">
        <f>SUM(E15:E21)</f>
        <v>402550</v>
      </c>
    </row>
    <row r="23" spans="1:7" x14ac:dyDescent="0.2">
      <c r="A23" s="701"/>
      <c r="B23" s="701"/>
      <c r="C23" s="701"/>
      <c r="D23" s="864"/>
      <c r="E23" s="864"/>
    </row>
    <row r="24" spans="1:7" x14ac:dyDescent="0.2">
      <c r="A24" s="701"/>
      <c r="B24" s="701"/>
      <c r="C24" s="701"/>
      <c r="D24" s="864"/>
      <c r="E24" s="864"/>
    </row>
    <row r="26" spans="1:7" x14ac:dyDescent="0.2">
      <c r="A26" s="701"/>
      <c r="B26" s="701"/>
      <c r="C26" s="701"/>
      <c r="D26" s="864"/>
      <c r="E26" s="864"/>
    </row>
    <row r="27" spans="1:7" ht="15.75" customHeight="1" x14ac:dyDescent="0.2">
      <c r="A27" s="3294" t="s">
        <v>1042</v>
      </c>
      <c r="B27" s="3294"/>
      <c r="C27" s="3294"/>
      <c r="D27" s="3294"/>
      <c r="E27" s="3294"/>
    </row>
    <row r="28" spans="1:7" x14ac:dyDescent="0.2">
      <c r="A28" s="3294"/>
      <c r="B28" s="3294"/>
      <c r="C28" s="3294"/>
      <c r="D28" s="3294"/>
      <c r="E28" s="3294"/>
    </row>
    <row r="29" spans="1:7" x14ac:dyDescent="0.2">
      <c r="A29" s="3294"/>
      <c r="B29" s="3294"/>
      <c r="C29" s="3294"/>
      <c r="D29" s="3294"/>
      <c r="E29" s="3294"/>
    </row>
    <row r="31" spans="1:7" s="882" customFormat="1" x14ac:dyDescent="0.2"/>
    <row r="32" spans="1:7" s="882" customFormat="1" x14ac:dyDescent="0.2"/>
    <row r="33" spans="1:2" s="882" customFormat="1" x14ac:dyDescent="0.2"/>
    <row r="37" spans="1:2" x14ac:dyDescent="0.2">
      <c r="A37" s="3293" t="s">
        <v>1041</v>
      </c>
      <c r="B37" s="3293"/>
    </row>
    <row r="38" spans="1:2" x14ac:dyDescent="0.2">
      <c r="A38" s="3293"/>
      <c r="B38" s="3293"/>
    </row>
    <row r="39" spans="1:2" x14ac:dyDescent="0.2">
      <c r="A39" s="3293"/>
      <c r="B39" s="3293"/>
    </row>
    <row r="40" spans="1:2" x14ac:dyDescent="0.2">
      <c r="A40" s="3293"/>
      <c r="B40" s="3293"/>
    </row>
    <row r="41" spans="1:2" x14ac:dyDescent="0.2">
      <c r="A41" s="3293"/>
      <c r="B41" s="3293"/>
    </row>
    <row r="42" spans="1:2" x14ac:dyDescent="0.2">
      <c r="A42" s="3293"/>
      <c r="B42" s="3293"/>
    </row>
    <row r="43" spans="1:2" x14ac:dyDescent="0.2">
      <c r="A43" s="3293"/>
      <c r="B43" s="3293"/>
    </row>
  </sheetData>
  <mergeCells count="3">
    <mergeCell ref="A9:E9"/>
    <mergeCell ref="A37:B43"/>
    <mergeCell ref="A27:E29"/>
  </mergeCells>
  <pageMargins left="0.7" right="0.7" top="0.75" bottom="0.75" header="0.3" footer="0.3"/>
  <pageSetup paperSize="9"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opLeftCell="A4" workbookViewId="0">
      <selection activeCell="C24" sqref="C24"/>
    </sheetView>
  </sheetViews>
  <sheetFormatPr baseColWidth="10" defaultRowHeight="12.75" x14ac:dyDescent="0.2"/>
  <cols>
    <col min="1" max="1" width="5" customWidth="1"/>
    <col min="2" max="2" width="7.85546875" customWidth="1"/>
    <col min="3" max="3" width="16.28515625" customWidth="1"/>
    <col min="4" max="4" width="41.28515625" customWidth="1"/>
    <col min="5" max="5" width="15.140625" customWidth="1"/>
    <col min="6" max="6" width="13.7109375" customWidth="1"/>
    <col min="7" max="7" width="24.42578125" customWidth="1"/>
    <col min="9" max="9" width="21.28515625" customWidth="1"/>
    <col min="13" max="13" width="15" style="42" customWidth="1"/>
  </cols>
  <sheetData>
    <row r="1" spans="1:13" ht="18" x14ac:dyDescent="0.25">
      <c r="A1" s="74" t="s">
        <v>212</v>
      </c>
    </row>
    <row r="2" spans="1:13" ht="18" x14ac:dyDescent="0.25">
      <c r="A2" s="74" t="s">
        <v>170</v>
      </c>
    </row>
    <row r="4" spans="1:13" ht="45" x14ac:dyDescent="0.6">
      <c r="E4" s="2055" t="s">
        <v>1088</v>
      </c>
    </row>
    <row r="5" spans="1:13" s="659" customFormat="1" ht="46.5" customHeight="1" x14ac:dyDescent="0.25">
      <c r="A5" s="2046" t="s">
        <v>184</v>
      </c>
      <c r="B5" s="2046" t="s">
        <v>1060</v>
      </c>
      <c r="C5" s="2046" t="s">
        <v>469</v>
      </c>
      <c r="D5" s="2046" t="s">
        <v>450</v>
      </c>
      <c r="E5" s="1251" t="s">
        <v>1061</v>
      </c>
      <c r="F5" s="2046" t="s">
        <v>1090</v>
      </c>
      <c r="G5" s="2046" t="s">
        <v>1062</v>
      </c>
      <c r="H5" s="2046" t="s">
        <v>1063</v>
      </c>
      <c r="I5" s="2046" t="s">
        <v>234</v>
      </c>
      <c r="J5" s="2046" t="s">
        <v>1064</v>
      </c>
      <c r="K5" s="2046" t="s">
        <v>1065</v>
      </c>
      <c r="L5" s="2046" t="s">
        <v>1066</v>
      </c>
      <c r="M5" s="2046" t="s">
        <v>1067</v>
      </c>
    </row>
    <row r="6" spans="1:13" ht="16.5" x14ac:dyDescent="0.3">
      <c r="A6" s="430">
        <v>1</v>
      </c>
      <c r="B6" s="430">
        <v>137</v>
      </c>
      <c r="C6" s="319" t="s">
        <v>1070</v>
      </c>
      <c r="D6" s="97" t="s">
        <v>1052</v>
      </c>
      <c r="E6" s="2049">
        <v>41365</v>
      </c>
      <c r="F6" s="367" t="s">
        <v>352</v>
      </c>
      <c r="G6" s="430"/>
      <c r="H6" s="430"/>
      <c r="I6" s="59" t="s">
        <v>1075</v>
      </c>
      <c r="J6" s="429">
        <v>24</v>
      </c>
      <c r="K6" s="2053">
        <v>42816</v>
      </c>
      <c r="L6" s="2053">
        <f>+K6+28</f>
        <v>42844</v>
      </c>
      <c r="M6" s="97" t="s">
        <v>1089</v>
      </c>
    </row>
    <row r="7" spans="1:13" ht="16.5" x14ac:dyDescent="0.3">
      <c r="A7" s="430">
        <f>+A6+1</f>
        <v>2</v>
      </c>
      <c r="B7" s="430">
        <v>122</v>
      </c>
      <c r="C7" s="319" t="s">
        <v>1070</v>
      </c>
      <c r="D7" s="97" t="s">
        <v>1051</v>
      </c>
      <c r="E7" s="2049">
        <v>41365</v>
      </c>
      <c r="F7" s="367" t="s">
        <v>352</v>
      </c>
      <c r="G7" s="430"/>
      <c r="H7" s="430"/>
      <c r="I7" s="59" t="s">
        <v>1074</v>
      </c>
      <c r="J7" s="429">
        <v>24</v>
      </c>
      <c r="K7" s="2053">
        <f>+L6</f>
        <v>42844</v>
      </c>
      <c r="L7" s="2053">
        <f>+K7+28</f>
        <v>42872</v>
      </c>
      <c r="M7" s="97" t="s">
        <v>1089</v>
      </c>
    </row>
    <row r="8" spans="1:13" ht="16.5" x14ac:dyDescent="0.3">
      <c r="A8" s="430">
        <f t="shared" ref="A8:A23" si="0">+A7+1</f>
        <v>3</v>
      </c>
      <c r="B8" s="430"/>
      <c r="C8" s="319" t="s">
        <v>1070</v>
      </c>
      <c r="D8" s="97" t="s">
        <v>952</v>
      </c>
      <c r="E8" s="2049">
        <v>41640</v>
      </c>
      <c r="F8" s="367" t="s">
        <v>352</v>
      </c>
      <c r="G8" s="430"/>
      <c r="H8" s="430"/>
      <c r="I8" s="59" t="s">
        <v>1076</v>
      </c>
      <c r="J8" s="429">
        <v>24</v>
      </c>
      <c r="K8" s="2053">
        <f t="shared" ref="K8:K15" si="1">+L7</f>
        <v>42872</v>
      </c>
      <c r="L8" s="2053">
        <f>+K8+28</f>
        <v>42900</v>
      </c>
      <c r="M8" s="97" t="s">
        <v>1089</v>
      </c>
    </row>
    <row r="9" spans="1:13" ht="16.5" x14ac:dyDescent="0.3">
      <c r="A9" s="430">
        <f t="shared" si="0"/>
        <v>4</v>
      </c>
      <c r="B9" s="430">
        <v>522</v>
      </c>
      <c r="C9" s="319" t="s">
        <v>1070</v>
      </c>
      <c r="D9" s="97" t="s">
        <v>1050</v>
      </c>
      <c r="E9" s="2050" t="s">
        <v>1087</v>
      </c>
      <c r="F9" s="367" t="s">
        <v>352</v>
      </c>
      <c r="G9" s="430"/>
      <c r="H9" s="430"/>
      <c r="I9" s="59" t="s">
        <v>1077</v>
      </c>
      <c r="J9" s="429">
        <v>24</v>
      </c>
      <c r="K9" s="2053">
        <f t="shared" si="1"/>
        <v>42900</v>
      </c>
      <c r="L9" s="2053">
        <f t="shared" ref="L9:L15" si="2">+K9+28</f>
        <v>42928</v>
      </c>
      <c r="M9" s="97" t="s">
        <v>1089</v>
      </c>
    </row>
    <row r="10" spans="1:13" ht="16.5" x14ac:dyDescent="0.3">
      <c r="A10" s="430">
        <f t="shared" si="0"/>
        <v>5</v>
      </c>
      <c r="B10" s="430">
        <v>151</v>
      </c>
      <c r="C10" s="319" t="s">
        <v>1070</v>
      </c>
      <c r="D10" s="97" t="s">
        <v>599</v>
      </c>
      <c r="E10" s="2049">
        <v>41365</v>
      </c>
      <c r="F10" s="367" t="s">
        <v>352</v>
      </c>
      <c r="G10" s="430"/>
      <c r="H10" s="430"/>
      <c r="I10" s="59" t="s">
        <v>1078</v>
      </c>
      <c r="J10" s="429">
        <v>24</v>
      </c>
      <c r="K10" s="2053">
        <f t="shared" si="1"/>
        <v>42928</v>
      </c>
      <c r="L10" s="2053">
        <f t="shared" si="2"/>
        <v>42956</v>
      </c>
      <c r="M10" s="97" t="s">
        <v>1089</v>
      </c>
    </row>
    <row r="11" spans="1:13" ht="16.5" x14ac:dyDescent="0.3">
      <c r="A11" s="430">
        <f t="shared" si="0"/>
        <v>6</v>
      </c>
      <c r="B11" s="430">
        <v>150</v>
      </c>
      <c r="C11" s="319" t="s">
        <v>1070</v>
      </c>
      <c r="D11" s="97" t="s">
        <v>328</v>
      </c>
      <c r="E11" s="2049">
        <v>41365</v>
      </c>
      <c r="F11" s="367" t="s">
        <v>352</v>
      </c>
      <c r="G11" s="430"/>
      <c r="H11" s="430"/>
      <c r="I11" s="59" t="s">
        <v>1082</v>
      </c>
      <c r="J11" s="429">
        <v>24</v>
      </c>
      <c r="K11" s="2053">
        <f t="shared" si="1"/>
        <v>42956</v>
      </c>
      <c r="L11" s="2053">
        <f t="shared" si="2"/>
        <v>42984</v>
      </c>
      <c r="M11" s="97" t="s">
        <v>1089</v>
      </c>
    </row>
    <row r="12" spans="1:13" ht="16.5" x14ac:dyDescent="0.3">
      <c r="A12" s="430">
        <f t="shared" si="0"/>
        <v>7</v>
      </c>
      <c r="B12" s="430">
        <v>383</v>
      </c>
      <c r="C12" s="767" t="s">
        <v>1072</v>
      </c>
      <c r="D12" s="97" t="s">
        <v>698</v>
      </c>
      <c r="E12" s="2049">
        <v>41913</v>
      </c>
      <c r="F12" s="367" t="s">
        <v>352</v>
      </c>
      <c r="G12" s="97" t="s">
        <v>1069</v>
      </c>
      <c r="H12" s="430"/>
      <c r="I12" s="59" t="s">
        <v>1083</v>
      </c>
      <c r="J12" s="429">
        <v>24</v>
      </c>
      <c r="K12" s="2053">
        <f t="shared" si="1"/>
        <v>42984</v>
      </c>
      <c r="L12" s="2053">
        <f t="shared" si="2"/>
        <v>43012</v>
      </c>
      <c r="M12" s="97" t="s">
        <v>1089</v>
      </c>
    </row>
    <row r="13" spans="1:13" ht="16.5" x14ac:dyDescent="0.3">
      <c r="A13" s="430">
        <f t="shared" si="0"/>
        <v>8</v>
      </c>
      <c r="B13" s="430">
        <v>519</v>
      </c>
      <c r="C13" s="319" t="s">
        <v>1091</v>
      </c>
      <c r="D13" s="97" t="s">
        <v>1054</v>
      </c>
      <c r="E13" s="2050" t="s">
        <v>1087</v>
      </c>
      <c r="F13" s="367" t="s">
        <v>352</v>
      </c>
      <c r="G13" s="430"/>
      <c r="H13" s="430"/>
      <c r="I13" s="59" t="s">
        <v>1080</v>
      </c>
      <c r="J13" s="429">
        <v>24</v>
      </c>
      <c r="K13" s="2053">
        <f t="shared" si="1"/>
        <v>43012</v>
      </c>
      <c r="L13" s="2053">
        <f t="shared" si="2"/>
        <v>43040</v>
      </c>
      <c r="M13" s="97" t="s">
        <v>1089</v>
      </c>
    </row>
    <row r="14" spans="1:13" ht="16.5" x14ac:dyDescent="0.3">
      <c r="A14" s="430">
        <f t="shared" si="0"/>
        <v>9</v>
      </c>
      <c r="B14" s="430">
        <v>143</v>
      </c>
      <c r="C14" s="767" t="s">
        <v>1071</v>
      </c>
      <c r="D14" s="97" t="s">
        <v>1069</v>
      </c>
      <c r="E14" s="2049">
        <v>41365</v>
      </c>
      <c r="F14" s="367" t="s">
        <v>352</v>
      </c>
      <c r="G14" s="97" t="s">
        <v>698</v>
      </c>
      <c r="H14" s="2045">
        <f>28*2</f>
        <v>56</v>
      </c>
      <c r="I14" s="59" t="s">
        <v>1079</v>
      </c>
      <c r="J14" s="429">
        <v>24</v>
      </c>
      <c r="K14" s="2053">
        <f t="shared" si="1"/>
        <v>43040</v>
      </c>
      <c r="L14" s="2053">
        <f t="shared" si="2"/>
        <v>43068</v>
      </c>
      <c r="M14" s="97" t="s">
        <v>1089</v>
      </c>
    </row>
    <row r="15" spans="1:13" ht="16.5" x14ac:dyDescent="0.3">
      <c r="A15" s="430">
        <f t="shared" si="0"/>
        <v>10</v>
      </c>
      <c r="B15" s="430">
        <v>408</v>
      </c>
      <c r="C15" s="319" t="s">
        <v>1070</v>
      </c>
      <c r="D15" s="97" t="s">
        <v>950</v>
      </c>
      <c r="E15" s="2054">
        <v>42125</v>
      </c>
      <c r="F15" s="367" t="s">
        <v>352</v>
      </c>
      <c r="G15" s="430"/>
      <c r="H15" s="430"/>
      <c r="I15" s="59" t="s">
        <v>1081</v>
      </c>
      <c r="J15" s="429">
        <v>24</v>
      </c>
      <c r="K15" s="2053">
        <f t="shared" si="1"/>
        <v>43068</v>
      </c>
      <c r="L15" s="2053">
        <f t="shared" si="2"/>
        <v>43096</v>
      </c>
      <c r="M15" s="97" t="s">
        <v>1089</v>
      </c>
    </row>
    <row r="16" spans="1:13" ht="16.5" x14ac:dyDescent="0.3">
      <c r="A16" s="430">
        <f t="shared" si="0"/>
        <v>11</v>
      </c>
      <c r="B16" s="2057">
        <v>225</v>
      </c>
      <c r="C16" s="1004" t="s">
        <v>1073</v>
      </c>
      <c r="D16" s="1004" t="s">
        <v>462</v>
      </c>
      <c r="E16" s="2051">
        <v>41944</v>
      </c>
      <c r="F16" s="688" t="s">
        <v>352</v>
      </c>
      <c r="G16" s="1004"/>
      <c r="H16" s="1004"/>
      <c r="I16" s="734" t="s">
        <v>237</v>
      </c>
      <c r="J16" s="2048">
        <v>24</v>
      </c>
      <c r="K16" s="2056">
        <v>42891</v>
      </c>
      <c r="L16" s="2056">
        <f>+K16+28</f>
        <v>42919</v>
      </c>
      <c r="M16" s="97" t="s">
        <v>1089</v>
      </c>
    </row>
    <row r="17" spans="1:13" ht="16.5" x14ac:dyDescent="0.3">
      <c r="A17" s="430">
        <f t="shared" si="0"/>
        <v>12</v>
      </c>
      <c r="B17" s="1004">
        <v>521</v>
      </c>
      <c r="C17" s="1004" t="s">
        <v>1073</v>
      </c>
      <c r="D17" s="1004" t="s">
        <v>1057</v>
      </c>
      <c r="E17" s="2052" t="s">
        <v>1087</v>
      </c>
      <c r="F17" s="688" t="s">
        <v>352</v>
      </c>
      <c r="G17" s="1004"/>
      <c r="H17" s="1004"/>
      <c r="I17" s="734" t="s">
        <v>1068</v>
      </c>
      <c r="J17" s="2048">
        <v>24</v>
      </c>
      <c r="K17" s="2056">
        <v>42954</v>
      </c>
      <c r="L17" s="2056">
        <f>+K17+28</f>
        <v>42982</v>
      </c>
      <c r="M17" s="97" t="s">
        <v>1089</v>
      </c>
    </row>
    <row r="18" spans="1:13" ht="16.5" x14ac:dyDescent="0.3">
      <c r="A18" s="430">
        <f t="shared" si="0"/>
        <v>13</v>
      </c>
      <c r="B18" s="1004">
        <v>523</v>
      </c>
      <c r="C18" s="767" t="s">
        <v>1085</v>
      </c>
      <c r="D18" s="1004" t="s">
        <v>1058</v>
      </c>
      <c r="E18" s="2052" t="s">
        <v>1087</v>
      </c>
      <c r="F18" s="688" t="s">
        <v>352</v>
      </c>
      <c r="G18" s="1004" t="s">
        <v>1059</v>
      </c>
      <c r="H18" s="1004"/>
      <c r="I18" s="734" t="s">
        <v>243</v>
      </c>
      <c r="J18" s="2048">
        <v>24</v>
      </c>
      <c r="K18" s="2056">
        <v>43010</v>
      </c>
      <c r="L18" s="2056">
        <f>+K18+28</f>
        <v>43038</v>
      </c>
      <c r="M18" s="97" t="s">
        <v>1089</v>
      </c>
    </row>
    <row r="19" spans="1:13" ht="16.5" x14ac:dyDescent="0.3">
      <c r="A19" s="430">
        <f t="shared" si="0"/>
        <v>14</v>
      </c>
      <c r="B19" s="1004">
        <v>148</v>
      </c>
      <c r="C19" s="1004" t="s">
        <v>1073</v>
      </c>
      <c r="D19" s="1004" t="s">
        <v>634</v>
      </c>
      <c r="E19" s="2051">
        <v>41365</v>
      </c>
      <c r="F19" s="688" t="s">
        <v>352</v>
      </c>
      <c r="G19" s="1004"/>
      <c r="H19" s="1004"/>
      <c r="I19" s="734" t="s">
        <v>272</v>
      </c>
      <c r="J19" s="2048">
        <v>24</v>
      </c>
      <c r="K19" s="2056">
        <v>43041</v>
      </c>
      <c r="L19" s="2056">
        <f>+K19+28</f>
        <v>43069</v>
      </c>
      <c r="M19" s="97" t="s">
        <v>1089</v>
      </c>
    </row>
    <row r="20" spans="1:13" ht="20.100000000000001" customHeight="1" x14ac:dyDescent="0.2">
      <c r="A20" s="430">
        <f t="shared" si="0"/>
        <v>15</v>
      </c>
      <c r="B20" s="430">
        <v>581</v>
      </c>
      <c r="C20" s="319" t="s">
        <v>1084</v>
      </c>
      <c r="D20" s="97" t="s">
        <v>1053</v>
      </c>
      <c r="E20" s="2049">
        <v>42795</v>
      </c>
      <c r="F20" s="367" t="s">
        <v>352</v>
      </c>
      <c r="G20" s="430"/>
      <c r="H20" s="430"/>
      <c r="I20" s="430"/>
      <c r="J20" s="430"/>
      <c r="K20" s="2047"/>
      <c r="L20" s="2047"/>
      <c r="M20" s="97" t="s">
        <v>1089</v>
      </c>
    </row>
    <row r="21" spans="1:13" ht="20.100000000000001" customHeight="1" x14ac:dyDescent="0.2">
      <c r="A21" s="430">
        <f t="shared" si="0"/>
        <v>16</v>
      </c>
      <c r="B21" s="430">
        <v>591</v>
      </c>
      <c r="C21" s="319" t="s">
        <v>1084</v>
      </c>
      <c r="D21" s="97" t="s">
        <v>1055</v>
      </c>
      <c r="E21" s="2050" t="s">
        <v>1086</v>
      </c>
      <c r="F21" s="367" t="s">
        <v>352</v>
      </c>
      <c r="G21" s="430"/>
      <c r="H21" s="430"/>
      <c r="I21" s="430"/>
      <c r="J21" s="430"/>
      <c r="K21" s="2047"/>
      <c r="L21" s="2047"/>
      <c r="M21" s="97" t="s">
        <v>1089</v>
      </c>
    </row>
    <row r="22" spans="1:13" ht="20.100000000000001" customHeight="1" x14ac:dyDescent="0.2">
      <c r="A22" s="430">
        <f t="shared" si="0"/>
        <v>17</v>
      </c>
      <c r="B22" s="430">
        <v>593</v>
      </c>
      <c r="C22" s="319" t="s">
        <v>1084</v>
      </c>
      <c r="D22" s="97" t="s">
        <v>1056</v>
      </c>
      <c r="E22" s="2050" t="s">
        <v>1086</v>
      </c>
      <c r="F22" s="367" t="s">
        <v>352</v>
      </c>
      <c r="G22" s="430"/>
      <c r="H22" s="430"/>
      <c r="I22" s="430"/>
      <c r="J22" s="430"/>
      <c r="K22" s="2047"/>
      <c r="L22" s="2047"/>
      <c r="M22" s="97" t="s">
        <v>1089</v>
      </c>
    </row>
    <row r="23" spans="1:13" ht="20.100000000000001" customHeight="1" x14ac:dyDescent="0.2">
      <c r="A23" s="430">
        <f t="shared" si="0"/>
        <v>18</v>
      </c>
      <c r="B23" s="430">
        <v>590</v>
      </c>
      <c r="C23" s="319" t="s">
        <v>1084</v>
      </c>
      <c r="D23" s="97" t="s">
        <v>1059</v>
      </c>
      <c r="E23" s="2050" t="s">
        <v>1086</v>
      </c>
      <c r="F23" s="367" t="s">
        <v>352</v>
      </c>
      <c r="G23" s="430"/>
      <c r="H23" s="430"/>
      <c r="I23" s="430"/>
      <c r="J23" s="430"/>
      <c r="K23" s="2047"/>
      <c r="L23" s="2047"/>
      <c r="M23" s="97" t="s">
        <v>1089</v>
      </c>
    </row>
    <row r="24" spans="1:13" ht="20.100000000000001" customHeight="1" x14ac:dyDescent="0.2">
      <c r="A24" s="430"/>
      <c r="B24" s="430"/>
      <c r="C24" s="430"/>
      <c r="D24" s="97"/>
      <c r="E24" s="430"/>
      <c r="F24" s="367"/>
      <c r="G24" s="430"/>
      <c r="H24" s="430"/>
      <c r="I24" s="430"/>
      <c r="J24" s="430"/>
      <c r="K24" s="2047"/>
      <c r="L24" s="2047"/>
      <c r="M24" s="97"/>
    </row>
    <row r="25" spans="1:13" x14ac:dyDescent="0.2">
      <c r="A25" s="430"/>
      <c r="B25" s="430"/>
      <c r="C25" s="430"/>
      <c r="D25" s="97"/>
      <c r="E25" s="430"/>
      <c r="F25" s="430"/>
      <c r="G25" s="430"/>
      <c r="H25" s="430"/>
      <c r="I25" s="430"/>
      <c r="J25" s="430"/>
      <c r="K25" s="2047"/>
      <c r="L25" s="2047"/>
      <c r="M25" s="97"/>
    </row>
    <row r="27" spans="1:13" ht="15" customHeight="1" x14ac:dyDescent="0.2"/>
  </sheetData>
  <pageMargins left="0.7" right="0.7" top="0.75" bottom="0.75" header="0.3" footer="0.3"/>
  <pageSetup paperSize="9"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workbookViewId="0">
      <selection activeCell="J18" sqref="J18"/>
    </sheetView>
  </sheetViews>
  <sheetFormatPr baseColWidth="10" defaultRowHeight="12.75" x14ac:dyDescent="0.2"/>
  <cols>
    <col min="1" max="1" width="12" customWidth="1"/>
    <col min="2" max="2" width="11" customWidth="1"/>
    <col min="3" max="3" width="13.5703125" customWidth="1"/>
    <col min="4" max="4" width="14" customWidth="1"/>
    <col min="5" max="5" width="13.7109375" customWidth="1"/>
    <col min="6" max="6" width="10.28515625" customWidth="1"/>
    <col min="7" max="7" width="19.140625" customWidth="1"/>
    <col min="13" max="13" width="11.85546875" bestFit="1" customWidth="1"/>
  </cols>
  <sheetData>
    <row r="1" spans="1:7" ht="18" x14ac:dyDescent="0.2">
      <c r="A1" s="2174"/>
      <c r="B1" s="2191" t="s">
        <v>212</v>
      </c>
      <c r="C1" s="467"/>
      <c r="D1" s="2174"/>
      <c r="E1" s="2174"/>
      <c r="F1" s="2174"/>
      <c r="G1" s="2174"/>
    </row>
    <row r="2" spans="1:7" ht="18" x14ac:dyDescent="0.2">
      <c r="A2" s="467"/>
      <c r="B2" s="2191" t="s">
        <v>170</v>
      </c>
      <c r="C2" s="2174"/>
      <c r="D2" s="2174"/>
      <c r="E2" s="2174"/>
      <c r="F2" s="2174"/>
      <c r="G2" s="2174"/>
    </row>
    <row r="3" spans="1:7" ht="18" x14ac:dyDescent="0.2">
      <c r="A3" s="2176"/>
      <c r="B3" s="2174"/>
      <c r="C3" s="2174"/>
      <c r="D3" s="2174"/>
      <c r="E3" s="2174"/>
      <c r="F3" s="2174"/>
      <c r="G3" s="2174"/>
    </row>
    <row r="4" spans="1:7" ht="18" x14ac:dyDescent="0.2">
      <c r="B4" s="467"/>
      <c r="C4" s="2174"/>
      <c r="D4" s="2176" t="s">
        <v>1842</v>
      </c>
      <c r="E4" s="2174"/>
      <c r="F4" s="467"/>
      <c r="G4" s="2174"/>
    </row>
    <row r="5" spans="1:7" ht="18" x14ac:dyDescent="0.2">
      <c r="A5" s="2175"/>
      <c r="B5" s="2176"/>
      <c r="C5" s="2174"/>
      <c r="D5" s="2174"/>
      <c r="E5" s="2174"/>
      <c r="F5" s="2174"/>
      <c r="G5" s="2192"/>
    </row>
    <row r="6" spans="1:7" ht="18" x14ac:dyDescent="0.2">
      <c r="A6" s="2175" t="s">
        <v>1366</v>
      </c>
      <c r="B6" s="2174"/>
      <c r="C6" s="2176" t="s">
        <v>608</v>
      </c>
      <c r="D6" s="2177"/>
      <c r="E6" s="2174"/>
      <c r="F6" s="2174"/>
      <c r="G6" s="2174"/>
    </row>
    <row r="7" spans="1:7" ht="18" x14ac:dyDescent="0.2">
      <c r="A7" s="2175"/>
      <c r="B7" s="2174"/>
      <c r="C7" s="2176"/>
      <c r="D7" s="2177"/>
      <c r="E7" s="2174"/>
      <c r="F7" s="2174"/>
      <c r="G7" s="2174"/>
    </row>
    <row r="8" spans="1:7" ht="15" x14ac:dyDescent="0.2">
      <c r="A8" s="2178"/>
      <c r="B8" s="2178"/>
      <c r="C8" s="2178"/>
      <c r="D8" s="2193" t="s">
        <v>1892</v>
      </c>
      <c r="E8" s="2194"/>
      <c r="F8" s="2178"/>
      <c r="G8" s="2178"/>
    </row>
    <row r="9" spans="1:7" ht="21" x14ac:dyDescent="0.2">
      <c r="A9" s="2179" t="s">
        <v>47</v>
      </c>
      <c r="B9" s="2179" t="s">
        <v>1367</v>
      </c>
      <c r="C9" s="2179" t="s">
        <v>282</v>
      </c>
      <c r="D9" s="2179" t="s">
        <v>148</v>
      </c>
      <c r="E9" s="2180" t="s">
        <v>141</v>
      </c>
      <c r="F9" s="2180" t="s">
        <v>624</v>
      </c>
      <c r="G9" s="2181" t="s">
        <v>37</v>
      </c>
    </row>
    <row r="10" spans="1:7" ht="16.5" x14ac:dyDescent="0.2">
      <c r="A10" s="2554">
        <v>43678</v>
      </c>
      <c r="B10" s="2179">
        <v>189906</v>
      </c>
      <c r="C10" s="2179" t="s">
        <v>1846</v>
      </c>
      <c r="D10" s="2179" t="s">
        <v>2</v>
      </c>
      <c r="E10" s="2180">
        <v>1150</v>
      </c>
      <c r="F10" s="2180">
        <v>575</v>
      </c>
      <c r="G10" s="2555">
        <f>+E10*F10</f>
        <v>661250</v>
      </c>
    </row>
    <row r="11" spans="1:7" ht="16.5" x14ac:dyDescent="0.2">
      <c r="A11" s="2554">
        <v>43678</v>
      </c>
      <c r="B11" s="2588">
        <v>189907</v>
      </c>
      <c r="C11" s="2589" t="s">
        <v>1864</v>
      </c>
      <c r="D11" s="2198" t="s">
        <v>2</v>
      </c>
      <c r="E11" s="2587">
        <v>1150</v>
      </c>
      <c r="F11" s="2200">
        <v>575</v>
      </c>
      <c r="G11" s="2556">
        <f t="shared" ref="G11:G32" si="0">+E11*F11</f>
        <v>661250</v>
      </c>
    </row>
    <row r="12" spans="1:7" ht="16.5" x14ac:dyDescent="0.2">
      <c r="A12" s="2554">
        <v>43687</v>
      </c>
      <c r="B12" s="2588">
        <v>692456</v>
      </c>
      <c r="C12" s="2589" t="s">
        <v>1507</v>
      </c>
      <c r="D12" s="2198" t="s">
        <v>2</v>
      </c>
      <c r="E12" s="2587">
        <v>1150</v>
      </c>
      <c r="F12" s="2200">
        <v>575</v>
      </c>
      <c r="G12" s="2556">
        <f t="shared" si="0"/>
        <v>661250</v>
      </c>
    </row>
    <row r="13" spans="1:7" ht="16.5" x14ac:dyDescent="0.2">
      <c r="A13" s="2554">
        <v>43687</v>
      </c>
      <c r="B13" s="2588">
        <v>692457</v>
      </c>
      <c r="C13" s="2588" t="s">
        <v>1454</v>
      </c>
      <c r="D13" s="2198" t="s">
        <v>2</v>
      </c>
      <c r="E13" s="2587">
        <v>1150</v>
      </c>
      <c r="F13" s="2200">
        <v>575</v>
      </c>
      <c r="G13" s="2556">
        <f t="shared" si="0"/>
        <v>661250</v>
      </c>
    </row>
    <row r="14" spans="1:7" ht="16.5" x14ac:dyDescent="0.2">
      <c r="A14" s="2554">
        <v>43692</v>
      </c>
      <c r="B14" s="2588">
        <v>692465</v>
      </c>
      <c r="C14" s="2589" t="s">
        <v>1455</v>
      </c>
      <c r="D14" s="2198" t="s">
        <v>2</v>
      </c>
      <c r="E14" s="2587">
        <v>1150</v>
      </c>
      <c r="F14" s="2200">
        <v>575</v>
      </c>
      <c r="G14" s="2556">
        <f t="shared" si="0"/>
        <v>661250</v>
      </c>
    </row>
    <row r="15" spans="1:7" ht="16.5" x14ac:dyDescent="0.2">
      <c r="A15" s="2554">
        <v>43705</v>
      </c>
      <c r="B15" s="2588">
        <v>538718</v>
      </c>
      <c r="C15" s="2589" t="s">
        <v>1453</v>
      </c>
      <c r="D15" s="2198" t="s">
        <v>2</v>
      </c>
      <c r="E15" s="2587">
        <v>1050</v>
      </c>
      <c r="F15" s="2200">
        <v>575</v>
      </c>
      <c r="G15" s="2556">
        <f t="shared" si="0"/>
        <v>603750</v>
      </c>
    </row>
    <row r="16" spans="1:7" ht="16.5" x14ac:dyDescent="0.2">
      <c r="A16" s="2554">
        <v>43705</v>
      </c>
      <c r="B16" s="2588">
        <v>538718</v>
      </c>
      <c r="C16" s="2589" t="s">
        <v>1893</v>
      </c>
      <c r="D16" s="2198" t="s">
        <v>2</v>
      </c>
      <c r="E16" s="2587">
        <v>1050</v>
      </c>
      <c r="F16" s="2200">
        <v>575</v>
      </c>
      <c r="G16" s="2556">
        <f t="shared" si="0"/>
        <v>603750</v>
      </c>
    </row>
    <row r="17" spans="1:13" ht="16.5" x14ac:dyDescent="0.2">
      <c r="A17" s="2554">
        <v>43705</v>
      </c>
      <c r="B17" s="2588">
        <v>538718</v>
      </c>
      <c r="C17" s="2589" t="s">
        <v>1865</v>
      </c>
      <c r="D17" s="2198" t="s">
        <v>2</v>
      </c>
      <c r="E17" s="2587">
        <v>1050</v>
      </c>
      <c r="F17" s="2200">
        <v>575</v>
      </c>
      <c r="G17" s="2556">
        <f t="shared" si="0"/>
        <v>603750</v>
      </c>
    </row>
    <row r="18" spans="1:13" ht="16.5" x14ac:dyDescent="0.2">
      <c r="A18" s="2554">
        <v>43705</v>
      </c>
      <c r="B18" s="2588">
        <v>538718</v>
      </c>
      <c r="C18" s="2589" t="s">
        <v>1635</v>
      </c>
      <c r="D18" s="2198" t="s">
        <v>2</v>
      </c>
      <c r="E18" s="2587">
        <v>1050</v>
      </c>
      <c r="F18" s="2200">
        <v>575</v>
      </c>
      <c r="G18" s="2556">
        <f t="shared" si="0"/>
        <v>603750</v>
      </c>
    </row>
    <row r="19" spans="1:13" ht="16.5" x14ac:dyDescent="0.2">
      <c r="A19" s="2554">
        <v>43705</v>
      </c>
      <c r="B19" s="2588">
        <v>538718</v>
      </c>
      <c r="C19" s="2589" t="s">
        <v>1506</v>
      </c>
      <c r="D19" s="2198" t="s">
        <v>2</v>
      </c>
      <c r="E19" s="2199">
        <v>1050</v>
      </c>
      <c r="F19" s="2200">
        <v>575</v>
      </c>
      <c r="G19" s="2556">
        <f t="shared" si="0"/>
        <v>603750</v>
      </c>
    </row>
    <row r="20" spans="1:13" ht="16.5" x14ac:dyDescent="0.2">
      <c r="A20" s="2195"/>
      <c r="B20" s="2196"/>
      <c r="C20" s="2197"/>
      <c r="D20" s="2198" t="s">
        <v>2</v>
      </c>
      <c r="E20" s="2199"/>
      <c r="F20" s="2200">
        <v>575</v>
      </c>
      <c r="G20" s="2556">
        <f t="shared" si="0"/>
        <v>0</v>
      </c>
    </row>
    <row r="21" spans="1:13" ht="16.5" hidden="1" x14ac:dyDescent="0.2">
      <c r="A21" s="2195"/>
      <c r="B21" s="2196"/>
      <c r="C21" s="2197"/>
      <c r="D21" s="2198" t="s">
        <v>2</v>
      </c>
      <c r="E21" s="2199"/>
      <c r="F21" s="2200">
        <v>575</v>
      </c>
      <c r="G21" s="2556">
        <f t="shared" si="0"/>
        <v>0</v>
      </c>
    </row>
    <row r="22" spans="1:13" ht="16.5" hidden="1" x14ac:dyDescent="0.2">
      <c r="A22" s="2195"/>
      <c r="B22" s="2196"/>
      <c r="C22" s="2197"/>
      <c r="D22" s="2198" t="s">
        <v>2</v>
      </c>
      <c r="E22" s="2199"/>
      <c r="F22" s="2200">
        <v>575</v>
      </c>
      <c r="G22" s="2556">
        <f t="shared" si="0"/>
        <v>0</v>
      </c>
    </row>
    <row r="23" spans="1:13" ht="16.5" hidden="1" x14ac:dyDescent="0.2">
      <c r="A23" s="2195"/>
      <c r="B23" s="2196"/>
      <c r="C23" s="2197"/>
      <c r="D23" s="2198" t="s">
        <v>2</v>
      </c>
      <c r="E23" s="2199"/>
      <c r="F23" s="2200">
        <v>575</v>
      </c>
      <c r="G23" s="2556">
        <f t="shared" si="0"/>
        <v>0</v>
      </c>
    </row>
    <row r="24" spans="1:13" ht="16.5" hidden="1" x14ac:dyDescent="0.2">
      <c r="A24" s="2195"/>
      <c r="B24" s="2196"/>
      <c r="C24" s="2197"/>
      <c r="D24" s="2198" t="s">
        <v>2</v>
      </c>
      <c r="E24" s="2199"/>
      <c r="F24" s="2200">
        <v>575</v>
      </c>
      <c r="G24" s="2556">
        <f t="shared" si="0"/>
        <v>0</v>
      </c>
    </row>
    <row r="25" spans="1:13" ht="16.5" hidden="1" x14ac:dyDescent="0.2">
      <c r="A25" s="2195"/>
      <c r="B25" s="2196"/>
      <c r="C25" s="2197"/>
      <c r="D25" s="2198" t="s">
        <v>2</v>
      </c>
      <c r="E25" s="2199"/>
      <c r="F25" s="2200">
        <v>575</v>
      </c>
      <c r="G25" s="2556">
        <f t="shared" si="0"/>
        <v>0</v>
      </c>
    </row>
    <row r="26" spans="1:13" ht="16.5" hidden="1" x14ac:dyDescent="0.2">
      <c r="A26" s="2195"/>
      <c r="B26" s="2196"/>
      <c r="C26" s="2197"/>
      <c r="D26" s="2198" t="s">
        <v>2</v>
      </c>
      <c r="E26" s="2199"/>
      <c r="F26" s="2200">
        <v>575</v>
      </c>
      <c r="G26" s="2557">
        <f t="shared" si="0"/>
        <v>0</v>
      </c>
    </row>
    <row r="27" spans="1:13" ht="16.5" hidden="1" x14ac:dyDescent="0.2">
      <c r="A27" s="2195"/>
      <c r="B27" s="2196"/>
      <c r="C27" s="2197"/>
      <c r="D27" s="2198" t="s">
        <v>2</v>
      </c>
      <c r="E27" s="2199"/>
      <c r="F27" s="2200">
        <v>575</v>
      </c>
      <c r="G27" s="2557">
        <f t="shared" si="0"/>
        <v>0</v>
      </c>
    </row>
    <row r="28" spans="1:13" ht="16.5" hidden="1" x14ac:dyDescent="0.2">
      <c r="A28" s="2195"/>
      <c r="B28" s="2196"/>
      <c r="C28" s="2197"/>
      <c r="D28" s="2198" t="s">
        <v>2</v>
      </c>
      <c r="E28" s="2199"/>
      <c r="F28" s="2200">
        <v>575</v>
      </c>
      <c r="G28" s="2557">
        <f t="shared" si="0"/>
        <v>0</v>
      </c>
    </row>
    <row r="29" spans="1:13" ht="16.5" hidden="1" x14ac:dyDescent="0.2">
      <c r="A29" s="2195"/>
      <c r="B29" s="2196"/>
      <c r="C29" s="2197"/>
      <c r="D29" s="2198" t="s">
        <v>2</v>
      </c>
      <c r="E29" s="2199"/>
      <c r="F29" s="2200">
        <v>575</v>
      </c>
      <c r="G29" s="2557">
        <f t="shared" si="0"/>
        <v>0</v>
      </c>
      <c r="M29" s="927"/>
    </row>
    <row r="30" spans="1:13" ht="16.5" hidden="1" x14ac:dyDescent="0.2">
      <c r="A30" s="2195"/>
      <c r="B30" s="2196"/>
      <c r="C30" s="2197"/>
      <c r="D30" s="2198" t="s">
        <v>2</v>
      </c>
      <c r="E30" s="2199"/>
      <c r="F30" s="2200">
        <v>575</v>
      </c>
      <c r="G30" s="2201">
        <f t="shared" si="0"/>
        <v>0</v>
      </c>
    </row>
    <row r="31" spans="1:13" ht="16.5" hidden="1" x14ac:dyDescent="0.2">
      <c r="A31" s="2209"/>
      <c r="B31" s="2210"/>
      <c r="C31" s="2211"/>
      <c r="D31" s="2198" t="s">
        <v>2</v>
      </c>
      <c r="E31" s="2208"/>
      <c r="F31" s="2200">
        <v>575</v>
      </c>
      <c r="G31" s="2201">
        <f t="shared" si="0"/>
        <v>0</v>
      </c>
    </row>
    <row r="32" spans="1:13" ht="16.5" hidden="1" x14ac:dyDescent="0.2">
      <c r="A32" s="2209"/>
      <c r="B32" s="2210"/>
      <c r="C32" s="2211"/>
      <c r="D32" s="2198" t="s">
        <v>2</v>
      </c>
      <c r="E32" s="2199"/>
      <c r="F32" s="2200">
        <v>575</v>
      </c>
      <c r="G32" s="2201">
        <f t="shared" si="0"/>
        <v>0</v>
      </c>
    </row>
    <row r="33" spans="1:7" ht="16.5" x14ac:dyDescent="0.2">
      <c r="A33" s="3295" t="s">
        <v>18</v>
      </c>
      <c r="B33" s="3296"/>
      <c r="C33" s="3297"/>
      <c r="D33" s="2182" t="s">
        <v>1368</v>
      </c>
      <c r="E33" s="2183"/>
      <c r="F33" s="2184">
        <v>630</v>
      </c>
      <c r="G33" s="2201">
        <f>+E33*F33</f>
        <v>0</v>
      </c>
    </row>
    <row r="34" spans="1:7" ht="33" customHeight="1" x14ac:dyDescent="0.2">
      <c r="A34" s="3298"/>
      <c r="B34" s="3299"/>
      <c r="C34" s="3300"/>
      <c r="D34" s="2184" t="s">
        <v>2</v>
      </c>
      <c r="E34" s="2590">
        <f>E10+E11+E12+E13+E14+E15+E16+E17+E18+E19+E20+E21+E22+E23+E24</f>
        <v>11000</v>
      </c>
      <c r="F34" s="2184">
        <v>575</v>
      </c>
      <c r="G34" s="2558">
        <f>G10+G11+G12+G13+G14+G15+G16+G17+G18+G19+G20+G21+G22+G23+G24</f>
        <v>6325000</v>
      </c>
    </row>
    <row r="35" spans="1:7" ht="18.75" x14ac:dyDescent="0.2">
      <c r="A35" s="3298"/>
      <c r="B35" s="3299"/>
      <c r="C35" s="3300"/>
      <c r="D35" s="2184" t="s">
        <v>147</v>
      </c>
      <c r="E35" s="2185"/>
      <c r="F35" s="2184">
        <v>350</v>
      </c>
      <c r="G35" s="2185"/>
    </row>
    <row r="36" spans="1:7" ht="18.75" x14ac:dyDescent="0.2">
      <c r="A36" s="3298"/>
      <c r="B36" s="3299"/>
      <c r="C36" s="3300"/>
      <c r="D36" s="2184" t="s">
        <v>268</v>
      </c>
      <c r="E36" s="2185"/>
      <c r="F36" s="2185"/>
      <c r="G36" s="2185"/>
    </row>
    <row r="37" spans="1:7" ht="20.25" x14ac:dyDescent="0.2">
      <c r="A37" s="3301"/>
      <c r="B37" s="3302"/>
      <c r="C37" s="3303"/>
      <c r="D37" s="2184" t="s">
        <v>1369</v>
      </c>
      <c r="E37" s="2202">
        <f>SUM(E10:E32)</f>
        <v>11000</v>
      </c>
      <c r="F37" s="2186"/>
      <c r="G37" s="2559">
        <f>SUM(G10:G32)</f>
        <v>6325000</v>
      </c>
    </row>
    <row r="39" spans="1:7" ht="37.5" customHeight="1" x14ac:dyDescent="0.2">
      <c r="A39" s="3304" t="s">
        <v>1894</v>
      </c>
      <c r="B39" s="3304"/>
      <c r="C39" s="3304"/>
      <c r="D39" s="3304"/>
      <c r="E39" s="3304"/>
      <c r="F39" s="3304"/>
      <c r="G39" s="3304"/>
    </row>
    <row r="40" spans="1:7" ht="14.25" customHeight="1" x14ac:dyDescent="0.2"/>
    <row r="41" spans="1:7" ht="7.5" hidden="1" customHeight="1" x14ac:dyDescent="0.2"/>
    <row r="42" spans="1:7" ht="1.5" hidden="1" customHeight="1" x14ac:dyDescent="0.25">
      <c r="A42" s="79" t="s">
        <v>121</v>
      </c>
      <c r="B42" s="79" t="s">
        <v>61</v>
      </c>
      <c r="C42" s="79" t="s">
        <v>122</v>
      </c>
      <c r="D42" s="2212" t="s">
        <v>39</v>
      </c>
    </row>
    <row r="43" spans="1:7" ht="16.5" x14ac:dyDescent="0.3">
      <c r="A43" s="1005" t="s">
        <v>15</v>
      </c>
      <c r="B43" s="2213">
        <f>B40</f>
        <v>0</v>
      </c>
      <c r="C43" s="59"/>
      <c r="D43" s="2214">
        <f>B43*C43</f>
        <v>0</v>
      </c>
    </row>
    <row r="44" spans="1:7" ht="16.5" x14ac:dyDescent="0.3">
      <c r="A44" s="1005" t="s">
        <v>16</v>
      </c>
      <c r="B44" s="2215">
        <f>+E34</f>
        <v>11000</v>
      </c>
      <c r="C44" s="98">
        <v>3</v>
      </c>
      <c r="D44" s="2214">
        <f>B44*C44</f>
        <v>33000</v>
      </c>
    </row>
    <row r="45" spans="1:7" ht="16.5" x14ac:dyDescent="0.3">
      <c r="A45" s="1005" t="s">
        <v>17</v>
      </c>
      <c r="B45" s="2213">
        <f>F40</f>
        <v>0</v>
      </c>
      <c r="C45" s="59"/>
      <c r="D45" s="2214">
        <f>B45*C45</f>
        <v>0</v>
      </c>
    </row>
    <row r="46" spans="1:7" ht="16.5" x14ac:dyDescent="0.3">
      <c r="A46" s="2216" t="s">
        <v>18</v>
      </c>
      <c r="B46" s="2217"/>
      <c r="C46" s="2218"/>
      <c r="D46" s="2214">
        <f>SUM(D43:D45)</f>
        <v>33000</v>
      </c>
    </row>
    <row r="78" spans="11:11" x14ac:dyDescent="0.2">
      <c r="K78" s="927">
        <f>3*E37</f>
        <v>33000</v>
      </c>
    </row>
  </sheetData>
  <mergeCells count="2">
    <mergeCell ref="A33:C37"/>
    <mergeCell ref="A39:G39"/>
  </mergeCells>
  <printOptions horizontalCentered="1"/>
  <pageMargins left="0.51181102362204722" right="0.51181102362204722" top="0.35433070866141736" bottom="0.74803149606299213" header="0.31496062992125984" footer="0.31496062992125984"/>
  <pageSetup paperSize="9" orientation="portrait"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4" workbookViewId="0">
      <selection activeCell="A24" sqref="A24"/>
    </sheetView>
  </sheetViews>
  <sheetFormatPr baseColWidth="10" defaultRowHeight="12.75" x14ac:dyDescent="0.2"/>
  <cols>
    <col min="1" max="1" width="33.7109375" customWidth="1"/>
    <col min="2" max="2" width="25.7109375" customWidth="1"/>
    <col min="3" max="3" width="16.5703125" customWidth="1"/>
    <col min="4" max="4" width="16.7109375" customWidth="1"/>
    <col min="5" max="5" width="22.28515625" customWidth="1"/>
    <col min="7" max="7" width="18.5703125" hidden="1" customWidth="1"/>
    <col min="8" max="8" width="11.5703125" hidden="1" customWidth="1"/>
    <col min="10" max="13" width="11.5703125" bestFit="1" customWidth="1"/>
  </cols>
  <sheetData>
    <row r="1" spans="1:9" ht="22.5" customHeight="1" x14ac:dyDescent="0.3">
      <c r="B1" s="36"/>
      <c r="C1" s="36"/>
    </row>
    <row r="2" spans="1:9" ht="21" x14ac:dyDescent="0.35">
      <c r="B2" s="52" t="s">
        <v>1964</v>
      </c>
      <c r="G2" t="s">
        <v>1875</v>
      </c>
    </row>
    <row r="3" spans="1:9" ht="15" x14ac:dyDescent="0.25">
      <c r="B3" s="69"/>
      <c r="D3" s="39"/>
      <c r="E3" s="69"/>
      <c r="G3">
        <v>90915100001</v>
      </c>
      <c r="H3">
        <v>10</v>
      </c>
    </row>
    <row r="4" spans="1:9" s="2657" customFormat="1" ht="15" x14ac:dyDescent="0.25">
      <c r="B4" s="69"/>
      <c r="D4" s="39"/>
      <c r="E4" s="69"/>
    </row>
    <row r="5" spans="1:9" s="2657" customFormat="1" ht="15" x14ac:dyDescent="0.25">
      <c r="B5" s="69"/>
      <c r="D5" s="39"/>
      <c r="E5" s="69" t="s">
        <v>1961</v>
      </c>
    </row>
    <row r="6" spans="1:9" x14ac:dyDescent="0.2">
      <c r="G6">
        <v>9091530002</v>
      </c>
      <c r="H6">
        <v>4</v>
      </c>
    </row>
    <row r="7" spans="1:9" ht="13.5" thickBot="1" x14ac:dyDescent="0.25">
      <c r="G7">
        <v>9091503003</v>
      </c>
      <c r="H7">
        <v>2</v>
      </c>
      <c r="I7" s="42"/>
    </row>
    <row r="8" spans="1:9" s="42" customFormat="1" ht="30" customHeight="1" x14ac:dyDescent="0.35">
      <c r="A8" s="2566" t="s">
        <v>1866</v>
      </c>
      <c r="B8" s="2567" t="s">
        <v>1872</v>
      </c>
      <c r="C8" s="69"/>
      <c r="D8" s="2566" t="s">
        <v>1867</v>
      </c>
      <c r="E8" s="2571" t="s">
        <v>1962</v>
      </c>
      <c r="G8" s="42">
        <v>2330364010</v>
      </c>
      <c r="H8" s="42">
        <v>2</v>
      </c>
    </row>
    <row r="9" spans="1:9" s="42" customFormat="1" ht="30" customHeight="1" x14ac:dyDescent="0.3">
      <c r="A9" s="2568" t="s">
        <v>1868</v>
      </c>
      <c r="B9" s="2569" t="s">
        <v>1870</v>
      </c>
      <c r="C9" s="69"/>
      <c r="D9" s="2568" t="s">
        <v>1868</v>
      </c>
      <c r="E9" s="1621" t="s">
        <v>1870</v>
      </c>
      <c r="G9" s="42">
        <v>1560041010</v>
      </c>
      <c r="H9" s="42">
        <v>2</v>
      </c>
    </row>
    <row r="10" spans="1:9" s="42" customFormat="1" ht="30" customHeight="1" thickBot="1" x14ac:dyDescent="0.35">
      <c r="A10" s="2570" t="s">
        <v>1869</v>
      </c>
      <c r="B10" s="681" t="s">
        <v>1873</v>
      </c>
      <c r="C10" s="69"/>
      <c r="D10" s="2570" t="s">
        <v>1869</v>
      </c>
      <c r="E10" s="2572" t="s">
        <v>1871</v>
      </c>
      <c r="G10" s="42" t="s">
        <v>1876</v>
      </c>
      <c r="H10" s="42">
        <v>1</v>
      </c>
      <c r="I10"/>
    </row>
    <row r="11" spans="1:9" x14ac:dyDescent="0.2">
      <c r="G11">
        <v>6011800009</v>
      </c>
      <c r="H11">
        <v>2</v>
      </c>
    </row>
    <row r="12" spans="1:9" x14ac:dyDescent="0.2">
      <c r="G12" t="s">
        <v>1877</v>
      </c>
      <c r="H12">
        <v>1</v>
      </c>
    </row>
    <row r="13" spans="1:9" x14ac:dyDescent="0.2">
      <c r="G13" t="s">
        <v>1878</v>
      </c>
      <c r="H13">
        <v>2</v>
      </c>
      <c r="I13" s="2573"/>
    </row>
    <row r="14" spans="1:9" x14ac:dyDescent="0.2">
      <c r="G14" t="s">
        <v>1879</v>
      </c>
      <c r="H14">
        <v>1</v>
      </c>
    </row>
    <row r="15" spans="1:9" x14ac:dyDescent="0.2">
      <c r="G15" t="s">
        <v>1880</v>
      </c>
      <c r="H15">
        <v>2</v>
      </c>
    </row>
    <row r="16" spans="1:9" ht="13.5" thickBot="1" x14ac:dyDescent="0.25">
      <c r="G16" t="s">
        <v>1881</v>
      </c>
      <c r="H16">
        <v>2</v>
      </c>
    </row>
    <row r="17" spans="1:9" ht="23.25" x14ac:dyDescent="0.35">
      <c r="A17" s="1454" t="s">
        <v>414</v>
      </c>
      <c r="B17" s="1455" t="s">
        <v>819</v>
      </c>
      <c r="C17" s="1455" t="s">
        <v>56</v>
      </c>
      <c r="D17" s="1455" t="s">
        <v>38</v>
      </c>
      <c r="E17" s="1456" t="s">
        <v>37</v>
      </c>
      <c r="G17">
        <v>1457429143</v>
      </c>
      <c r="H17">
        <v>2</v>
      </c>
      <c r="I17" s="2565"/>
    </row>
    <row r="18" spans="1:9" s="2565" customFormat="1" ht="50.25" customHeight="1" thickBot="1" x14ac:dyDescent="0.4">
      <c r="A18" s="2658" t="s">
        <v>1963</v>
      </c>
      <c r="B18" s="2576" t="s">
        <v>1965</v>
      </c>
      <c r="C18" s="2577">
        <v>1</v>
      </c>
      <c r="D18" s="2563"/>
      <c r="E18" s="2564"/>
      <c r="G18" s="2580">
        <v>1041840225</v>
      </c>
      <c r="H18" s="2580">
        <v>2</v>
      </c>
      <c r="I18"/>
    </row>
    <row r="19" spans="1:9" x14ac:dyDescent="0.2">
      <c r="G19" t="s">
        <v>1882</v>
      </c>
      <c r="H19">
        <v>1</v>
      </c>
    </row>
    <row r="20" spans="1:9" x14ac:dyDescent="0.2">
      <c r="G20" t="s">
        <v>1883</v>
      </c>
      <c r="H20">
        <v>1</v>
      </c>
    </row>
    <row r="21" spans="1:9" x14ac:dyDescent="0.2">
      <c r="G21" t="s">
        <v>1884</v>
      </c>
      <c r="H21">
        <v>1</v>
      </c>
    </row>
    <row r="22" spans="1:9" x14ac:dyDescent="0.2">
      <c r="G22" t="s">
        <v>1885</v>
      </c>
      <c r="H22">
        <v>1</v>
      </c>
    </row>
    <row r="23" spans="1:9" x14ac:dyDescent="0.2">
      <c r="G23">
        <v>2339064450</v>
      </c>
      <c r="H23">
        <v>1</v>
      </c>
    </row>
    <row r="24" spans="1:9" x14ac:dyDescent="0.2">
      <c r="G24" t="s">
        <v>1886</v>
      </c>
      <c r="H24">
        <v>2</v>
      </c>
    </row>
    <row r="25" spans="1:9" x14ac:dyDescent="0.2">
      <c r="G25">
        <v>3661840125</v>
      </c>
      <c r="H25">
        <v>4</v>
      </c>
    </row>
    <row r="26" spans="1:9" ht="15" x14ac:dyDescent="0.3">
      <c r="G26" t="s">
        <v>1887</v>
      </c>
      <c r="H26">
        <v>2</v>
      </c>
      <c r="I26" s="2574"/>
    </row>
    <row r="27" spans="1:9" s="2574" customFormat="1" ht="15" x14ac:dyDescent="0.3">
      <c r="A27" s="2575" t="s">
        <v>214</v>
      </c>
      <c r="C27" s="2660"/>
      <c r="D27" s="2659"/>
      <c r="E27" s="2660" t="s">
        <v>1874</v>
      </c>
      <c r="G27" s="2574" t="s">
        <v>1888</v>
      </c>
      <c r="H27" s="2574">
        <v>2</v>
      </c>
      <c r="I27"/>
    </row>
    <row r="28" spans="1:9" x14ac:dyDescent="0.2">
      <c r="G28" t="s">
        <v>1889</v>
      </c>
      <c r="H28">
        <v>6</v>
      </c>
    </row>
    <row r="29" spans="1:9" x14ac:dyDescent="0.2">
      <c r="G29" t="s">
        <v>1890</v>
      </c>
      <c r="H29">
        <v>6</v>
      </c>
    </row>
    <row r="30" spans="1:9" x14ac:dyDescent="0.2">
      <c r="G30">
        <v>5000670701</v>
      </c>
      <c r="H30">
        <v>4</v>
      </c>
    </row>
    <row r="31" spans="1:9" x14ac:dyDescent="0.2">
      <c r="G31" t="s">
        <v>1891</v>
      </c>
      <c r="H31">
        <v>4</v>
      </c>
    </row>
    <row r="36" spans="2:4" x14ac:dyDescent="0.2">
      <c r="B36" s="3306"/>
      <c r="C36" s="3306"/>
      <c r="D36" s="3306"/>
    </row>
    <row r="37" spans="2:4" ht="13.5" thickBot="1" x14ac:dyDescent="0.25">
      <c r="B37" s="3305"/>
      <c r="C37" s="3305"/>
      <c r="D37" s="3305"/>
    </row>
  </sheetData>
  <mergeCells count="2">
    <mergeCell ref="B37:D37"/>
    <mergeCell ref="B36:D36"/>
  </mergeCells>
  <printOptions horizontalCentered="1"/>
  <pageMargins left="0" right="0" top="0" bottom="0" header="0.31496062992125984" footer="0.31496062992125984"/>
  <pageSetup paperSize="9" orientation="landscape" horizontalDpi="0" verticalDpi="0" r:id="rId1"/>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29" workbookViewId="0">
      <selection activeCell="A10" sqref="A10:A11"/>
    </sheetView>
  </sheetViews>
  <sheetFormatPr baseColWidth="10" defaultRowHeight="18.75" x14ac:dyDescent="0.3"/>
  <cols>
    <col min="1" max="1" width="26.140625" style="2595" customWidth="1"/>
    <col min="2" max="2" width="31.7109375" style="2595" customWidth="1"/>
    <col min="3" max="3" width="65.5703125" style="2160" customWidth="1"/>
    <col min="4" max="4" width="54" style="2604" customWidth="1"/>
    <col min="5" max="16384" width="11.42578125" style="2595"/>
  </cols>
  <sheetData>
    <row r="1" spans="1:4" ht="29.25" x14ac:dyDescent="0.5">
      <c r="A1" s="2596" t="s">
        <v>170</v>
      </c>
      <c r="C1" s="2597"/>
      <c r="D1" s="2598"/>
    </row>
    <row r="2" spans="1:4" ht="27.75" x14ac:dyDescent="0.4">
      <c r="A2" s="2599" t="s">
        <v>212</v>
      </c>
      <c r="C2" s="2597"/>
      <c r="D2" s="2598"/>
    </row>
    <row r="5" spans="1:4" ht="19.5" thickBot="1" x14ac:dyDescent="0.35">
      <c r="B5" s="2600"/>
      <c r="C5" s="2601"/>
      <c r="D5" s="2602"/>
    </row>
    <row r="6" spans="1:4" ht="27" thickBot="1" x14ac:dyDescent="0.3">
      <c r="B6" s="2600"/>
      <c r="C6" s="2712" t="s">
        <v>432</v>
      </c>
      <c r="D6" s="2619"/>
    </row>
    <row r="7" spans="1:4" x14ac:dyDescent="0.3">
      <c r="B7" s="2600"/>
      <c r="C7" s="2601"/>
      <c r="D7" s="2603"/>
    </row>
    <row r="8" spans="1:4" ht="12.75" customHeight="1" thickBot="1" x14ac:dyDescent="0.35"/>
    <row r="9" spans="1:4" ht="48" hidden="1" customHeight="1" x14ac:dyDescent="0.3"/>
    <row r="10" spans="1:4" ht="19.5" customHeight="1" x14ac:dyDescent="0.25">
      <c r="A10" s="3318" t="s">
        <v>519</v>
      </c>
      <c r="B10" s="3320" t="s">
        <v>425</v>
      </c>
      <c r="C10" s="3309" t="s">
        <v>1897</v>
      </c>
      <c r="D10" s="3311" t="s">
        <v>1021</v>
      </c>
    </row>
    <row r="11" spans="1:4" ht="13.5" customHeight="1" thickBot="1" x14ac:dyDescent="0.3">
      <c r="A11" s="3319"/>
      <c r="B11" s="3321"/>
      <c r="C11" s="3310"/>
      <c r="D11" s="3312"/>
    </row>
    <row r="12" spans="1:4" ht="88.5" customHeight="1" x14ac:dyDescent="0.25">
      <c r="A12" s="3315" t="s">
        <v>495</v>
      </c>
      <c r="B12" s="2605" t="s">
        <v>1898</v>
      </c>
      <c r="C12" s="2606" t="s">
        <v>1919</v>
      </c>
      <c r="D12" s="2623" t="s">
        <v>1918</v>
      </c>
    </row>
    <row r="13" spans="1:4" ht="108" customHeight="1" x14ac:dyDescent="0.25">
      <c r="A13" s="3316"/>
      <c r="B13" s="2608" t="s">
        <v>1927</v>
      </c>
      <c r="C13" s="2606" t="s">
        <v>1925</v>
      </c>
      <c r="D13" s="2624" t="s">
        <v>1926</v>
      </c>
    </row>
    <row r="14" spans="1:4" ht="87.75" customHeight="1" x14ac:dyDescent="0.25">
      <c r="A14" s="3316"/>
      <c r="B14" s="2608" t="s">
        <v>1930</v>
      </c>
      <c r="C14" s="2606" t="s">
        <v>1931</v>
      </c>
      <c r="D14" s="2624" t="s">
        <v>1932</v>
      </c>
    </row>
    <row r="15" spans="1:4" ht="54" customHeight="1" x14ac:dyDescent="0.25">
      <c r="A15" s="3316"/>
      <c r="B15" s="3322" t="s">
        <v>554</v>
      </c>
      <c r="C15" s="2613" t="s">
        <v>1920</v>
      </c>
      <c r="D15" s="2710" t="s">
        <v>1955</v>
      </c>
    </row>
    <row r="16" spans="1:4" ht="54" customHeight="1" x14ac:dyDescent="0.25">
      <c r="A16" s="3316"/>
      <c r="B16" s="3323"/>
      <c r="C16" s="2613" t="s">
        <v>2113</v>
      </c>
      <c r="D16" s="2710" t="s">
        <v>2114</v>
      </c>
    </row>
    <row r="17" spans="1:4" ht="67.5" customHeight="1" x14ac:dyDescent="0.25">
      <c r="A17" s="3316"/>
      <c r="B17" s="3324"/>
      <c r="C17" s="2613" t="s">
        <v>1956</v>
      </c>
      <c r="D17" s="2710" t="s">
        <v>2003</v>
      </c>
    </row>
    <row r="18" spans="1:4" ht="62.25" customHeight="1" x14ac:dyDescent="0.25">
      <c r="A18" s="3316"/>
      <c r="B18" s="2605" t="s">
        <v>1921</v>
      </c>
      <c r="C18" s="2606" t="s">
        <v>1922</v>
      </c>
      <c r="D18" s="2624" t="s">
        <v>1899</v>
      </c>
    </row>
    <row r="19" spans="1:4" ht="49.5" customHeight="1" x14ac:dyDescent="0.25">
      <c r="A19" s="3316"/>
      <c r="B19" s="2610" t="s">
        <v>1928</v>
      </c>
      <c r="C19" s="2606" t="s">
        <v>1923</v>
      </c>
      <c r="D19" s="2624" t="s">
        <v>1929</v>
      </c>
    </row>
    <row r="20" spans="1:4" ht="63.75" customHeight="1" x14ac:dyDescent="0.25">
      <c r="A20" s="3316"/>
      <c r="B20" s="2610" t="s">
        <v>1989</v>
      </c>
      <c r="C20" s="2606" t="s">
        <v>1990</v>
      </c>
      <c r="D20" s="2624" t="s">
        <v>1991</v>
      </c>
    </row>
    <row r="21" spans="1:4" ht="84" customHeight="1" x14ac:dyDescent="0.25">
      <c r="A21" s="3316"/>
      <c r="B21" s="2610" t="s">
        <v>1900</v>
      </c>
      <c r="C21" s="2606" t="s">
        <v>1901</v>
      </c>
      <c r="D21" s="2624" t="s">
        <v>2112</v>
      </c>
    </row>
    <row r="22" spans="1:4" ht="54" customHeight="1" x14ac:dyDescent="0.25">
      <c r="A22" s="3317"/>
      <c r="B22" s="2608" t="s">
        <v>1902</v>
      </c>
      <c r="C22" s="2606" t="s">
        <v>1924</v>
      </c>
      <c r="D22" s="2607"/>
    </row>
    <row r="23" spans="1:4" ht="54" customHeight="1" x14ac:dyDescent="0.25">
      <c r="A23" s="3328" t="s">
        <v>1903</v>
      </c>
      <c r="B23" s="2608" t="s">
        <v>1940</v>
      </c>
      <c r="C23" s="2606" t="s">
        <v>1941</v>
      </c>
      <c r="D23" s="2710" t="s">
        <v>1942</v>
      </c>
    </row>
    <row r="24" spans="1:4" ht="65.25" customHeight="1" x14ac:dyDescent="0.25">
      <c r="A24" s="3329"/>
      <c r="B24" s="2609" t="s">
        <v>1939</v>
      </c>
      <c r="C24" s="2606" t="s">
        <v>1922</v>
      </c>
      <c r="D24" s="2624" t="s">
        <v>1957</v>
      </c>
    </row>
    <row r="25" spans="1:4" ht="60" customHeight="1" x14ac:dyDescent="0.25">
      <c r="A25" s="3329"/>
      <c r="B25" s="2609" t="s">
        <v>1904</v>
      </c>
      <c r="C25" s="2606" t="s">
        <v>1936</v>
      </c>
      <c r="D25" s="2624" t="s">
        <v>573</v>
      </c>
    </row>
    <row r="26" spans="1:4" ht="34.5" customHeight="1" x14ac:dyDescent="0.25">
      <c r="A26" s="3329"/>
      <c r="B26" s="2609" t="s">
        <v>1944</v>
      </c>
      <c r="C26" s="2606" t="s">
        <v>1945</v>
      </c>
      <c r="D26" s="2611"/>
    </row>
    <row r="27" spans="1:4" ht="34.5" customHeight="1" x14ac:dyDescent="0.25">
      <c r="A27" s="3329"/>
      <c r="B27" s="2709" t="s">
        <v>1993</v>
      </c>
      <c r="C27" s="2606" t="s">
        <v>1922</v>
      </c>
      <c r="D27" s="2624" t="s">
        <v>1994</v>
      </c>
    </row>
    <row r="28" spans="1:4" ht="29.25" customHeight="1" x14ac:dyDescent="0.25">
      <c r="A28" s="3330"/>
      <c r="B28" s="2609" t="s">
        <v>1933</v>
      </c>
      <c r="C28" s="2606" t="s">
        <v>1937</v>
      </c>
      <c r="D28" s="2624" t="s">
        <v>1938</v>
      </c>
    </row>
    <row r="29" spans="1:4" ht="42.75" customHeight="1" x14ac:dyDescent="0.35">
      <c r="A29" s="3325" t="s">
        <v>571</v>
      </c>
      <c r="B29" s="2612" t="s">
        <v>1905</v>
      </c>
      <c r="C29" s="2613" t="s">
        <v>1906</v>
      </c>
      <c r="D29" s="2624" t="s">
        <v>1992</v>
      </c>
    </row>
    <row r="30" spans="1:4" ht="42.75" customHeight="1" x14ac:dyDescent="0.35">
      <c r="A30" s="3326"/>
      <c r="B30" s="2612" t="s">
        <v>1933</v>
      </c>
      <c r="C30" s="2613" t="s">
        <v>1934</v>
      </c>
      <c r="D30" s="2624" t="s">
        <v>1935</v>
      </c>
    </row>
    <row r="31" spans="1:4" ht="42.75" customHeight="1" x14ac:dyDescent="0.35">
      <c r="A31" s="3326"/>
      <c r="B31" s="2612"/>
      <c r="C31" s="2613" t="s">
        <v>2109</v>
      </c>
      <c r="D31" s="2624" t="s">
        <v>2110</v>
      </c>
    </row>
    <row r="32" spans="1:4" ht="33.75" customHeight="1" x14ac:dyDescent="0.35">
      <c r="A32" s="3326"/>
      <c r="B32" s="2612" t="s">
        <v>1907</v>
      </c>
      <c r="C32" s="2613" t="s">
        <v>1908</v>
      </c>
      <c r="D32" s="2624" t="s">
        <v>1909</v>
      </c>
    </row>
    <row r="33" spans="1:4" ht="15.75" hidden="1" customHeight="1" x14ac:dyDescent="0.25">
      <c r="A33" s="3326"/>
      <c r="B33" s="2614"/>
      <c r="C33" s="2613"/>
      <c r="D33" s="2611"/>
    </row>
    <row r="34" spans="1:4" ht="18.75" hidden="1" customHeight="1" x14ac:dyDescent="0.25">
      <c r="A34" s="3326"/>
      <c r="B34" s="2614"/>
      <c r="C34" s="2613"/>
      <c r="D34" s="2611"/>
    </row>
    <row r="35" spans="1:4" ht="18.75" hidden="1" customHeight="1" x14ac:dyDescent="0.25">
      <c r="A35" s="3326"/>
      <c r="B35" s="2614"/>
      <c r="C35" s="2613"/>
      <c r="D35" s="2611"/>
    </row>
    <row r="36" spans="1:4" ht="18.75" hidden="1" customHeight="1" x14ac:dyDescent="0.25">
      <c r="A36" s="3326"/>
      <c r="B36" s="2614"/>
      <c r="C36" s="2613"/>
      <c r="D36" s="2611"/>
    </row>
    <row r="37" spans="1:4" ht="18.75" hidden="1" customHeight="1" x14ac:dyDescent="0.25">
      <c r="A37" s="3326"/>
      <c r="B37" s="2614"/>
      <c r="C37" s="2613"/>
      <c r="D37" s="2611"/>
    </row>
    <row r="38" spans="1:4" ht="18.75" hidden="1" customHeight="1" x14ac:dyDescent="0.25">
      <c r="A38" s="3326"/>
      <c r="B38" s="2614"/>
      <c r="C38" s="2613"/>
      <c r="D38" s="2611"/>
    </row>
    <row r="39" spans="1:4" ht="18.75" hidden="1" customHeight="1" x14ac:dyDescent="0.25">
      <c r="A39" s="3326"/>
      <c r="B39" s="2614"/>
      <c r="C39" s="2613"/>
      <c r="D39" s="2611"/>
    </row>
    <row r="40" spans="1:4" ht="18.75" hidden="1" customHeight="1" x14ac:dyDescent="0.25">
      <c r="A40" s="3326"/>
      <c r="B40" s="2614"/>
      <c r="C40" s="2613"/>
      <c r="D40" s="2611"/>
    </row>
    <row r="41" spans="1:4" ht="18.75" hidden="1" customHeight="1" x14ac:dyDescent="0.25">
      <c r="A41" s="3326"/>
      <c r="B41" s="2614"/>
      <c r="C41" s="2613"/>
      <c r="D41" s="2611"/>
    </row>
    <row r="42" spans="1:4" ht="18.75" hidden="1" customHeight="1" x14ac:dyDescent="0.25">
      <c r="A42" s="3326"/>
      <c r="B42" s="2614"/>
      <c r="C42" s="2613"/>
      <c r="D42" s="2611"/>
    </row>
    <row r="43" spans="1:4" ht="18.75" hidden="1" customHeight="1" x14ac:dyDescent="0.25">
      <c r="A43" s="3326"/>
      <c r="B43" s="2614"/>
      <c r="C43" s="2613"/>
      <c r="D43" s="2611"/>
    </row>
    <row r="44" spans="1:4" ht="18.75" hidden="1" customHeight="1" x14ac:dyDescent="0.25">
      <c r="A44" s="3326"/>
      <c r="B44" s="2614"/>
      <c r="C44" s="2613"/>
      <c r="D44" s="2611"/>
    </row>
    <row r="45" spans="1:4" ht="18.75" hidden="1" customHeight="1" x14ac:dyDescent="0.25">
      <c r="A45" s="3326"/>
      <c r="B45" s="2614"/>
      <c r="C45" s="2613"/>
      <c r="D45" s="2611"/>
    </row>
    <row r="46" spans="1:4" ht="18.75" hidden="1" customHeight="1" x14ac:dyDescent="0.25">
      <c r="A46" s="3326"/>
      <c r="B46" s="2614"/>
      <c r="C46" s="2613"/>
      <c r="D46" s="2611"/>
    </row>
    <row r="47" spans="1:4" ht="18.75" hidden="1" customHeight="1" x14ac:dyDescent="0.25">
      <c r="A47" s="3326"/>
      <c r="B47" s="2614"/>
      <c r="C47" s="2613"/>
      <c r="D47" s="2611"/>
    </row>
    <row r="48" spans="1:4" ht="18.75" hidden="1" customHeight="1" x14ac:dyDescent="0.3">
      <c r="A48" s="3326"/>
      <c r="B48" s="2614"/>
      <c r="C48" s="2615"/>
      <c r="D48" s="2625"/>
    </row>
    <row r="49" spans="1:4" ht="40.5" customHeight="1" x14ac:dyDescent="0.35">
      <c r="A49" s="3327"/>
      <c r="B49" s="2616" t="s">
        <v>1910</v>
      </c>
      <c r="C49" s="2615" t="s">
        <v>570</v>
      </c>
      <c r="D49" s="2625"/>
    </row>
    <row r="50" spans="1:4" ht="42" customHeight="1" x14ac:dyDescent="0.25">
      <c r="A50" s="3313" t="s">
        <v>1911</v>
      </c>
      <c r="B50" s="3314" t="s">
        <v>1912</v>
      </c>
      <c r="C50" s="2606" t="s">
        <v>1913</v>
      </c>
      <c r="D50" s="2624" t="s">
        <v>2001</v>
      </c>
    </row>
    <row r="51" spans="1:4" ht="35.25" customHeight="1" x14ac:dyDescent="0.25">
      <c r="A51" s="3313"/>
      <c r="B51" s="3314"/>
      <c r="C51" s="2606" t="s">
        <v>1914</v>
      </c>
      <c r="D51" s="2624" t="s">
        <v>2002</v>
      </c>
    </row>
    <row r="52" spans="1:4" ht="36" customHeight="1" x14ac:dyDescent="0.25">
      <c r="A52" s="3313"/>
      <c r="B52" s="2605" t="s">
        <v>1915</v>
      </c>
      <c r="C52" s="2606" t="s">
        <v>1916</v>
      </c>
      <c r="D52" s="2624" t="s">
        <v>1917</v>
      </c>
    </row>
    <row r="53" spans="1:4" ht="36" customHeight="1" x14ac:dyDescent="0.25">
      <c r="A53" s="2620" t="s">
        <v>1946</v>
      </c>
      <c r="B53" s="2605"/>
      <c r="C53" s="2606" t="s">
        <v>1947</v>
      </c>
      <c r="D53" s="2624" t="s">
        <v>1953</v>
      </c>
    </row>
    <row r="54" spans="1:4" ht="36" customHeight="1" x14ac:dyDescent="0.25">
      <c r="A54" s="2620" t="s">
        <v>1948</v>
      </c>
      <c r="B54" s="2605" t="s">
        <v>1949</v>
      </c>
      <c r="C54" s="2606" t="s">
        <v>1950</v>
      </c>
      <c r="D54" s="2613" t="s">
        <v>2111</v>
      </c>
    </row>
    <row r="55" spans="1:4" ht="64.5" customHeight="1" x14ac:dyDescent="0.25">
      <c r="A55" s="2620" t="s">
        <v>1995</v>
      </c>
      <c r="B55" s="2605" t="s">
        <v>1996</v>
      </c>
      <c r="C55" s="2606" t="s">
        <v>1997</v>
      </c>
      <c r="D55" s="2613" t="s">
        <v>1998</v>
      </c>
    </row>
    <row r="56" spans="1:4" ht="66" customHeight="1" x14ac:dyDescent="0.25">
      <c r="A56" s="3307" t="s">
        <v>1943</v>
      </c>
      <c r="B56" s="2605" t="s">
        <v>1999</v>
      </c>
      <c r="C56" s="2606" t="s">
        <v>570</v>
      </c>
      <c r="D56" s="2624" t="s">
        <v>2000</v>
      </c>
    </row>
    <row r="57" spans="1:4" ht="66" customHeight="1" x14ac:dyDescent="0.25">
      <c r="A57" s="3308"/>
      <c r="B57" s="2621" t="s">
        <v>1951</v>
      </c>
      <c r="C57" s="2711" t="s">
        <v>1952</v>
      </c>
      <c r="D57" s="2621" t="s">
        <v>1954</v>
      </c>
    </row>
    <row r="58" spans="1:4" x14ac:dyDescent="0.3">
      <c r="A58" s="2617"/>
      <c r="B58" s="2617"/>
      <c r="D58" s="2618"/>
    </row>
    <row r="59" spans="1:4" x14ac:dyDescent="0.3">
      <c r="A59" s="2617"/>
      <c r="B59" s="2617"/>
      <c r="D59" s="2618"/>
    </row>
  </sheetData>
  <mergeCells count="11">
    <mergeCell ref="A56:A57"/>
    <mergeCell ref="C10:C11"/>
    <mergeCell ref="D10:D11"/>
    <mergeCell ref="A50:A52"/>
    <mergeCell ref="B50:B51"/>
    <mergeCell ref="A12:A22"/>
    <mergeCell ref="A10:A11"/>
    <mergeCell ref="B10:B11"/>
    <mergeCell ref="B15:B17"/>
    <mergeCell ref="A29:A49"/>
    <mergeCell ref="A23:A28"/>
  </mergeCells>
  <pageMargins left="0.7" right="0.7" top="0.75" bottom="0.75" header="0.3" footer="0.3"/>
  <pageSetup paperSize="9" orientation="portrait" horizontalDpi="0" verticalDpi="0" r:id="rId1"/>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6"/>
  <sheetViews>
    <sheetView workbookViewId="0">
      <selection activeCell="J24" sqref="J24"/>
    </sheetView>
  </sheetViews>
  <sheetFormatPr baseColWidth="10" defaultRowHeight="12.75" x14ac:dyDescent="0.2"/>
  <cols>
    <col min="1" max="1" width="13.7109375" customWidth="1"/>
    <col min="2" max="2" width="13.140625" customWidth="1"/>
    <col min="3" max="3" width="13.5703125" customWidth="1"/>
    <col min="4" max="4" width="11.7109375" customWidth="1"/>
    <col min="5" max="5" width="14.85546875" customWidth="1"/>
    <col min="6" max="6" width="12" bestFit="1" customWidth="1"/>
    <col min="7" max="7" width="13.140625" bestFit="1" customWidth="1"/>
    <col min="8" max="8" width="11.5703125" bestFit="1" customWidth="1"/>
    <col min="9" max="9" width="14.5703125" bestFit="1" customWidth="1"/>
    <col min="10" max="10" width="19.28515625" customWidth="1"/>
    <col min="11" max="11" width="23.42578125" customWidth="1"/>
  </cols>
  <sheetData>
    <row r="4" spans="1:7" ht="13.5" thickBot="1" x14ac:dyDescent="0.25"/>
    <row r="5" spans="1:7" s="437" customFormat="1" ht="26.25" thickBot="1" x14ac:dyDescent="0.25">
      <c r="A5" s="2670" t="s">
        <v>164</v>
      </c>
      <c r="B5" s="2671" t="s">
        <v>1968</v>
      </c>
      <c r="C5" s="2671" t="s">
        <v>1969</v>
      </c>
      <c r="D5" s="2671" t="s">
        <v>1970</v>
      </c>
      <c r="E5" s="2671" t="s">
        <v>1971</v>
      </c>
      <c r="F5" s="2672" t="s">
        <v>1972</v>
      </c>
      <c r="G5" s="2673" t="s">
        <v>1973</v>
      </c>
    </row>
    <row r="6" spans="1:7" x14ac:dyDescent="0.2">
      <c r="A6" s="2668">
        <v>43892.794687499998</v>
      </c>
      <c r="B6" s="2664" t="s">
        <v>1966</v>
      </c>
      <c r="C6" s="2664" t="s">
        <v>1967</v>
      </c>
      <c r="D6" s="2664">
        <v>100</v>
      </c>
      <c r="E6" s="2664">
        <v>91</v>
      </c>
      <c r="F6" s="2664">
        <v>109</v>
      </c>
      <c r="G6" s="2669">
        <v>57500</v>
      </c>
    </row>
    <row r="7" spans="1:7" x14ac:dyDescent="0.2">
      <c r="A7" s="2158">
        <v>43894.343553240738</v>
      </c>
      <c r="B7" s="430" t="s">
        <v>1966</v>
      </c>
      <c r="C7" s="430" t="s">
        <v>1967</v>
      </c>
      <c r="D7" s="430">
        <v>80</v>
      </c>
      <c r="E7" s="430">
        <v>1</v>
      </c>
      <c r="F7" s="2667">
        <v>8000</v>
      </c>
      <c r="G7" s="2666">
        <v>46000</v>
      </c>
    </row>
    <row r="8" spans="1:7" x14ac:dyDescent="0.2">
      <c r="A8" s="2158">
        <v>43897.481423611112</v>
      </c>
      <c r="B8" s="430" t="s">
        <v>1966</v>
      </c>
      <c r="C8" s="430" t="s">
        <v>1967</v>
      </c>
      <c r="D8" s="430">
        <v>100</v>
      </c>
      <c r="E8" s="430">
        <v>699</v>
      </c>
      <c r="F8" s="430">
        <v>14</v>
      </c>
      <c r="G8" s="2666">
        <v>57500</v>
      </c>
    </row>
    <row r="9" spans="1:7" x14ac:dyDescent="0.2">
      <c r="A9" s="2158">
        <v>43902.232939814814</v>
      </c>
      <c r="B9" s="430" t="s">
        <v>1966</v>
      </c>
      <c r="C9" s="430" t="s">
        <v>1967</v>
      </c>
      <c r="D9" s="430">
        <v>70</v>
      </c>
      <c r="E9" s="430">
        <v>100</v>
      </c>
      <c r="F9" s="430">
        <v>70</v>
      </c>
      <c r="G9" s="2666">
        <v>40250</v>
      </c>
    </row>
    <row r="10" spans="1:7" x14ac:dyDescent="0.2">
      <c r="A10" s="2158">
        <v>43904.677476851852</v>
      </c>
      <c r="B10" s="430" t="s">
        <v>1966</v>
      </c>
      <c r="C10" s="430" t="s">
        <v>1967</v>
      </c>
      <c r="D10" s="430">
        <v>100</v>
      </c>
      <c r="E10" s="430">
        <v>600</v>
      </c>
      <c r="F10" s="2667">
        <v>16</v>
      </c>
      <c r="G10" s="2666">
        <v>57500</v>
      </c>
    </row>
    <row r="11" spans="1:7" x14ac:dyDescent="0.2">
      <c r="A11" s="2158">
        <v>43907.274664351855</v>
      </c>
      <c r="B11" s="430" t="s">
        <v>1966</v>
      </c>
      <c r="C11" s="430" t="s">
        <v>1967</v>
      </c>
      <c r="D11" s="430">
        <v>150</v>
      </c>
      <c r="E11" s="430">
        <v>260</v>
      </c>
      <c r="F11" s="430">
        <v>57</v>
      </c>
      <c r="G11" s="2666">
        <v>86250</v>
      </c>
    </row>
    <row r="12" spans="1:7" x14ac:dyDescent="0.2">
      <c r="A12" s="2158">
        <v>43908.924085648148</v>
      </c>
      <c r="B12" s="430" t="s">
        <v>1156</v>
      </c>
      <c r="C12" s="430" t="s">
        <v>1967</v>
      </c>
      <c r="D12" s="430">
        <v>100</v>
      </c>
      <c r="E12" s="430">
        <v>1</v>
      </c>
      <c r="F12" s="2667">
        <v>10000</v>
      </c>
      <c r="G12" s="2666">
        <v>57500</v>
      </c>
    </row>
    <row r="13" spans="1:7" s="673" customFormat="1" ht="41.25" customHeight="1" x14ac:dyDescent="0.25">
      <c r="A13" s="3333" t="s">
        <v>18</v>
      </c>
      <c r="B13" s="3334"/>
      <c r="C13" s="3335"/>
      <c r="D13" s="367">
        <f>SUM(D6:D12)</f>
        <v>700</v>
      </c>
      <c r="E13" s="367">
        <f>SUM(E6:E12)</f>
        <v>1752</v>
      </c>
      <c r="F13" s="367">
        <f>SUM(F6:F12)</f>
        <v>18266</v>
      </c>
      <c r="G13" s="725">
        <f>SUM(G6:G12)</f>
        <v>402500</v>
      </c>
    </row>
    <row r="17" spans="1:8" ht="13.5" thickBot="1" x14ac:dyDescent="0.25"/>
    <row r="18" spans="1:8" ht="13.5" thickBot="1" x14ac:dyDescent="0.25">
      <c r="A18" s="2683" t="s">
        <v>3</v>
      </c>
      <c r="B18" s="2684" t="s">
        <v>61</v>
      </c>
      <c r="C18" s="2684" t="s">
        <v>3</v>
      </c>
      <c r="D18" s="2684" t="s">
        <v>61</v>
      </c>
      <c r="E18" s="2684" t="s">
        <v>3</v>
      </c>
      <c r="F18" s="2689" t="s">
        <v>61</v>
      </c>
      <c r="G18" s="2691" t="s">
        <v>3</v>
      </c>
      <c r="H18" s="1194" t="s">
        <v>61</v>
      </c>
    </row>
    <row r="19" spans="1:8" ht="13.5" thickBot="1" x14ac:dyDescent="0.25">
      <c r="A19" s="2685">
        <v>43801</v>
      </c>
      <c r="B19" s="2682">
        <v>60</v>
      </c>
      <c r="C19" s="2686">
        <v>43838</v>
      </c>
      <c r="D19" s="2682">
        <v>60</v>
      </c>
      <c r="E19" s="2686">
        <v>43865</v>
      </c>
      <c r="F19" s="2681">
        <v>60</v>
      </c>
      <c r="G19" s="2690">
        <v>43896</v>
      </c>
      <c r="H19" s="1512">
        <v>60</v>
      </c>
    </row>
    <row r="20" spans="1:8" ht="13.5" thickBot="1" x14ac:dyDescent="0.25">
      <c r="A20" s="2685">
        <v>43813</v>
      </c>
      <c r="B20" s="2682">
        <v>60</v>
      </c>
      <c r="C20" s="2686">
        <v>43849</v>
      </c>
      <c r="D20" s="2682">
        <v>60</v>
      </c>
      <c r="E20" s="2686">
        <v>43880</v>
      </c>
      <c r="F20" s="2681">
        <v>60</v>
      </c>
      <c r="G20" s="2690">
        <v>43902</v>
      </c>
      <c r="H20" s="1512">
        <v>60</v>
      </c>
    </row>
    <row r="21" spans="1:8" ht="13.5" thickBot="1" x14ac:dyDescent="0.25">
      <c r="A21" s="2687"/>
      <c r="B21" s="2682"/>
      <c r="C21" s="2686">
        <v>43854</v>
      </c>
      <c r="D21" s="2682">
        <v>60</v>
      </c>
      <c r="E21" s="2686">
        <v>43882</v>
      </c>
      <c r="F21" s="2681">
        <v>60</v>
      </c>
      <c r="G21" s="2690">
        <v>43906</v>
      </c>
      <c r="H21" s="1512">
        <v>60</v>
      </c>
    </row>
    <row r="22" spans="1:8" ht="13.5" thickBot="1" x14ac:dyDescent="0.25">
      <c r="A22" s="2687"/>
      <c r="B22" s="2682"/>
      <c r="C22" s="2688"/>
      <c r="D22" s="2682"/>
      <c r="E22" s="2686">
        <v>43883</v>
      </c>
      <c r="F22" s="2681">
        <v>60</v>
      </c>
      <c r="G22" s="2690">
        <v>43909</v>
      </c>
      <c r="H22" s="1512">
        <v>60</v>
      </c>
    </row>
    <row r="23" spans="1:8" ht="13.5" thickBot="1" x14ac:dyDescent="0.25">
      <c r="A23" s="2687"/>
      <c r="B23" s="2682"/>
      <c r="C23" s="2688"/>
      <c r="D23" s="2682"/>
      <c r="E23" s="2686">
        <v>43888</v>
      </c>
      <c r="F23" s="2681">
        <v>60</v>
      </c>
      <c r="G23" s="682"/>
      <c r="H23" s="682"/>
    </row>
    <row r="24" spans="1:8" ht="13.5" thickBot="1" x14ac:dyDescent="0.25">
      <c r="A24" s="2687"/>
      <c r="B24" s="2682"/>
      <c r="C24" s="2688"/>
      <c r="D24" s="2682"/>
      <c r="E24" s="2688"/>
      <c r="F24" s="2681"/>
      <c r="G24" s="682"/>
      <c r="H24" s="682"/>
    </row>
    <row r="25" spans="1:8" ht="13.5" thickBot="1" x14ac:dyDescent="0.25">
      <c r="A25" s="2687"/>
      <c r="B25" s="2682"/>
      <c r="C25" s="2688"/>
      <c r="D25" s="2682"/>
      <c r="E25" s="2688"/>
      <c r="F25" s="2681"/>
      <c r="G25" s="682"/>
      <c r="H25" s="682"/>
    </row>
    <row r="26" spans="1:8" ht="13.5" thickBot="1" x14ac:dyDescent="0.25">
      <c r="A26" s="2680"/>
      <c r="B26" s="2682"/>
      <c r="C26" s="2682"/>
      <c r="D26" s="2682"/>
      <c r="E26" s="2682"/>
      <c r="F26" s="2681"/>
      <c r="G26" s="682"/>
      <c r="H26" s="682"/>
    </row>
    <row r="27" spans="1:8" ht="13.5" thickBot="1" x14ac:dyDescent="0.25">
      <c r="A27" s="2687"/>
      <c r="B27" s="2682"/>
      <c r="C27" s="2688"/>
      <c r="D27" s="2682"/>
      <c r="E27" s="2688"/>
      <c r="F27" s="2681"/>
      <c r="G27" s="682"/>
      <c r="H27" s="682"/>
    </row>
    <row r="28" spans="1:8" ht="13.5" thickBot="1" x14ac:dyDescent="0.25">
      <c r="A28" s="2687"/>
      <c r="B28" s="2682"/>
      <c r="C28" s="2688"/>
      <c r="D28" s="2682"/>
      <c r="E28" s="2688"/>
      <c r="F28" s="2681"/>
      <c r="G28" s="682"/>
      <c r="H28" s="682"/>
    </row>
    <row r="29" spans="1:8" ht="13.5" thickBot="1" x14ac:dyDescent="0.25">
      <c r="A29" s="2687"/>
      <c r="B29" s="2682"/>
      <c r="C29" s="2688"/>
      <c r="D29" s="2682"/>
      <c r="E29" s="2688"/>
      <c r="F29" s="2681"/>
      <c r="G29" s="682"/>
      <c r="H29" s="682"/>
    </row>
    <row r="30" spans="1:8" ht="13.5" thickBot="1" x14ac:dyDescent="0.25">
      <c r="A30" s="2687"/>
      <c r="B30" s="2682"/>
      <c r="C30" s="2688"/>
      <c r="D30" s="2682"/>
      <c r="E30" s="2688"/>
      <c r="F30" s="2681"/>
      <c r="G30" s="682"/>
      <c r="H30" s="682"/>
    </row>
    <row r="31" spans="1:8" ht="13.5" thickBot="1" x14ac:dyDescent="0.25">
      <c r="A31" s="2687"/>
      <c r="B31" s="2682"/>
      <c r="C31" s="2688"/>
      <c r="D31" s="2682"/>
      <c r="E31" s="2688"/>
      <c r="F31" s="2681"/>
      <c r="G31" s="682"/>
      <c r="H31" s="682"/>
    </row>
    <row r="32" spans="1:8" ht="13.5" thickBot="1" x14ac:dyDescent="0.25">
      <c r="A32" s="2687"/>
      <c r="B32" s="2682"/>
      <c r="C32" s="2688"/>
      <c r="D32" s="2682"/>
      <c r="E32" s="2688"/>
      <c r="F32" s="2681"/>
      <c r="G32" s="682"/>
      <c r="H32" s="682"/>
    </row>
    <row r="33" spans="1:11" ht="13.5" thickBot="1" x14ac:dyDescent="0.25">
      <c r="A33" s="2687"/>
      <c r="B33" s="2682" t="s">
        <v>1975</v>
      </c>
      <c r="C33" s="2688"/>
      <c r="D33" s="2682" t="s">
        <v>1976</v>
      </c>
      <c r="E33" s="2688"/>
      <c r="F33" s="2681" t="s">
        <v>1977</v>
      </c>
      <c r="G33" s="682"/>
      <c r="H33" s="1512">
        <f>SUM(H19:H32)</f>
        <v>240</v>
      </c>
    </row>
    <row r="39" spans="1:11" x14ac:dyDescent="0.2">
      <c r="A39" s="39" t="s">
        <v>1979</v>
      </c>
    </row>
    <row r="42" spans="1:11" x14ac:dyDescent="0.2">
      <c r="A42" s="319" t="s">
        <v>254</v>
      </c>
      <c r="B42" s="319" t="s">
        <v>1978</v>
      </c>
      <c r="E42" s="97" t="s">
        <v>1980</v>
      </c>
      <c r="F42" s="97" t="s">
        <v>146</v>
      </c>
      <c r="G42" s="97" t="s">
        <v>1981</v>
      </c>
      <c r="H42" s="97" t="s">
        <v>43</v>
      </c>
      <c r="I42" s="97" t="s">
        <v>39</v>
      </c>
      <c r="J42" s="1004" t="s">
        <v>1985</v>
      </c>
      <c r="K42" s="1004" t="s">
        <v>1986</v>
      </c>
    </row>
    <row r="43" spans="1:11" ht="12.75" customHeight="1" x14ac:dyDescent="0.2">
      <c r="A43" s="319" t="s">
        <v>18</v>
      </c>
      <c r="B43" s="430"/>
      <c r="E43" s="3220" t="s">
        <v>1982</v>
      </c>
      <c r="F43" s="430" t="s">
        <v>15</v>
      </c>
      <c r="G43" s="429">
        <v>5000</v>
      </c>
      <c r="H43" s="429">
        <v>630</v>
      </c>
      <c r="I43" s="429">
        <f>+G43*H43</f>
        <v>3150000</v>
      </c>
      <c r="J43" s="3331" t="s">
        <v>1983</v>
      </c>
      <c r="K43" s="3331" t="s">
        <v>1033</v>
      </c>
    </row>
    <row r="44" spans="1:11" ht="12.75" customHeight="1" x14ac:dyDescent="0.2">
      <c r="A44" s="319" t="s">
        <v>1960</v>
      </c>
      <c r="B44" s="430"/>
      <c r="E44" s="3220"/>
      <c r="F44" s="430" t="s">
        <v>16</v>
      </c>
      <c r="G44" s="429">
        <v>5000</v>
      </c>
      <c r="H44" s="429">
        <v>575</v>
      </c>
      <c r="I44" s="429">
        <f>+G44*H44</f>
        <v>2875000</v>
      </c>
      <c r="J44" s="3332"/>
      <c r="K44" s="3332"/>
    </row>
    <row r="45" spans="1:11" s="2657" customFormat="1" ht="15.75" x14ac:dyDescent="0.2">
      <c r="A45" s="319"/>
      <c r="B45" s="430"/>
      <c r="E45" s="2693"/>
      <c r="F45" s="430"/>
      <c r="G45" s="429"/>
      <c r="H45" s="429"/>
      <c r="I45" s="429"/>
      <c r="J45" s="892"/>
      <c r="K45" s="892"/>
    </row>
    <row r="46" spans="1:11" ht="12.75" customHeight="1" x14ac:dyDescent="0.2">
      <c r="A46" s="319" t="s">
        <v>190</v>
      </c>
      <c r="B46" s="430"/>
      <c r="E46" s="2694" t="s">
        <v>1984</v>
      </c>
      <c r="F46" s="319" t="s">
        <v>16</v>
      </c>
      <c r="G46" s="429">
        <v>15000</v>
      </c>
      <c r="H46" s="429">
        <v>575</v>
      </c>
      <c r="I46" s="429">
        <f>+G46*H46</f>
        <v>8625000</v>
      </c>
      <c r="J46" s="892" t="s">
        <v>310</v>
      </c>
      <c r="K46" s="892" t="s">
        <v>1959</v>
      </c>
    </row>
  </sheetData>
  <mergeCells count="4">
    <mergeCell ref="K43:K44"/>
    <mergeCell ref="E43:E44"/>
    <mergeCell ref="J43:J44"/>
    <mergeCell ref="A13:C13"/>
  </mergeCells>
  <pageMargins left="0.7" right="0.7" top="0.75" bottom="0.75" header="0.3" footer="0.3"/>
  <pageSetup paperSize="9" orientation="portrait" horizontalDpi="0" verticalDpi="0" r:id="rId1"/>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H44"/>
  <sheetViews>
    <sheetView topLeftCell="A12" workbookViewId="0">
      <selection activeCell="I39" sqref="I39"/>
    </sheetView>
  </sheetViews>
  <sheetFormatPr baseColWidth="10" defaultRowHeight="12.75" x14ac:dyDescent="0.2"/>
  <cols>
    <col min="2" max="2" width="17.5703125" customWidth="1"/>
    <col min="4" max="4" width="14.5703125" bestFit="1" customWidth="1"/>
    <col min="7" max="7" width="14.7109375" customWidth="1"/>
  </cols>
  <sheetData>
    <row r="18" spans="1:7" x14ac:dyDescent="0.2">
      <c r="B18" s="673"/>
      <c r="D18">
        <v>2492550</v>
      </c>
    </row>
    <row r="19" spans="1:7" s="2657" customFormat="1" x14ac:dyDescent="0.2">
      <c r="B19" s="673"/>
      <c r="D19" s="2465">
        <v>20000</v>
      </c>
      <c r="E19" s="39" t="s">
        <v>1988</v>
      </c>
    </row>
    <row r="20" spans="1:7" x14ac:dyDescent="0.2">
      <c r="B20" s="673"/>
      <c r="D20" s="2465">
        <v>15780</v>
      </c>
    </row>
    <row r="21" spans="1:7" x14ac:dyDescent="0.2">
      <c r="B21" s="673"/>
      <c r="D21" s="2465">
        <v>2590</v>
      </c>
    </row>
    <row r="22" spans="1:7" x14ac:dyDescent="0.2">
      <c r="B22" s="673"/>
      <c r="D22" s="2465">
        <v>5300</v>
      </c>
    </row>
    <row r="23" spans="1:7" x14ac:dyDescent="0.2">
      <c r="B23" s="673"/>
      <c r="D23" s="2465">
        <v>4710</v>
      </c>
    </row>
    <row r="24" spans="1:7" x14ac:dyDescent="0.2">
      <c r="B24" s="673"/>
      <c r="D24" s="2465">
        <v>8040</v>
      </c>
    </row>
    <row r="25" spans="1:7" s="2657" customFormat="1" x14ac:dyDescent="0.2">
      <c r="B25" s="673"/>
      <c r="D25" s="2465">
        <v>15240</v>
      </c>
    </row>
    <row r="26" spans="1:7" s="2657" customFormat="1" x14ac:dyDescent="0.2">
      <c r="B26" s="673"/>
      <c r="D26" s="2465">
        <v>16640</v>
      </c>
    </row>
    <row r="27" spans="1:7" s="2657" customFormat="1" x14ac:dyDescent="0.2">
      <c r="B27" s="673"/>
      <c r="D27" s="2657">
        <v>15050</v>
      </c>
    </row>
    <row r="28" spans="1:7" s="2657" customFormat="1" x14ac:dyDescent="0.2">
      <c r="B28" s="673"/>
    </row>
    <row r="29" spans="1:7" s="2657" customFormat="1" x14ac:dyDescent="0.2">
      <c r="B29" s="673"/>
    </row>
    <row r="30" spans="1:7" x14ac:dyDescent="0.2">
      <c r="B30" s="673"/>
      <c r="D30" s="673">
        <f>SUM(D18:D29)</f>
        <v>2595900</v>
      </c>
    </row>
    <row r="31" spans="1:7" x14ac:dyDescent="0.2">
      <c r="B31" s="673"/>
      <c r="D31" s="416"/>
    </row>
    <row r="32" spans="1:7" ht="15" x14ac:dyDescent="0.25">
      <c r="A32" s="665">
        <v>44005</v>
      </c>
      <c r="B32" s="2708">
        <v>18670</v>
      </c>
      <c r="D32">
        <v>18760</v>
      </c>
      <c r="F32" s="665">
        <v>44002</v>
      </c>
      <c r="G32" s="2465">
        <v>16640</v>
      </c>
    </row>
    <row r="33" spans="1:8" ht="15" x14ac:dyDescent="0.25">
      <c r="A33" s="665">
        <v>44006</v>
      </c>
      <c r="B33" s="2708">
        <v>5300</v>
      </c>
      <c r="D33">
        <v>5300</v>
      </c>
      <c r="F33" s="665">
        <v>44004</v>
      </c>
      <c r="G33">
        <v>15240</v>
      </c>
    </row>
    <row r="34" spans="1:8" ht="15" x14ac:dyDescent="0.25">
      <c r="A34" s="665">
        <v>44007</v>
      </c>
      <c r="B34" s="2708">
        <v>4470</v>
      </c>
      <c r="D34">
        <v>4470</v>
      </c>
      <c r="F34" s="672">
        <v>43998</v>
      </c>
      <c r="G34" s="2657">
        <v>15780</v>
      </c>
      <c r="H34" s="2657"/>
    </row>
    <row r="35" spans="1:8" ht="15" x14ac:dyDescent="0.25">
      <c r="A35" s="665">
        <v>44008</v>
      </c>
      <c r="B35" s="2708">
        <v>10740</v>
      </c>
      <c r="D35">
        <v>10840</v>
      </c>
      <c r="F35" s="672">
        <v>43999</v>
      </c>
      <c r="G35" s="2657">
        <v>5300</v>
      </c>
      <c r="H35" s="2657"/>
    </row>
    <row r="36" spans="1:8" ht="15" x14ac:dyDescent="0.25">
      <c r="A36" s="665">
        <v>44009</v>
      </c>
      <c r="B36" s="2708">
        <v>46130</v>
      </c>
      <c r="D36">
        <v>46130</v>
      </c>
      <c r="F36" s="665">
        <v>44000</v>
      </c>
      <c r="G36">
        <v>4710</v>
      </c>
    </row>
    <row r="37" spans="1:8" ht="15" x14ac:dyDescent="0.25">
      <c r="A37" s="665">
        <v>44010</v>
      </c>
      <c r="B37" s="2708">
        <v>49560</v>
      </c>
      <c r="D37">
        <v>49560</v>
      </c>
      <c r="F37" s="665">
        <v>44000</v>
      </c>
      <c r="G37" s="2657">
        <v>8040</v>
      </c>
    </row>
    <row r="38" spans="1:8" ht="15" x14ac:dyDescent="0.25">
      <c r="A38" s="665">
        <v>44011</v>
      </c>
      <c r="B38" s="2708">
        <v>6000</v>
      </c>
      <c r="D38">
        <v>6000</v>
      </c>
      <c r="F38" s="665">
        <v>44001</v>
      </c>
      <c r="G38">
        <v>2590</v>
      </c>
    </row>
    <row r="39" spans="1:8" ht="15" x14ac:dyDescent="0.25">
      <c r="A39" s="665">
        <v>44012</v>
      </c>
      <c r="B39" s="2708">
        <v>17460</v>
      </c>
      <c r="D39">
        <v>17460</v>
      </c>
      <c r="G39">
        <v>20000</v>
      </c>
    </row>
    <row r="40" spans="1:8" ht="14.25" x14ac:dyDescent="0.2">
      <c r="A40" s="665">
        <v>44013</v>
      </c>
      <c r="B40" s="51"/>
    </row>
    <row r="41" spans="1:8" ht="14.25" x14ac:dyDescent="0.2">
      <c r="A41" s="665">
        <v>44014</v>
      </c>
      <c r="B41" s="51"/>
    </row>
    <row r="42" spans="1:8" ht="14.25" x14ac:dyDescent="0.2">
      <c r="A42" s="665">
        <v>44015</v>
      </c>
      <c r="B42" s="51"/>
    </row>
    <row r="43" spans="1:8" x14ac:dyDescent="0.2">
      <c r="B43" s="638">
        <f>SUM(B32:B42)</f>
        <v>158330</v>
      </c>
      <c r="C43" s="638"/>
      <c r="D43" s="638">
        <f>SUM(D32:D42)</f>
        <v>158520</v>
      </c>
    </row>
    <row r="44" spans="1:8" x14ac:dyDescent="0.2">
      <c r="G44">
        <f>SUM(G32:G43)</f>
        <v>88300</v>
      </c>
    </row>
  </sheetData>
  <pageMargins left="0.7" right="0.7" top="0.75" bottom="0.75" header="0.3" footer="0.3"/>
  <pageSetup paperSize="9" orientation="portrait" horizontalDpi="0" verticalDpi="0"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selection activeCell="H52" sqref="H52"/>
    </sheetView>
  </sheetViews>
  <sheetFormatPr baseColWidth="10" defaultRowHeight="12.75" x14ac:dyDescent="0.2"/>
  <cols>
    <col min="1" max="1" width="4.85546875" style="2657" customWidth="1"/>
    <col min="2" max="2" width="12.7109375" style="2713" customWidth="1"/>
    <col min="3" max="3" width="23.85546875" style="2657" customWidth="1"/>
    <col min="4" max="4" width="20.42578125" style="476" customWidth="1"/>
    <col min="5" max="5" width="15.85546875" style="2657" customWidth="1"/>
    <col min="6" max="6" width="26.42578125" style="2657" customWidth="1"/>
    <col min="7" max="7" width="12" style="2657" bestFit="1" customWidth="1"/>
    <col min="8" max="16384" width="11.42578125" style="2657"/>
  </cols>
  <sheetData>
    <row r="1" spans="1:6" ht="18" x14ac:dyDescent="0.25">
      <c r="A1" s="74" t="s">
        <v>1156</v>
      </c>
    </row>
    <row r="2" spans="1:6" x14ac:dyDescent="0.2">
      <c r="A2" s="39"/>
    </row>
    <row r="3" spans="1:6" x14ac:dyDescent="0.2">
      <c r="A3" s="39"/>
    </row>
    <row r="4" spans="1:6" ht="20.25" x14ac:dyDescent="0.3">
      <c r="A4" s="1588"/>
      <c r="B4" s="2727" t="s">
        <v>2009</v>
      </c>
      <c r="D4" s="1590"/>
    </row>
    <row r="5" spans="1:6" ht="15.75" x14ac:dyDescent="0.25">
      <c r="A5" s="1588"/>
      <c r="B5" s="1487"/>
      <c r="D5" s="1590"/>
    </row>
    <row r="6" spans="1:6" ht="15.75" x14ac:dyDescent="0.25">
      <c r="A6" s="1588"/>
      <c r="B6" s="1487"/>
      <c r="D6" s="1590"/>
    </row>
    <row r="7" spans="1:6" s="74" customFormat="1" ht="18" x14ac:dyDescent="0.25">
      <c r="A7" s="2742" t="s">
        <v>184</v>
      </c>
      <c r="B7" s="1088" t="s">
        <v>164</v>
      </c>
      <c r="C7" s="780" t="s">
        <v>2015</v>
      </c>
      <c r="D7" s="2743" t="s">
        <v>37</v>
      </c>
      <c r="E7" s="780" t="s">
        <v>130</v>
      </c>
      <c r="F7" s="780" t="s">
        <v>247</v>
      </c>
    </row>
    <row r="8" spans="1:6" ht="15.75" x14ac:dyDescent="0.25">
      <c r="A8" s="996">
        <v>1</v>
      </c>
      <c r="B8" s="2718">
        <v>43986</v>
      </c>
      <c r="C8" s="319" t="s">
        <v>2014</v>
      </c>
      <c r="D8" s="2725">
        <v>18000</v>
      </c>
      <c r="E8" s="2726">
        <f>+D8</f>
        <v>18000</v>
      </c>
      <c r="F8" s="430"/>
    </row>
    <row r="9" spans="1:6" ht="15.75" x14ac:dyDescent="0.25">
      <c r="A9" s="996">
        <f>+A8+1</f>
        <v>2</v>
      </c>
      <c r="B9" s="2718">
        <v>43986</v>
      </c>
      <c r="C9" s="319" t="s">
        <v>2014</v>
      </c>
      <c r="D9" s="1765">
        <v>24339</v>
      </c>
      <c r="E9" s="529">
        <f>+E8+D9</f>
        <v>42339</v>
      </c>
      <c r="F9" s="430"/>
    </row>
    <row r="10" spans="1:6" ht="15.75" x14ac:dyDescent="0.25">
      <c r="A10" s="996">
        <f t="shared" ref="A10:A61" si="0">+A9+1</f>
        <v>3</v>
      </c>
      <c r="B10" s="2718">
        <v>43989</v>
      </c>
      <c r="C10" s="319" t="s">
        <v>2014</v>
      </c>
      <c r="D10" s="1765">
        <v>3900</v>
      </c>
      <c r="E10" s="529">
        <f t="shared" ref="E10:E74" si="1">+E9+D10</f>
        <v>46239</v>
      </c>
      <c r="F10" s="430"/>
    </row>
    <row r="11" spans="1:6" ht="15.75" x14ac:dyDescent="0.25">
      <c r="A11" s="996">
        <f t="shared" si="0"/>
        <v>4</v>
      </c>
      <c r="B11" s="2718">
        <v>43989</v>
      </c>
      <c r="C11" s="319" t="s">
        <v>2014</v>
      </c>
      <c r="D11" s="1765">
        <v>168885</v>
      </c>
      <c r="E11" s="529">
        <f t="shared" si="1"/>
        <v>215124</v>
      </c>
      <c r="F11" s="430"/>
    </row>
    <row r="12" spans="1:6" ht="15.75" x14ac:dyDescent="0.25">
      <c r="A12" s="996">
        <f t="shared" si="0"/>
        <v>5</v>
      </c>
      <c r="B12" s="2718">
        <v>43990</v>
      </c>
      <c r="C12" s="319" t="s">
        <v>2014</v>
      </c>
      <c r="D12" s="1765">
        <v>8924</v>
      </c>
      <c r="E12" s="529">
        <f t="shared" si="1"/>
        <v>224048</v>
      </c>
      <c r="F12" s="430"/>
    </row>
    <row r="13" spans="1:6" ht="15.75" x14ac:dyDescent="0.25">
      <c r="A13" s="996"/>
      <c r="B13" s="2718">
        <v>43991</v>
      </c>
      <c r="C13" s="319" t="s">
        <v>2014</v>
      </c>
      <c r="D13" s="1765">
        <v>34945</v>
      </c>
      <c r="E13" s="529">
        <f t="shared" si="1"/>
        <v>258993</v>
      </c>
      <c r="F13" s="430"/>
    </row>
    <row r="14" spans="1:6" ht="15.75" x14ac:dyDescent="0.25">
      <c r="A14" s="996">
        <f>+A12+1</f>
        <v>6</v>
      </c>
      <c r="B14" s="2718">
        <v>43991</v>
      </c>
      <c r="C14" s="326" t="s">
        <v>2012</v>
      </c>
      <c r="D14" s="1765">
        <v>10000</v>
      </c>
      <c r="E14" s="529">
        <f t="shared" si="1"/>
        <v>268993</v>
      </c>
      <c r="F14" s="430"/>
    </row>
    <row r="15" spans="1:6" ht="15.75" x14ac:dyDescent="0.25">
      <c r="A15" s="996">
        <f t="shared" si="0"/>
        <v>7</v>
      </c>
      <c r="B15" s="2718">
        <v>43992</v>
      </c>
      <c r="C15" s="430" t="s">
        <v>2014</v>
      </c>
      <c r="D15" s="1765">
        <v>78480</v>
      </c>
      <c r="E15" s="529">
        <f t="shared" si="1"/>
        <v>347473</v>
      </c>
      <c r="F15" s="430"/>
    </row>
    <row r="16" spans="1:6" ht="15.75" x14ac:dyDescent="0.25">
      <c r="A16" s="996">
        <f t="shared" si="0"/>
        <v>8</v>
      </c>
      <c r="B16" s="2718">
        <v>43994</v>
      </c>
      <c r="C16" s="431" t="s">
        <v>2014</v>
      </c>
      <c r="D16" s="2732">
        <v>72820</v>
      </c>
      <c r="E16" s="2737">
        <f t="shared" si="1"/>
        <v>420293</v>
      </c>
      <c r="F16" s="431"/>
    </row>
    <row r="17" spans="1:6" s="42" customFormat="1" ht="15.75" x14ac:dyDescent="0.25">
      <c r="A17" s="2752">
        <f t="shared" si="0"/>
        <v>9</v>
      </c>
      <c r="B17" s="2753">
        <v>43994</v>
      </c>
      <c r="C17" s="326" t="s">
        <v>2011</v>
      </c>
      <c r="D17" s="838">
        <v>1000000</v>
      </c>
      <c r="E17" s="2722">
        <f t="shared" si="1"/>
        <v>1420293</v>
      </c>
      <c r="F17" s="97"/>
    </row>
    <row r="18" spans="1:6" ht="15.75" x14ac:dyDescent="0.25">
      <c r="A18" s="996">
        <f t="shared" si="0"/>
        <v>10</v>
      </c>
      <c r="B18" s="2718">
        <v>43995</v>
      </c>
      <c r="C18" s="2717" t="s">
        <v>2014</v>
      </c>
      <c r="D18" s="2725">
        <v>29117</v>
      </c>
      <c r="E18" s="2726">
        <f t="shared" si="1"/>
        <v>1449410</v>
      </c>
      <c r="F18" s="2717"/>
    </row>
    <row r="19" spans="1:6" ht="15.75" x14ac:dyDescent="0.25">
      <c r="A19" s="996">
        <f t="shared" si="0"/>
        <v>11</v>
      </c>
      <c r="B19" s="2718">
        <v>43995</v>
      </c>
      <c r="C19" s="430" t="s">
        <v>2014</v>
      </c>
      <c r="D19" s="1765">
        <v>15950</v>
      </c>
      <c r="E19" s="529">
        <f t="shared" si="1"/>
        <v>1465360</v>
      </c>
      <c r="F19" s="430"/>
    </row>
    <row r="20" spans="1:6" ht="16.5" thickBot="1" x14ac:dyDescent="0.3">
      <c r="A20" s="996">
        <f t="shared" si="0"/>
        <v>12</v>
      </c>
      <c r="B20" s="2718">
        <v>43996</v>
      </c>
      <c r="C20" s="431" t="s">
        <v>2014</v>
      </c>
      <c r="D20" s="2732">
        <v>11040</v>
      </c>
      <c r="E20" s="2737">
        <f t="shared" si="1"/>
        <v>1476400</v>
      </c>
      <c r="F20" s="431"/>
    </row>
    <row r="21" spans="1:6" s="60" customFormat="1" ht="16.5" thickBot="1" x14ac:dyDescent="0.3">
      <c r="A21" s="2735">
        <f t="shared" si="0"/>
        <v>13</v>
      </c>
      <c r="B21" s="2738">
        <v>43997</v>
      </c>
      <c r="C21" s="1154" t="s">
        <v>2016</v>
      </c>
      <c r="D21" s="2736">
        <v>1000000</v>
      </c>
      <c r="E21" s="2748">
        <f t="shared" si="1"/>
        <v>2476400</v>
      </c>
      <c r="F21" s="2749"/>
    </row>
    <row r="22" spans="1:6" ht="15.75" x14ac:dyDescent="0.25">
      <c r="A22" s="996"/>
      <c r="B22" s="2718">
        <v>43997</v>
      </c>
      <c r="C22" s="2507" t="s">
        <v>2013</v>
      </c>
      <c r="D22" s="2725">
        <v>6350</v>
      </c>
      <c r="E22" s="2726">
        <f t="shared" si="1"/>
        <v>2482750</v>
      </c>
      <c r="F22" s="2717"/>
    </row>
    <row r="23" spans="1:6" ht="16.5" thickBot="1" x14ac:dyDescent="0.3">
      <c r="A23" s="996">
        <f>+A21+1</f>
        <v>14</v>
      </c>
      <c r="B23" s="2718">
        <v>43997</v>
      </c>
      <c r="C23" s="431" t="s">
        <v>2014</v>
      </c>
      <c r="D23" s="2732">
        <v>5000</v>
      </c>
      <c r="E23" s="2737">
        <f t="shared" si="1"/>
        <v>2487750</v>
      </c>
      <c r="F23" s="431"/>
    </row>
    <row r="24" spans="1:6" ht="16.5" thickBot="1" x14ac:dyDescent="0.3">
      <c r="A24" s="2735">
        <f t="shared" si="0"/>
        <v>15</v>
      </c>
      <c r="B24" s="2739">
        <v>43997</v>
      </c>
      <c r="C24" s="444" t="s">
        <v>2014</v>
      </c>
      <c r="D24" s="2740">
        <v>4800</v>
      </c>
      <c r="E24" s="2745">
        <f t="shared" si="1"/>
        <v>2492550</v>
      </c>
      <c r="F24" s="2746" t="s">
        <v>2017</v>
      </c>
    </row>
    <row r="25" spans="1:6" ht="15.75" x14ac:dyDescent="0.25">
      <c r="A25" s="996">
        <f t="shared" si="0"/>
        <v>16</v>
      </c>
      <c r="B25" s="2741">
        <v>43998</v>
      </c>
      <c r="C25" s="2717" t="s">
        <v>2014</v>
      </c>
      <c r="D25" s="2725">
        <v>15780</v>
      </c>
      <c r="E25" s="2734">
        <f t="shared" si="1"/>
        <v>2508330</v>
      </c>
      <c r="F25" s="2717"/>
    </row>
    <row r="26" spans="1:6" ht="15.75" x14ac:dyDescent="0.25">
      <c r="A26" s="996">
        <f t="shared" si="0"/>
        <v>17</v>
      </c>
      <c r="B26" s="2719">
        <v>43999</v>
      </c>
      <c r="C26" s="430" t="s">
        <v>2014</v>
      </c>
      <c r="D26" s="1765">
        <v>5300</v>
      </c>
      <c r="E26" s="2723">
        <f t="shared" si="1"/>
        <v>2513630</v>
      </c>
      <c r="F26" s="430"/>
    </row>
    <row r="27" spans="1:6" ht="20.100000000000001" customHeight="1" x14ac:dyDescent="0.25">
      <c r="A27" s="996">
        <f t="shared" si="0"/>
        <v>18</v>
      </c>
      <c r="B27" s="2720">
        <v>44000</v>
      </c>
      <c r="C27" s="430" t="s">
        <v>2014</v>
      </c>
      <c r="D27" s="1765">
        <v>4710</v>
      </c>
      <c r="E27" s="2723">
        <f t="shared" si="1"/>
        <v>2518340</v>
      </c>
      <c r="F27" s="430"/>
    </row>
    <row r="28" spans="1:6" ht="20.100000000000001" customHeight="1" x14ac:dyDescent="0.25">
      <c r="A28" s="996">
        <f t="shared" si="0"/>
        <v>19</v>
      </c>
      <c r="B28" s="2720">
        <v>44000</v>
      </c>
      <c r="C28" s="430" t="s">
        <v>2014</v>
      </c>
      <c r="D28" s="1765">
        <v>8040</v>
      </c>
      <c r="E28" s="2723">
        <f t="shared" si="1"/>
        <v>2526380</v>
      </c>
      <c r="F28" s="430"/>
    </row>
    <row r="29" spans="1:6" ht="20.100000000000001" customHeight="1" x14ac:dyDescent="0.25">
      <c r="A29" s="996">
        <f t="shared" si="0"/>
        <v>20</v>
      </c>
      <c r="B29" s="2720">
        <v>44001</v>
      </c>
      <c r="C29" s="430" t="s">
        <v>2014</v>
      </c>
      <c r="D29" s="1765">
        <v>2590</v>
      </c>
      <c r="E29" s="2723">
        <f t="shared" si="1"/>
        <v>2528970</v>
      </c>
      <c r="F29" s="430"/>
    </row>
    <row r="30" spans="1:6" s="42" customFormat="1" ht="27" customHeight="1" x14ac:dyDescent="0.25">
      <c r="A30" s="996">
        <f t="shared" si="0"/>
        <v>21</v>
      </c>
      <c r="B30" s="2744">
        <v>44002</v>
      </c>
      <c r="C30" s="1006" t="s">
        <v>2010</v>
      </c>
      <c r="D30" s="838">
        <v>20000</v>
      </c>
      <c r="E30" s="530">
        <f t="shared" si="1"/>
        <v>2548970</v>
      </c>
      <c r="F30" s="97"/>
    </row>
    <row r="31" spans="1:6" ht="20.100000000000001" customHeight="1" x14ac:dyDescent="0.25">
      <c r="A31" s="996">
        <f t="shared" si="0"/>
        <v>22</v>
      </c>
      <c r="B31" s="2720">
        <v>44002</v>
      </c>
      <c r="C31" s="430" t="s">
        <v>2014</v>
      </c>
      <c r="D31" s="2716">
        <v>16640</v>
      </c>
      <c r="E31" s="2723">
        <f t="shared" si="1"/>
        <v>2565610</v>
      </c>
      <c r="F31" s="430"/>
    </row>
    <row r="32" spans="1:6" ht="20.100000000000001" customHeight="1" x14ac:dyDescent="0.25">
      <c r="A32" s="996">
        <f t="shared" si="0"/>
        <v>23</v>
      </c>
      <c r="B32" s="2720">
        <v>44004</v>
      </c>
      <c r="C32" s="430" t="s">
        <v>2014</v>
      </c>
      <c r="D32" s="1765">
        <v>15240</v>
      </c>
      <c r="E32" s="2723">
        <f t="shared" si="1"/>
        <v>2580850</v>
      </c>
      <c r="F32" s="430"/>
    </row>
    <row r="33" spans="1:6" ht="20.100000000000001" customHeight="1" x14ac:dyDescent="0.25">
      <c r="A33" s="996">
        <f t="shared" si="0"/>
        <v>24</v>
      </c>
      <c r="B33" s="2720">
        <v>44005</v>
      </c>
      <c r="C33" s="430" t="s">
        <v>2014</v>
      </c>
      <c r="D33" s="1765">
        <v>18670</v>
      </c>
      <c r="E33" s="2723">
        <f t="shared" si="1"/>
        <v>2599520</v>
      </c>
      <c r="F33" s="430"/>
    </row>
    <row r="34" spans="1:6" ht="20.100000000000001" customHeight="1" x14ac:dyDescent="0.25">
      <c r="A34" s="996">
        <f t="shared" si="0"/>
        <v>25</v>
      </c>
      <c r="B34" s="2720">
        <v>44006</v>
      </c>
      <c r="C34" s="430" t="s">
        <v>2014</v>
      </c>
      <c r="D34" s="1765">
        <v>5300</v>
      </c>
      <c r="E34" s="2723">
        <f t="shared" si="1"/>
        <v>2604820</v>
      </c>
      <c r="F34" s="430"/>
    </row>
    <row r="35" spans="1:6" ht="20.100000000000001" customHeight="1" x14ac:dyDescent="0.25">
      <c r="A35" s="996">
        <f t="shared" si="0"/>
        <v>26</v>
      </c>
      <c r="B35" s="2720">
        <v>44008</v>
      </c>
      <c r="C35" s="430" t="s">
        <v>2014</v>
      </c>
      <c r="D35" s="1765">
        <v>4470</v>
      </c>
      <c r="E35" s="2723">
        <f t="shared" si="1"/>
        <v>2609290</v>
      </c>
      <c r="F35" s="430"/>
    </row>
    <row r="36" spans="1:6" ht="20.100000000000001" customHeight="1" x14ac:dyDescent="0.25">
      <c r="A36" s="996">
        <f t="shared" si="0"/>
        <v>27</v>
      </c>
      <c r="B36" s="2720">
        <v>44008</v>
      </c>
      <c r="C36" s="430" t="s">
        <v>2014</v>
      </c>
      <c r="D36" s="1765">
        <v>10840</v>
      </c>
      <c r="E36" s="2723">
        <f t="shared" si="1"/>
        <v>2620130</v>
      </c>
      <c r="F36" s="430"/>
    </row>
    <row r="37" spans="1:6" ht="20.100000000000001" customHeight="1" x14ac:dyDescent="0.25">
      <c r="A37" s="996">
        <f t="shared" si="0"/>
        <v>28</v>
      </c>
      <c r="B37" s="2720">
        <v>44009</v>
      </c>
      <c r="C37" s="430" t="s">
        <v>2014</v>
      </c>
      <c r="D37" s="1765">
        <v>46130</v>
      </c>
      <c r="E37" s="2723">
        <f t="shared" si="1"/>
        <v>2666260</v>
      </c>
      <c r="F37" s="430"/>
    </row>
    <row r="38" spans="1:6" ht="20.100000000000001" customHeight="1" x14ac:dyDescent="0.25">
      <c r="A38" s="996">
        <f t="shared" si="0"/>
        <v>29</v>
      </c>
      <c r="B38" s="2720">
        <v>44010</v>
      </c>
      <c r="C38" s="430" t="s">
        <v>2014</v>
      </c>
      <c r="D38" s="1765">
        <v>49560</v>
      </c>
      <c r="E38" s="2723">
        <f t="shared" si="1"/>
        <v>2715820</v>
      </c>
      <c r="F38" s="430"/>
    </row>
    <row r="39" spans="1:6" ht="20.100000000000001" customHeight="1" x14ac:dyDescent="0.25">
      <c r="A39" s="996">
        <f t="shared" si="0"/>
        <v>30</v>
      </c>
      <c r="B39" s="2720">
        <v>44012</v>
      </c>
      <c r="C39" s="430" t="s">
        <v>2014</v>
      </c>
      <c r="D39" s="1765">
        <v>6000</v>
      </c>
      <c r="E39" s="2723">
        <f t="shared" si="1"/>
        <v>2721820</v>
      </c>
      <c r="F39" s="430"/>
    </row>
    <row r="40" spans="1:6" ht="20.100000000000001" customHeight="1" x14ac:dyDescent="0.25">
      <c r="A40" s="996">
        <f t="shared" si="0"/>
        <v>31</v>
      </c>
      <c r="B40" s="2720">
        <v>44013</v>
      </c>
      <c r="C40" s="430" t="s">
        <v>2014</v>
      </c>
      <c r="D40" s="1765">
        <v>17460</v>
      </c>
      <c r="E40" s="2723">
        <f t="shared" si="1"/>
        <v>2739280</v>
      </c>
      <c r="F40" s="430"/>
    </row>
    <row r="41" spans="1:6" ht="20.100000000000001" customHeight="1" x14ac:dyDescent="0.25">
      <c r="A41" s="996">
        <f t="shared" si="0"/>
        <v>32</v>
      </c>
      <c r="B41" s="2720">
        <v>44015</v>
      </c>
      <c r="C41" s="430" t="s">
        <v>2014</v>
      </c>
      <c r="D41" s="1765">
        <v>9700</v>
      </c>
      <c r="E41" s="2723">
        <f t="shared" si="1"/>
        <v>2748980</v>
      </c>
      <c r="F41" s="430"/>
    </row>
    <row r="42" spans="1:6" ht="20.100000000000001" customHeight="1" x14ac:dyDescent="0.25">
      <c r="A42" s="996">
        <f t="shared" si="0"/>
        <v>33</v>
      </c>
      <c r="B42" s="2720">
        <v>44016</v>
      </c>
      <c r="C42" s="430" t="s">
        <v>2014</v>
      </c>
      <c r="D42" s="1765">
        <v>16805</v>
      </c>
      <c r="E42" s="2723">
        <f t="shared" si="1"/>
        <v>2765785</v>
      </c>
      <c r="F42" s="430"/>
    </row>
    <row r="43" spans="1:6" ht="20.100000000000001" customHeight="1" x14ac:dyDescent="0.25">
      <c r="A43" s="996">
        <f t="shared" si="0"/>
        <v>34</v>
      </c>
      <c r="B43" s="2719" t="s">
        <v>2008</v>
      </c>
      <c r="C43" s="430" t="s">
        <v>2014</v>
      </c>
      <c r="D43" s="1765">
        <v>9260</v>
      </c>
      <c r="E43" s="2723">
        <f t="shared" si="1"/>
        <v>2775045</v>
      </c>
      <c r="F43" s="430"/>
    </row>
    <row r="44" spans="1:6" ht="20.100000000000001" customHeight="1" x14ac:dyDescent="0.25">
      <c r="A44" s="996">
        <f t="shared" si="0"/>
        <v>35</v>
      </c>
      <c r="B44" s="2720">
        <v>44021</v>
      </c>
      <c r="C44" s="430" t="s">
        <v>2014</v>
      </c>
      <c r="D44" s="1765">
        <v>13520</v>
      </c>
      <c r="E44" s="2723">
        <f t="shared" si="1"/>
        <v>2788565</v>
      </c>
      <c r="F44" s="430"/>
    </row>
    <row r="45" spans="1:6" ht="20.100000000000001" customHeight="1" x14ac:dyDescent="0.25">
      <c r="A45" s="996">
        <f t="shared" si="0"/>
        <v>36</v>
      </c>
      <c r="B45" s="2720">
        <v>44022</v>
      </c>
      <c r="C45" s="430" t="s">
        <v>2014</v>
      </c>
      <c r="D45" s="1765">
        <v>17145</v>
      </c>
      <c r="E45" s="2723">
        <f t="shared" si="1"/>
        <v>2805710</v>
      </c>
      <c r="F45" s="430"/>
    </row>
    <row r="46" spans="1:6" ht="20.100000000000001" customHeight="1" x14ac:dyDescent="0.25">
      <c r="A46" s="996">
        <f t="shared" si="0"/>
        <v>37</v>
      </c>
      <c r="B46" s="2720">
        <v>44025</v>
      </c>
      <c r="C46" s="430" t="s">
        <v>2014</v>
      </c>
      <c r="D46" s="1765">
        <v>49600</v>
      </c>
      <c r="E46" s="2723">
        <f t="shared" si="1"/>
        <v>2855310</v>
      </c>
      <c r="F46" s="430"/>
    </row>
    <row r="47" spans="1:6" ht="20.100000000000001" customHeight="1" x14ac:dyDescent="0.25">
      <c r="A47" s="996">
        <f t="shared" si="0"/>
        <v>38</v>
      </c>
      <c r="B47" s="2720">
        <v>44026</v>
      </c>
      <c r="C47" s="430" t="s">
        <v>2014</v>
      </c>
      <c r="D47" s="1765">
        <v>3200</v>
      </c>
      <c r="E47" s="2723">
        <f t="shared" si="1"/>
        <v>2858510</v>
      </c>
      <c r="F47" s="430"/>
    </row>
    <row r="48" spans="1:6" ht="20.100000000000001" customHeight="1" x14ac:dyDescent="0.25">
      <c r="A48" s="996">
        <f t="shared" si="0"/>
        <v>39</v>
      </c>
      <c r="B48" s="2720">
        <v>44027</v>
      </c>
      <c r="C48" s="430" t="s">
        <v>2014</v>
      </c>
      <c r="D48" s="1765">
        <v>3600</v>
      </c>
      <c r="E48" s="2723">
        <f t="shared" si="1"/>
        <v>2862110</v>
      </c>
      <c r="F48" s="430"/>
    </row>
    <row r="49" spans="1:6" ht="20.100000000000001" customHeight="1" x14ac:dyDescent="0.25">
      <c r="A49" s="996">
        <f t="shared" si="0"/>
        <v>40</v>
      </c>
      <c r="B49" s="2720">
        <v>44028</v>
      </c>
      <c r="C49" s="430" t="s">
        <v>2014</v>
      </c>
      <c r="D49" s="1765">
        <v>9200</v>
      </c>
      <c r="E49" s="2723">
        <f t="shared" si="1"/>
        <v>2871310</v>
      </c>
      <c r="F49" s="430"/>
    </row>
    <row r="50" spans="1:6" ht="20.100000000000001" customHeight="1" x14ac:dyDescent="0.25">
      <c r="A50" s="996">
        <f t="shared" si="0"/>
        <v>41</v>
      </c>
      <c r="B50" s="2720">
        <v>44029</v>
      </c>
      <c r="C50" s="430" t="s">
        <v>2014</v>
      </c>
      <c r="D50" s="1765">
        <v>15815</v>
      </c>
      <c r="E50" s="2723">
        <f t="shared" si="1"/>
        <v>2887125</v>
      </c>
      <c r="F50" s="430"/>
    </row>
    <row r="51" spans="1:6" ht="20.100000000000001" customHeight="1" thickBot="1" x14ac:dyDescent="0.3">
      <c r="A51" s="996">
        <f t="shared" si="0"/>
        <v>42</v>
      </c>
      <c r="B51" s="2731">
        <v>44029</v>
      </c>
      <c r="C51" s="431" t="s">
        <v>2014</v>
      </c>
      <c r="D51" s="2732">
        <v>3950</v>
      </c>
      <c r="E51" s="2724">
        <f t="shared" si="1"/>
        <v>2891075</v>
      </c>
      <c r="F51" s="431"/>
    </row>
    <row r="52" spans="1:6" s="37" customFormat="1" ht="20.100000000000001" customHeight="1" thickBot="1" x14ac:dyDescent="0.3">
      <c r="A52" s="2735">
        <f t="shared" si="0"/>
        <v>43</v>
      </c>
      <c r="B52" s="2750">
        <v>44029</v>
      </c>
      <c r="C52" s="1154" t="s">
        <v>2016</v>
      </c>
      <c r="D52" s="2747">
        <v>500000</v>
      </c>
      <c r="E52" s="2751">
        <f t="shared" si="1"/>
        <v>3391075</v>
      </c>
      <c r="F52" s="2749"/>
    </row>
    <row r="53" spans="1:6" ht="20.100000000000001" customHeight="1" x14ac:dyDescent="0.25">
      <c r="A53" s="996">
        <f t="shared" si="0"/>
        <v>44</v>
      </c>
      <c r="B53" s="2733">
        <v>44031</v>
      </c>
      <c r="C53" s="2717" t="s">
        <v>2014</v>
      </c>
      <c r="D53" s="2725">
        <v>62000</v>
      </c>
      <c r="E53" s="2734">
        <f t="shared" si="1"/>
        <v>3453075</v>
      </c>
      <c r="F53" s="2717"/>
    </row>
    <row r="54" spans="1:6" ht="20.100000000000001" customHeight="1" x14ac:dyDescent="0.25">
      <c r="A54" s="996">
        <f t="shared" si="0"/>
        <v>45</v>
      </c>
      <c r="B54" s="2720">
        <v>44033</v>
      </c>
      <c r="C54" s="430" t="s">
        <v>2014</v>
      </c>
      <c r="D54" s="1765">
        <v>30980</v>
      </c>
      <c r="E54" s="2723">
        <f t="shared" si="1"/>
        <v>3484055</v>
      </c>
      <c r="F54" s="430"/>
    </row>
    <row r="55" spans="1:6" ht="20.100000000000001" customHeight="1" x14ac:dyDescent="0.25">
      <c r="A55" s="996">
        <f t="shared" si="0"/>
        <v>46</v>
      </c>
      <c r="B55" s="2720">
        <v>44035</v>
      </c>
      <c r="C55" s="430" t="s">
        <v>2014</v>
      </c>
      <c r="D55" s="1765">
        <v>19890</v>
      </c>
      <c r="E55" s="2723">
        <f t="shared" si="1"/>
        <v>3503945</v>
      </c>
      <c r="F55" s="430"/>
    </row>
    <row r="56" spans="1:6" ht="20.100000000000001" customHeight="1" x14ac:dyDescent="0.25">
      <c r="A56" s="996">
        <f t="shared" si="0"/>
        <v>47</v>
      </c>
      <c r="B56" s="2720">
        <v>44037</v>
      </c>
      <c r="C56" s="430" t="s">
        <v>2014</v>
      </c>
      <c r="D56" s="66">
        <v>21600</v>
      </c>
      <c r="E56" s="2723">
        <f t="shared" si="1"/>
        <v>3525545</v>
      </c>
      <c r="F56" s="430"/>
    </row>
    <row r="57" spans="1:6" ht="20.100000000000001" customHeight="1" x14ac:dyDescent="0.25">
      <c r="A57" s="996">
        <f t="shared" si="0"/>
        <v>48</v>
      </c>
      <c r="B57" s="2720">
        <v>44039</v>
      </c>
      <c r="C57" s="430" t="s">
        <v>2014</v>
      </c>
      <c r="D57" s="66">
        <v>44120</v>
      </c>
      <c r="E57" s="2723">
        <f t="shared" si="1"/>
        <v>3569665</v>
      </c>
      <c r="F57" s="430"/>
    </row>
    <row r="58" spans="1:6" ht="20.100000000000001" customHeight="1" x14ac:dyDescent="0.25">
      <c r="A58" s="996">
        <f t="shared" si="0"/>
        <v>49</v>
      </c>
      <c r="B58" s="2720">
        <v>44040</v>
      </c>
      <c r="C58" s="430" t="s">
        <v>2014</v>
      </c>
      <c r="D58" s="66">
        <v>10540</v>
      </c>
      <c r="E58" s="2723">
        <f t="shared" si="1"/>
        <v>3580205</v>
      </c>
      <c r="F58" s="430"/>
    </row>
    <row r="59" spans="1:6" ht="20.100000000000001" customHeight="1" x14ac:dyDescent="0.25">
      <c r="A59" s="996">
        <f t="shared" si="0"/>
        <v>50</v>
      </c>
      <c r="B59" s="2720">
        <v>44041</v>
      </c>
      <c r="C59" s="430" t="s">
        <v>2014</v>
      </c>
      <c r="D59" s="66">
        <v>33105</v>
      </c>
      <c r="E59" s="2723">
        <f t="shared" si="1"/>
        <v>3613310</v>
      </c>
      <c r="F59" s="430"/>
    </row>
    <row r="60" spans="1:6" ht="20.100000000000001" customHeight="1" x14ac:dyDescent="0.25">
      <c r="A60" s="996">
        <f t="shared" si="0"/>
        <v>51</v>
      </c>
      <c r="B60" s="2720">
        <v>44043</v>
      </c>
      <c r="C60" s="430" t="s">
        <v>2014</v>
      </c>
      <c r="D60" s="66">
        <v>39050</v>
      </c>
      <c r="E60" s="2723">
        <f t="shared" si="1"/>
        <v>3652360</v>
      </c>
      <c r="F60" s="430"/>
    </row>
    <row r="61" spans="1:6" ht="20.100000000000001" customHeight="1" x14ac:dyDescent="0.25">
      <c r="A61" s="996">
        <f t="shared" si="0"/>
        <v>52</v>
      </c>
      <c r="B61" s="2714">
        <v>44045</v>
      </c>
      <c r="C61" s="430" t="s">
        <v>2014</v>
      </c>
      <c r="D61" s="2721">
        <v>27525</v>
      </c>
      <c r="E61" s="2723">
        <f t="shared" si="1"/>
        <v>3679885</v>
      </c>
      <c r="F61" s="430"/>
    </row>
    <row r="62" spans="1:6" ht="20.100000000000001" customHeight="1" x14ac:dyDescent="0.25">
      <c r="A62" s="996"/>
      <c r="B62" s="2730">
        <v>44047</v>
      </c>
      <c r="C62" s="430" t="s">
        <v>2014</v>
      </c>
      <c r="D62" s="2755">
        <v>37275</v>
      </c>
      <c r="E62" s="2723">
        <f t="shared" si="1"/>
        <v>3717160</v>
      </c>
      <c r="F62" s="431"/>
    </row>
    <row r="63" spans="1:6" ht="20.100000000000001" customHeight="1" x14ac:dyDescent="0.25">
      <c r="A63" s="996"/>
      <c r="B63" s="2730">
        <v>44049</v>
      </c>
      <c r="C63" s="430" t="s">
        <v>2014</v>
      </c>
      <c r="D63" s="2755">
        <v>33855</v>
      </c>
      <c r="E63" s="2723">
        <f t="shared" si="1"/>
        <v>3751015</v>
      </c>
      <c r="F63" s="431"/>
    </row>
    <row r="64" spans="1:6" ht="20.100000000000001" customHeight="1" x14ac:dyDescent="0.25">
      <c r="A64" s="996"/>
      <c r="B64" s="2730">
        <v>44052</v>
      </c>
      <c r="C64" s="430" t="s">
        <v>2014</v>
      </c>
      <c r="D64" s="2755">
        <v>26085</v>
      </c>
      <c r="E64" s="2723">
        <f t="shared" si="1"/>
        <v>3777100</v>
      </c>
      <c r="F64" s="431"/>
    </row>
    <row r="65" spans="1:8" ht="20.100000000000001" customHeight="1" x14ac:dyDescent="0.25">
      <c r="A65" s="996"/>
      <c r="B65" s="2730">
        <v>37480</v>
      </c>
      <c r="C65" s="430" t="s">
        <v>2014</v>
      </c>
      <c r="D65" s="2755">
        <v>56625</v>
      </c>
      <c r="E65" s="2723">
        <f t="shared" si="1"/>
        <v>3833725</v>
      </c>
      <c r="F65" s="431"/>
    </row>
    <row r="66" spans="1:8" ht="20.100000000000001" customHeight="1" x14ac:dyDescent="0.25">
      <c r="A66" s="996"/>
      <c r="B66" s="2730">
        <v>44056</v>
      </c>
      <c r="C66" s="430" t="s">
        <v>2014</v>
      </c>
      <c r="D66" s="2755">
        <v>16020</v>
      </c>
      <c r="E66" s="2723">
        <f t="shared" si="1"/>
        <v>3849745</v>
      </c>
      <c r="F66" s="431"/>
    </row>
    <row r="67" spans="1:8" ht="20.100000000000001" customHeight="1" x14ac:dyDescent="0.25">
      <c r="A67" s="996"/>
      <c r="B67" s="2730">
        <v>44058</v>
      </c>
      <c r="C67" s="430" t="s">
        <v>2014</v>
      </c>
      <c r="D67" s="2755">
        <v>30150</v>
      </c>
      <c r="E67" s="2723">
        <f t="shared" si="1"/>
        <v>3879895</v>
      </c>
      <c r="F67" s="431"/>
    </row>
    <row r="68" spans="1:8" ht="20.100000000000001" customHeight="1" x14ac:dyDescent="0.25">
      <c r="A68" s="996"/>
      <c r="B68" s="2730">
        <v>44059</v>
      </c>
      <c r="C68" s="430" t="s">
        <v>2014</v>
      </c>
      <c r="D68" s="2755">
        <v>11975</v>
      </c>
      <c r="E68" s="2723">
        <f t="shared" si="1"/>
        <v>3891870</v>
      </c>
      <c r="F68" s="431"/>
    </row>
    <row r="69" spans="1:8" ht="20.100000000000001" customHeight="1" x14ac:dyDescent="0.25">
      <c r="A69" s="996"/>
      <c r="B69" s="2730">
        <v>44061</v>
      </c>
      <c r="C69" s="430" t="s">
        <v>2014</v>
      </c>
      <c r="D69" s="2755">
        <v>22120</v>
      </c>
      <c r="E69" s="2723">
        <f t="shared" si="1"/>
        <v>3913990</v>
      </c>
      <c r="F69" s="431"/>
    </row>
    <row r="70" spans="1:8" ht="20.100000000000001" customHeight="1" x14ac:dyDescent="0.25">
      <c r="A70" s="996"/>
      <c r="B70" s="2826">
        <v>44062</v>
      </c>
      <c r="C70" s="2256" t="s">
        <v>2016</v>
      </c>
      <c r="D70" s="2827">
        <v>500000</v>
      </c>
      <c r="E70" s="2723">
        <f t="shared" si="1"/>
        <v>4413990</v>
      </c>
      <c r="F70" s="431"/>
    </row>
    <row r="71" spans="1:8" ht="20.100000000000001" customHeight="1" x14ac:dyDescent="0.25">
      <c r="A71" s="996"/>
      <c r="B71" s="2730">
        <v>44064</v>
      </c>
      <c r="C71" s="431"/>
      <c r="D71" s="2755">
        <v>35545</v>
      </c>
      <c r="E71" s="2723">
        <f t="shared" si="1"/>
        <v>4449535</v>
      </c>
      <c r="F71" s="431"/>
    </row>
    <row r="72" spans="1:8" ht="20.100000000000001" customHeight="1" x14ac:dyDescent="0.25">
      <c r="A72" s="996"/>
      <c r="B72" s="2730">
        <v>44069</v>
      </c>
      <c r="C72" s="431"/>
      <c r="D72" s="2755">
        <v>39235</v>
      </c>
      <c r="E72" s="2723">
        <f t="shared" si="1"/>
        <v>4488770</v>
      </c>
      <c r="F72" s="431"/>
    </row>
    <row r="73" spans="1:8" ht="20.100000000000001" customHeight="1" x14ac:dyDescent="0.25">
      <c r="A73" s="996"/>
      <c r="B73" s="2730">
        <v>44073</v>
      </c>
      <c r="C73" s="431"/>
      <c r="D73" s="2755">
        <v>24565</v>
      </c>
      <c r="E73" s="2723">
        <f t="shared" si="1"/>
        <v>4513335</v>
      </c>
      <c r="F73" s="431"/>
    </row>
    <row r="74" spans="1:8" ht="20.100000000000001" customHeight="1" x14ac:dyDescent="0.25">
      <c r="A74" s="996"/>
      <c r="B74" s="2730">
        <v>44077</v>
      </c>
      <c r="C74" s="431"/>
      <c r="D74" s="2755">
        <v>19100</v>
      </c>
      <c r="E74" s="2723">
        <f t="shared" si="1"/>
        <v>4532435</v>
      </c>
      <c r="F74" s="431"/>
    </row>
    <row r="75" spans="1:8" ht="20.100000000000001" customHeight="1" x14ac:dyDescent="0.25">
      <c r="A75" s="996"/>
      <c r="B75" s="2730">
        <v>44081</v>
      </c>
      <c r="C75" s="431"/>
      <c r="D75" s="2755">
        <v>42760</v>
      </c>
      <c r="E75" s="2723">
        <f t="shared" ref="E75:E80" si="2">+E74+D75</f>
        <v>4575195</v>
      </c>
      <c r="F75" s="431"/>
    </row>
    <row r="76" spans="1:8" ht="20.100000000000001" customHeight="1" x14ac:dyDescent="0.25">
      <c r="A76" s="996"/>
      <c r="B76" s="2730"/>
      <c r="C76" s="431"/>
      <c r="D76" s="2755">
        <v>23025</v>
      </c>
      <c r="E76" s="2723">
        <f t="shared" si="2"/>
        <v>4598220</v>
      </c>
      <c r="F76" s="431"/>
    </row>
    <row r="77" spans="1:8" ht="20.100000000000001" customHeight="1" x14ac:dyDescent="0.25">
      <c r="A77" s="996"/>
      <c r="B77" s="2730"/>
      <c r="C77" s="431"/>
      <c r="D77" s="2755"/>
      <c r="E77" s="2723">
        <f t="shared" si="2"/>
        <v>4598220</v>
      </c>
      <c r="F77" s="431"/>
    </row>
    <row r="78" spans="1:8" ht="20.100000000000001" customHeight="1" x14ac:dyDescent="0.25">
      <c r="A78" s="996"/>
      <c r="B78" s="2730"/>
      <c r="C78" s="431"/>
      <c r="D78" s="2755"/>
      <c r="E78" s="2723">
        <f t="shared" si="2"/>
        <v>4598220</v>
      </c>
      <c r="F78" s="431"/>
    </row>
    <row r="79" spans="1:8" ht="20.100000000000001" customHeight="1" x14ac:dyDescent="0.25">
      <c r="A79" s="996"/>
      <c r="B79" s="2730"/>
      <c r="C79" s="431"/>
      <c r="D79" s="2755"/>
      <c r="E79" s="2723">
        <f t="shared" si="2"/>
        <v>4598220</v>
      </c>
      <c r="F79" s="431"/>
    </row>
    <row r="80" spans="1:8" ht="20.100000000000001" customHeight="1" thickBot="1" x14ac:dyDescent="0.3">
      <c r="A80" s="996"/>
      <c r="B80" s="2730"/>
      <c r="C80" s="431"/>
      <c r="D80" s="2728"/>
      <c r="E80" s="2723">
        <f t="shared" si="2"/>
        <v>4598220</v>
      </c>
      <c r="F80" s="431"/>
      <c r="G80" s="416">
        <v>4350000</v>
      </c>
      <c r="H80" s="416">
        <f>+G80-D81</f>
        <v>-248220</v>
      </c>
    </row>
    <row r="81" spans="1:7" ht="34.5" customHeight="1" thickBot="1" x14ac:dyDescent="0.3">
      <c r="A81" s="3338" t="s">
        <v>18</v>
      </c>
      <c r="B81" s="3339"/>
      <c r="C81" s="3340"/>
      <c r="D81" s="3336">
        <f>SUM(D8:D80)</f>
        <v>4598220</v>
      </c>
      <c r="E81" s="3337"/>
      <c r="F81" s="2729"/>
      <c r="G81" s="2657">
        <f>19100+24565</f>
        <v>43665</v>
      </c>
    </row>
    <row r="82" spans="1:7" x14ac:dyDescent="0.2">
      <c r="B82" s="2715"/>
    </row>
    <row r="83" spans="1:7" x14ac:dyDescent="0.2">
      <c r="B83" s="2715"/>
    </row>
    <row r="84" spans="1:7" x14ac:dyDescent="0.2">
      <c r="B84" s="2715"/>
    </row>
    <row r="85" spans="1:7" x14ac:dyDescent="0.2">
      <c r="B85" s="2715"/>
    </row>
    <row r="86" spans="1:7" x14ac:dyDescent="0.2">
      <c r="B86" s="2715"/>
    </row>
    <row r="87" spans="1:7" ht="19.5" customHeight="1" x14ac:dyDescent="0.2">
      <c r="B87" s="2715"/>
    </row>
    <row r="88" spans="1:7" ht="20.25" customHeight="1" x14ac:dyDescent="0.2">
      <c r="B88" s="2715"/>
    </row>
    <row r="89" spans="1:7" x14ac:dyDescent="0.2">
      <c r="B89" s="2715"/>
    </row>
    <row r="90" spans="1:7" x14ac:dyDescent="0.2">
      <c r="B90" s="2715"/>
    </row>
    <row r="91" spans="1:7" x14ac:dyDescent="0.2">
      <c r="B91" s="2715"/>
    </row>
    <row r="92" spans="1:7" x14ac:dyDescent="0.2">
      <c r="B92" s="2715"/>
    </row>
    <row r="93" spans="1:7" x14ac:dyDescent="0.2">
      <c r="B93" s="2715"/>
    </row>
    <row r="94" spans="1:7" x14ac:dyDescent="0.2">
      <c r="B94" s="2715"/>
    </row>
    <row r="95" spans="1:7" x14ac:dyDescent="0.2">
      <c r="B95" s="2715"/>
    </row>
    <row r="96" spans="1:7" x14ac:dyDescent="0.2">
      <c r="B96" s="2715"/>
    </row>
    <row r="97" spans="2:8" x14ac:dyDescent="0.2">
      <c r="B97" s="2715"/>
    </row>
    <row r="98" spans="2:8" x14ac:dyDescent="0.2">
      <c r="B98" s="2715"/>
    </row>
    <row r="101" spans="2:8" x14ac:dyDescent="0.2">
      <c r="D101" s="476">
        <f>SUM(D25:D100)</f>
        <v>6703890</v>
      </c>
    </row>
    <row r="105" spans="2:8" x14ac:dyDescent="0.2">
      <c r="D105" s="317" t="s">
        <v>2004</v>
      </c>
      <c r="E105" s="2657">
        <v>428208</v>
      </c>
    </row>
    <row r="106" spans="2:8" x14ac:dyDescent="0.2">
      <c r="C106" s="2657">
        <v>18000</v>
      </c>
      <c r="D106" s="317" t="s">
        <v>2005</v>
      </c>
      <c r="E106" s="2657">
        <v>512900</v>
      </c>
    </row>
    <row r="107" spans="2:8" x14ac:dyDescent="0.2">
      <c r="C107" s="2657">
        <v>355754</v>
      </c>
      <c r="D107" s="317" t="s">
        <v>2006</v>
      </c>
      <c r="E107" s="2657">
        <v>628370</v>
      </c>
      <c r="F107" s="2657">
        <f>+E105-C107</f>
        <v>72454</v>
      </c>
      <c r="G107" s="39" t="s">
        <v>2007</v>
      </c>
      <c r="H107" s="665">
        <v>43838</v>
      </c>
    </row>
    <row r="108" spans="2:8" x14ac:dyDescent="0.2">
      <c r="C108" s="2657">
        <v>417900</v>
      </c>
      <c r="D108" s="317" t="s">
        <v>187</v>
      </c>
      <c r="E108" s="2657">
        <v>277760</v>
      </c>
      <c r="F108" s="2657">
        <f>+E106-C108</f>
        <v>95000</v>
      </c>
      <c r="G108" s="39" t="s">
        <v>2007</v>
      </c>
      <c r="H108" s="665">
        <v>43901</v>
      </c>
    </row>
    <row r="109" spans="2:8" x14ac:dyDescent="0.2">
      <c r="C109" s="2657">
        <v>506720</v>
      </c>
      <c r="F109" s="2657">
        <f>+E107-C109</f>
        <v>121650</v>
      </c>
      <c r="G109" s="39" t="s">
        <v>2007</v>
      </c>
      <c r="H109" s="665">
        <v>43963</v>
      </c>
    </row>
    <row r="110" spans="2:8" x14ac:dyDescent="0.2">
      <c r="C110" s="2657">
        <v>277760</v>
      </c>
      <c r="F110" s="2657">
        <f>+E108-C110</f>
        <v>0</v>
      </c>
      <c r="G110" s="39" t="s">
        <v>2007</v>
      </c>
      <c r="H110" s="665">
        <v>43993</v>
      </c>
    </row>
    <row r="111" spans="2:8" x14ac:dyDescent="0.2">
      <c r="G111" s="39" t="s">
        <v>419</v>
      </c>
    </row>
  </sheetData>
  <mergeCells count="2">
    <mergeCell ref="D81:E81"/>
    <mergeCell ref="A81:C81"/>
  </mergeCells>
  <pageMargins left="0.70866141732283472" right="0.70866141732283472" top="0.74803149606299213" bottom="0.74803149606299213" header="0.31496062992125984" footer="0.31496062992125984"/>
  <pageSetup paperSize="9" orientation="portrait" horizontalDpi="0" verticalDpi="0"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34"/>
  <sheetViews>
    <sheetView topLeftCell="A18" workbookViewId="0">
      <selection activeCell="A8" sqref="A8:E34"/>
    </sheetView>
  </sheetViews>
  <sheetFormatPr baseColWidth="10" defaultRowHeight="12.75" x14ac:dyDescent="0.2"/>
  <cols>
    <col min="1" max="1" width="28" style="42" customWidth="1"/>
    <col min="2" max="2" width="2.140625" style="42" customWidth="1"/>
    <col min="3" max="3" width="88.42578125" style="42" customWidth="1"/>
    <col min="4" max="4" width="2.42578125" style="42" customWidth="1"/>
    <col min="5" max="5" width="66" style="42" customWidth="1"/>
    <col min="6" max="16384" width="11.42578125" style="42"/>
  </cols>
  <sheetData>
    <row r="8" spans="1:5" s="2799" customFormat="1" ht="15" x14ac:dyDescent="0.25">
      <c r="A8" s="1464" t="s">
        <v>2049</v>
      </c>
      <c r="B8" s="2819"/>
      <c r="C8" s="1464" t="s">
        <v>2083</v>
      </c>
      <c r="D8" s="2819"/>
      <c r="E8" s="1464" t="s">
        <v>2084</v>
      </c>
    </row>
    <row r="9" spans="1:5" ht="13.5" thickBot="1" x14ac:dyDescent="0.25">
      <c r="A9" s="2256"/>
      <c r="B9" s="2806"/>
      <c r="C9" s="2256"/>
      <c r="D9" s="2806"/>
      <c r="E9" s="2256"/>
    </row>
    <row r="10" spans="1:5" ht="30" customHeight="1" x14ac:dyDescent="0.2">
      <c r="A10" s="3341" t="s">
        <v>2055</v>
      </c>
      <c r="B10" s="2815"/>
      <c r="C10" s="1193" t="s">
        <v>2051</v>
      </c>
      <c r="D10" s="2816"/>
      <c r="E10" s="1194" t="s">
        <v>2050</v>
      </c>
    </row>
    <row r="11" spans="1:5" ht="30" customHeight="1" x14ac:dyDescent="0.2">
      <c r="A11" s="3342"/>
      <c r="B11" s="2803"/>
      <c r="C11" s="97" t="s">
        <v>2052</v>
      </c>
      <c r="D11" s="2805"/>
      <c r="E11" s="2813" t="s">
        <v>2086</v>
      </c>
    </row>
    <row r="12" spans="1:5" ht="30" customHeight="1" x14ac:dyDescent="0.2">
      <c r="A12" s="3342"/>
      <c r="B12" s="2803"/>
      <c r="C12" s="97" t="s">
        <v>2053</v>
      </c>
      <c r="D12" s="2805"/>
      <c r="E12" s="2813" t="s">
        <v>2075</v>
      </c>
    </row>
    <row r="13" spans="1:5" ht="39" customHeight="1" x14ac:dyDescent="0.2">
      <c r="A13" s="3342"/>
      <c r="B13" s="2803"/>
      <c r="C13" s="1006" t="s">
        <v>2058</v>
      </c>
      <c r="D13" s="2805"/>
      <c r="E13" s="2813" t="s">
        <v>2056</v>
      </c>
    </row>
    <row r="14" spans="1:5" ht="30" customHeight="1" x14ac:dyDescent="0.2">
      <c r="A14" s="3342"/>
      <c r="B14" s="2804"/>
      <c r="C14" s="97" t="s">
        <v>2087</v>
      </c>
      <c r="D14" s="2805"/>
      <c r="E14" s="2813" t="s">
        <v>2054</v>
      </c>
    </row>
    <row r="15" spans="1:5" ht="30" customHeight="1" thickBot="1" x14ac:dyDescent="0.25">
      <c r="A15" s="3343"/>
      <c r="B15" s="2817"/>
      <c r="C15" s="2809"/>
      <c r="D15" s="2818"/>
      <c r="E15" s="1195" t="s">
        <v>2078</v>
      </c>
    </row>
    <row r="16" spans="1:5" ht="13.5" thickBot="1" x14ac:dyDescent="0.25">
      <c r="A16" s="2810"/>
      <c r="B16" s="2811"/>
      <c r="C16" s="2810"/>
      <c r="D16" s="2811"/>
      <c r="E16" s="2810"/>
    </row>
    <row r="17" spans="1:5" ht="30" customHeight="1" x14ac:dyDescent="0.2">
      <c r="A17" s="3344" t="s">
        <v>2064</v>
      </c>
      <c r="B17" s="2812"/>
      <c r="C17" s="1193" t="s">
        <v>2085</v>
      </c>
      <c r="D17" s="2807"/>
      <c r="E17" s="1194" t="s">
        <v>2081</v>
      </c>
    </row>
    <row r="18" spans="1:5" ht="30" customHeight="1" x14ac:dyDescent="0.2">
      <c r="A18" s="3345"/>
      <c r="B18" s="2802"/>
      <c r="C18" s="2800" t="s">
        <v>2069</v>
      </c>
      <c r="D18" s="2801"/>
      <c r="E18" s="2813" t="s">
        <v>2068</v>
      </c>
    </row>
    <row r="19" spans="1:5" ht="30" customHeight="1" x14ac:dyDescent="0.2">
      <c r="A19" s="3345"/>
      <c r="B19" s="2802"/>
      <c r="C19" s="97" t="s">
        <v>2082</v>
      </c>
      <c r="D19" s="2801"/>
      <c r="E19" s="2813"/>
    </row>
    <row r="20" spans="1:5" ht="30" customHeight="1" x14ac:dyDescent="0.2">
      <c r="A20" s="3345"/>
      <c r="B20" s="2802"/>
      <c r="C20" s="2800" t="s">
        <v>2076</v>
      </c>
      <c r="D20" s="2801"/>
      <c r="E20" s="2813"/>
    </row>
    <row r="21" spans="1:5" ht="30" customHeight="1" thickBot="1" x14ac:dyDescent="0.25">
      <c r="A21" s="3346"/>
      <c r="B21" s="2814"/>
      <c r="C21" s="2809" t="s">
        <v>2088</v>
      </c>
      <c r="D21" s="2808"/>
      <c r="E21" s="1195"/>
    </row>
    <row r="22" spans="1:5" ht="13.5" thickBot="1" x14ac:dyDescent="0.25">
      <c r="A22" s="2810"/>
      <c r="B22" s="2811"/>
      <c r="C22" s="2810"/>
      <c r="D22" s="2811"/>
      <c r="E22" s="2810"/>
    </row>
    <row r="23" spans="1:5" ht="30" customHeight="1" x14ac:dyDescent="0.2">
      <c r="A23" s="3341" t="s">
        <v>2065</v>
      </c>
      <c r="B23" s="2812"/>
      <c r="C23" s="1193" t="s">
        <v>2089</v>
      </c>
      <c r="D23" s="2807"/>
      <c r="E23" s="1194" t="s">
        <v>2063</v>
      </c>
    </row>
    <row r="24" spans="1:5" ht="30" customHeight="1" x14ac:dyDescent="0.2">
      <c r="A24" s="3342"/>
      <c r="B24" s="2801"/>
      <c r="C24" s="97" t="s">
        <v>2062</v>
      </c>
      <c r="D24" s="2801"/>
      <c r="E24" s="2813" t="s">
        <v>2059</v>
      </c>
    </row>
    <row r="25" spans="1:5" ht="30" customHeight="1" x14ac:dyDescent="0.2">
      <c r="A25" s="3342"/>
      <c r="B25" s="2801"/>
      <c r="C25" s="97" t="s">
        <v>2073</v>
      </c>
      <c r="D25" s="2801"/>
      <c r="E25" s="2813" t="s">
        <v>2060</v>
      </c>
    </row>
    <row r="26" spans="1:5" ht="30" customHeight="1" x14ac:dyDescent="0.2">
      <c r="A26" s="3342"/>
      <c r="B26" s="2802"/>
      <c r="C26" s="97" t="s">
        <v>2074</v>
      </c>
      <c r="D26" s="2801"/>
      <c r="E26" s="2813" t="s">
        <v>2061</v>
      </c>
    </row>
    <row r="27" spans="1:5" ht="30" customHeight="1" x14ac:dyDescent="0.2">
      <c r="A27" s="3342"/>
      <c r="B27" s="2801"/>
      <c r="C27" s="97" t="s">
        <v>2077</v>
      </c>
      <c r="D27" s="2801"/>
      <c r="E27" s="2813" t="s">
        <v>2071</v>
      </c>
    </row>
    <row r="28" spans="1:5" ht="30" customHeight="1" x14ac:dyDescent="0.2">
      <c r="A28" s="3342"/>
      <c r="B28" s="2801"/>
      <c r="C28" s="97" t="s">
        <v>2072</v>
      </c>
      <c r="D28" s="2801"/>
      <c r="E28" s="2813"/>
    </row>
    <row r="29" spans="1:5" ht="30" customHeight="1" x14ac:dyDescent="0.2">
      <c r="A29" s="3342"/>
      <c r="B29" s="2801"/>
      <c r="C29" s="97" t="s">
        <v>2079</v>
      </c>
      <c r="D29" s="2801"/>
      <c r="E29" s="2813"/>
    </row>
    <row r="30" spans="1:5" ht="30" customHeight="1" thickBot="1" x14ac:dyDescent="0.25">
      <c r="A30" s="3343"/>
      <c r="B30" s="2808"/>
      <c r="C30" s="2809" t="s">
        <v>2080</v>
      </c>
      <c r="D30" s="2808"/>
      <c r="E30" s="1195"/>
    </row>
    <row r="31" spans="1:5" ht="13.5" thickBot="1" x14ac:dyDescent="0.25">
      <c r="A31" s="2810"/>
      <c r="B31" s="2811"/>
      <c r="C31" s="2810"/>
      <c r="D31" s="2811"/>
      <c r="E31" s="2810"/>
    </row>
    <row r="32" spans="1:5" ht="30" customHeight="1" x14ac:dyDescent="0.2">
      <c r="A32" s="3347" t="s">
        <v>2057</v>
      </c>
      <c r="B32" s="2807"/>
      <c r="C32" s="1193" t="s">
        <v>2066</v>
      </c>
      <c r="D32" s="2807"/>
      <c r="E32" s="1194" t="s">
        <v>2067</v>
      </c>
    </row>
    <row r="33" spans="1:5" ht="30" customHeight="1" x14ac:dyDescent="0.2">
      <c r="A33" s="3348"/>
      <c r="B33" s="2801"/>
      <c r="C33" s="97" t="s">
        <v>2070</v>
      </c>
      <c r="D33" s="2801"/>
      <c r="E33" s="2813"/>
    </row>
    <row r="34" spans="1:5" ht="19.5" customHeight="1" thickBot="1" x14ac:dyDescent="0.25">
      <c r="A34" s="3349"/>
      <c r="B34" s="2808"/>
      <c r="C34" s="2809" t="s">
        <v>2090</v>
      </c>
      <c r="D34" s="2808"/>
      <c r="E34" s="1195"/>
    </row>
  </sheetData>
  <mergeCells count="4">
    <mergeCell ref="A10:A15"/>
    <mergeCell ref="A23:A30"/>
    <mergeCell ref="A17:A21"/>
    <mergeCell ref="A32:A34"/>
  </mergeCells>
  <pageMargins left="0.7" right="0.7" top="0.75" bottom="0.75" header="0.3" footer="0.3"/>
  <pageSetup paperSize="9" orientation="portrait" horizontalDpi="0" verticalDpi="0" r:id="rId1"/>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G13" sqref="G13"/>
    </sheetView>
  </sheetViews>
  <sheetFormatPr baseColWidth="10" defaultRowHeight="12.75" x14ac:dyDescent="0.2"/>
  <cols>
    <col min="1" max="1" width="10.85546875" customWidth="1"/>
    <col min="2" max="2" width="41.7109375" customWidth="1"/>
    <col min="3" max="3" width="16" customWidth="1"/>
    <col min="4" max="4" width="25.42578125" customWidth="1"/>
  </cols>
  <sheetData>
    <row r="1" spans="1:8" ht="15.75" x14ac:dyDescent="0.25">
      <c r="A1" s="60" t="s">
        <v>1156</v>
      </c>
    </row>
    <row r="4" spans="1:8" ht="15.75" x14ac:dyDescent="0.25">
      <c r="B4" s="996" t="s">
        <v>2092</v>
      </c>
      <c r="C4" s="69"/>
    </row>
    <row r="7" spans="1:8" s="764" customFormat="1" x14ac:dyDescent="0.2">
      <c r="A7" s="2204" t="s">
        <v>3</v>
      </c>
      <c r="B7" s="2204" t="s">
        <v>2093</v>
      </c>
      <c r="C7" s="2204" t="s">
        <v>39</v>
      </c>
      <c r="D7" s="2204" t="s">
        <v>55</v>
      </c>
    </row>
    <row r="8" spans="1:8" ht="30" customHeight="1" x14ac:dyDescent="0.2">
      <c r="A8" s="430"/>
      <c r="B8" s="430"/>
      <c r="C8" s="430"/>
      <c r="D8" s="430"/>
    </row>
    <row r="9" spans="1:8" ht="30" customHeight="1" x14ac:dyDescent="0.2">
      <c r="A9" s="430"/>
      <c r="B9" s="430"/>
      <c r="C9" s="430"/>
      <c r="D9" s="430"/>
      <c r="F9" t="s">
        <v>2095</v>
      </c>
      <c r="G9" t="s">
        <v>2096</v>
      </c>
    </row>
    <row r="10" spans="1:8" ht="30" customHeight="1" x14ac:dyDescent="0.2">
      <c r="A10" s="430"/>
      <c r="B10" s="430"/>
      <c r="C10" s="430"/>
      <c r="D10" s="430"/>
      <c r="E10">
        <v>7</v>
      </c>
      <c r="F10">
        <v>11</v>
      </c>
      <c r="G10">
        <v>2</v>
      </c>
      <c r="H10">
        <f>+F10-G10</f>
        <v>9</v>
      </c>
    </row>
    <row r="11" spans="1:8" ht="30" customHeight="1" x14ac:dyDescent="0.2">
      <c r="A11" s="430"/>
      <c r="B11" s="430"/>
      <c r="C11" s="430"/>
      <c r="D11" s="430"/>
      <c r="E11">
        <v>8</v>
      </c>
      <c r="G11">
        <v>8.5</v>
      </c>
      <c r="H11" s="2657">
        <f t="shared" ref="H11:H16" si="0">+H10+F11-G11</f>
        <v>0.5</v>
      </c>
    </row>
    <row r="12" spans="1:8" ht="30" customHeight="1" x14ac:dyDescent="0.2">
      <c r="A12" s="430"/>
      <c r="B12" s="430"/>
      <c r="C12" s="430"/>
      <c r="D12" s="430"/>
      <c r="E12">
        <v>9</v>
      </c>
      <c r="G12">
        <v>0.5</v>
      </c>
      <c r="H12" s="2657">
        <f t="shared" si="0"/>
        <v>0</v>
      </c>
    </row>
    <row r="13" spans="1:8" ht="30" customHeight="1" x14ac:dyDescent="0.2">
      <c r="A13" s="430"/>
      <c r="B13" s="430"/>
      <c r="C13" s="430"/>
      <c r="D13" s="430"/>
      <c r="E13">
        <v>10</v>
      </c>
      <c r="H13" s="2657">
        <f t="shared" si="0"/>
        <v>0</v>
      </c>
    </row>
    <row r="14" spans="1:8" ht="30" customHeight="1" x14ac:dyDescent="0.2">
      <c r="A14" s="430"/>
      <c r="B14" s="430"/>
      <c r="C14" s="430"/>
      <c r="D14" s="430"/>
      <c r="H14" s="2657">
        <f t="shared" si="0"/>
        <v>0</v>
      </c>
    </row>
    <row r="15" spans="1:8" ht="30" customHeight="1" x14ac:dyDescent="0.2">
      <c r="A15" s="430"/>
      <c r="B15" s="430"/>
      <c r="C15" s="430"/>
      <c r="D15" s="430"/>
      <c r="H15" s="2657">
        <f t="shared" si="0"/>
        <v>0</v>
      </c>
    </row>
    <row r="16" spans="1:8" ht="30" customHeight="1" x14ac:dyDescent="0.2">
      <c r="A16" s="430"/>
      <c r="B16" s="430"/>
      <c r="C16" s="430"/>
      <c r="D16" s="430"/>
      <c r="H16" s="2657">
        <f t="shared" si="0"/>
        <v>0</v>
      </c>
    </row>
    <row r="17" spans="1:4" ht="30" customHeight="1" x14ac:dyDescent="0.2">
      <c r="A17" s="430"/>
      <c r="B17" s="430"/>
      <c r="C17" s="430"/>
      <c r="D17" s="430"/>
    </row>
    <row r="18" spans="1:4" ht="30" customHeight="1" x14ac:dyDescent="0.2">
      <c r="A18" s="430"/>
      <c r="B18" s="430"/>
      <c r="C18" s="430"/>
      <c r="D18" s="430"/>
    </row>
    <row r="19" spans="1:4" ht="30" customHeight="1" x14ac:dyDescent="0.2">
      <c r="A19" s="430"/>
      <c r="B19" s="430"/>
      <c r="C19" s="430"/>
      <c r="D19" s="430"/>
    </row>
    <row r="20" spans="1:4" ht="30" customHeight="1" x14ac:dyDescent="0.2">
      <c r="A20" s="430"/>
      <c r="B20" s="430"/>
      <c r="C20" s="430"/>
      <c r="D20" s="430"/>
    </row>
    <row r="21" spans="1:4" ht="30" customHeight="1" x14ac:dyDescent="0.2">
      <c r="A21" s="430"/>
      <c r="B21" s="430"/>
      <c r="C21" s="430"/>
      <c r="D21" s="430"/>
    </row>
    <row r="22" spans="1:4" ht="30" customHeight="1" x14ac:dyDescent="0.2">
      <c r="A22" s="430"/>
      <c r="B22" s="430"/>
      <c r="C22" s="430"/>
      <c r="D22" s="430"/>
    </row>
    <row r="23" spans="1:4" ht="30" customHeight="1" x14ac:dyDescent="0.2">
      <c r="A23" s="430"/>
      <c r="B23" s="430"/>
      <c r="C23" s="430"/>
      <c r="D23" s="430"/>
    </row>
    <row r="24" spans="1:4" ht="30" customHeight="1" x14ac:dyDescent="0.2">
      <c r="A24" s="430"/>
      <c r="B24" s="430"/>
      <c r="C24" s="430"/>
      <c r="D24" s="430"/>
    </row>
    <row r="25" spans="1:4" ht="30" customHeight="1" x14ac:dyDescent="0.2">
      <c r="A25" s="430"/>
      <c r="B25" s="430"/>
      <c r="C25" s="430"/>
      <c r="D25" s="430"/>
    </row>
    <row r="26" spans="1:4" ht="30" customHeight="1" x14ac:dyDescent="0.2">
      <c r="A26" s="430"/>
      <c r="B26" s="430"/>
      <c r="C26" s="430"/>
      <c r="D26" s="430"/>
    </row>
    <row r="27" spans="1:4" ht="30" customHeight="1" x14ac:dyDescent="0.2">
      <c r="A27" s="430"/>
      <c r="B27" s="430"/>
      <c r="C27" s="430"/>
      <c r="D27" s="430"/>
    </row>
    <row r="28" spans="1:4" ht="30" customHeight="1" x14ac:dyDescent="0.2">
      <c r="A28" s="430"/>
      <c r="B28" s="430"/>
      <c r="C28" s="430"/>
      <c r="D28" s="430"/>
    </row>
    <row r="29" spans="1:4" ht="30" customHeight="1" x14ac:dyDescent="0.2">
      <c r="A29" s="430"/>
      <c r="B29" s="430"/>
      <c r="C29" s="430"/>
      <c r="D29" s="430"/>
    </row>
    <row r="30" spans="1:4" ht="30" customHeight="1" x14ac:dyDescent="0.2">
      <c r="A30" s="430"/>
      <c r="B30" s="430"/>
      <c r="C30" s="430"/>
      <c r="D30" s="430"/>
    </row>
    <row r="31" spans="1:4" ht="30" customHeight="1" x14ac:dyDescent="0.2">
      <c r="A31" s="430"/>
      <c r="B31" s="430"/>
      <c r="C31" s="430"/>
      <c r="D31" s="430"/>
    </row>
    <row r="32" spans="1:4" ht="30" customHeight="1" x14ac:dyDescent="0.2">
      <c r="A32" s="430"/>
      <c r="B32" s="430"/>
      <c r="C32" s="430"/>
      <c r="D32" s="430"/>
    </row>
    <row r="33" spans="1:4" ht="30" customHeight="1" x14ac:dyDescent="0.2">
      <c r="A33" s="430"/>
      <c r="B33" s="430"/>
      <c r="C33" s="430"/>
      <c r="D33" s="430"/>
    </row>
    <row r="34" spans="1:4" ht="30" customHeight="1" x14ac:dyDescent="0.2">
      <c r="A34" s="430"/>
      <c r="B34" s="430"/>
      <c r="C34" s="430"/>
      <c r="D34" s="430"/>
    </row>
    <row r="35" spans="1:4" ht="30" customHeight="1" x14ac:dyDescent="0.2">
      <c r="A35" s="430"/>
      <c r="B35" s="430"/>
      <c r="C35" s="430"/>
      <c r="D35" s="430"/>
    </row>
    <row r="36" spans="1:4" ht="30" customHeight="1" x14ac:dyDescent="0.2">
      <c r="A36" s="430"/>
      <c r="B36" s="430"/>
      <c r="C36" s="430"/>
      <c r="D36" s="430"/>
    </row>
    <row r="37" spans="1:4" ht="30" customHeight="1" x14ac:dyDescent="0.2">
      <c r="A37" s="430"/>
      <c r="B37" s="430"/>
      <c r="C37" s="430"/>
      <c r="D37" s="430"/>
    </row>
    <row r="38" spans="1:4" ht="30" customHeight="1" x14ac:dyDescent="0.2">
      <c r="A38" s="430"/>
      <c r="B38" s="430"/>
      <c r="C38" s="430"/>
      <c r="D38" s="430"/>
    </row>
    <row r="39" spans="1:4" ht="30" customHeight="1" x14ac:dyDescent="0.2">
      <c r="A39" s="430"/>
      <c r="B39" s="430"/>
      <c r="C39" s="430"/>
      <c r="D39" s="430"/>
    </row>
    <row r="40" spans="1:4" ht="30" customHeight="1" x14ac:dyDescent="0.2">
      <c r="A40" s="430"/>
      <c r="B40" s="430"/>
      <c r="C40" s="430"/>
      <c r="D40" s="430"/>
    </row>
    <row r="41" spans="1:4" ht="30" customHeight="1" x14ac:dyDescent="0.2">
      <c r="A41" s="430"/>
      <c r="B41" s="430"/>
      <c r="C41" s="430"/>
      <c r="D41" s="430"/>
    </row>
    <row r="42" spans="1:4" ht="30" customHeight="1" x14ac:dyDescent="0.2">
      <c r="A42" s="430"/>
      <c r="B42" s="430"/>
      <c r="C42" s="430"/>
      <c r="D42" s="430"/>
    </row>
    <row r="43" spans="1:4" ht="30" customHeight="1" x14ac:dyDescent="0.2">
      <c r="A43" s="430"/>
      <c r="B43" s="430"/>
      <c r="C43" s="430"/>
      <c r="D43" s="430"/>
    </row>
    <row r="44" spans="1:4" ht="30" customHeight="1" x14ac:dyDescent="0.2">
      <c r="A44" s="430"/>
      <c r="B44" s="430"/>
      <c r="C44" s="430"/>
      <c r="D44" s="430"/>
    </row>
    <row r="45" spans="1:4" ht="30" customHeight="1" x14ac:dyDescent="0.2">
      <c r="A45" s="430"/>
      <c r="B45" s="430"/>
      <c r="C45" s="430"/>
      <c r="D45" s="430"/>
    </row>
    <row r="46" spans="1:4" ht="30" customHeight="1" x14ac:dyDescent="0.2">
      <c r="A46" s="430"/>
      <c r="B46" s="430"/>
      <c r="C46" s="430"/>
      <c r="D46" s="430"/>
    </row>
    <row r="47" spans="1:4" ht="30" customHeight="1" x14ac:dyDescent="0.2">
      <c r="A47" s="430"/>
      <c r="B47" s="430"/>
      <c r="C47" s="430"/>
      <c r="D47" s="430"/>
    </row>
    <row r="48" spans="1:4" ht="30" customHeight="1" x14ac:dyDescent="0.2">
      <c r="A48" s="430"/>
      <c r="B48" s="430"/>
      <c r="C48" s="430"/>
      <c r="D48" s="430"/>
    </row>
    <row r="49" spans="1:4" ht="30" customHeight="1" x14ac:dyDescent="0.2">
      <c r="A49" s="430"/>
      <c r="B49" s="430"/>
      <c r="C49" s="430"/>
      <c r="D49" s="430"/>
    </row>
    <row r="50" spans="1:4" ht="30" customHeight="1" x14ac:dyDescent="0.2">
      <c r="A50" s="430"/>
      <c r="B50" s="430"/>
      <c r="C50" s="430"/>
      <c r="D50" s="430"/>
    </row>
    <row r="51" spans="1:4" ht="30" customHeight="1" x14ac:dyDescent="0.2">
      <c r="A51" s="430"/>
      <c r="B51" s="430"/>
      <c r="C51" s="430"/>
      <c r="D51" s="430"/>
    </row>
    <row r="52" spans="1:4" ht="30" customHeight="1" x14ac:dyDescent="0.2">
      <c r="A52" s="430"/>
      <c r="B52" s="430"/>
      <c r="C52" s="430"/>
      <c r="D52" s="430"/>
    </row>
    <row r="53" spans="1:4" ht="30" customHeight="1" x14ac:dyDescent="0.2">
      <c r="A53" s="430"/>
      <c r="B53" s="430"/>
      <c r="C53" s="430"/>
      <c r="D53" s="430"/>
    </row>
    <row r="54" spans="1:4" ht="30" customHeight="1" x14ac:dyDescent="0.2">
      <c r="A54" s="430"/>
      <c r="B54" s="430"/>
      <c r="C54" s="430"/>
      <c r="D54" s="430"/>
    </row>
  </sheetData>
  <printOptions horizontalCentered="1"/>
  <pageMargins left="0.51181102362204722" right="0.51181102362204722" top="0.55118110236220474" bottom="0.74803149606299213" header="0.31496062992125984" footer="0.31496062992125984"/>
  <pageSetup paperSize="9" orientation="portrait" horizontalDpi="0" verticalDpi="0"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36"/>
  <sheetViews>
    <sheetView topLeftCell="A6" workbookViewId="0">
      <selection activeCell="O26" sqref="O26"/>
    </sheetView>
  </sheetViews>
  <sheetFormatPr baseColWidth="10" defaultRowHeight="12.75" x14ac:dyDescent="0.2"/>
  <cols>
    <col min="12" max="12" width="15.5703125" customWidth="1"/>
    <col min="14" max="14" width="12.28515625" customWidth="1"/>
    <col min="16" max="16" width="18.140625" customWidth="1"/>
    <col min="18" max="18" width="9.42578125" customWidth="1"/>
  </cols>
  <sheetData>
    <row r="7" spans="1:19" x14ac:dyDescent="0.2">
      <c r="A7" s="430" t="s">
        <v>2097</v>
      </c>
      <c r="B7" s="430" t="s">
        <v>2098</v>
      </c>
      <c r="C7" s="430" t="s">
        <v>2099</v>
      </c>
      <c r="D7" s="430" t="s">
        <v>2100</v>
      </c>
      <c r="E7" s="430" t="s">
        <v>133</v>
      </c>
    </row>
    <row r="8" spans="1:19" x14ac:dyDescent="0.2">
      <c r="A8" s="2158">
        <v>44075</v>
      </c>
      <c r="B8" s="430"/>
      <c r="C8" s="458"/>
      <c r="D8" s="458"/>
      <c r="E8" s="458"/>
    </row>
    <row r="9" spans="1:19" x14ac:dyDescent="0.2">
      <c r="A9" s="2158">
        <v>44076</v>
      </c>
      <c r="B9" s="430"/>
      <c r="C9" s="458"/>
      <c r="D9" s="458"/>
      <c r="E9" s="458"/>
    </row>
    <row r="10" spans="1:19" x14ac:dyDescent="0.2">
      <c r="A10" s="2158">
        <v>44077</v>
      </c>
      <c r="B10" s="430"/>
      <c r="C10" s="458"/>
      <c r="D10" s="458"/>
      <c r="E10" s="458"/>
    </row>
    <row r="11" spans="1:19" ht="19.5" thickBot="1" x14ac:dyDescent="0.25">
      <c r="A11" s="2158">
        <v>44078</v>
      </c>
      <c r="B11" s="430"/>
      <c r="C11" s="458"/>
      <c r="D11" s="458"/>
      <c r="E11" s="458"/>
      <c r="L11" s="3354" t="s">
        <v>2104</v>
      </c>
      <c r="M11" s="3354"/>
      <c r="N11" s="3354"/>
      <c r="O11" s="3354"/>
      <c r="P11" s="3354"/>
      <c r="Q11" s="3355"/>
      <c r="R11" s="2834"/>
      <c r="S11" s="2835"/>
    </row>
    <row r="12" spans="1:19" ht="16.5" thickBot="1" x14ac:dyDescent="0.25">
      <c r="A12" s="2158">
        <v>44079</v>
      </c>
      <c r="B12" s="430"/>
      <c r="C12" s="458"/>
      <c r="D12" s="458"/>
      <c r="E12" s="458"/>
      <c r="L12" s="2836" t="s">
        <v>2103</v>
      </c>
      <c r="M12" s="2837" t="s">
        <v>121</v>
      </c>
      <c r="N12" s="2837" t="s">
        <v>61</v>
      </c>
      <c r="O12" s="2837" t="s">
        <v>43</v>
      </c>
      <c r="P12" s="2837" t="s">
        <v>39</v>
      </c>
      <c r="Q12" s="3356" t="s">
        <v>254</v>
      </c>
      <c r="R12" s="3357"/>
      <c r="S12" s="2835"/>
    </row>
    <row r="13" spans="1:19" ht="24.75" customHeight="1" thickBot="1" x14ac:dyDescent="0.25">
      <c r="A13" s="2158">
        <v>44080</v>
      </c>
      <c r="B13" s="430"/>
      <c r="C13" s="458"/>
      <c r="D13" s="458"/>
      <c r="E13" s="458"/>
      <c r="L13" s="2838" t="s">
        <v>2105</v>
      </c>
      <c r="M13" s="2839" t="s">
        <v>16</v>
      </c>
      <c r="N13" s="2840">
        <v>550</v>
      </c>
      <c r="O13" s="2837">
        <v>584</v>
      </c>
      <c r="P13" s="2840">
        <v>321200</v>
      </c>
      <c r="Q13" s="3358" t="s">
        <v>826</v>
      </c>
      <c r="R13" s="3359"/>
      <c r="S13" s="2835"/>
    </row>
    <row r="14" spans="1:19" ht="21" thickBot="1" x14ac:dyDescent="0.25">
      <c r="A14" s="2158">
        <v>44081</v>
      </c>
      <c r="B14" s="430">
        <v>11</v>
      </c>
      <c r="C14" s="458">
        <v>3</v>
      </c>
      <c r="D14" s="458">
        <f>+B14-C14</f>
        <v>8</v>
      </c>
      <c r="E14" s="458"/>
      <c r="L14" s="2838" t="s">
        <v>2106</v>
      </c>
      <c r="M14" s="2839" t="s">
        <v>16</v>
      </c>
      <c r="N14" s="2840">
        <v>550</v>
      </c>
      <c r="O14" s="2837">
        <v>584</v>
      </c>
      <c r="P14" s="2840">
        <v>321200</v>
      </c>
      <c r="Q14" s="3358" t="s">
        <v>826</v>
      </c>
      <c r="R14" s="3359"/>
      <c r="S14" s="2835"/>
    </row>
    <row r="15" spans="1:19" ht="21" thickBot="1" x14ac:dyDescent="0.25">
      <c r="A15" s="2158">
        <v>44082</v>
      </c>
      <c r="B15" s="430"/>
      <c r="C15" s="458">
        <v>2</v>
      </c>
      <c r="D15" s="458">
        <f>+D14+B15-C15</f>
        <v>6</v>
      </c>
      <c r="E15" s="458"/>
      <c r="L15" s="2838" t="s">
        <v>2107</v>
      </c>
      <c r="M15" s="2839" t="s">
        <v>16</v>
      </c>
      <c r="N15" s="2840">
        <v>550</v>
      </c>
      <c r="O15" s="2837">
        <v>584</v>
      </c>
      <c r="P15" s="2840">
        <v>321200</v>
      </c>
      <c r="Q15" s="3358" t="s">
        <v>826</v>
      </c>
      <c r="R15" s="3359"/>
      <c r="S15" s="2835"/>
    </row>
    <row r="16" spans="1:19" ht="21" thickBot="1" x14ac:dyDescent="0.25">
      <c r="A16" s="2158">
        <v>44083</v>
      </c>
      <c r="B16" s="430"/>
      <c r="C16" s="458">
        <v>5</v>
      </c>
      <c r="D16" s="458">
        <f t="shared" ref="D16:D36" si="0">+D15+B16-C16</f>
        <v>1</v>
      </c>
      <c r="E16" s="458"/>
      <c r="L16" s="2838" t="s">
        <v>2108</v>
      </c>
      <c r="M16" s="2839" t="s">
        <v>16</v>
      </c>
      <c r="N16" s="2840">
        <v>550</v>
      </c>
      <c r="O16" s="2837">
        <v>584</v>
      </c>
      <c r="P16" s="2840">
        <v>321200</v>
      </c>
      <c r="Q16" s="3358" t="s">
        <v>826</v>
      </c>
      <c r="R16" s="3359"/>
      <c r="S16" s="2835"/>
    </row>
    <row r="17" spans="1:19" x14ac:dyDescent="0.2">
      <c r="A17" s="2158">
        <v>44085</v>
      </c>
      <c r="B17" s="430">
        <v>11</v>
      </c>
      <c r="C17" s="458">
        <v>3.5</v>
      </c>
      <c r="D17" s="458" t="e">
        <f>+#REF!+B17-C17</f>
        <v>#REF!</v>
      </c>
      <c r="E17" s="458"/>
      <c r="L17" s="3360"/>
      <c r="M17" s="3362" t="s">
        <v>16</v>
      </c>
      <c r="N17" s="3364">
        <f>+N13+N14+N15+N16</f>
        <v>2200</v>
      </c>
      <c r="O17" s="3366">
        <v>584</v>
      </c>
      <c r="P17" s="3364">
        <f>+N17*O17</f>
        <v>1284800</v>
      </c>
      <c r="Q17" s="3350"/>
      <c r="R17" s="3351"/>
      <c r="S17" s="2835"/>
    </row>
    <row r="18" spans="1:19" ht="13.5" thickBot="1" x14ac:dyDescent="0.25">
      <c r="A18" s="2158">
        <v>44086</v>
      </c>
      <c r="B18" s="430">
        <v>27</v>
      </c>
      <c r="C18" s="458">
        <v>20</v>
      </c>
      <c r="D18" s="458" t="e">
        <f t="shared" si="0"/>
        <v>#REF!</v>
      </c>
      <c r="E18" s="458"/>
      <c r="L18" s="3361"/>
      <c r="M18" s="3363"/>
      <c r="N18" s="3365"/>
      <c r="O18" s="3367"/>
      <c r="P18" s="3365"/>
      <c r="Q18" s="3352"/>
      <c r="R18" s="3353"/>
      <c r="S18" s="2835"/>
    </row>
    <row r="19" spans="1:19" x14ac:dyDescent="0.2">
      <c r="A19" s="2158">
        <v>44087</v>
      </c>
      <c r="B19" s="430"/>
      <c r="C19" s="458">
        <v>10</v>
      </c>
      <c r="D19" s="458" t="e">
        <f t="shared" si="0"/>
        <v>#REF!</v>
      </c>
      <c r="E19" s="458"/>
    </row>
    <row r="20" spans="1:19" x14ac:dyDescent="0.2">
      <c r="A20" s="2158">
        <v>44088</v>
      </c>
      <c r="B20" s="430"/>
      <c r="C20" s="458">
        <v>4.5</v>
      </c>
      <c r="D20" s="458" t="e">
        <f t="shared" si="0"/>
        <v>#REF!</v>
      </c>
      <c r="E20" s="458"/>
    </row>
    <row r="21" spans="1:19" x14ac:dyDescent="0.2">
      <c r="A21" s="2158">
        <v>44089</v>
      </c>
      <c r="B21" s="430"/>
      <c r="C21" s="458"/>
      <c r="D21" s="458" t="e">
        <f t="shared" si="0"/>
        <v>#REF!</v>
      </c>
      <c r="E21" s="458"/>
    </row>
    <row r="22" spans="1:19" x14ac:dyDescent="0.2">
      <c r="A22" s="2158">
        <v>44090</v>
      </c>
      <c r="B22" s="430">
        <v>32</v>
      </c>
      <c r="C22" s="458">
        <v>20</v>
      </c>
      <c r="D22" s="458" t="e">
        <f t="shared" si="0"/>
        <v>#REF!</v>
      </c>
      <c r="E22" s="458"/>
    </row>
    <row r="23" spans="1:19" x14ac:dyDescent="0.2">
      <c r="A23" s="2158">
        <v>44091</v>
      </c>
      <c r="B23" s="430"/>
      <c r="C23" s="458"/>
      <c r="D23" s="458" t="e">
        <f t="shared" si="0"/>
        <v>#REF!</v>
      </c>
      <c r="E23" s="458"/>
    </row>
    <row r="24" spans="1:19" x14ac:dyDescent="0.2">
      <c r="A24" s="2158">
        <v>44092</v>
      </c>
      <c r="B24" s="430"/>
      <c r="C24" s="458"/>
      <c r="D24" s="458" t="e">
        <f t="shared" si="0"/>
        <v>#REF!</v>
      </c>
      <c r="E24" s="458"/>
    </row>
    <row r="25" spans="1:19" x14ac:dyDescent="0.2">
      <c r="A25" s="2158">
        <v>44093</v>
      </c>
      <c r="B25" s="430"/>
      <c r="C25" s="458"/>
      <c r="D25" s="458" t="e">
        <f t="shared" si="0"/>
        <v>#REF!</v>
      </c>
      <c r="E25" s="458"/>
    </row>
    <row r="26" spans="1:19" x14ac:dyDescent="0.2">
      <c r="A26" s="2158">
        <v>44094</v>
      </c>
      <c r="B26" s="430"/>
      <c r="C26" s="458"/>
      <c r="D26" s="458" t="e">
        <f t="shared" si="0"/>
        <v>#REF!</v>
      </c>
      <c r="E26" s="458"/>
    </row>
    <row r="27" spans="1:19" x14ac:dyDescent="0.2">
      <c r="A27" s="2158">
        <v>44095</v>
      </c>
      <c r="B27" s="430"/>
      <c r="C27" s="458"/>
      <c r="D27" s="458" t="e">
        <f t="shared" si="0"/>
        <v>#REF!</v>
      </c>
      <c r="E27" s="458"/>
    </row>
    <row r="28" spans="1:19" x14ac:dyDescent="0.2">
      <c r="A28" s="2158">
        <v>44096</v>
      </c>
      <c r="B28" s="430"/>
      <c r="C28" s="458"/>
      <c r="D28" s="458" t="e">
        <f t="shared" si="0"/>
        <v>#REF!</v>
      </c>
      <c r="E28" s="458"/>
    </row>
    <row r="29" spans="1:19" x14ac:dyDescent="0.2">
      <c r="A29" s="2158">
        <v>44097</v>
      </c>
      <c r="B29" s="430"/>
      <c r="C29" s="458"/>
      <c r="D29" s="458" t="e">
        <f t="shared" si="0"/>
        <v>#REF!</v>
      </c>
      <c r="E29" s="458"/>
    </row>
    <row r="30" spans="1:19" x14ac:dyDescent="0.2">
      <c r="A30" s="2158">
        <v>44098</v>
      </c>
      <c r="B30" s="430"/>
      <c r="C30" s="458"/>
      <c r="D30" s="458" t="e">
        <f t="shared" si="0"/>
        <v>#REF!</v>
      </c>
      <c r="E30" s="458"/>
    </row>
    <row r="31" spans="1:19" x14ac:dyDescent="0.2">
      <c r="A31" s="2158">
        <v>44099</v>
      </c>
      <c r="B31" s="430"/>
      <c r="C31" s="458"/>
      <c r="D31" s="458" t="e">
        <f t="shared" si="0"/>
        <v>#REF!</v>
      </c>
      <c r="E31" s="458"/>
    </row>
    <row r="32" spans="1:19" x14ac:dyDescent="0.2">
      <c r="A32" s="2158">
        <v>44100</v>
      </c>
      <c r="B32" s="430"/>
      <c r="C32" s="458"/>
      <c r="D32" s="458" t="e">
        <f t="shared" si="0"/>
        <v>#REF!</v>
      </c>
      <c r="E32" s="458"/>
    </row>
    <row r="33" spans="1:5" x14ac:dyDescent="0.2">
      <c r="A33" s="2158">
        <v>44101</v>
      </c>
      <c r="B33" s="430"/>
      <c r="C33" s="458"/>
      <c r="D33" s="458" t="e">
        <f t="shared" si="0"/>
        <v>#REF!</v>
      </c>
      <c r="E33" s="458"/>
    </row>
    <row r="34" spans="1:5" x14ac:dyDescent="0.2">
      <c r="A34" s="2158">
        <v>44102</v>
      </c>
      <c r="B34" s="430"/>
      <c r="C34" s="458"/>
      <c r="D34" s="458" t="e">
        <f t="shared" si="0"/>
        <v>#REF!</v>
      </c>
      <c r="E34" s="458"/>
    </row>
    <row r="35" spans="1:5" x14ac:dyDescent="0.2">
      <c r="A35" s="2158">
        <v>44103</v>
      </c>
      <c r="B35" s="430"/>
      <c r="C35" s="458"/>
      <c r="D35" s="458" t="e">
        <f t="shared" si="0"/>
        <v>#REF!</v>
      </c>
      <c r="E35" s="458"/>
    </row>
    <row r="36" spans="1:5" x14ac:dyDescent="0.2">
      <c r="A36" s="2158">
        <v>44104</v>
      </c>
      <c r="B36" s="430"/>
      <c r="C36" s="458"/>
      <c r="D36" s="458" t="e">
        <f t="shared" si="0"/>
        <v>#REF!</v>
      </c>
      <c r="E36" s="458"/>
    </row>
  </sheetData>
  <mergeCells count="12">
    <mergeCell ref="Q17:R18"/>
    <mergeCell ref="L11:Q11"/>
    <mergeCell ref="Q12:R12"/>
    <mergeCell ref="Q13:R13"/>
    <mergeCell ref="Q14:R14"/>
    <mergeCell ref="Q15:R15"/>
    <mergeCell ref="Q16:R16"/>
    <mergeCell ref="L17:L18"/>
    <mergeCell ref="M17:M18"/>
    <mergeCell ref="N17:N18"/>
    <mergeCell ref="O17:O18"/>
    <mergeCell ref="P17:P18"/>
  </mergeCells>
  <pageMargins left="0.7" right="0.7" top="0.75" bottom="0.75" header="0.3" footer="0.3"/>
  <pageSetup paperSize="9" orientation="portrait" horizontalDpi="0" verticalDpi="0"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pane xSplit="2" ySplit="10" topLeftCell="F34" activePane="bottomRight" state="frozen"/>
      <selection pane="topRight" activeCell="C1" sqref="C1"/>
      <selection pane="bottomLeft" activeCell="A11" sqref="A11"/>
      <selection pane="bottomRight" activeCell="A10" sqref="A10:G49"/>
    </sheetView>
  </sheetViews>
  <sheetFormatPr baseColWidth="10" defaultRowHeight="18.75" x14ac:dyDescent="0.3"/>
  <cols>
    <col min="1" max="1" width="26.140625" style="2595" customWidth="1"/>
    <col min="2" max="2" width="31.7109375" style="2595" customWidth="1"/>
    <col min="3" max="7" width="65.5703125" style="2160" customWidth="1"/>
    <col min="8" max="8" width="54" style="2604" customWidth="1"/>
    <col min="9" max="16384" width="11.42578125" style="2595"/>
  </cols>
  <sheetData>
    <row r="1" spans="1:9" ht="29.25" x14ac:dyDescent="0.5">
      <c r="A1" s="2596" t="s">
        <v>170</v>
      </c>
      <c r="C1" s="2597"/>
      <c r="D1" s="2597"/>
      <c r="E1" s="2597"/>
      <c r="F1" s="2597"/>
      <c r="G1" s="2597"/>
      <c r="H1" s="2598"/>
    </row>
    <row r="2" spans="1:9" ht="27.75" x14ac:dyDescent="0.4">
      <c r="A2" s="2599"/>
      <c r="C2" s="2597"/>
      <c r="D2" s="2597"/>
      <c r="E2" s="2597"/>
      <c r="F2" s="2597"/>
      <c r="G2" s="2597"/>
      <c r="H2" s="2598"/>
    </row>
    <row r="4" spans="1:9" x14ac:dyDescent="0.3">
      <c r="E4" s="2160" t="s">
        <v>2158</v>
      </c>
    </row>
    <row r="5" spans="1:9" ht="19.5" thickBot="1" x14ac:dyDescent="0.35">
      <c r="B5" s="2600"/>
      <c r="C5" s="2601"/>
      <c r="D5" s="2601"/>
      <c r="E5" s="2601"/>
      <c r="F5" s="2601"/>
      <c r="G5" s="2601"/>
      <c r="H5" s="2602"/>
    </row>
    <row r="6" spans="1:9" ht="27" thickBot="1" x14ac:dyDescent="0.3">
      <c r="B6" s="2600"/>
      <c r="C6" s="2712" t="s">
        <v>432</v>
      </c>
      <c r="D6" s="2871"/>
      <c r="E6" s="2871"/>
      <c r="F6" s="2871"/>
      <c r="G6" s="2871"/>
      <c r="H6" s="2619"/>
    </row>
    <row r="7" spans="1:9" x14ac:dyDescent="0.3">
      <c r="B7" s="2600"/>
      <c r="C7" s="2601"/>
      <c r="D7" s="2601"/>
      <c r="E7" s="2601"/>
      <c r="F7" s="2601"/>
      <c r="G7" s="2601"/>
      <c r="H7" s="2603"/>
    </row>
    <row r="8" spans="1:9" ht="12.75" customHeight="1" thickBot="1" x14ac:dyDescent="0.35"/>
    <row r="9" spans="1:9" ht="48" hidden="1" customHeight="1" x14ac:dyDescent="0.3"/>
    <row r="10" spans="1:9" ht="19.5" customHeight="1" x14ac:dyDescent="0.25">
      <c r="A10" s="2868" t="s">
        <v>2118</v>
      </c>
      <c r="B10" s="2869" t="s">
        <v>2119</v>
      </c>
      <c r="C10" s="2865" t="s">
        <v>1033</v>
      </c>
      <c r="D10" s="2865" t="s">
        <v>1983</v>
      </c>
      <c r="E10" s="2865" t="s">
        <v>2144</v>
      </c>
      <c r="F10" s="2865" t="s">
        <v>2155</v>
      </c>
      <c r="G10" s="2875" t="s">
        <v>310</v>
      </c>
      <c r="H10" s="2866" t="s">
        <v>1021</v>
      </c>
    </row>
    <row r="11" spans="1:9" ht="19.5" customHeight="1" x14ac:dyDescent="0.25">
      <c r="A11" s="3371" t="s">
        <v>495</v>
      </c>
      <c r="B11" s="2874" t="s">
        <v>554</v>
      </c>
      <c r="C11" s="2878" t="s">
        <v>2200</v>
      </c>
      <c r="D11" s="2881" t="s">
        <v>2175</v>
      </c>
      <c r="E11" s="2882" t="s">
        <v>2146</v>
      </c>
      <c r="F11" s="2872" t="s">
        <v>2156</v>
      </c>
      <c r="G11" s="2879" t="s">
        <v>2197</v>
      </c>
      <c r="H11" s="2873"/>
    </row>
    <row r="12" spans="1:9" ht="19.5" customHeight="1" x14ac:dyDescent="0.25">
      <c r="A12" s="3371"/>
      <c r="B12" s="2874" t="s">
        <v>2141</v>
      </c>
      <c r="C12" s="2880" t="s">
        <v>2228</v>
      </c>
      <c r="D12" s="2881" t="s">
        <v>2142</v>
      </c>
      <c r="E12" s="2872"/>
      <c r="F12" s="2872"/>
      <c r="G12" s="2881" t="s">
        <v>2184</v>
      </c>
      <c r="H12" s="2873"/>
    </row>
    <row r="13" spans="1:9" ht="20.100000000000001" customHeight="1" x14ac:dyDescent="0.25">
      <c r="A13" s="3371"/>
      <c r="B13" s="2605" t="s">
        <v>524</v>
      </c>
      <c r="C13" s="2606" t="s">
        <v>2174</v>
      </c>
      <c r="D13" s="2606" t="s">
        <v>2174</v>
      </c>
      <c r="E13" s="2606"/>
      <c r="F13" s="2606"/>
      <c r="G13" s="2606" t="s">
        <v>559</v>
      </c>
      <c r="H13" s="2623"/>
      <c r="I13" s="2595" t="s">
        <v>2126</v>
      </c>
    </row>
    <row r="14" spans="1:9" ht="20.100000000000001" customHeight="1" x14ac:dyDescent="0.25">
      <c r="A14" s="3371"/>
      <c r="B14" s="2870" t="s">
        <v>2121</v>
      </c>
      <c r="C14" s="2606" t="s">
        <v>2120</v>
      </c>
      <c r="D14" s="2606" t="s">
        <v>2169</v>
      </c>
      <c r="E14" s="2606"/>
      <c r="F14" s="2606"/>
      <c r="G14" s="2606" t="s">
        <v>559</v>
      </c>
      <c r="H14" s="2624"/>
      <c r="I14" s="2595" t="s">
        <v>2127</v>
      </c>
    </row>
    <row r="15" spans="1:9" ht="20.100000000000001" customHeight="1" x14ac:dyDescent="0.25">
      <c r="A15" s="3371"/>
      <c r="B15" s="2870" t="s">
        <v>2122</v>
      </c>
      <c r="C15" s="2606" t="s">
        <v>2120</v>
      </c>
      <c r="D15" s="2606" t="s">
        <v>2169</v>
      </c>
      <c r="E15" s="2606"/>
      <c r="F15" s="2606"/>
      <c r="G15" s="2606" t="s">
        <v>2169</v>
      </c>
      <c r="H15" s="2624"/>
    </row>
    <row r="16" spans="1:9" ht="20.100000000000001" customHeight="1" x14ac:dyDescent="0.25">
      <c r="A16" s="3371"/>
      <c r="B16" s="2870" t="s">
        <v>2123</v>
      </c>
      <c r="C16" s="2613" t="s">
        <v>2125</v>
      </c>
      <c r="D16" s="2613" t="s">
        <v>2166</v>
      </c>
      <c r="E16" s="2613" t="s">
        <v>2222</v>
      </c>
      <c r="F16" s="2613"/>
      <c r="G16" s="2613" t="s">
        <v>2221</v>
      </c>
      <c r="H16" s="2710"/>
    </row>
    <row r="17" spans="1:8" ht="19.5" customHeight="1" x14ac:dyDescent="0.25">
      <c r="A17" s="3371"/>
      <c r="B17" s="3322" t="s">
        <v>258</v>
      </c>
      <c r="C17" s="2606" t="s">
        <v>2204</v>
      </c>
      <c r="D17" s="2606" t="s">
        <v>2168</v>
      </c>
      <c r="E17" s="2606" t="s">
        <v>2147</v>
      </c>
      <c r="F17" s="2606" t="s">
        <v>2157</v>
      </c>
      <c r="G17" s="2606" t="s">
        <v>2198</v>
      </c>
      <c r="H17" s="2624"/>
    </row>
    <row r="18" spans="1:8" ht="33" customHeight="1" x14ac:dyDescent="0.25">
      <c r="A18" s="3371"/>
      <c r="B18" s="3324"/>
      <c r="C18" s="2606" t="s">
        <v>2124</v>
      </c>
      <c r="D18" s="2606" t="s">
        <v>2176</v>
      </c>
      <c r="E18" s="2606" t="s">
        <v>2225</v>
      </c>
      <c r="F18" s="2606" t="s">
        <v>2161</v>
      </c>
      <c r="G18" s="2606"/>
      <c r="H18" s="2624"/>
    </row>
    <row r="19" spans="1:8" ht="20.100000000000001" customHeight="1" x14ac:dyDescent="0.25">
      <c r="A19" s="3371"/>
      <c r="B19" s="2610" t="s">
        <v>2128</v>
      </c>
      <c r="C19" s="2606"/>
      <c r="D19" s="2606"/>
      <c r="E19" s="2606" t="s">
        <v>2149</v>
      </c>
      <c r="F19" s="2606"/>
      <c r="G19" s="2606" t="s">
        <v>2180</v>
      </c>
      <c r="H19" s="2624"/>
    </row>
    <row r="20" spans="1:8" ht="20.100000000000001" customHeight="1" x14ac:dyDescent="0.25">
      <c r="A20" s="3371"/>
      <c r="B20" s="2610" t="s">
        <v>2229</v>
      </c>
      <c r="C20" s="2606"/>
      <c r="D20" s="2606"/>
      <c r="E20" s="2606"/>
      <c r="F20" s="2606"/>
      <c r="G20" s="2606" t="s">
        <v>559</v>
      </c>
      <c r="H20" s="2624"/>
    </row>
    <row r="21" spans="1:8" ht="20.100000000000001" customHeight="1" x14ac:dyDescent="0.25">
      <c r="A21" s="3371"/>
      <c r="B21" s="2610" t="s">
        <v>2133</v>
      </c>
      <c r="C21" s="2606"/>
      <c r="D21" s="2606" t="s">
        <v>2134</v>
      </c>
      <c r="E21" s="2606"/>
      <c r="F21" s="2606"/>
      <c r="G21" s="2606"/>
      <c r="H21" s="2624"/>
    </row>
    <row r="22" spans="1:8" ht="20.100000000000001" customHeight="1" x14ac:dyDescent="0.25">
      <c r="A22" s="3371"/>
      <c r="B22" s="2610" t="s">
        <v>1948</v>
      </c>
      <c r="C22" s="2606"/>
      <c r="D22" s="2606"/>
      <c r="E22" s="2606" t="s">
        <v>2148</v>
      </c>
      <c r="F22" s="2606"/>
      <c r="G22" s="2606" t="s">
        <v>2196</v>
      </c>
      <c r="H22" s="2624"/>
    </row>
    <row r="23" spans="1:8" ht="20.100000000000001" customHeight="1" x14ac:dyDescent="0.25">
      <c r="A23" s="3371"/>
      <c r="B23" s="2610" t="s">
        <v>2182</v>
      </c>
      <c r="C23" s="2606"/>
      <c r="D23" s="2606"/>
      <c r="E23" s="2606"/>
      <c r="F23" s="2606"/>
      <c r="G23" s="2606" t="s">
        <v>2183</v>
      </c>
      <c r="H23" s="2624"/>
    </row>
    <row r="24" spans="1:8" ht="20.100000000000001" customHeight="1" x14ac:dyDescent="0.25">
      <c r="A24" s="3372"/>
      <c r="B24" s="2870" t="s">
        <v>2145</v>
      </c>
      <c r="C24" s="2606"/>
      <c r="D24" s="2606" t="s">
        <v>580</v>
      </c>
      <c r="E24" s="2606" t="s">
        <v>878</v>
      </c>
      <c r="F24" s="2606"/>
      <c r="G24" s="2606" t="s">
        <v>2205</v>
      </c>
      <c r="H24" s="2607"/>
    </row>
    <row r="25" spans="1:8" ht="20.100000000000001" customHeight="1" x14ac:dyDescent="0.25">
      <c r="A25" s="3373" t="s">
        <v>2163</v>
      </c>
      <c r="B25" s="3322" t="s">
        <v>2194</v>
      </c>
      <c r="C25" s="2606" t="s">
        <v>2230</v>
      </c>
      <c r="D25" s="2606" t="s">
        <v>2129</v>
      </c>
      <c r="E25" s="2606" t="s">
        <v>2208</v>
      </c>
      <c r="F25" s="2606"/>
      <c r="G25" s="2606" t="s">
        <v>2187</v>
      </c>
      <c r="H25" s="2607"/>
    </row>
    <row r="26" spans="1:8" ht="20.100000000000001" customHeight="1" x14ac:dyDescent="0.25">
      <c r="A26" s="3374"/>
      <c r="B26" s="3323"/>
      <c r="C26" s="2606" t="s">
        <v>2231</v>
      </c>
      <c r="D26" s="2606" t="s">
        <v>2170</v>
      </c>
      <c r="E26" s="2606" t="s">
        <v>2207</v>
      </c>
      <c r="F26" s="2606"/>
      <c r="G26" s="2606" t="s">
        <v>2179</v>
      </c>
      <c r="H26" s="2607"/>
    </row>
    <row r="27" spans="1:8" ht="28.5" customHeight="1" x14ac:dyDescent="0.25">
      <c r="A27" s="3374"/>
      <c r="B27" s="3323"/>
      <c r="C27" s="2606"/>
      <c r="D27" s="2606" t="s">
        <v>2167</v>
      </c>
      <c r="E27" s="2606"/>
      <c r="F27" s="2606"/>
      <c r="G27" s="2606" t="s">
        <v>2188</v>
      </c>
      <c r="H27" s="2607"/>
    </row>
    <row r="28" spans="1:8" ht="38.25" customHeight="1" x14ac:dyDescent="0.25">
      <c r="A28" s="3374"/>
      <c r="B28" s="3324"/>
      <c r="C28" s="2606"/>
      <c r="D28" s="2606"/>
      <c r="E28" s="2606"/>
      <c r="F28" s="2606"/>
      <c r="G28" s="2606" t="s">
        <v>2209</v>
      </c>
      <c r="H28" s="2607"/>
    </row>
    <row r="29" spans="1:8" ht="20.100000000000001" customHeight="1" x14ac:dyDescent="0.25">
      <c r="A29" s="3374"/>
      <c r="B29" s="2870" t="s">
        <v>2164</v>
      </c>
      <c r="C29" s="2606" t="s">
        <v>2201</v>
      </c>
      <c r="D29" s="2606" t="s">
        <v>2143</v>
      </c>
      <c r="E29" s="2606" t="s">
        <v>2214</v>
      </c>
      <c r="F29" s="2606"/>
      <c r="G29" s="2606"/>
      <c r="H29" s="2607"/>
    </row>
    <row r="30" spans="1:8" ht="20.100000000000001" customHeight="1" x14ac:dyDescent="0.25">
      <c r="A30" s="3374"/>
      <c r="B30" s="2870"/>
      <c r="C30" s="2606"/>
      <c r="D30" s="2606"/>
      <c r="E30" s="2606"/>
      <c r="F30" s="2606"/>
      <c r="G30" s="2606"/>
      <c r="H30" s="2607"/>
    </row>
    <row r="31" spans="1:8" ht="20.100000000000001" customHeight="1" x14ac:dyDescent="0.25">
      <c r="A31" s="3375"/>
      <c r="B31" s="2870" t="s">
        <v>2165</v>
      </c>
      <c r="C31" s="2606"/>
      <c r="D31" s="2606" t="s">
        <v>2232</v>
      </c>
      <c r="E31" s="2606" t="s">
        <v>2232</v>
      </c>
      <c r="F31" s="2606"/>
      <c r="G31" s="2606" t="s">
        <v>2233</v>
      </c>
      <c r="H31" s="2607"/>
    </row>
    <row r="32" spans="1:8" ht="20.100000000000001" customHeight="1" x14ac:dyDescent="0.25">
      <c r="A32" s="3328" t="s">
        <v>1903</v>
      </c>
      <c r="B32" s="2870" t="s">
        <v>2135</v>
      </c>
      <c r="C32" s="2606"/>
      <c r="D32" s="2606" t="s">
        <v>2136</v>
      </c>
      <c r="E32" s="2606"/>
      <c r="F32" s="2606"/>
      <c r="G32" s="2606" t="s">
        <v>2181</v>
      </c>
      <c r="H32" s="2710"/>
    </row>
    <row r="33" spans="1:8" ht="20.100000000000001" customHeight="1" x14ac:dyDescent="0.25">
      <c r="A33" s="3329"/>
      <c r="B33" s="2867" t="s">
        <v>2137</v>
      </c>
      <c r="C33" s="2606" t="s">
        <v>2138</v>
      </c>
      <c r="D33" s="2606"/>
      <c r="E33" s="2606" t="s">
        <v>2152</v>
      </c>
      <c r="F33" s="2606"/>
      <c r="G33" s="2606" t="s">
        <v>2210</v>
      </c>
      <c r="H33" s="2624"/>
    </row>
    <row r="34" spans="1:8" ht="20.100000000000001" customHeight="1" x14ac:dyDescent="0.25">
      <c r="A34" s="3329"/>
      <c r="B34" s="2867" t="s">
        <v>2177</v>
      </c>
      <c r="C34" s="2606" t="s">
        <v>2202</v>
      </c>
      <c r="D34" s="2606" t="s">
        <v>2217</v>
      </c>
      <c r="E34" s="2606" t="s">
        <v>2216</v>
      </c>
      <c r="F34" s="2606"/>
      <c r="G34" s="2606" t="s">
        <v>2218</v>
      </c>
      <c r="H34" s="2624"/>
    </row>
    <row r="35" spans="1:8" ht="20.100000000000001" customHeight="1" x14ac:dyDescent="0.25">
      <c r="A35" s="3329"/>
      <c r="B35" s="2867" t="s">
        <v>2139</v>
      </c>
      <c r="C35" s="2606" t="s">
        <v>2140</v>
      </c>
      <c r="D35" s="2606"/>
      <c r="E35" s="2606"/>
      <c r="F35" s="2606"/>
      <c r="G35" s="2606"/>
      <c r="H35" s="2611"/>
    </row>
    <row r="36" spans="1:8" ht="20.100000000000001" customHeight="1" x14ac:dyDescent="0.25">
      <c r="A36" s="3329"/>
      <c r="B36" s="2867" t="s">
        <v>2185</v>
      </c>
      <c r="C36" s="2606" t="s">
        <v>2203</v>
      </c>
      <c r="D36" s="2606"/>
      <c r="E36" s="2606" t="s">
        <v>2150</v>
      </c>
      <c r="F36" s="2606"/>
      <c r="G36" s="2606" t="s">
        <v>2186</v>
      </c>
      <c r="H36" s="2624"/>
    </row>
    <row r="37" spans="1:8" ht="20.100000000000001" customHeight="1" x14ac:dyDescent="0.25">
      <c r="A37" s="3329"/>
      <c r="B37" s="2877" t="s">
        <v>2189</v>
      </c>
      <c r="C37" s="2606"/>
      <c r="D37" s="2606"/>
      <c r="E37" s="2606"/>
      <c r="F37" s="2606"/>
      <c r="G37" s="2606" t="s">
        <v>2190</v>
      </c>
      <c r="H37" s="2624"/>
    </row>
    <row r="38" spans="1:8" ht="20.100000000000001" customHeight="1" x14ac:dyDescent="0.25">
      <c r="A38" s="3329"/>
      <c r="B38" s="2877" t="s">
        <v>2226</v>
      </c>
      <c r="C38" s="2606"/>
      <c r="D38" s="2606"/>
      <c r="E38" s="2606" t="s">
        <v>2227</v>
      </c>
      <c r="F38" s="2606"/>
      <c r="G38" s="2606" t="s">
        <v>2227</v>
      </c>
      <c r="H38" s="2624"/>
    </row>
    <row r="39" spans="1:8" ht="35.25" customHeight="1" x14ac:dyDescent="0.25">
      <c r="A39" s="3329"/>
      <c r="B39" s="3322" t="s">
        <v>2151</v>
      </c>
      <c r="C39" s="2606"/>
      <c r="D39" s="2606"/>
      <c r="E39" s="2606" t="s">
        <v>2223</v>
      </c>
      <c r="F39" s="2606"/>
      <c r="G39" s="2606" t="s">
        <v>2220</v>
      </c>
      <c r="H39" s="2624"/>
    </row>
    <row r="40" spans="1:8" ht="29.25" customHeight="1" x14ac:dyDescent="0.25">
      <c r="A40" s="3330"/>
      <c r="B40" s="3324"/>
      <c r="C40" s="2606"/>
      <c r="D40" s="2606"/>
      <c r="E40" s="2606" t="s">
        <v>2219</v>
      </c>
      <c r="F40" s="2606"/>
      <c r="G40" s="2606" t="s">
        <v>2224</v>
      </c>
      <c r="H40" s="2624"/>
    </row>
    <row r="41" spans="1:8" ht="20.100000000000001" customHeight="1" x14ac:dyDescent="0.35">
      <c r="A41" s="3368" t="s">
        <v>2130</v>
      </c>
      <c r="B41" s="2612" t="s">
        <v>2131</v>
      </c>
      <c r="C41" s="2613" t="s">
        <v>2178</v>
      </c>
      <c r="D41" s="2606" t="s">
        <v>2132</v>
      </c>
      <c r="E41" s="2606"/>
      <c r="F41" s="2606"/>
      <c r="G41" s="2606" t="s">
        <v>2178</v>
      </c>
      <c r="H41" s="2624"/>
    </row>
    <row r="42" spans="1:8" ht="20.100000000000001" customHeight="1" x14ac:dyDescent="0.35">
      <c r="A42" s="3369"/>
      <c r="B42" s="2612" t="s">
        <v>2153</v>
      </c>
      <c r="C42" s="2613"/>
      <c r="D42" s="2613"/>
      <c r="E42" s="2613" t="s">
        <v>2154</v>
      </c>
      <c r="F42" s="2613"/>
      <c r="G42" s="2613"/>
      <c r="H42" s="2624"/>
    </row>
    <row r="43" spans="1:8" ht="20.100000000000001" customHeight="1" x14ac:dyDescent="0.35">
      <c r="A43" s="3369"/>
      <c r="B43" s="2612" t="s">
        <v>2171</v>
      </c>
      <c r="C43" s="2613"/>
      <c r="D43" s="2613"/>
      <c r="E43" s="2613"/>
      <c r="F43" s="2613"/>
      <c r="G43" s="2613" t="s">
        <v>2193</v>
      </c>
      <c r="H43" s="2624"/>
    </row>
    <row r="44" spans="1:8" ht="20.100000000000001" customHeight="1" x14ac:dyDescent="0.35">
      <c r="A44" s="3369"/>
      <c r="B44" s="2612" t="s">
        <v>2172</v>
      </c>
      <c r="C44" s="2613"/>
      <c r="D44" s="2613" t="s">
        <v>2173</v>
      </c>
      <c r="E44" s="2613"/>
      <c r="F44" s="2613"/>
      <c r="G44" s="2613" t="s">
        <v>2191</v>
      </c>
      <c r="H44" s="2624"/>
    </row>
    <row r="45" spans="1:8" ht="20.100000000000001" customHeight="1" x14ac:dyDescent="0.35">
      <c r="A45" s="3370" t="s">
        <v>2159</v>
      </c>
      <c r="B45" s="2612" t="s">
        <v>2211</v>
      </c>
      <c r="C45" s="2613"/>
      <c r="D45" s="2613"/>
      <c r="E45" s="2613" t="s">
        <v>2212</v>
      </c>
      <c r="F45" s="2613"/>
      <c r="G45" s="2613" t="s">
        <v>2213</v>
      </c>
      <c r="H45" s="2624"/>
    </row>
    <row r="46" spans="1:8" ht="20.100000000000001" customHeight="1" x14ac:dyDescent="0.3">
      <c r="A46" s="3370"/>
      <c r="B46" s="2883" t="s">
        <v>2160</v>
      </c>
      <c r="C46" s="2613" t="s">
        <v>2199</v>
      </c>
      <c r="D46" s="2613" t="s">
        <v>2199</v>
      </c>
      <c r="E46" s="2613"/>
      <c r="F46" s="2613" t="s">
        <v>2199</v>
      </c>
      <c r="G46" s="2613" t="s">
        <v>2215</v>
      </c>
      <c r="H46" s="2611"/>
    </row>
    <row r="47" spans="1:8" ht="20.100000000000001" customHeight="1" x14ac:dyDescent="0.25">
      <c r="A47" s="2876" t="s">
        <v>958</v>
      </c>
      <c r="B47" s="2867"/>
      <c r="C47" s="2606"/>
      <c r="D47" s="2606"/>
      <c r="E47" s="2606"/>
      <c r="F47" s="2606"/>
      <c r="G47" s="2606" t="s">
        <v>2192</v>
      </c>
      <c r="H47" s="2624"/>
    </row>
    <row r="48" spans="1:8" ht="20.100000000000001" customHeight="1" x14ac:dyDescent="0.25">
      <c r="A48" s="2620" t="s">
        <v>1946</v>
      </c>
      <c r="B48" s="2605"/>
      <c r="C48" s="2606"/>
      <c r="D48" s="2606"/>
      <c r="E48" s="2606"/>
      <c r="F48" s="2606"/>
      <c r="G48" s="2606" t="s">
        <v>2195</v>
      </c>
      <c r="H48" s="2624"/>
    </row>
    <row r="49" spans="1:8" ht="20.100000000000001" customHeight="1" x14ac:dyDescent="0.25">
      <c r="A49" s="2620" t="s">
        <v>1995</v>
      </c>
      <c r="B49" s="2605"/>
      <c r="C49" s="2606"/>
      <c r="D49" s="2606"/>
      <c r="E49" s="2606" t="s">
        <v>2206</v>
      </c>
      <c r="F49" s="2606"/>
      <c r="G49" s="2606"/>
      <c r="H49" s="2613"/>
    </row>
    <row r="50" spans="1:8" x14ac:dyDescent="0.3">
      <c r="A50" s="2617"/>
      <c r="B50" s="2617"/>
      <c r="H50" s="2618"/>
    </row>
    <row r="51" spans="1:8" x14ac:dyDescent="0.3">
      <c r="A51" s="2617"/>
      <c r="B51" s="2617"/>
      <c r="H51" s="2618"/>
    </row>
  </sheetData>
  <mergeCells count="8">
    <mergeCell ref="A41:A44"/>
    <mergeCell ref="B25:B28"/>
    <mergeCell ref="A45:A46"/>
    <mergeCell ref="A32:A40"/>
    <mergeCell ref="B17:B18"/>
    <mergeCell ref="A11:A24"/>
    <mergeCell ref="A25:A31"/>
    <mergeCell ref="B39:B40"/>
  </mergeCells>
  <pageMargins left="0.7" right="0.7" top="0.75" bottom="0.75" header="0.3" footer="0.3"/>
  <pageSetup paperSize="9" orientation="portrait" horizontalDpi="0" verticalDpi="0"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47"/>
  <sheetViews>
    <sheetView workbookViewId="0">
      <selection sqref="A1:XFD1048576"/>
    </sheetView>
  </sheetViews>
  <sheetFormatPr baseColWidth="10" defaultColWidth="43.85546875" defaultRowHeight="12.75" x14ac:dyDescent="0.2"/>
  <sheetData>
    <row r="7" spans="1:7" ht="13.5" thickBot="1" x14ac:dyDescent="0.25"/>
    <row r="8" spans="1:7" ht="26.25" x14ac:dyDescent="0.2">
      <c r="A8" s="2884" t="s">
        <v>2118</v>
      </c>
      <c r="B8" s="2899" t="s">
        <v>2119</v>
      </c>
      <c r="C8" s="2885" t="s">
        <v>1033</v>
      </c>
      <c r="D8" s="2885" t="s">
        <v>1983</v>
      </c>
      <c r="E8" s="2885" t="s">
        <v>2144</v>
      </c>
      <c r="F8" s="2885" t="s">
        <v>2155</v>
      </c>
      <c r="G8" s="2885" t="s">
        <v>310</v>
      </c>
    </row>
    <row r="9" spans="1:7" ht="30" customHeight="1" x14ac:dyDescent="0.2">
      <c r="A9" s="3380" t="s">
        <v>495</v>
      </c>
      <c r="B9" s="2895" t="s">
        <v>554</v>
      </c>
      <c r="C9" s="2896" t="s">
        <v>2200</v>
      </c>
      <c r="D9" s="2896" t="s">
        <v>2175</v>
      </c>
      <c r="E9" s="2896" t="s">
        <v>2146</v>
      </c>
      <c r="F9" s="2900" t="s">
        <v>2156</v>
      </c>
      <c r="G9" s="2896" t="s">
        <v>2197</v>
      </c>
    </row>
    <row r="10" spans="1:7" ht="30" customHeight="1" x14ac:dyDescent="0.2">
      <c r="A10" s="3380"/>
      <c r="B10" s="2895" t="s">
        <v>2141</v>
      </c>
      <c r="C10" s="2897" t="s">
        <v>2228</v>
      </c>
      <c r="D10" s="2896" t="s">
        <v>2142</v>
      </c>
      <c r="E10" s="2898"/>
      <c r="F10" s="2898"/>
      <c r="G10" s="2896" t="s">
        <v>2184</v>
      </c>
    </row>
    <row r="11" spans="1:7" ht="30" customHeight="1" thickBot="1" x14ac:dyDescent="0.25">
      <c r="A11" s="3380"/>
      <c r="B11" s="2886" t="s">
        <v>524</v>
      </c>
      <c r="C11" s="2887" t="s">
        <v>2174</v>
      </c>
      <c r="D11" s="2887" t="s">
        <v>2174</v>
      </c>
      <c r="E11" s="2887" t="s">
        <v>2234</v>
      </c>
      <c r="F11" s="2887"/>
      <c r="G11" s="2887" t="s">
        <v>559</v>
      </c>
    </row>
    <row r="12" spans="1:7" ht="30" customHeight="1" thickBot="1" x14ac:dyDescent="0.25">
      <c r="A12" s="3380"/>
      <c r="B12" s="2886" t="s">
        <v>2121</v>
      </c>
      <c r="C12" s="2887" t="s">
        <v>2120</v>
      </c>
      <c r="D12" s="2887" t="s">
        <v>2169</v>
      </c>
      <c r="E12" s="2887"/>
      <c r="F12" s="2887"/>
      <c r="G12" s="2887" t="s">
        <v>559</v>
      </c>
    </row>
    <row r="13" spans="1:7" ht="30" customHeight="1" thickBot="1" x14ac:dyDescent="0.25">
      <c r="A13" s="3380"/>
      <c r="B13" s="2886" t="s">
        <v>2122</v>
      </c>
      <c r="C13" s="2887" t="s">
        <v>2120</v>
      </c>
      <c r="D13" s="2887" t="s">
        <v>2169</v>
      </c>
      <c r="E13" s="2887"/>
      <c r="F13" s="2887"/>
      <c r="G13" s="2887" t="s">
        <v>2169</v>
      </c>
    </row>
    <row r="14" spans="1:7" ht="30" customHeight="1" thickBot="1" x14ac:dyDescent="0.25">
      <c r="A14" s="3380"/>
      <c r="B14" s="2886" t="s">
        <v>2123</v>
      </c>
      <c r="C14" s="2887" t="s">
        <v>2235</v>
      </c>
      <c r="D14" s="2887" t="s">
        <v>2236</v>
      </c>
      <c r="E14" s="2887" t="s">
        <v>2222</v>
      </c>
      <c r="F14" s="2887"/>
      <c r="G14" s="2887" t="s">
        <v>2221</v>
      </c>
    </row>
    <row r="15" spans="1:7" ht="30" customHeight="1" thickBot="1" x14ac:dyDescent="0.25">
      <c r="A15" s="3380"/>
      <c r="B15" s="3382" t="s">
        <v>258</v>
      </c>
      <c r="C15" s="2887" t="s">
        <v>2204</v>
      </c>
      <c r="D15" s="2887" t="s">
        <v>2237</v>
      </c>
      <c r="E15" s="2887" t="s">
        <v>2147</v>
      </c>
      <c r="F15" s="2887" t="s">
        <v>2157</v>
      </c>
      <c r="G15" s="2887" t="s">
        <v>2198</v>
      </c>
    </row>
    <row r="16" spans="1:7" ht="30" customHeight="1" thickBot="1" x14ac:dyDescent="0.25">
      <c r="A16" s="3380"/>
      <c r="B16" s="3383"/>
      <c r="C16" s="2887" t="s">
        <v>2124</v>
      </c>
      <c r="D16" s="2887" t="s">
        <v>2238</v>
      </c>
      <c r="E16" s="2887" t="s">
        <v>2225</v>
      </c>
      <c r="F16" s="2887" t="s">
        <v>2161</v>
      </c>
      <c r="G16" s="2887"/>
    </row>
    <row r="17" spans="1:7" ht="30" customHeight="1" thickBot="1" x14ac:dyDescent="0.25">
      <c r="A17" s="3380"/>
      <c r="B17" s="2886" t="s">
        <v>2239</v>
      </c>
      <c r="C17" s="2887"/>
      <c r="D17" s="2887"/>
      <c r="E17" s="2887" t="s">
        <v>2149</v>
      </c>
      <c r="F17" s="2887"/>
      <c r="G17" s="2887" t="s">
        <v>2180</v>
      </c>
    </row>
    <row r="18" spans="1:7" ht="30" customHeight="1" thickBot="1" x14ac:dyDescent="0.25">
      <c r="A18" s="3380"/>
      <c r="B18" s="2886" t="s">
        <v>2240</v>
      </c>
      <c r="C18" s="2887"/>
      <c r="D18" s="2887"/>
      <c r="E18" s="2887"/>
      <c r="F18" s="2887"/>
      <c r="G18" s="2887" t="s">
        <v>559</v>
      </c>
    </row>
    <row r="19" spans="1:7" ht="30" customHeight="1" thickBot="1" x14ac:dyDescent="0.25">
      <c r="A19" s="3380"/>
      <c r="B19" s="2886" t="s">
        <v>2133</v>
      </c>
      <c r="C19" s="2887"/>
      <c r="D19" s="2887" t="s">
        <v>2241</v>
      </c>
      <c r="E19" s="2887"/>
      <c r="F19" s="2887"/>
      <c r="G19" s="2887"/>
    </row>
    <row r="20" spans="1:7" ht="30" customHeight="1" thickBot="1" x14ac:dyDescent="0.25">
      <c r="A20" s="3380"/>
      <c r="B20" s="2886" t="s">
        <v>1948</v>
      </c>
      <c r="C20" s="2887"/>
      <c r="D20" s="2887"/>
      <c r="E20" s="2887" t="s">
        <v>2148</v>
      </c>
      <c r="F20" s="2887"/>
      <c r="G20" s="2887" t="s">
        <v>2196</v>
      </c>
    </row>
    <row r="21" spans="1:7" ht="30" customHeight="1" thickBot="1" x14ac:dyDescent="0.25">
      <c r="A21" s="3380"/>
      <c r="B21" s="2886" t="s">
        <v>2182</v>
      </c>
      <c r="C21" s="2887"/>
      <c r="D21" s="2887"/>
      <c r="E21" s="2887"/>
      <c r="F21" s="2887"/>
      <c r="G21" s="2887" t="s">
        <v>2183</v>
      </c>
    </row>
    <row r="22" spans="1:7" ht="30" customHeight="1" thickBot="1" x14ac:dyDescent="0.25">
      <c r="A22" s="3381"/>
      <c r="B22" s="2886" t="s">
        <v>2145</v>
      </c>
      <c r="C22" s="2887"/>
      <c r="D22" s="2887" t="s">
        <v>580</v>
      </c>
      <c r="E22" s="2887" t="s">
        <v>878</v>
      </c>
      <c r="F22" s="2887"/>
      <c r="G22" s="2887" t="s">
        <v>559</v>
      </c>
    </row>
    <row r="23" spans="1:7" ht="30" customHeight="1" thickBot="1" x14ac:dyDescent="0.25">
      <c r="A23" s="3384" t="s">
        <v>2163</v>
      </c>
      <c r="B23" s="3382" t="s">
        <v>2194</v>
      </c>
      <c r="C23" s="2887" t="s">
        <v>2242</v>
      </c>
      <c r="D23" s="2887" t="s">
        <v>2129</v>
      </c>
      <c r="E23" s="2887" t="s">
        <v>2208</v>
      </c>
      <c r="F23" s="2887"/>
      <c r="G23" s="2887" t="s">
        <v>2243</v>
      </c>
    </row>
    <row r="24" spans="1:7" ht="30" customHeight="1" thickBot="1" x14ac:dyDescent="0.25">
      <c r="A24" s="3385"/>
      <c r="B24" s="3387"/>
      <c r="C24" s="2887" t="s">
        <v>2232</v>
      </c>
      <c r="D24" s="2887" t="s">
        <v>2170</v>
      </c>
      <c r="E24" s="2887" t="s">
        <v>2244</v>
      </c>
      <c r="F24" s="2887"/>
      <c r="G24" s="2887" t="s">
        <v>2245</v>
      </c>
    </row>
    <row r="25" spans="1:7" ht="30" customHeight="1" thickBot="1" x14ac:dyDescent="0.25">
      <c r="A25" s="3385"/>
      <c r="B25" s="3387"/>
      <c r="C25" s="2887"/>
      <c r="D25" s="2887" t="s">
        <v>2167</v>
      </c>
      <c r="E25" s="2887"/>
      <c r="F25" s="2887"/>
      <c r="G25" s="2887" t="s">
        <v>2246</v>
      </c>
    </row>
    <row r="26" spans="1:7" ht="30" customHeight="1" thickBot="1" x14ac:dyDescent="0.25">
      <c r="A26" s="3385"/>
      <c r="B26" s="3383"/>
      <c r="C26" s="2887"/>
      <c r="D26" s="2887"/>
      <c r="E26" s="2887"/>
      <c r="F26" s="2887"/>
      <c r="G26" s="2887" t="s">
        <v>2247</v>
      </c>
    </row>
    <row r="27" spans="1:7" ht="30" customHeight="1" thickBot="1" x14ac:dyDescent="0.25">
      <c r="A27" s="3385"/>
      <c r="B27" s="2889" t="s">
        <v>2164</v>
      </c>
      <c r="C27" s="2887" t="s">
        <v>2201</v>
      </c>
      <c r="D27" s="2887" t="s">
        <v>2248</v>
      </c>
      <c r="E27" s="2887" t="s">
        <v>2249</v>
      </c>
      <c r="F27" s="2887"/>
      <c r="G27" s="2887"/>
    </row>
    <row r="28" spans="1:7" ht="30" customHeight="1" thickBot="1" x14ac:dyDescent="0.25">
      <c r="A28" s="3385"/>
      <c r="B28" s="2889"/>
      <c r="C28" s="2887"/>
      <c r="D28" s="2887"/>
      <c r="E28" s="2887"/>
      <c r="F28" s="2887"/>
      <c r="G28" s="2887"/>
    </row>
    <row r="29" spans="1:7" ht="30" customHeight="1" thickBot="1" x14ac:dyDescent="0.25">
      <c r="A29" s="3386"/>
      <c r="B29" s="2889" t="s">
        <v>2165</v>
      </c>
      <c r="C29" s="2887"/>
      <c r="D29" s="2887" t="s">
        <v>2232</v>
      </c>
      <c r="E29" s="2887" t="s">
        <v>2232</v>
      </c>
      <c r="F29" s="2887"/>
      <c r="G29" s="2887" t="s">
        <v>2233</v>
      </c>
    </row>
    <row r="30" spans="1:7" ht="30" customHeight="1" thickBot="1" x14ac:dyDescent="0.25">
      <c r="A30" s="3388" t="s">
        <v>1903</v>
      </c>
      <c r="B30" s="2889" t="s">
        <v>2250</v>
      </c>
      <c r="C30" s="2887"/>
      <c r="D30" s="2887" t="s">
        <v>2136</v>
      </c>
      <c r="E30" s="2887"/>
      <c r="F30" s="2887"/>
      <c r="G30" s="2887" t="s">
        <v>2181</v>
      </c>
    </row>
    <row r="31" spans="1:7" ht="30" customHeight="1" thickBot="1" x14ac:dyDescent="0.25">
      <c r="A31" s="3389"/>
      <c r="B31" s="2889" t="s">
        <v>2137</v>
      </c>
      <c r="C31" s="2887" t="s">
        <v>2138</v>
      </c>
      <c r="D31" s="2887"/>
      <c r="E31" s="2887" t="s">
        <v>2152</v>
      </c>
      <c r="F31" s="2887"/>
      <c r="G31" s="2887" t="s">
        <v>2210</v>
      </c>
    </row>
    <row r="32" spans="1:7" ht="30" customHeight="1" thickBot="1" x14ac:dyDescent="0.25">
      <c r="A32" s="3389"/>
      <c r="B32" s="2889" t="s">
        <v>2177</v>
      </c>
      <c r="C32" s="2887" t="s">
        <v>2202</v>
      </c>
      <c r="D32" s="2887" t="s">
        <v>2217</v>
      </c>
      <c r="E32" s="2887" t="s">
        <v>2216</v>
      </c>
      <c r="F32" s="2887"/>
      <c r="G32" s="2887" t="s">
        <v>2218</v>
      </c>
    </row>
    <row r="33" spans="1:7" ht="30" customHeight="1" thickBot="1" x14ac:dyDescent="0.25">
      <c r="A33" s="3389"/>
      <c r="B33" s="2889" t="s">
        <v>2139</v>
      </c>
      <c r="C33" s="2887" t="s">
        <v>2140</v>
      </c>
      <c r="D33" s="2887"/>
      <c r="E33" s="2887"/>
      <c r="F33" s="2887"/>
      <c r="G33" s="2887"/>
    </row>
    <row r="34" spans="1:7" ht="30" customHeight="1" thickBot="1" x14ac:dyDescent="0.25">
      <c r="A34" s="3389"/>
      <c r="B34" s="2889" t="s">
        <v>2185</v>
      </c>
      <c r="C34" s="2887" t="s">
        <v>2203</v>
      </c>
      <c r="D34" s="2887"/>
      <c r="E34" s="2887" t="s">
        <v>2251</v>
      </c>
      <c r="F34" s="2887"/>
      <c r="G34" s="2887" t="s">
        <v>2186</v>
      </c>
    </row>
    <row r="35" spans="1:7" ht="30" customHeight="1" thickBot="1" x14ac:dyDescent="0.25">
      <c r="A35" s="3389"/>
      <c r="B35" s="2888" t="s">
        <v>2189</v>
      </c>
      <c r="C35" s="2887"/>
      <c r="D35" s="2887"/>
      <c r="E35" s="2887"/>
      <c r="F35" s="2887"/>
      <c r="G35" s="2887" t="s">
        <v>2252</v>
      </c>
    </row>
    <row r="36" spans="1:7" ht="30" customHeight="1" thickBot="1" x14ac:dyDescent="0.25">
      <c r="A36" s="3389"/>
      <c r="B36" s="2890" t="s">
        <v>2226</v>
      </c>
      <c r="C36" s="2887"/>
      <c r="D36" s="2887"/>
      <c r="E36" s="2887" t="s">
        <v>2227</v>
      </c>
      <c r="F36" s="2887"/>
      <c r="G36" s="2887" t="s">
        <v>2227</v>
      </c>
    </row>
    <row r="37" spans="1:7" ht="30" customHeight="1" thickBot="1" x14ac:dyDescent="0.25">
      <c r="A37" s="3389"/>
      <c r="B37" s="3382" t="s">
        <v>2151</v>
      </c>
      <c r="C37" s="2887"/>
      <c r="D37" s="2887"/>
      <c r="E37" s="2887" t="s">
        <v>2223</v>
      </c>
      <c r="F37" s="2887"/>
      <c r="G37" s="2887" t="s">
        <v>2220</v>
      </c>
    </row>
    <row r="38" spans="1:7" ht="30" customHeight="1" thickBot="1" x14ac:dyDescent="0.25">
      <c r="A38" s="3390"/>
      <c r="B38" s="3383"/>
      <c r="C38" s="2887"/>
      <c r="D38" s="2887"/>
      <c r="E38" s="2887" t="s">
        <v>2253</v>
      </c>
      <c r="F38" s="2887"/>
      <c r="G38" s="2887" t="s">
        <v>2254</v>
      </c>
    </row>
    <row r="39" spans="1:7" ht="30" customHeight="1" thickBot="1" x14ac:dyDescent="0.25">
      <c r="A39" s="3376" t="s">
        <v>2130</v>
      </c>
      <c r="B39" s="2891" t="s">
        <v>2131</v>
      </c>
      <c r="C39" s="2887" t="s">
        <v>2178</v>
      </c>
      <c r="D39" s="2887" t="s">
        <v>2255</v>
      </c>
      <c r="E39" s="2887"/>
      <c r="F39" s="2887"/>
      <c r="G39" s="2887" t="s">
        <v>2178</v>
      </c>
    </row>
    <row r="40" spans="1:7" ht="30" customHeight="1" thickBot="1" x14ac:dyDescent="0.25">
      <c r="A40" s="3377"/>
      <c r="B40" s="2891" t="s">
        <v>2153</v>
      </c>
      <c r="C40" s="2887"/>
      <c r="D40" s="2887"/>
      <c r="E40" s="2887" t="s">
        <v>2256</v>
      </c>
      <c r="F40" s="2887"/>
      <c r="G40" s="2887"/>
    </row>
    <row r="41" spans="1:7" ht="30" customHeight="1" thickBot="1" x14ac:dyDescent="0.25">
      <c r="A41" s="3377"/>
      <c r="B41" s="2891" t="s">
        <v>2171</v>
      </c>
      <c r="C41" s="2887"/>
      <c r="D41" s="2887"/>
      <c r="E41" s="2887"/>
      <c r="F41" s="2887"/>
      <c r="G41" s="2887" t="s">
        <v>2257</v>
      </c>
    </row>
    <row r="42" spans="1:7" ht="30" customHeight="1" thickBot="1" x14ac:dyDescent="0.25">
      <c r="A42" s="3378"/>
      <c r="B42" s="2891" t="s">
        <v>2172</v>
      </c>
      <c r="C42" s="2887"/>
      <c r="D42" s="2887" t="s">
        <v>2178</v>
      </c>
      <c r="E42" s="2887"/>
      <c r="F42" s="2887"/>
      <c r="G42" s="2887" t="s">
        <v>2191</v>
      </c>
    </row>
    <row r="43" spans="1:7" ht="30" customHeight="1" thickBot="1" x14ac:dyDescent="0.25">
      <c r="A43" s="3379" t="s">
        <v>431</v>
      </c>
      <c r="B43" s="2891" t="s">
        <v>2258</v>
      </c>
      <c r="C43" s="2887"/>
      <c r="D43" s="2887"/>
      <c r="E43" s="2887" t="s">
        <v>2259</v>
      </c>
      <c r="F43" s="2887"/>
      <c r="G43" s="2887" t="s">
        <v>2213</v>
      </c>
    </row>
    <row r="44" spans="1:7" ht="30" customHeight="1" thickBot="1" x14ac:dyDescent="0.25">
      <c r="A44" s="3378"/>
      <c r="B44" s="2892" t="s">
        <v>2260</v>
      </c>
      <c r="C44" s="2887" t="s">
        <v>2261</v>
      </c>
      <c r="D44" s="2887" t="s">
        <v>2261</v>
      </c>
      <c r="E44" s="2887"/>
      <c r="F44" s="2887" t="s">
        <v>2261</v>
      </c>
      <c r="G44" s="2887" t="s">
        <v>2215</v>
      </c>
    </row>
    <row r="45" spans="1:7" ht="30" customHeight="1" thickBot="1" x14ac:dyDescent="0.25">
      <c r="A45" s="2893" t="s">
        <v>958</v>
      </c>
      <c r="B45" s="2889"/>
      <c r="C45" s="2887"/>
      <c r="D45" s="2887"/>
      <c r="E45" s="2887"/>
      <c r="F45" s="2887"/>
      <c r="G45" s="2887" t="s">
        <v>2192</v>
      </c>
    </row>
    <row r="46" spans="1:7" ht="30" customHeight="1" thickBot="1" x14ac:dyDescent="0.25">
      <c r="A46" s="2894" t="s">
        <v>1946</v>
      </c>
      <c r="B46" s="2889"/>
      <c r="C46" s="2887"/>
      <c r="D46" s="2887"/>
      <c r="E46" s="2887"/>
      <c r="F46" s="2887"/>
      <c r="G46" s="2887" t="s">
        <v>2195</v>
      </c>
    </row>
    <row r="47" spans="1:7" ht="30" customHeight="1" thickBot="1" x14ac:dyDescent="0.25">
      <c r="A47" s="2894" t="s">
        <v>1995</v>
      </c>
      <c r="B47" s="2889"/>
      <c r="C47" s="2887"/>
      <c r="D47" s="2887"/>
      <c r="E47" s="2887" t="s">
        <v>2206</v>
      </c>
      <c r="F47" s="2887"/>
      <c r="G47" s="2887"/>
    </row>
  </sheetData>
  <mergeCells count="8">
    <mergeCell ref="A39:A42"/>
    <mergeCell ref="A43:A44"/>
    <mergeCell ref="A9:A22"/>
    <mergeCell ref="B15:B16"/>
    <mergeCell ref="A23:A29"/>
    <mergeCell ref="B23:B26"/>
    <mergeCell ref="A30:A38"/>
    <mergeCell ref="B37:B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117</vt:i4>
      </vt:variant>
      <vt:variant>
        <vt:lpstr>Plages nommées</vt:lpstr>
      </vt:variant>
      <vt:variant>
        <vt:i4>34</vt:i4>
      </vt:variant>
    </vt:vector>
  </HeadingPairs>
  <TitlesOfParts>
    <vt:vector size="151" baseType="lpstr">
      <vt:lpstr>MEZATRANS (2)</vt:lpstr>
      <vt:lpstr>LL</vt:lpstr>
      <vt:lpstr>RAPPORT JOURNALIER </vt:lpstr>
      <vt:lpstr>LC</vt:lpstr>
      <vt:lpstr>RAPPORT JOURNALIER  (3)</vt:lpstr>
      <vt:lpstr>analyse stock </vt:lpstr>
      <vt:lpstr>Lub</vt:lpstr>
      <vt:lpstr>ventes</vt:lpstr>
      <vt:lpstr>Orange Marchand</vt:lpstr>
      <vt:lpstr>ecart pp</vt:lpstr>
      <vt:lpstr>vers&amp;dépenses </vt:lpstr>
      <vt:lpstr>Cont recet ss</vt:lpstr>
      <vt:lpstr>client station</vt:lpstr>
      <vt:lpstr>EVOLUT° VENTES</vt:lpstr>
      <vt:lpstr>RC</vt:lpstr>
      <vt:lpstr>DIGIPAY TERMINAL</vt:lpstr>
      <vt:lpstr>CIC</vt:lpstr>
      <vt:lpstr>AFRICURE</vt:lpstr>
      <vt:lpstr>MTN MARCHAND</vt:lpstr>
      <vt:lpstr>GOLDENNESS</vt:lpstr>
      <vt:lpstr>BNB-HAMED</vt:lpstr>
      <vt:lpstr>YOSSI</vt:lpstr>
      <vt:lpstr>MEZATRANS - E-TRANCO</vt:lpstr>
      <vt:lpstr>E-TRANSCOM(3)</vt:lpstr>
      <vt:lpstr>ATC</vt:lpstr>
      <vt:lpstr>KONGFU</vt:lpstr>
      <vt:lpstr>SOCOPAT</vt:lpstr>
      <vt:lpstr>SAP-TRANS</vt:lpstr>
      <vt:lpstr>SCAFS</vt:lpstr>
      <vt:lpstr>ERNO GC</vt:lpstr>
      <vt:lpstr>PROPALM</vt:lpstr>
      <vt:lpstr>COTRACO</vt:lpstr>
      <vt:lpstr>STC</vt:lpstr>
      <vt:lpstr>JEAB</vt:lpstr>
      <vt:lpstr>GOLAR</vt:lpstr>
      <vt:lpstr>HONG LIANG</vt:lpstr>
      <vt:lpstr>COMCO</vt:lpstr>
      <vt:lpstr>SOFERCO</vt:lpstr>
      <vt:lpstr>KHALIFA</vt:lpstr>
      <vt:lpstr>ATLAS </vt:lpstr>
      <vt:lpstr>PROGRES AUTO</vt:lpstr>
      <vt:lpstr>SOFOCAM</vt:lpstr>
      <vt:lpstr>X TRADE</vt:lpstr>
      <vt:lpstr>TJK</vt:lpstr>
      <vt:lpstr>CTS</vt:lpstr>
      <vt:lpstr>SODITRAT</vt:lpstr>
      <vt:lpstr>CTC</vt:lpstr>
      <vt:lpstr>DJOMETCHOUA</vt:lpstr>
      <vt:lpstr>COTRAM</vt:lpstr>
      <vt:lpstr>NEW GEX</vt:lpstr>
      <vt:lpstr>GRAND BETON</vt:lpstr>
      <vt:lpstr>STBL</vt:lpstr>
      <vt:lpstr>H-SERVICE</vt:lpstr>
      <vt:lpstr>GSCI</vt:lpstr>
      <vt:lpstr>GREEN OIL</vt:lpstr>
      <vt:lpstr>SMATCOM</vt:lpstr>
      <vt:lpstr>KESTRAL</vt:lpstr>
      <vt:lpstr>BOUTIQUE le babone</vt:lpstr>
      <vt:lpstr>CENTRAL VOYAGE</vt:lpstr>
      <vt:lpstr>ABS</vt:lpstr>
      <vt:lpstr>CAMTAIL</vt:lpstr>
      <vt:lpstr>SOCAMBA</vt:lpstr>
      <vt:lpstr>HERAKLESS</vt:lpstr>
      <vt:lpstr>ACHOU</vt:lpstr>
      <vt:lpstr>BONIMEX</vt:lpstr>
      <vt:lpstr>BLESSING</vt:lpstr>
      <vt:lpstr>FICHE RCPT</vt:lpstr>
      <vt:lpstr>comparaison ventes</vt:lpstr>
      <vt:lpstr>EVOLUTION DES VENTES ANNUEL</vt:lpstr>
      <vt:lpstr>NESCAFE</vt:lpstr>
      <vt:lpstr>Feuil22</vt:lpstr>
      <vt:lpstr>tableau de bord</vt:lpstr>
      <vt:lpstr>Feuil1</vt:lpstr>
      <vt:lpstr>comande lubrifiant</vt:lpstr>
      <vt:lpstr>Feuil7</vt:lpstr>
      <vt:lpstr>Feuil10</vt:lpstr>
      <vt:lpstr>Feuil11</vt:lpstr>
      <vt:lpstr>Feuil2</vt:lpstr>
      <vt:lpstr>SUIVI STAGIAIRE</vt:lpstr>
      <vt:lpstr>EVOLUTION DES VENTES ANNUEL (2)</vt:lpstr>
      <vt:lpstr>RATION STAGIAIRE</vt:lpstr>
      <vt:lpstr>Feuil14</vt:lpstr>
      <vt:lpstr>Feuil12</vt:lpstr>
      <vt:lpstr>Feuil13</vt:lpstr>
      <vt:lpstr>Feuil17</vt:lpstr>
      <vt:lpstr>Feuil15</vt:lpstr>
      <vt:lpstr>Feuil16</vt:lpstr>
      <vt:lpstr>Feuil18</vt:lpstr>
      <vt:lpstr>Feuil19</vt:lpstr>
      <vt:lpstr>suivi monnaie</vt:lpstr>
      <vt:lpstr>Feuil20</vt:lpstr>
      <vt:lpstr>Feuil21</vt:lpstr>
      <vt:lpstr>proces verbal de depotage</vt:lpstr>
      <vt:lpstr>proces verbal de depotage (2)</vt:lpstr>
      <vt:lpstr>Feuil23</vt:lpstr>
      <vt:lpstr>Feuil24</vt:lpstr>
      <vt:lpstr>Feuil25</vt:lpstr>
      <vt:lpstr>Feuil26</vt:lpstr>
      <vt:lpstr>RELEVE D'ECHEANCE</vt:lpstr>
      <vt:lpstr>FICHE DE PRESENCE</vt:lpstr>
      <vt:lpstr>nadege</vt:lpstr>
      <vt:lpstr>Feuil3</vt:lpstr>
      <vt:lpstr>Feuil37</vt:lpstr>
      <vt:lpstr>PROGRAMME HOUSE KEEPING</vt:lpstr>
      <vt:lpstr>Feuil41</vt:lpstr>
      <vt:lpstr>Feuil42</vt:lpstr>
      <vt:lpstr>bnb</vt:lpstr>
      <vt:lpstr>bord transfert carb</vt:lpstr>
      <vt:lpstr>pannes yassa</vt:lpstr>
      <vt:lpstr>Feuil65</vt:lpstr>
      <vt:lpstr>Feuil66</vt:lpstr>
      <vt:lpstr>depenses sidiki</vt:lpstr>
      <vt:lpstr>analyse swot</vt:lpstr>
      <vt:lpstr>Feuil4</vt:lpstr>
      <vt:lpstr>Feuil5</vt:lpstr>
      <vt:lpstr>TABLEAU DE BORD LITT</vt:lpstr>
      <vt:lpstr>Feuil6</vt:lpstr>
      <vt:lpstr>AFRICURE!Zone_d_impression</vt:lpstr>
      <vt:lpstr>'analyse stock '!Zone_d_impression</vt:lpstr>
      <vt:lpstr>'ATLAS '!Zone_d_impression</vt:lpstr>
      <vt:lpstr>bnb!Zone_d_impression</vt:lpstr>
      <vt:lpstr>'client station'!Zone_d_impression</vt:lpstr>
      <vt:lpstr>'Cont recet ss'!Zone_d_impression</vt:lpstr>
      <vt:lpstr>COTRACO!Zone_d_impression</vt:lpstr>
      <vt:lpstr>'E-TRANSCOM(3)'!Zone_d_impression</vt:lpstr>
      <vt:lpstr>'EVOLUT° VENTES'!Zone_d_impression</vt:lpstr>
      <vt:lpstr>Feuil11!Zone_d_impression</vt:lpstr>
      <vt:lpstr>Feuil12!Zone_d_impression</vt:lpstr>
      <vt:lpstr>Feuil15!Zone_d_impression</vt:lpstr>
      <vt:lpstr>Feuil19!Zone_d_impression</vt:lpstr>
      <vt:lpstr>Feuil20!Zone_d_impression</vt:lpstr>
      <vt:lpstr>Feuil22!Zone_d_impression</vt:lpstr>
      <vt:lpstr>Feuil37!Zone_d_impression</vt:lpstr>
      <vt:lpstr>'FICHE DE PRESENCE'!Zone_d_impression</vt:lpstr>
      <vt:lpstr>'GRAND BETON'!Zone_d_impression</vt:lpstr>
      <vt:lpstr>KONGFU!Zone_d_impression</vt:lpstr>
      <vt:lpstr>'LC'!Zone_d_impression</vt:lpstr>
      <vt:lpstr>Lub!Zone_d_impression</vt:lpstr>
      <vt:lpstr>'MEZATRANS - E-TRANCO'!Zone_d_impression</vt:lpstr>
      <vt:lpstr>'MEZATRANS (2)'!Zone_d_impression</vt:lpstr>
      <vt:lpstr>nadege!Zone_d_impression</vt:lpstr>
      <vt:lpstr>'NEW GEX'!Zone_d_impression</vt:lpstr>
      <vt:lpstr>'PROGRAMME HOUSE KEEPING'!Zone_d_impression</vt:lpstr>
      <vt:lpstr>PROPALM!Zone_d_impression</vt:lpstr>
      <vt:lpstr>'RAPPORT JOURNALIER '!Zone_d_impression</vt:lpstr>
      <vt:lpstr>'RATION STAGIAIRE'!Zone_d_impression</vt:lpstr>
      <vt:lpstr>SOCOPAT!Zone_d_impression</vt:lpstr>
      <vt:lpstr>SODITRAT!Zone_d_impression</vt:lpstr>
      <vt:lpstr>'SUIVI STAGIAIRE'!Zone_d_impression</vt:lpstr>
      <vt:lpstr>ventes!Zone_d_impression</vt:lpstr>
      <vt:lpstr>'vers&amp;dépenses '!Zone_d_impression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LOTTINDK</dc:creator>
  <cp:lastModifiedBy>blessingyassa</cp:lastModifiedBy>
  <cp:lastPrinted>2020-09-26T09:45:29Z</cp:lastPrinted>
  <dcterms:created xsi:type="dcterms:W3CDTF">1996-10-21T11:03:58Z</dcterms:created>
  <dcterms:modified xsi:type="dcterms:W3CDTF">2020-10-10T10:25:15Z</dcterms:modified>
</cp:coreProperties>
</file>