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showInkAnnotation="0" defaultThemeVersion="124226"/>
  <bookViews>
    <workbookView xWindow="-120" yWindow="-120" windowWidth="20730" windowHeight="11160" firstSheet="7" activeTab="30"/>
  </bookViews>
  <sheets>
    <sheet name="ETAT  KEKEM" sheetId="12" r:id="rId1"/>
    <sheet name="analyse ventes" sheetId="23" state="hidden" r:id="rId2"/>
    <sheet name="RECAP INDEX" sheetId="36" state="hidden" r:id="rId3"/>
    <sheet name="MTN JUILLET 2019" sheetId="40" state="hidden" r:id="rId4"/>
    <sheet name="OM JUILLET 2019" sheetId="33" state="hidden" r:id="rId5"/>
    <sheet name="DECOUVERT KEKEM MAI  2022" sheetId="45" r:id="rId6"/>
    <sheet name="equation de stock" sheetId="20" r:id="rId7"/>
    <sheet name="reception carburant" sheetId="13" r:id="rId8"/>
    <sheet name="SUIVI LUBRIFIANT" sheetId="15" r:id="rId9"/>
    <sheet name="INVENTAIRE LUB" sheetId="16" r:id="rId10"/>
    <sheet name="DECOUVERT KENA AOUT RECTIF" sheetId="44" state="hidden" r:id="rId11"/>
    <sheet name="decouvert" sheetId="14" state="hidden" r:id="rId12"/>
    <sheet name="SUVI GROUPE ELECTROGENE" sheetId="21" state="hidden" r:id="rId13"/>
    <sheet name="ETAT  NKOLAFAMBA (2)" sheetId="24" state="hidden" r:id="rId14"/>
    <sheet name="INVENTAIRE LUB (2)" sheetId="25" state="hidden" r:id="rId15"/>
    <sheet name="REPORTING LUB" sheetId="28" state="hidden" r:id="rId16"/>
    <sheet name="C I C" sheetId="26" state="hidden" r:id="rId17"/>
    <sheet name="kàlitàs" sheetId="35" state="hidden" r:id="rId18"/>
    <sheet name="SUIVI JOURNALIER GAZ" sheetId="29" state="hidden" r:id="rId19"/>
    <sheet name="INVENTAIRE GAZ aout 2018" sheetId="31" state="hidden" r:id="rId20"/>
    <sheet name="Présences" sheetId="37" state="hidden" r:id="rId21"/>
    <sheet name="Manquants" sheetId="38" state="hidden" r:id="rId22"/>
    <sheet name="Recap" sheetId="39" state="hidden" r:id="rId23"/>
    <sheet name="presences" sheetId="34" state="hidden" r:id="rId24"/>
    <sheet name="manquant" sheetId="41" state="hidden" r:id="rId25"/>
    <sheet name="récap" sheetId="42" state="hidden" r:id="rId26"/>
    <sheet name="INDEX KEKEM" sheetId="43" r:id="rId27"/>
    <sheet name="presence p" sheetId="46" r:id="rId28"/>
    <sheet name="manquant p" sheetId="47" r:id="rId29"/>
    <sheet name="recap p" sheetId="48" r:id="rId30"/>
    <sheet name="rapport" sheetId="49" r:id="rId31"/>
  </sheets>
  <externalReferences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a">[1]Août!$L$3</definedName>
    <definedName name="code">[1]Août!$D$3</definedName>
    <definedName name="Code1">'[2]Sept 2020'!$D$3</definedName>
    <definedName name="code10">[1]Août!$P$3</definedName>
    <definedName name="Code2">'[2]Sept 2020'!$H$3</definedName>
    <definedName name="code20">[1]Août!$D$3</definedName>
    <definedName name="Code3">'[2]Sept 2020'!$L$3</definedName>
    <definedName name="CODE33">[1]Août!$H$3</definedName>
    <definedName name="code34">[3]Présences!$H$3</definedName>
    <definedName name="code38">[3]Présences!$D$3</definedName>
    <definedName name="Code4">'[2]Sept 2020'!$P$3</definedName>
    <definedName name="Code5">'[2]Sept 2020'!$T$3</definedName>
    <definedName name="code6">[1]Août!$P$3</definedName>
    <definedName name="codes">[1]Août!$D$3</definedName>
    <definedName name="de">[1]Août!$H$3</definedName>
    <definedName name="kj">'[2]Sept 2020'!$P$3</definedName>
    <definedName name="_xlnm.Print_Area" localSheetId="14">'INVENTAIRE LUB (2)'!$A$1:$H$25</definedName>
    <definedName name="_xlnm.Print_Area" localSheetId="22">Recap!$A$1:$L$30</definedName>
    <definedName name="_xlnm.Print_Area" localSheetId="25">récap!$A$1:$K$33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" i="49" l="1"/>
  <c r="D74" i="49"/>
  <c r="D78" i="49" s="1"/>
  <c r="B74" i="49"/>
  <c r="C114" i="49"/>
  <c r="A114" i="49"/>
  <c r="B98" i="49"/>
  <c r="B88" i="49"/>
  <c r="B87" i="49"/>
  <c r="E80" i="49"/>
  <c r="C78" i="49"/>
  <c r="B78" i="49"/>
  <c r="D66" i="49"/>
  <c r="D67" i="49" s="1"/>
  <c r="C66" i="49"/>
  <c r="C67" i="49" s="1"/>
  <c r="B66" i="49"/>
  <c r="B67" i="49" s="1"/>
  <c r="E65" i="49"/>
  <c r="E61" i="49"/>
  <c r="B51" i="49"/>
  <c r="B27" i="49"/>
  <c r="B25" i="49"/>
  <c r="B24" i="49"/>
  <c r="B23" i="49"/>
  <c r="B22" i="49"/>
  <c r="B21" i="49"/>
  <c r="B20" i="49"/>
  <c r="B19" i="49"/>
  <c r="B18" i="49"/>
  <c r="B17" i="49"/>
  <c r="B9" i="49"/>
  <c r="D8" i="49"/>
  <c r="D7" i="49"/>
  <c r="D6" i="49"/>
  <c r="D9" i="49" s="1"/>
  <c r="D12" i="49" s="1"/>
  <c r="J17" i="48"/>
  <c r="J23" i="48"/>
  <c r="K30" i="48"/>
  <c r="G29" i="48"/>
  <c r="K27" i="48"/>
  <c r="J26" i="48"/>
  <c r="I26" i="48"/>
  <c r="H26" i="48"/>
  <c r="G26" i="48"/>
  <c r="F26" i="48"/>
  <c r="E26" i="48"/>
  <c r="D26" i="48"/>
  <c r="I25" i="48"/>
  <c r="H25" i="48"/>
  <c r="G25" i="48"/>
  <c r="F25" i="48"/>
  <c r="E25" i="48"/>
  <c r="D25" i="48"/>
  <c r="I24" i="48"/>
  <c r="H24" i="48"/>
  <c r="G24" i="48"/>
  <c r="F24" i="48"/>
  <c r="E24" i="48"/>
  <c r="D24" i="48"/>
  <c r="I23" i="48"/>
  <c r="H23" i="48"/>
  <c r="G23" i="48"/>
  <c r="F23" i="48"/>
  <c r="E23" i="48"/>
  <c r="D23" i="48"/>
  <c r="I22" i="48"/>
  <c r="H22" i="48"/>
  <c r="G22" i="48"/>
  <c r="F22" i="48"/>
  <c r="E22" i="48"/>
  <c r="D22" i="48"/>
  <c r="I21" i="48"/>
  <c r="H21" i="48"/>
  <c r="G21" i="48"/>
  <c r="F21" i="48"/>
  <c r="E21" i="48"/>
  <c r="D21" i="48"/>
  <c r="I20" i="48"/>
  <c r="H20" i="48"/>
  <c r="G20" i="48"/>
  <c r="F20" i="48"/>
  <c r="E20" i="48"/>
  <c r="D20" i="48"/>
  <c r="I19" i="48"/>
  <c r="H19" i="48"/>
  <c r="G19" i="48"/>
  <c r="F19" i="48"/>
  <c r="E19" i="48"/>
  <c r="D19" i="48"/>
  <c r="I18" i="48"/>
  <c r="H18" i="48"/>
  <c r="G18" i="48"/>
  <c r="F18" i="48"/>
  <c r="E18" i="48"/>
  <c r="D18" i="48"/>
  <c r="H17" i="48"/>
  <c r="G17" i="48"/>
  <c r="F17" i="48"/>
  <c r="E17" i="48"/>
  <c r="D17" i="48"/>
  <c r="H16" i="48"/>
  <c r="G16" i="48"/>
  <c r="F16" i="48"/>
  <c r="E16" i="48"/>
  <c r="D16" i="48"/>
  <c r="H15" i="48"/>
  <c r="G15" i="48"/>
  <c r="F15" i="48"/>
  <c r="E15" i="48"/>
  <c r="D15" i="48"/>
  <c r="H14" i="48"/>
  <c r="G14" i="48"/>
  <c r="F14" i="48"/>
  <c r="E14" i="48"/>
  <c r="D14" i="48"/>
  <c r="C14" i="48"/>
  <c r="I13" i="48"/>
  <c r="H13" i="48"/>
  <c r="G13" i="48"/>
  <c r="F13" i="48"/>
  <c r="E13" i="48"/>
  <c r="D13" i="48"/>
  <c r="C13" i="48"/>
  <c r="I12" i="48"/>
  <c r="H12" i="48"/>
  <c r="G12" i="48"/>
  <c r="F12" i="48"/>
  <c r="E12" i="48"/>
  <c r="D12" i="48"/>
  <c r="C12" i="48"/>
  <c r="I11" i="48"/>
  <c r="H11" i="48"/>
  <c r="G11" i="48"/>
  <c r="F11" i="48"/>
  <c r="E11" i="48"/>
  <c r="D11" i="48"/>
  <c r="C11" i="48"/>
  <c r="I10" i="48"/>
  <c r="F10" i="48"/>
  <c r="E10" i="48"/>
  <c r="D10" i="48"/>
  <c r="C10" i="48"/>
  <c r="I9" i="48"/>
  <c r="E9" i="48"/>
  <c r="D9" i="48"/>
  <c r="C9" i="48"/>
  <c r="I8" i="48"/>
  <c r="H8" i="48"/>
  <c r="G8" i="48"/>
  <c r="F8" i="48"/>
  <c r="E8" i="48"/>
  <c r="D8" i="48"/>
  <c r="C8" i="48"/>
  <c r="I7" i="48"/>
  <c r="F7" i="48"/>
  <c r="E7" i="48"/>
  <c r="D7" i="48"/>
  <c r="C7" i="48"/>
  <c r="I6" i="48"/>
  <c r="G6" i="48"/>
  <c r="F6" i="48"/>
  <c r="E6" i="48"/>
  <c r="D6" i="48"/>
  <c r="C6" i="48"/>
  <c r="I5" i="48"/>
  <c r="G5" i="48"/>
  <c r="F5" i="48"/>
  <c r="E5" i="48"/>
  <c r="D5" i="48"/>
  <c r="C5" i="48"/>
  <c r="I4" i="48"/>
  <c r="F4" i="48"/>
  <c r="E4" i="48"/>
  <c r="D4" i="48"/>
  <c r="C4" i="48"/>
  <c r="AG29" i="47"/>
  <c r="AF29" i="47"/>
  <c r="AE29" i="47"/>
  <c r="AD29" i="47"/>
  <c r="AC29" i="47"/>
  <c r="AB29" i="47"/>
  <c r="AA29" i="47"/>
  <c r="Z29" i="47"/>
  <c r="Y29" i="47"/>
  <c r="X29" i="47"/>
  <c r="W29" i="47"/>
  <c r="V29" i="47"/>
  <c r="U29" i="47"/>
  <c r="T29" i="47"/>
  <c r="S29" i="47"/>
  <c r="R29" i="47"/>
  <c r="Q29" i="47"/>
  <c r="P29" i="47"/>
  <c r="O29" i="47"/>
  <c r="N29" i="47"/>
  <c r="M29" i="47"/>
  <c r="L29" i="47"/>
  <c r="K29" i="47"/>
  <c r="J29" i="47"/>
  <c r="I29" i="47"/>
  <c r="H29" i="47"/>
  <c r="G29" i="47"/>
  <c r="F29" i="47"/>
  <c r="E29" i="47"/>
  <c r="D29" i="47"/>
  <c r="C29" i="47"/>
  <c r="AH28" i="47"/>
  <c r="J25" i="48" s="1"/>
  <c r="AH27" i="47"/>
  <c r="J24" i="48" s="1"/>
  <c r="AH25" i="47"/>
  <c r="J22" i="48" s="1"/>
  <c r="AH24" i="47"/>
  <c r="J21" i="48" s="1"/>
  <c r="AH23" i="47"/>
  <c r="J20" i="48" s="1"/>
  <c r="AH22" i="47"/>
  <c r="J19" i="48" s="1"/>
  <c r="AH21" i="47"/>
  <c r="J18" i="48" s="1"/>
  <c r="AH19" i="47"/>
  <c r="J16" i="48" s="1"/>
  <c r="AH18" i="47"/>
  <c r="J15" i="48" s="1"/>
  <c r="AH17" i="47"/>
  <c r="J14" i="48" s="1"/>
  <c r="B17" i="47"/>
  <c r="AH16" i="47"/>
  <c r="J13" i="48" s="1"/>
  <c r="B16" i="47"/>
  <c r="AH15" i="47"/>
  <c r="J12" i="48" s="1"/>
  <c r="B15" i="47"/>
  <c r="AH14" i="47"/>
  <c r="J11" i="48" s="1"/>
  <c r="B14" i="47"/>
  <c r="AH13" i="47"/>
  <c r="J10" i="48" s="1"/>
  <c r="AH12" i="47"/>
  <c r="J9" i="48" s="1"/>
  <c r="AH11" i="47"/>
  <c r="J8" i="48" s="1"/>
  <c r="B11" i="47"/>
  <c r="AH10" i="47"/>
  <c r="J7" i="48" s="1"/>
  <c r="AH9" i="47"/>
  <c r="J6" i="48" s="1"/>
  <c r="AH8" i="47"/>
  <c r="J5" i="48" s="1"/>
  <c r="AH7" i="47"/>
  <c r="J4" i="48" s="1"/>
  <c r="P1" i="47"/>
  <c r="L33" i="46"/>
  <c r="K33" i="46"/>
  <c r="J33" i="46"/>
  <c r="I33" i="46"/>
  <c r="H33" i="46"/>
  <c r="G33" i="46"/>
  <c r="F33" i="46"/>
  <c r="M33" i="46" s="1"/>
  <c r="AI30" i="46"/>
  <c r="AH30" i="46"/>
  <c r="AG30" i="46"/>
  <c r="AF30" i="46"/>
  <c r="AE30" i="46"/>
  <c r="AD30" i="46"/>
  <c r="AC30" i="46"/>
  <c r="AB30" i="46"/>
  <c r="AA30" i="46"/>
  <c r="Z30" i="46"/>
  <c r="Y30" i="46"/>
  <c r="X30" i="46"/>
  <c r="W30" i="46"/>
  <c r="V30" i="46"/>
  <c r="U30" i="46"/>
  <c r="T30" i="46"/>
  <c r="S30" i="46"/>
  <c r="R30" i="46"/>
  <c r="Q30" i="46"/>
  <c r="P30" i="46"/>
  <c r="O30" i="46"/>
  <c r="N30" i="46"/>
  <c r="M30" i="46"/>
  <c r="L30" i="46"/>
  <c r="K30" i="46"/>
  <c r="J30" i="46"/>
  <c r="I30" i="46"/>
  <c r="H30" i="46"/>
  <c r="G30" i="46"/>
  <c r="F30" i="46"/>
  <c r="E30" i="46"/>
  <c r="AQ29" i="46"/>
  <c r="AP29" i="46"/>
  <c r="AO29" i="46"/>
  <c r="AN29" i="46"/>
  <c r="AM29" i="46"/>
  <c r="AL29" i="46"/>
  <c r="AK29" i="46"/>
  <c r="AJ29" i="46"/>
  <c r="AR29" i="46" s="1"/>
  <c r="AQ28" i="46"/>
  <c r="AP28" i="46"/>
  <c r="AO28" i="46"/>
  <c r="AN28" i="46"/>
  <c r="AM28" i="46"/>
  <c r="AL28" i="46"/>
  <c r="AK28" i="46"/>
  <c r="AJ28" i="46"/>
  <c r="AR28" i="46" s="1"/>
  <c r="AQ27" i="46"/>
  <c r="AP27" i="46"/>
  <c r="AO27" i="46"/>
  <c r="AN27" i="46"/>
  <c r="AM27" i="46"/>
  <c r="AL27" i="46"/>
  <c r="AK27" i="46"/>
  <c r="AR27" i="46" s="1"/>
  <c r="AQ26" i="46"/>
  <c r="AP26" i="46"/>
  <c r="AO26" i="46"/>
  <c r="AN26" i="46"/>
  <c r="AM26" i="46"/>
  <c r="AL26" i="46"/>
  <c r="AK26" i="46"/>
  <c r="AJ26" i="46"/>
  <c r="AR26" i="46" s="1"/>
  <c r="AQ25" i="46"/>
  <c r="AP25" i="46"/>
  <c r="AO25" i="46"/>
  <c r="AN25" i="46"/>
  <c r="AM25" i="46"/>
  <c r="AL25" i="46"/>
  <c r="AK25" i="46"/>
  <c r="AJ25" i="46"/>
  <c r="AR25" i="46" s="1"/>
  <c r="AQ24" i="46"/>
  <c r="AP24" i="46"/>
  <c r="AO24" i="46"/>
  <c r="AN24" i="46"/>
  <c r="AM24" i="46"/>
  <c r="AL24" i="46"/>
  <c r="AK24" i="46"/>
  <c r="AJ24" i="46"/>
  <c r="AR24" i="46" s="1"/>
  <c r="AQ23" i="46"/>
  <c r="AP23" i="46"/>
  <c r="AO23" i="46"/>
  <c r="AN23" i="46"/>
  <c r="AM23" i="46"/>
  <c r="AL23" i="46"/>
  <c r="AK23" i="46"/>
  <c r="AJ23" i="46"/>
  <c r="AR23" i="46" s="1"/>
  <c r="AQ22" i="46"/>
  <c r="AP22" i="46"/>
  <c r="AO22" i="46"/>
  <c r="AN22" i="46"/>
  <c r="AM22" i="46"/>
  <c r="AL22" i="46"/>
  <c r="AJ22" i="46"/>
  <c r="AR22" i="46" s="1"/>
  <c r="AQ21" i="46"/>
  <c r="AP21" i="46"/>
  <c r="AO21" i="46"/>
  <c r="AN21" i="46"/>
  <c r="AM21" i="46"/>
  <c r="AL21" i="46"/>
  <c r="AK21" i="46"/>
  <c r="AJ21" i="46"/>
  <c r="AR21" i="46" s="1"/>
  <c r="AQ20" i="46"/>
  <c r="AP20" i="46"/>
  <c r="AO20" i="46"/>
  <c r="AN20" i="46"/>
  <c r="AM20" i="46"/>
  <c r="AL20" i="46"/>
  <c r="AK20" i="46"/>
  <c r="AJ20" i="46"/>
  <c r="AR20" i="46" s="1"/>
  <c r="AO19" i="46"/>
  <c r="AN19" i="46"/>
  <c r="AK19" i="46"/>
  <c r="AQ18" i="46"/>
  <c r="AP18" i="46"/>
  <c r="AO18" i="46"/>
  <c r="AN18" i="46"/>
  <c r="AM18" i="46"/>
  <c r="AL18" i="46"/>
  <c r="AK18" i="46"/>
  <c r="AJ18" i="46"/>
  <c r="AR18" i="46" s="1"/>
  <c r="AQ17" i="46"/>
  <c r="AP17" i="46"/>
  <c r="AO17" i="46"/>
  <c r="AN17" i="46"/>
  <c r="AM17" i="46"/>
  <c r="AL17" i="46"/>
  <c r="AK17" i="46"/>
  <c r="AJ17" i="46"/>
  <c r="AR17" i="46" s="1"/>
  <c r="AQ13" i="46"/>
  <c r="AP13" i="46"/>
  <c r="AO13" i="46"/>
  <c r="AN13" i="46"/>
  <c r="AM13" i="46"/>
  <c r="AL13" i="46"/>
  <c r="AK13" i="46"/>
  <c r="AJ13" i="46"/>
  <c r="AR13" i="46" s="1"/>
  <c r="AQ12" i="46"/>
  <c r="AP12" i="46"/>
  <c r="AO12" i="46"/>
  <c r="AN12" i="46"/>
  <c r="AM12" i="46"/>
  <c r="AL12" i="46"/>
  <c r="AK12" i="46"/>
  <c r="AJ12" i="46"/>
  <c r="AR12" i="46" s="1"/>
  <c r="AQ11" i="46"/>
  <c r="AO11" i="46"/>
  <c r="AN11" i="46"/>
  <c r="AM11" i="46"/>
  <c r="AL11" i="46"/>
  <c r="AK11" i="46"/>
  <c r="AR11" i="46" s="1"/>
  <c r="AQ10" i="46"/>
  <c r="AP10" i="46"/>
  <c r="AO10" i="46"/>
  <c r="AN10" i="46"/>
  <c r="AM10" i="46"/>
  <c r="AL10" i="46"/>
  <c r="AK10" i="46"/>
  <c r="AJ10" i="46"/>
  <c r="AR10" i="46" s="1"/>
  <c r="AQ9" i="46"/>
  <c r="AP9" i="46"/>
  <c r="AO9" i="46"/>
  <c r="AN9" i="46"/>
  <c r="AM9" i="46"/>
  <c r="AL9" i="46"/>
  <c r="AK9" i="46"/>
  <c r="AJ9" i="46"/>
  <c r="AQ8" i="46"/>
  <c r="AP8" i="46"/>
  <c r="AO8" i="46"/>
  <c r="AN8" i="46"/>
  <c r="AM8" i="46"/>
  <c r="AK8" i="46"/>
  <c r="AJ8" i="46"/>
  <c r="AQ7" i="46"/>
  <c r="AP7" i="46"/>
  <c r="AP30" i="46" s="1"/>
  <c r="AO7" i="46"/>
  <c r="AO30" i="46" s="1"/>
  <c r="AN7" i="46"/>
  <c r="AN30" i="46" s="1"/>
  <c r="AM7" i="46"/>
  <c r="AL7" i="46"/>
  <c r="AL30" i="46" s="1"/>
  <c r="AK7" i="46"/>
  <c r="AK30" i="46" s="1"/>
  <c r="AJ7" i="46"/>
  <c r="E67" i="49" l="1"/>
  <c r="D27" i="48"/>
  <c r="F27" i="48"/>
  <c r="G27" i="48"/>
  <c r="AJ30" i="46"/>
  <c r="AR9" i="46"/>
  <c r="AR8" i="46"/>
  <c r="H27" i="48"/>
  <c r="E27" i="48"/>
  <c r="I27" i="48"/>
  <c r="E78" i="49"/>
  <c r="E74" i="49"/>
  <c r="E66" i="49"/>
  <c r="AH29" i="47"/>
  <c r="AR7" i="46"/>
  <c r="AR30" i="46" l="1"/>
  <c r="J27" i="48"/>
  <c r="H92" i="45" l="1"/>
  <c r="B99" i="45"/>
  <c r="D91" i="45"/>
  <c r="D90" i="45"/>
  <c r="D89" i="45"/>
  <c r="D82" i="45"/>
  <c r="D40" i="45"/>
  <c r="D41" i="45"/>
  <c r="D42" i="45"/>
  <c r="D43" i="45"/>
  <c r="D44" i="45"/>
  <c r="D45" i="45"/>
  <c r="D46" i="45"/>
  <c r="D47" i="45"/>
  <c r="D48" i="45"/>
  <c r="D49" i="45"/>
  <c r="D50" i="45"/>
  <c r="D51" i="45"/>
  <c r="D52" i="45"/>
  <c r="D53" i="45"/>
  <c r="D54" i="45"/>
  <c r="D55" i="45"/>
  <c r="D56" i="45"/>
  <c r="D57" i="45"/>
  <c r="D58" i="45"/>
  <c r="D59" i="45"/>
  <c r="D60" i="45"/>
  <c r="D61" i="45"/>
  <c r="D62" i="45"/>
  <c r="D63" i="45"/>
  <c r="D64" i="45"/>
  <c r="D65" i="45"/>
  <c r="D66" i="45"/>
  <c r="D67" i="45"/>
  <c r="D68" i="45"/>
  <c r="D69" i="45"/>
  <c r="D39" i="45"/>
  <c r="U46" i="12"/>
  <c r="I93" i="45"/>
  <c r="K92" i="45"/>
  <c r="J92" i="45"/>
  <c r="I81" i="45"/>
  <c r="K81" i="45" s="1"/>
  <c r="I82" i="45"/>
  <c r="K82" i="45" s="1"/>
  <c r="I83" i="45"/>
  <c r="K83" i="45" s="1"/>
  <c r="I84" i="45"/>
  <c r="K84" i="45" s="1"/>
  <c r="I85" i="45"/>
  <c r="K85" i="45" s="1"/>
  <c r="I86" i="45"/>
  <c r="K86" i="45" s="1"/>
  <c r="I87" i="45"/>
  <c r="K87" i="45" s="1"/>
  <c r="I88" i="45"/>
  <c r="K88" i="45" s="1"/>
  <c r="I80" i="45"/>
  <c r="K80" i="45" s="1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K23" i="16"/>
  <c r="K12" i="16"/>
  <c r="K8" i="16"/>
  <c r="K9" i="16"/>
  <c r="K10" i="16"/>
  <c r="K11" i="16"/>
  <c r="K13" i="16"/>
  <c r="K14" i="16"/>
  <c r="AH13" i="15"/>
  <c r="D32" i="15"/>
  <c r="E32" i="15"/>
  <c r="F32" i="15"/>
  <c r="G32" i="15"/>
  <c r="H32" i="15"/>
  <c r="I32" i="15"/>
  <c r="J32" i="15"/>
  <c r="K32" i="15"/>
  <c r="L32" i="15"/>
  <c r="M32" i="15"/>
  <c r="N32" i="15"/>
  <c r="T50" i="13"/>
  <c r="C42" i="13"/>
  <c r="D42" i="13"/>
  <c r="B97" i="45" s="1"/>
  <c r="E42" i="13"/>
  <c r="H42" i="13"/>
  <c r="B98" i="45" s="1"/>
  <c r="I42" i="13"/>
  <c r="J42" i="13"/>
  <c r="K42" i="13"/>
  <c r="M42" i="13"/>
  <c r="D70" i="45" l="1"/>
  <c r="D98" i="45"/>
  <c r="D97" i="45"/>
  <c r="D99" i="45"/>
  <c r="H91" i="45"/>
  <c r="H93" i="45" s="1"/>
  <c r="J91" i="45"/>
  <c r="J93" i="45" s="1"/>
  <c r="K91" i="45"/>
  <c r="K93" i="45" s="1"/>
  <c r="F35" i="15"/>
  <c r="G35" i="15"/>
  <c r="H35" i="15"/>
  <c r="I35" i="15"/>
  <c r="J35" i="15"/>
  <c r="K35" i="15"/>
  <c r="L35" i="15"/>
  <c r="M35" i="15"/>
  <c r="N35" i="15"/>
  <c r="O32" i="15"/>
  <c r="O35" i="15" s="1"/>
  <c r="P32" i="15"/>
  <c r="P35" i="15" s="1"/>
  <c r="Q32" i="15"/>
  <c r="Q35" i="15" s="1"/>
  <c r="R32" i="15"/>
  <c r="R35" i="15" s="1"/>
  <c r="S32" i="15"/>
  <c r="S35" i="15" s="1"/>
  <c r="T32" i="15"/>
  <c r="T35" i="15" s="1"/>
  <c r="U32" i="15"/>
  <c r="U35" i="15" s="1"/>
  <c r="V32" i="15"/>
  <c r="V35" i="15" s="1"/>
  <c r="W32" i="15"/>
  <c r="W35" i="15" s="1"/>
  <c r="X32" i="15"/>
  <c r="X35" i="15" s="1"/>
  <c r="Y32" i="15"/>
  <c r="Y35" i="15" s="1"/>
  <c r="Z32" i="15"/>
  <c r="Z35" i="15" s="1"/>
  <c r="AA32" i="15"/>
  <c r="AA35" i="15" s="1"/>
  <c r="AB32" i="15"/>
  <c r="AB35" i="15" s="1"/>
  <c r="AC32" i="15"/>
  <c r="AC35" i="15" s="1"/>
  <c r="AD32" i="15"/>
  <c r="AD35" i="15" s="1"/>
  <c r="AE32" i="15"/>
  <c r="AE35" i="15" s="1"/>
  <c r="AF32" i="15"/>
  <c r="AF35" i="15" s="1"/>
  <c r="AG32" i="15"/>
  <c r="AG35" i="15" s="1"/>
  <c r="K3" i="16"/>
  <c r="K4" i="16"/>
  <c r="K5" i="16"/>
  <c r="K6" i="16"/>
  <c r="K7" i="16"/>
  <c r="K15" i="16"/>
  <c r="K16" i="16"/>
  <c r="K17" i="16"/>
  <c r="K18" i="16"/>
  <c r="K19" i="16"/>
  <c r="K20" i="16"/>
  <c r="K21" i="16"/>
  <c r="K22" i="16"/>
  <c r="K24" i="16"/>
  <c r="K25" i="16"/>
  <c r="K26" i="16"/>
  <c r="K27" i="16"/>
  <c r="L27" i="16"/>
  <c r="C32" i="15"/>
  <c r="C35" i="15" s="1"/>
  <c r="D35" i="15"/>
  <c r="E35" i="15"/>
  <c r="O4" i="16" l="1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" i="16"/>
  <c r="O30" i="16" l="1"/>
  <c r="J38" i="12" l="1"/>
  <c r="K38" i="12"/>
  <c r="H75" i="45" s="1"/>
  <c r="B5" i="45"/>
  <c r="B4" i="45"/>
  <c r="B3" i="45"/>
  <c r="D8" i="20"/>
  <c r="F14" i="20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F15" i="20" l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B5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D125" i="45"/>
  <c r="D122" i="45"/>
  <c r="C2" i="15" l="1"/>
  <c r="D2" i="15" s="1"/>
  <c r="E2" i="15" s="1"/>
  <c r="F2" i="15" s="1"/>
  <c r="G2" i="15" s="1"/>
  <c r="H2" i="15" s="1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AB2" i="15" s="1"/>
  <c r="AC2" i="15" s="1"/>
  <c r="AD2" i="15" s="1"/>
  <c r="AE2" i="15" s="1"/>
  <c r="AF2" i="15" s="1"/>
  <c r="AG2" i="15" s="1"/>
  <c r="D127" i="45"/>
  <c r="D129" i="45" s="1"/>
  <c r="H77" i="45"/>
  <c r="I77" i="45"/>
  <c r="F77" i="45"/>
  <c r="D5" i="45"/>
  <c r="D4" i="45"/>
  <c r="D3" i="45"/>
  <c r="I28" i="44"/>
  <c r="H28" i="44"/>
  <c r="G28" i="44"/>
  <c r="D28" i="44"/>
  <c r="D25" i="44"/>
  <c r="D24" i="44"/>
  <c r="D23" i="44"/>
  <c r="D21" i="44"/>
  <c r="K16" i="44"/>
  <c r="J16" i="44"/>
  <c r="I16" i="44"/>
  <c r="H16" i="44"/>
  <c r="L15" i="44"/>
  <c r="D15" i="44" s="1"/>
  <c r="L14" i="44"/>
  <c r="D14" i="44" s="1"/>
  <c r="L13" i="44"/>
  <c r="D13" i="44" s="1"/>
  <c r="L12" i="44"/>
  <c r="D12" i="44" s="1"/>
  <c r="D10" i="44"/>
  <c r="D5" i="44"/>
  <c r="F4" i="44"/>
  <c r="F9" i="44" s="1"/>
  <c r="F10" i="44" s="1"/>
  <c r="D4" i="44"/>
  <c r="D3" i="44"/>
  <c r="D7" i="44" s="1"/>
  <c r="D16" i="44" l="1"/>
  <c r="D29" i="44" s="1"/>
  <c r="D31" i="44" s="1"/>
  <c r="D26" i="44"/>
  <c r="L16" i="44"/>
  <c r="C30" i="41" l="1"/>
  <c r="D30" i="41"/>
  <c r="E30" i="41"/>
  <c r="F30" i="41"/>
  <c r="G30" i="41"/>
  <c r="H30" i="41"/>
  <c r="I30" i="41"/>
  <c r="E78" i="14" l="1"/>
  <c r="AQ8" i="34" l="1"/>
  <c r="AQ9" i="34"/>
  <c r="AQ10" i="34"/>
  <c r="AQ11" i="34"/>
  <c r="AQ12" i="34"/>
  <c r="AQ13" i="34"/>
  <c r="AQ14" i="34"/>
  <c r="AQ15" i="34"/>
  <c r="AQ16" i="34"/>
  <c r="AQ17" i="34"/>
  <c r="AQ18" i="34"/>
  <c r="AQ19" i="34"/>
  <c r="AQ20" i="34"/>
  <c r="AQ21" i="34"/>
  <c r="AQ22" i="34"/>
  <c r="AQ23" i="34"/>
  <c r="AQ24" i="34"/>
  <c r="AQ25" i="34"/>
  <c r="AQ26" i="34"/>
  <c r="AO8" i="34"/>
  <c r="AO9" i="34"/>
  <c r="AO10" i="34"/>
  <c r="AO11" i="34"/>
  <c r="AO12" i="34"/>
  <c r="AO13" i="34"/>
  <c r="I10" i="42" s="1"/>
  <c r="AO14" i="34"/>
  <c r="I11" i="42" s="1"/>
  <c r="AO15" i="34"/>
  <c r="I12" i="42" s="1"/>
  <c r="AO16" i="34"/>
  <c r="I13" i="42" s="1"/>
  <c r="AO17" i="34"/>
  <c r="I14" i="42" s="1"/>
  <c r="AO18" i="34"/>
  <c r="I15" i="42" s="1"/>
  <c r="AO19" i="34"/>
  <c r="I16" i="42" s="1"/>
  <c r="AO20" i="34"/>
  <c r="AO21" i="34"/>
  <c r="AO22" i="34"/>
  <c r="AO23" i="34"/>
  <c r="AO24" i="34"/>
  <c r="E79" i="14" l="1"/>
  <c r="D41" i="14" l="1"/>
  <c r="D42" i="14"/>
  <c r="D43" i="14"/>
  <c r="AH21" i="41" l="1"/>
  <c r="AH22" i="41"/>
  <c r="AH23" i="41"/>
  <c r="AH24" i="41"/>
  <c r="AH25" i="41"/>
  <c r="J22" i="42" s="1"/>
  <c r="AH26" i="41"/>
  <c r="AH27" i="41"/>
  <c r="J24" i="42" s="1"/>
  <c r="AH28" i="41"/>
  <c r="J25" i="42" s="1"/>
  <c r="AH29" i="41"/>
  <c r="AN7" i="34"/>
  <c r="AN8" i="34"/>
  <c r="I5" i="42" s="1"/>
  <c r="AN9" i="34"/>
  <c r="I6" i="42" s="1"/>
  <c r="AN10" i="34"/>
  <c r="I7" i="42" s="1"/>
  <c r="AN11" i="34"/>
  <c r="I8" i="42" s="1"/>
  <c r="AN12" i="34"/>
  <c r="I9" i="42" s="1"/>
  <c r="AN20" i="34"/>
  <c r="G17" i="42" s="1"/>
  <c r="AN21" i="34"/>
  <c r="G18" i="42" s="1"/>
  <c r="AN22" i="34"/>
  <c r="AN23" i="34"/>
  <c r="I20" i="42" s="1"/>
  <c r="AN24" i="34"/>
  <c r="G21" i="42" s="1"/>
  <c r="AN25" i="34"/>
  <c r="G22" i="42" s="1"/>
  <c r="AN26" i="34"/>
  <c r="AN27" i="34"/>
  <c r="G24" i="42" s="1"/>
  <c r="AN28" i="34"/>
  <c r="G25" i="42" s="1"/>
  <c r="AN29" i="34"/>
  <c r="AO7" i="34"/>
  <c r="AO25" i="34"/>
  <c r="AO26" i="34"/>
  <c r="AO27" i="34"/>
  <c r="AO28" i="34"/>
  <c r="AO29" i="34"/>
  <c r="AJ8" i="34"/>
  <c r="AJ9" i="34"/>
  <c r="AJ10" i="34"/>
  <c r="AJ11" i="34"/>
  <c r="AJ12" i="34"/>
  <c r="AJ20" i="34"/>
  <c r="AJ21" i="34"/>
  <c r="AJ22" i="34"/>
  <c r="F19" i="42" s="1"/>
  <c r="AJ23" i="34"/>
  <c r="AJ24" i="34"/>
  <c r="F21" i="42" s="1"/>
  <c r="AJ25" i="34"/>
  <c r="F22" i="42" s="1"/>
  <c r="AJ26" i="34"/>
  <c r="F23" i="42" s="1"/>
  <c r="AJ27" i="34"/>
  <c r="AJ28" i="34"/>
  <c r="F25" i="42" s="1"/>
  <c r="AJ29" i="34"/>
  <c r="AM7" i="34"/>
  <c r="AM8" i="34"/>
  <c r="AM9" i="34"/>
  <c r="AM10" i="34"/>
  <c r="AM11" i="34"/>
  <c r="AM12" i="34"/>
  <c r="AM20" i="34"/>
  <c r="AM21" i="34"/>
  <c r="AM22" i="34"/>
  <c r="E19" i="42" s="1"/>
  <c r="AM23" i="34"/>
  <c r="AM24" i="34"/>
  <c r="AM25" i="34"/>
  <c r="AM26" i="34"/>
  <c r="E23" i="42" s="1"/>
  <c r="AM27" i="34"/>
  <c r="AM28" i="34"/>
  <c r="E25" i="42" s="1"/>
  <c r="AM29" i="34"/>
  <c r="E26" i="42" s="1"/>
  <c r="AK7" i="34"/>
  <c r="AK8" i="34"/>
  <c r="AK9" i="34"/>
  <c r="AK10" i="34"/>
  <c r="AK11" i="34"/>
  <c r="AK12" i="34"/>
  <c r="AK20" i="34"/>
  <c r="AK21" i="34"/>
  <c r="AK22" i="34"/>
  <c r="D19" i="42" s="1"/>
  <c r="AK23" i="34"/>
  <c r="AK24" i="34"/>
  <c r="AK25" i="34"/>
  <c r="AK26" i="34"/>
  <c r="D23" i="42" s="1"/>
  <c r="AK27" i="34"/>
  <c r="AK28" i="34"/>
  <c r="D25" i="42" s="1"/>
  <c r="AK29" i="34"/>
  <c r="D26" i="42" s="1"/>
  <c r="AQ29" i="34"/>
  <c r="H26" i="42" s="1"/>
  <c r="AQ28" i="34"/>
  <c r="H25" i="42" s="1"/>
  <c r="AQ27" i="34"/>
  <c r="H24" i="42" s="1"/>
  <c r="AQ7" i="34"/>
  <c r="B4" i="42"/>
  <c r="F24" i="12"/>
  <c r="G24" i="12"/>
  <c r="H24" i="12"/>
  <c r="F7" i="12"/>
  <c r="G7" i="12"/>
  <c r="H7" i="12"/>
  <c r="F8" i="12"/>
  <c r="G8" i="12"/>
  <c r="H8" i="12"/>
  <c r="F9" i="12"/>
  <c r="G9" i="12"/>
  <c r="H9" i="12"/>
  <c r="F10" i="12"/>
  <c r="G10" i="12"/>
  <c r="H10" i="12"/>
  <c r="F11" i="12"/>
  <c r="G11" i="12"/>
  <c r="H11" i="12"/>
  <c r="F12" i="12"/>
  <c r="G12" i="12"/>
  <c r="H12" i="12"/>
  <c r="F13" i="12"/>
  <c r="G13" i="12"/>
  <c r="H13" i="12"/>
  <c r="F14" i="12"/>
  <c r="G14" i="12"/>
  <c r="H14" i="12"/>
  <c r="F15" i="12"/>
  <c r="G15" i="12"/>
  <c r="H15" i="12"/>
  <c r="F16" i="12"/>
  <c r="G16" i="12"/>
  <c r="H16" i="12"/>
  <c r="F17" i="12"/>
  <c r="G17" i="12"/>
  <c r="H17" i="12"/>
  <c r="F18" i="12"/>
  <c r="G18" i="12"/>
  <c r="H18" i="12"/>
  <c r="F19" i="12"/>
  <c r="G19" i="12"/>
  <c r="H19" i="12"/>
  <c r="G21" i="12"/>
  <c r="G23" i="12"/>
  <c r="G26" i="12"/>
  <c r="F36" i="12"/>
  <c r="G36" i="12"/>
  <c r="H36" i="12"/>
  <c r="F6" i="12"/>
  <c r="G6" i="12"/>
  <c r="H6" i="12"/>
  <c r="F17" i="43"/>
  <c r="D96" i="14"/>
  <c r="D101" i="14"/>
  <c r="D80" i="14"/>
  <c r="B4" i="14"/>
  <c r="D4" i="14" s="1"/>
  <c r="B5" i="14"/>
  <c r="D5" i="14" s="1"/>
  <c r="B6" i="14"/>
  <c r="D6" i="14" s="1"/>
  <c r="J26" i="16"/>
  <c r="J15" i="16"/>
  <c r="J7" i="16"/>
  <c r="J5" i="16"/>
  <c r="D18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4" i="14"/>
  <c r="D45" i="14"/>
  <c r="D46" i="14"/>
  <c r="D47" i="14"/>
  <c r="D48" i="14"/>
  <c r="D49" i="14"/>
  <c r="D50" i="14"/>
  <c r="D91" i="14"/>
  <c r="P38" i="12"/>
  <c r="D84" i="45" s="1"/>
  <c r="D87" i="45" s="1"/>
  <c r="S38" i="12"/>
  <c r="G74" i="45" s="1"/>
  <c r="U38" i="12"/>
  <c r="G73" i="45" s="1"/>
  <c r="O38" i="12"/>
  <c r="G72" i="45" s="1"/>
  <c r="T38" i="12"/>
  <c r="D148" i="14" s="1"/>
  <c r="D151" i="14"/>
  <c r="D152" i="14"/>
  <c r="D153" i="14"/>
  <c r="D156" i="14"/>
  <c r="D157" i="14"/>
  <c r="D158" i="14"/>
  <c r="D161" i="14"/>
  <c r="D164" i="14" s="1"/>
  <c r="D162" i="14"/>
  <c r="D163" i="14"/>
  <c r="B38" i="12"/>
  <c r="C38" i="12"/>
  <c r="D38" i="12"/>
  <c r="D171" i="14"/>
  <c r="D172" i="14"/>
  <c r="D181" i="14" s="1"/>
  <c r="D173" i="14"/>
  <c r="D174" i="14"/>
  <c r="D175" i="14"/>
  <c r="D176" i="14"/>
  <c r="D177" i="14"/>
  <c r="D178" i="14"/>
  <c r="D179" i="14"/>
  <c r="D180" i="14"/>
  <c r="D184" i="14"/>
  <c r="D185" i="14"/>
  <c r="G20" i="12"/>
  <c r="DR41" i="43"/>
  <c r="DR33" i="43"/>
  <c r="DR24" i="43"/>
  <c r="DJ33" i="43"/>
  <c r="DJ41" i="43"/>
  <c r="DN41" i="43"/>
  <c r="DN33" i="43"/>
  <c r="DN24" i="43"/>
  <c r="DJ24" i="43"/>
  <c r="DF24" i="43"/>
  <c r="DF33" i="43"/>
  <c r="DF41" i="43"/>
  <c r="DB41" i="43"/>
  <c r="DB33" i="43"/>
  <c r="DB24" i="43"/>
  <c r="CT41" i="43"/>
  <c r="CT33" i="43"/>
  <c r="CT24" i="43"/>
  <c r="CP33" i="43"/>
  <c r="CP41" i="43"/>
  <c r="CP44" i="43" s="1"/>
  <c r="CP46" i="43" s="1"/>
  <c r="CP24" i="43"/>
  <c r="CX41" i="43"/>
  <c r="CX33" i="43"/>
  <c r="CX24" i="43"/>
  <c r="CL41" i="43"/>
  <c r="CL33" i="43"/>
  <c r="CL24" i="43"/>
  <c r="CH24" i="43"/>
  <c r="CH33" i="43"/>
  <c r="CH41" i="43"/>
  <c r="CD41" i="43"/>
  <c r="BZ41" i="43"/>
  <c r="BV41" i="43"/>
  <c r="BR41" i="43"/>
  <c r="BN41" i="43"/>
  <c r="BJ41" i="43"/>
  <c r="BF41" i="43"/>
  <c r="BB41" i="43"/>
  <c r="AX41" i="43"/>
  <c r="AT41" i="43"/>
  <c r="AP41" i="43"/>
  <c r="AL41" i="43"/>
  <c r="AH41" i="43"/>
  <c r="AD41" i="43"/>
  <c r="Z41" i="43"/>
  <c r="V41" i="43"/>
  <c r="R41" i="43"/>
  <c r="N41" i="43"/>
  <c r="J41" i="43"/>
  <c r="CD33" i="43"/>
  <c r="BZ33" i="43"/>
  <c r="BV33" i="43"/>
  <c r="BR33" i="43"/>
  <c r="BN33" i="43"/>
  <c r="BJ33" i="43"/>
  <c r="BF33" i="43"/>
  <c r="BB33" i="43"/>
  <c r="AX33" i="43"/>
  <c r="AT33" i="43"/>
  <c r="AP33" i="43"/>
  <c r="AL33" i="43"/>
  <c r="AH33" i="43"/>
  <c r="AD33" i="43"/>
  <c r="Z33" i="43"/>
  <c r="V33" i="43"/>
  <c r="R33" i="43"/>
  <c r="N33" i="43"/>
  <c r="CD24" i="43"/>
  <c r="BZ24" i="43"/>
  <c r="BV24" i="43"/>
  <c r="BR24" i="43"/>
  <c r="BN24" i="43"/>
  <c r="BJ24" i="43"/>
  <c r="BF24" i="43"/>
  <c r="BB24" i="43"/>
  <c r="AX24" i="43"/>
  <c r="AT24" i="43"/>
  <c r="AP24" i="43"/>
  <c r="AL24" i="43"/>
  <c r="AH24" i="43"/>
  <c r="AD24" i="43"/>
  <c r="Z24" i="43"/>
  <c r="V24" i="43"/>
  <c r="R24" i="43"/>
  <c r="N24" i="43"/>
  <c r="DY20" i="43"/>
  <c r="DX20" i="43"/>
  <c r="DW20" i="43"/>
  <c r="DV20" i="43"/>
  <c r="DO20" i="43"/>
  <c r="DR20" i="43" s="1"/>
  <c r="DR43" i="43" s="1"/>
  <c r="DR44" i="43" s="1"/>
  <c r="DR46" i="43" s="1"/>
  <c r="DN20" i="43"/>
  <c r="DG20" i="43"/>
  <c r="DJ20" i="43"/>
  <c r="DC20" i="43"/>
  <c r="DF20" i="43" s="1"/>
  <c r="CY20" i="43"/>
  <c r="DB20" i="43" s="1"/>
  <c r="CU20" i="43"/>
  <c r="CX20" i="43" s="1"/>
  <c r="CQ20" i="43"/>
  <c r="CT20" i="43"/>
  <c r="CM20" i="43"/>
  <c r="CP20" i="43" s="1"/>
  <c r="CI20" i="43"/>
  <c r="CL20" i="43" s="1"/>
  <c r="CE20" i="43"/>
  <c r="CH20" i="43" s="1"/>
  <c r="CA20" i="43"/>
  <c r="CD20" i="43"/>
  <c r="BW20" i="43"/>
  <c r="BZ20" i="43" s="1"/>
  <c r="BS20" i="43"/>
  <c r="BV20" i="43"/>
  <c r="BO20" i="43"/>
  <c r="BR20" i="43" s="1"/>
  <c r="BK20" i="43"/>
  <c r="BN20" i="43"/>
  <c r="BG20" i="43"/>
  <c r="BJ20" i="43" s="1"/>
  <c r="BJ43" i="43" s="1"/>
  <c r="BJ44" i="43" s="1"/>
  <c r="BJ46" i="43" s="1"/>
  <c r="BC20" i="43"/>
  <c r="BF20" i="43"/>
  <c r="AY20" i="43"/>
  <c r="BB20" i="43" s="1"/>
  <c r="AX20" i="43"/>
  <c r="AQ20" i="43"/>
  <c r="AT20" i="43" s="1"/>
  <c r="AP20" i="43"/>
  <c r="AM20" i="43"/>
  <c r="AI20" i="43"/>
  <c r="AL20" i="43" s="1"/>
  <c r="AH20" i="43"/>
  <c r="AE20" i="43"/>
  <c r="AA20" i="43"/>
  <c r="AD20" i="43"/>
  <c r="W20" i="43"/>
  <c r="Z20" i="43" s="1"/>
  <c r="S20" i="43"/>
  <c r="V20" i="43" s="1"/>
  <c r="R20" i="43"/>
  <c r="O20" i="43"/>
  <c r="K20" i="43"/>
  <c r="N20" i="43" s="1"/>
  <c r="J20" i="43"/>
  <c r="G20" i="43"/>
  <c r="F20" i="43"/>
  <c r="F19" i="43"/>
  <c r="F43" i="43" s="1"/>
  <c r="F44" i="43" s="1"/>
  <c r="F46" i="43" s="1"/>
  <c r="DY19" i="43"/>
  <c r="DX19" i="43"/>
  <c r="AU19" i="43"/>
  <c r="DW19" i="43" s="1"/>
  <c r="DS19" i="43"/>
  <c r="DV19" i="43" s="1"/>
  <c r="DV43" i="43" s="1"/>
  <c r="DV44" i="43" s="1"/>
  <c r="DV46" i="43"/>
  <c r="DO19" i="43"/>
  <c r="DR19" i="43" s="1"/>
  <c r="DK19" i="43"/>
  <c r="DN19" i="43"/>
  <c r="DN43" i="43" s="1"/>
  <c r="DG19" i="43"/>
  <c r="DJ19" i="43" s="1"/>
  <c r="DJ43" i="43" s="1"/>
  <c r="DJ44" i="43" s="1"/>
  <c r="DJ46" i="43" s="1"/>
  <c r="DC19" i="43"/>
  <c r="DF19" i="43" s="1"/>
  <c r="CY19" i="43"/>
  <c r="DB19" i="43" s="1"/>
  <c r="DB43" i="43" s="1"/>
  <c r="DB44" i="43" s="1"/>
  <c r="DB46" i="43" s="1"/>
  <c r="CU19" i="43"/>
  <c r="CX19" i="43"/>
  <c r="CQ19" i="43"/>
  <c r="CT19" i="43" s="1"/>
  <c r="CT43" i="43" s="1"/>
  <c r="CT44" i="43" s="1"/>
  <c r="CT46" i="43"/>
  <c r="CM19" i="43"/>
  <c r="CP19" i="43" s="1"/>
  <c r="CP43" i="43" s="1"/>
  <c r="CI19" i="43"/>
  <c r="CL19" i="43" s="1"/>
  <c r="CL43" i="43" s="1"/>
  <c r="CL44" i="43"/>
  <c r="CL46" i="43" s="1"/>
  <c r="CE19" i="43"/>
  <c r="CH19" i="43" s="1"/>
  <c r="CH43" i="43" s="1"/>
  <c r="CH44" i="43" s="1"/>
  <c r="CH46" i="43" s="1"/>
  <c r="CA19" i="43"/>
  <c r="CD19" i="43"/>
  <c r="CD43" i="43" s="1"/>
  <c r="BW19" i="43"/>
  <c r="BZ19" i="43" s="1"/>
  <c r="BS19" i="43"/>
  <c r="BV19" i="43" s="1"/>
  <c r="BV43" i="43" s="1"/>
  <c r="BO19" i="43"/>
  <c r="BR19" i="43" s="1"/>
  <c r="BR43" i="43" s="1"/>
  <c r="BK19" i="43"/>
  <c r="BN19" i="43"/>
  <c r="BN43" i="43" s="1"/>
  <c r="BG19" i="43"/>
  <c r="BJ19" i="43"/>
  <c r="BC19" i="43"/>
  <c r="BF19" i="43" s="1"/>
  <c r="BF43" i="43" s="1"/>
  <c r="BF44" i="43" s="1"/>
  <c r="BF46" i="43" s="1"/>
  <c r="AY19" i="43"/>
  <c r="BB19" i="43" s="1"/>
  <c r="BB43" i="43" s="1"/>
  <c r="AX19" i="43"/>
  <c r="AX43" i="43" s="1"/>
  <c r="AX44" i="43" s="1"/>
  <c r="AX46" i="43" s="1"/>
  <c r="AQ19" i="43"/>
  <c r="AT19" i="43" s="1"/>
  <c r="AT43" i="43" s="1"/>
  <c r="AT44" i="43" s="1"/>
  <c r="AT46" i="43" s="1"/>
  <c r="AM19" i="43"/>
  <c r="AP19" i="43" s="1"/>
  <c r="AI19" i="43"/>
  <c r="AL19" i="43" s="1"/>
  <c r="AL43" i="43" s="1"/>
  <c r="AL44" i="43" s="1"/>
  <c r="AL46" i="43" s="1"/>
  <c r="AE19" i="43"/>
  <c r="AH19" i="43" s="1"/>
  <c r="AH43" i="43" s="1"/>
  <c r="AH44" i="43" s="1"/>
  <c r="AH46" i="43" s="1"/>
  <c r="AA19" i="43"/>
  <c r="AD19" i="43" s="1"/>
  <c r="AD43" i="43" s="1"/>
  <c r="AD44" i="43" s="1"/>
  <c r="AD46" i="43" s="1"/>
  <c r="W19" i="43"/>
  <c r="Z19" i="43" s="1"/>
  <c r="Z43" i="43" s="1"/>
  <c r="Z44" i="43" s="1"/>
  <c r="Z46" i="43" s="1"/>
  <c r="S19" i="43"/>
  <c r="V19" i="43" s="1"/>
  <c r="V43" i="43" s="1"/>
  <c r="V44" i="43" s="1"/>
  <c r="V46" i="43" s="1"/>
  <c r="O19" i="43"/>
  <c r="R19" i="43" s="1"/>
  <c r="R43" i="43" s="1"/>
  <c r="R44" i="43" s="1"/>
  <c r="R46" i="43" s="1"/>
  <c r="K19" i="43"/>
  <c r="N19" i="43" s="1"/>
  <c r="N43" i="43" s="1"/>
  <c r="N44" i="43" s="1"/>
  <c r="N46" i="43" s="1"/>
  <c r="G19" i="43"/>
  <c r="J19" i="43" s="1"/>
  <c r="J43" i="43" s="1"/>
  <c r="DY18" i="43"/>
  <c r="DX18" i="43"/>
  <c r="DS18" i="43"/>
  <c r="DV18" i="43" s="1"/>
  <c r="DO18" i="43"/>
  <c r="DR18" i="43"/>
  <c r="DK18" i="43"/>
  <c r="DN18" i="43" s="1"/>
  <c r="DJ18" i="43"/>
  <c r="DG18" i="43"/>
  <c r="DC18" i="43"/>
  <c r="DF18" i="43" s="1"/>
  <c r="CY18" i="43"/>
  <c r="DB18" i="43" s="1"/>
  <c r="CU18" i="43"/>
  <c r="CX18" i="43" s="1"/>
  <c r="CT18" i="43"/>
  <c r="CQ18" i="43"/>
  <c r="CM18" i="43"/>
  <c r="CP18" i="43" s="1"/>
  <c r="CI18" i="43"/>
  <c r="CL18" i="43" s="1"/>
  <c r="CE18" i="43"/>
  <c r="CH18" i="43" s="1"/>
  <c r="CD18" i="43"/>
  <c r="CA18" i="43"/>
  <c r="BW18" i="43"/>
  <c r="BZ18" i="43" s="1"/>
  <c r="BS18" i="43"/>
  <c r="BV18" i="43" s="1"/>
  <c r="BO18" i="43"/>
  <c r="BR18" i="43" s="1"/>
  <c r="BN18" i="43"/>
  <c r="BK18" i="43"/>
  <c r="BG18" i="43"/>
  <c r="BJ18" i="43"/>
  <c r="BC18" i="43"/>
  <c r="BF18" i="43"/>
  <c r="AY18" i="43"/>
  <c r="BB18" i="43"/>
  <c r="AU18" i="43"/>
  <c r="AX18" i="43" s="1"/>
  <c r="AQ18" i="43"/>
  <c r="AT18" i="43"/>
  <c r="AM18" i="43"/>
  <c r="AP18" i="43"/>
  <c r="AI18" i="43"/>
  <c r="AL18" i="43" s="1"/>
  <c r="AE18" i="43"/>
  <c r="AH18" i="43"/>
  <c r="AA18" i="43"/>
  <c r="AD18" i="43"/>
  <c r="W18" i="43"/>
  <c r="Z18" i="43"/>
  <c r="V18" i="43"/>
  <c r="S18" i="43"/>
  <c r="O18" i="43"/>
  <c r="R18" i="43" s="1"/>
  <c r="K18" i="43"/>
  <c r="N18" i="43" s="1"/>
  <c r="G18" i="43"/>
  <c r="J18" i="43" s="1"/>
  <c r="F18" i="43"/>
  <c r="DY17" i="43"/>
  <c r="DX17" i="43"/>
  <c r="DS17" i="43"/>
  <c r="DV17" i="43" s="1"/>
  <c r="DO17" i="43"/>
  <c r="DR17" i="43" s="1"/>
  <c r="DK17" i="43"/>
  <c r="DN17" i="43" s="1"/>
  <c r="DG17" i="43"/>
  <c r="DJ17" i="43"/>
  <c r="DC17" i="43"/>
  <c r="DF17" i="43" s="1"/>
  <c r="CY17" i="43"/>
  <c r="DB17" i="43" s="1"/>
  <c r="CU17" i="43"/>
  <c r="CX17" i="43" s="1"/>
  <c r="CQ17" i="43"/>
  <c r="CT17" i="43"/>
  <c r="CM17" i="43"/>
  <c r="CP17" i="43" s="1"/>
  <c r="CI17" i="43"/>
  <c r="CL17" i="43" s="1"/>
  <c r="CE17" i="43"/>
  <c r="CH17" i="43" s="1"/>
  <c r="CH35" i="43" s="1"/>
  <c r="CH36" i="43" s="1"/>
  <c r="CH38" i="43" s="1"/>
  <c r="CA17" i="43"/>
  <c r="CD17" i="43"/>
  <c r="BW17" i="43"/>
  <c r="BZ17" i="43" s="1"/>
  <c r="BS17" i="43"/>
  <c r="BV17" i="43" s="1"/>
  <c r="BO17" i="43"/>
  <c r="BR17" i="43" s="1"/>
  <c r="BK17" i="43"/>
  <c r="BN17" i="43"/>
  <c r="BG17" i="43"/>
  <c r="BJ17" i="43" s="1"/>
  <c r="BC17" i="43"/>
  <c r="BF17" i="43" s="1"/>
  <c r="AY17" i="43"/>
  <c r="BB17" i="43" s="1"/>
  <c r="AU17" i="43"/>
  <c r="AX17" i="43"/>
  <c r="AQ17" i="43"/>
  <c r="AT17" i="43" s="1"/>
  <c r="AM17" i="43"/>
  <c r="AP17" i="43" s="1"/>
  <c r="AI17" i="43"/>
  <c r="AL17" i="43" s="1"/>
  <c r="AE17" i="43"/>
  <c r="AH17" i="43"/>
  <c r="AA17" i="43"/>
  <c r="AD17" i="43" s="1"/>
  <c r="W17" i="43"/>
  <c r="Z17" i="43" s="1"/>
  <c r="S17" i="43"/>
  <c r="V17" i="43" s="1"/>
  <c r="O17" i="43"/>
  <c r="R17" i="43"/>
  <c r="K17" i="43"/>
  <c r="N17" i="43" s="1"/>
  <c r="G17" i="43"/>
  <c r="J17" i="43" s="1"/>
  <c r="DY16" i="43"/>
  <c r="DX16" i="43"/>
  <c r="DS16" i="43"/>
  <c r="DV16" i="43" s="1"/>
  <c r="DR16" i="43"/>
  <c r="DO16" i="43"/>
  <c r="DN16" i="43"/>
  <c r="DK16" i="43"/>
  <c r="DJ16" i="43"/>
  <c r="DG16" i="43"/>
  <c r="DC16" i="43"/>
  <c r="DF16" i="43" s="1"/>
  <c r="DB16" i="43"/>
  <c r="CY16" i="43"/>
  <c r="CX16" i="43"/>
  <c r="CU16" i="43"/>
  <c r="CT16" i="43"/>
  <c r="CQ16" i="43"/>
  <c r="CM16" i="43"/>
  <c r="CP16" i="43" s="1"/>
  <c r="CL16" i="43"/>
  <c r="CI16" i="43"/>
  <c r="CH16" i="43"/>
  <c r="CE16" i="43"/>
  <c r="CD16" i="43"/>
  <c r="CA16" i="43"/>
  <c r="BW16" i="43"/>
  <c r="BZ16" i="43" s="1"/>
  <c r="BV16" i="43"/>
  <c r="BS16" i="43"/>
  <c r="BR16" i="43"/>
  <c r="BO16" i="43"/>
  <c r="BN16" i="43"/>
  <c r="BK16" i="43"/>
  <c r="BG16" i="43"/>
  <c r="BJ16" i="43"/>
  <c r="BC16" i="43"/>
  <c r="BF16" i="43" s="1"/>
  <c r="AY16" i="43"/>
  <c r="BB16" i="43" s="1"/>
  <c r="AU16" i="43"/>
  <c r="AX16" i="43" s="1"/>
  <c r="AQ16" i="43"/>
  <c r="AT16" i="43" s="1"/>
  <c r="AM16" i="43"/>
  <c r="AP16" i="43" s="1"/>
  <c r="AI16" i="43"/>
  <c r="AL16" i="43" s="1"/>
  <c r="AE16" i="43"/>
  <c r="AH16" i="43"/>
  <c r="AA16" i="43"/>
  <c r="AD16" i="43" s="1"/>
  <c r="W16" i="43"/>
  <c r="Z16" i="43" s="1"/>
  <c r="V16" i="43"/>
  <c r="S16" i="43"/>
  <c r="O16" i="43"/>
  <c r="R16" i="43" s="1"/>
  <c r="N16" i="43"/>
  <c r="K16" i="43"/>
  <c r="J16" i="43"/>
  <c r="G16" i="43"/>
  <c r="F16" i="43"/>
  <c r="DY15" i="43"/>
  <c r="DX15" i="43"/>
  <c r="DS15" i="43"/>
  <c r="DV15" i="43"/>
  <c r="DO15" i="43"/>
  <c r="DR15" i="43"/>
  <c r="DK15" i="43"/>
  <c r="DN15" i="43"/>
  <c r="DG15" i="43"/>
  <c r="DJ15" i="43" s="1"/>
  <c r="DC15" i="43"/>
  <c r="DF15" i="43"/>
  <c r="CY15" i="43"/>
  <c r="DB15" i="43"/>
  <c r="CU15" i="43"/>
  <c r="CX15" i="43"/>
  <c r="CQ15" i="43"/>
  <c r="CT15" i="43" s="1"/>
  <c r="CM15" i="43"/>
  <c r="CP15" i="43"/>
  <c r="CI15" i="43"/>
  <c r="CL15" i="43"/>
  <c r="CE15" i="43"/>
  <c r="CH15" i="43"/>
  <c r="CA15" i="43"/>
  <c r="CD15" i="43" s="1"/>
  <c r="BW15" i="43"/>
  <c r="BZ15" i="43"/>
  <c r="BS15" i="43"/>
  <c r="BV15" i="43"/>
  <c r="BO15" i="43"/>
  <c r="BR15" i="43"/>
  <c r="BK15" i="43"/>
  <c r="BN15" i="43" s="1"/>
  <c r="BN35" i="43" s="1"/>
  <c r="BN36" i="43" s="1"/>
  <c r="BN38" i="43" s="1"/>
  <c r="BG15" i="43"/>
  <c r="BJ15" i="43"/>
  <c r="BC15" i="43"/>
  <c r="BF15" i="43"/>
  <c r="AY15" i="43"/>
  <c r="BB15" i="43"/>
  <c r="AU15" i="43"/>
  <c r="AX15" i="43" s="1"/>
  <c r="AQ15" i="43"/>
  <c r="AT15" i="43"/>
  <c r="AM15" i="43"/>
  <c r="AP15" i="43"/>
  <c r="AI15" i="43"/>
  <c r="AL15" i="43"/>
  <c r="AE15" i="43"/>
  <c r="AH15" i="43" s="1"/>
  <c r="AA15" i="43"/>
  <c r="AD15" i="43"/>
  <c r="W15" i="43"/>
  <c r="Z15" i="43"/>
  <c r="S15" i="43"/>
  <c r="V15" i="43"/>
  <c r="O15" i="43"/>
  <c r="R15" i="43" s="1"/>
  <c r="K15" i="43"/>
  <c r="N15" i="43"/>
  <c r="G15" i="43"/>
  <c r="J15" i="43"/>
  <c r="F15" i="43"/>
  <c r="DN35" i="43"/>
  <c r="DN36" i="43" s="1"/>
  <c r="DN38" i="43" s="1"/>
  <c r="G14" i="43"/>
  <c r="F14" i="43"/>
  <c r="DV35" i="43"/>
  <c r="DV36" i="43" s="1"/>
  <c r="DV38" i="43" s="1"/>
  <c r="G13" i="43"/>
  <c r="F13" i="43"/>
  <c r="DY12" i="43"/>
  <c r="DX12" i="43"/>
  <c r="DS12" i="43"/>
  <c r="DV12" i="43"/>
  <c r="DO12" i="43"/>
  <c r="DR12" i="43"/>
  <c r="DK12" i="43"/>
  <c r="DN12" i="43" s="1"/>
  <c r="DG12" i="43"/>
  <c r="DJ12" i="43"/>
  <c r="DC12" i="43"/>
  <c r="DF12" i="43"/>
  <c r="CY12" i="43"/>
  <c r="DB12" i="43" s="1"/>
  <c r="CU12" i="43"/>
  <c r="CX12" i="43" s="1"/>
  <c r="CQ12" i="43"/>
  <c r="CT12" i="43"/>
  <c r="CM12" i="43"/>
  <c r="CP12" i="43" s="1"/>
  <c r="CI12" i="43"/>
  <c r="CL12" i="43"/>
  <c r="CH12" i="43"/>
  <c r="CE12" i="43"/>
  <c r="CA12" i="43"/>
  <c r="CD12" i="43" s="1"/>
  <c r="CD35" i="43" s="1"/>
  <c r="CD36" i="43" s="1"/>
  <c r="CD38" i="43" s="1"/>
  <c r="BW12" i="43"/>
  <c r="BZ12" i="43" s="1"/>
  <c r="BS12" i="43"/>
  <c r="BV12" i="43" s="1"/>
  <c r="BR12" i="43"/>
  <c r="BO12" i="43"/>
  <c r="BK12" i="43"/>
  <c r="BN12" i="43" s="1"/>
  <c r="BG12" i="43"/>
  <c r="BJ12" i="43"/>
  <c r="BC12" i="43"/>
  <c r="BF12" i="43" s="1"/>
  <c r="AY12" i="43"/>
  <c r="BB12" i="43" s="1"/>
  <c r="AU12" i="43"/>
  <c r="DW12" i="43" s="1"/>
  <c r="DZ12" i="43" s="1"/>
  <c r="AQ12" i="43"/>
  <c r="AT12" i="43" s="1"/>
  <c r="AM12" i="43"/>
  <c r="AP12" i="43" s="1"/>
  <c r="AI12" i="43"/>
  <c r="AL12" i="43" s="1"/>
  <c r="AE12" i="43"/>
  <c r="AH12" i="43" s="1"/>
  <c r="AA12" i="43"/>
  <c r="AD12" i="43" s="1"/>
  <c r="W12" i="43"/>
  <c r="Z12" i="43" s="1"/>
  <c r="S12" i="43"/>
  <c r="V12" i="43" s="1"/>
  <c r="O12" i="43"/>
  <c r="R12" i="43" s="1"/>
  <c r="K12" i="43"/>
  <c r="N12" i="43" s="1"/>
  <c r="G12" i="43"/>
  <c r="J12" i="43" s="1"/>
  <c r="F12" i="43"/>
  <c r="DY11" i="43"/>
  <c r="DX11" i="43"/>
  <c r="DS11" i="43"/>
  <c r="DV11" i="43" s="1"/>
  <c r="DO11" i="43"/>
  <c r="DR11" i="43" s="1"/>
  <c r="DK11" i="43"/>
  <c r="DN11" i="43"/>
  <c r="DG11" i="43"/>
  <c r="DJ11" i="43" s="1"/>
  <c r="DC11" i="43"/>
  <c r="DF11" i="43" s="1"/>
  <c r="CY11" i="43"/>
  <c r="DB11" i="43" s="1"/>
  <c r="CU11" i="43"/>
  <c r="CX11" i="43"/>
  <c r="CQ11" i="43"/>
  <c r="CT11" i="43" s="1"/>
  <c r="CM11" i="43"/>
  <c r="CP11" i="43" s="1"/>
  <c r="CI11" i="43"/>
  <c r="CL11" i="43" s="1"/>
  <c r="CE11" i="43"/>
  <c r="CH11" i="43"/>
  <c r="CA11" i="43"/>
  <c r="CD11" i="43" s="1"/>
  <c r="BW11" i="43"/>
  <c r="BZ11" i="43" s="1"/>
  <c r="BZ22" i="43" s="1"/>
  <c r="BS11" i="43"/>
  <c r="BV11" i="43" s="1"/>
  <c r="BO11" i="43"/>
  <c r="BR11" i="43"/>
  <c r="BK11" i="43"/>
  <c r="BN11" i="43" s="1"/>
  <c r="BG11" i="43"/>
  <c r="BJ11" i="43" s="1"/>
  <c r="BC11" i="43"/>
  <c r="BF11" i="43" s="1"/>
  <c r="AY11" i="43"/>
  <c r="BB11" i="43" s="1"/>
  <c r="AU11" i="43"/>
  <c r="AX11" i="43" s="1"/>
  <c r="AQ11" i="43"/>
  <c r="AT11" i="43" s="1"/>
  <c r="AM11" i="43"/>
  <c r="AP11" i="43" s="1"/>
  <c r="AI11" i="43"/>
  <c r="AL11" i="43" s="1"/>
  <c r="AE11" i="43"/>
  <c r="AH11" i="43" s="1"/>
  <c r="AA11" i="43"/>
  <c r="AD11" i="43" s="1"/>
  <c r="W11" i="43"/>
  <c r="Z11" i="43" s="1"/>
  <c r="S11" i="43"/>
  <c r="V11" i="43" s="1"/>
  <c r="O11" i="43"/>
  <c r="R11" i="43" s="1"/>
  <c r="K11" i="43"/>
  <c r="N11" i="43" s="1"/>
  <c r="G11" i="43"/>
  <c r="J11" i="43" s="1"/>
  <c r="F11" i="43"/>
  <c r="DY10" i="43"/>
  <c r="DX10" i="43"/>
  <c r="AU10" i="43"/>
  <c r="DW10" i="43"/>
  <c r="DS10" i="43"/>
  <c r="DV10" i="43" s="1"/>
  <c r="DO10" i="43"/>
  <c r="DR10" i="43"/>
  <c r="DK10" i="43"/>
  <c r="DN10" i="43" s="1"/>
  <c r="DG10" i="43"/>
  <c r="DJ10" i="43" s="1"/>
  <c r="DC10" i="43"/>
  <c r="DF10" i="43" s="1"/>
  <c r="CY10" i="43"/>
  <c r="DB10" i="43"/>
  <c r="CU10" i="43"/>
  <c r="CX10" i="43" s="1"/>
  <c r="CQ10" i="43"/>
  <c r="CT10" i="43" s="1"/>
  <c r="CP10" i="43"/>
  <c r="CM10" i="43"/>
  <c r="CI10" i="43"/>
  <c r="CL10" i="43"/>
  <c r="CH10" i="43"/>
  <c r="CE10" i="43"/>
  <c r="CD10" i="43"/>
  <c r="CA10" i="43"/>
  <c r="BZ10" i="43"/>
  <c r="BW10" i="43"/>
  <c r="BS10" i="43"/>
  <c r="BV10" i="43" s="1"/>
  <c r="BR10" i="43"/>
  <c r="BO10" i="43"/>
  <c r="BN10" i="43"/>
  <c r="BK10" i="43"/>
  <c r="BG10" i="43"/>
  <c r="BJ10" i="43" s="1"/>
  <c r="BC10" i="43"/>
  <c r="BF10" i="43" s="1"/>
  <c r="AY10" i="43"/>
  <c r="BB10" i="43" s="1"/>
  <c r="AX10" i="43"/>
  <c r="AQ10" i="43"/>
  <c r="AT10" i="43" s="1"/>
  <c r="AM10" i="43"/>
  <c r="AP10" i="43" s="1"/>
  <c r="AP35" i="43" s="1"/>
  <c r="AP36" i="43" s="1"/>
  <c r="AP38" i="43" s="1"/>
  <c r="AI10" i="43"/>
  <c r="AL10" i="43" s="1"/>
  <c r="AE10" i="43"/>
  <c r="AH10" i="43"/>
  <c r="AA10" i="43"/>
  <c r="AD10" i="43" s="1"/>
  <c r="W10" i="43"/>
  <c r="Z10" i="43" s="1"/>
  <c r="S10" i="43"/>
  <c r="V10" i="43"/>
  <c r="O10" i="43"/>
  <c r="R10" i="43"/>
  <c r="K10" i="43"/>
  <c r="N10" i="43"/>
  <c r="G10" i="43"/>
  <c r="J10" i="43" s="1"/>
  <c r="F10" i="43"/>
  <c r="DY9" i="43"/>
  <c r="DX9" i="43"/>
  <c r="DS9" i="43"/>
  <c r="DV9" i="43" s="1"/>
  <c r="DO9" i="43"/>
  <c r="DR9" i="43" s="1"/>
  <c r="DK9" i="43"/>
  <c r="DN9" i="43"/>
  <c r="DG9" i="43"/>
  <c r="DJ9" i="43" s="1"/>
  <c r="DC9" i="43"/>
  <c r="DF9" i="43" s="1"/>
  <c r="CY9" i="43"/>
  <c r="DB9" i="43" s="1"/>
  <c r="CU9" i="43"/>
  <c r="CX9" i="43"/>
  <c r="CQ9" i="43"/>
  <c r="CT9" i="43" s="1"/>
  <c r="CM9" i="43"/>
  <c r="CP9" i="43" s="1"/>
  <c r="CI9" i="43"/>
  <c r="CL9" i="43" s="1"/>
  <c r="CE9" i="43"/>
  <c r="CH9" i="43"/>
  <c r="CA9" i="43"/>
  <c r="CD9" i="43" s="1"/>
  <c r="BW9" i="43"/>
  <c r="BZ9" i="43" s="1"/>
  <c r="BS9" i="43"/>
  <c r="BV9" i="43" s="1"/>
  <c r="BO9" i="43"/>
  <c r="BR9" i="43"/>
  <c r="BK9" i="43"/>
  <c r="BN9" i="43" s="1"/>
  <c r="BG9" i="43"/>
  <c r="BJ9" i="43" s="1"/>
  <c r="BC9" i="43"/>
  <c r="BF9" i="43" s="1"/>
  <c r="AY9" i="43"/>
  <c r="BB9" i="43"/>
  <c r="AU9" i="43"/>
  <c r="AX9" i="43" s="1"/>
  <c r="AQ9" i="43"/>
  <c r="AT9" i="43" s="1"/>
  <c r="AM9" i="43"/>
  <c r="AP9" i="43" s="1"/>
  <c r="AI9" i="43"/>
  <c r="AL9" i="43"/>
  <c r="AE9" i="43"/>
  <c r="AH9" i="43" s="1"/>
  <c r="AA9" i="43"/>
  <c r="AD9" i="43" s="1"/>
  <c r="W9" i="43"/>
  <c r="Z9" i="43" s="1"/>
  <c r="S9" i="43"/>
  <c r="V9" i="43"/>
  <c r="O9" i="43"/>
  <c r="R9" i="43" s="1"/>
  <c r="K9" i="43"/>
  <c r="N9" i="43" s="1"/>
  <c r="G9" i="43"/>
  <c r="J9" i="43" s="1"/>
  <c r="F9" i="43"/>
  <c r="DY8" i="43"/>
  <c r="DX8" i="43"/>
  <c r="DS8" i="43"/>
  <c r="DV8" i="43" s="1"/>
  <c r="DO8" i="43"/>
  <c r="DR8" i="43" s="1"/>
  <c r="DN8" i="43"/>
  <c r="DK8" i="43"/>
  <c r="DG8" i="43"/>
  <c r="DJ8" i="43" s="1"/>
  <c r="DC8" i="43"/>
  <c r="DF8" i="43" s="1"/>
  <c r="CY8" i="43"/>
  <c r="DB8" i="43" s="1"/>
  <c r="CX8" i="43"/>
  <c r="CU8" i="43"/>
  <c r="CQ8" i="43"/>
  <c r="CT8" i="43" s="1"/>
  <c r="CM8" i="43"/>
  <c r="CP8" i="43" s="1"/>
  <c r="CI8" i="43"/>
  <c r="CL8" i="43" s="1"/>
  <c r="CH8" i="43"/>
  <c r="CE8" i="43"/>
  <c r="CA8" i="43"/>
  <c r="CD8" i="43" s="1"/>
  <c r="BW8" i="43"/>
  <c r="BZ8" i="43" s="1"/>
  <c r="BS8" i="43"/>
  <c r="BV8" i="43" s="1"/>
  <c r="BR8" i="43"/>
  <c r="BO8" i="43"/>
  <c r="BK8" i="43"/>
  <c r="BN8" i="43" s="1"/>
  <c r="BN26" i="43" s="1"/>
  <c r="BN27" i="43" s="1"/>
  <c r="BN29" i="43" s="1"/>
  <c r="BG8" i="43"/>
  <c r="BJ8" i="43"/>
  <c r="BC8" i="43"/>
  <c r="BF8" i="43"/>
  <c r="AY8" i="43"/>
  <c r="BB8" i="43" s="1"/>
  <c r="AU8" i="43"/>
  <c r="DW8" i="43" s="1"/>
  <c r="AX8" i="43"/>
  <c r="AQ8" i="43"/>
  <c r="AT8" i="43"/>
  <c r="AM8" i="43"/>
  <c r="AP8" i="43" s="1"/>
  <c r="AI8" i="43"/>
  <c r="AL8" i="43"/>
  <c r="AE8" i="43"/>
  <c r="AH8" i="43"/>
  <c r="AA8" i="43"/>
  <c r="AD8" i="43"/>
  <c r="W8" i="43"/>
  <c r="Z8" i="43" s="1"/>
  <c r="S8" i="43"/>
  <c r="V8" i="43"/>
  <c r="O8" i="43"/>
  <c r="R8" i="43"/>
  <c r="K8" i="43"/>
  <c r="N8" i="43"/>
  <c r="G8" i="43"/>
  <c r="J8" i="43" s="1"/>
  <c r="F8" i="43"/>
  <c r="DY6" i="43"/>
  <c r="DX6" i="43"/>
  <c r="AU6" i="43"/>
  <c r="DW6" i="43" s="1"/>
  <c r="DZ6" i="43" s="1"/>
  <c r="DS6" i="43"/>
  <c r="DV6" i="43"/>
  <c r="DO6" i="43"/>
  <c r="DR6" i="43" s="1"/>
  <c r="DK6" i="43"/>
  <c r="DN6" i="43" s="1"/>
  <c r="DJ6" i="43"/>
  <c r="DG6" i="43"/>
  <c r="DC6" i="43"/>
  <c r="DF6" i="43" s="1"/>
  <c r="CY6" i="43"/>
  <c r="DB6" i="43" s="1"/>
  <c r="CX6" i="43"/>
  <c r="CU6" i="43"/>
  <c r="CQ6" i="43"/>
  <c r="CT6" i="43" s="1"/>
  <c r="CM6" i="43"/>
  <c r="CP6" i="43" s="1"/>
  <c r="CL6" i="43"/>
  <c r="CI6" i="43"/>
  <c r="CE6" i="43"/>
  <c r="CH6" i="43" s="1"/>
  <c r="CD6" i="43"/>
  <c r="CA6" i="43"/>
  <c r="BZ6" i="43"/>
  <c r="BW6" i="43"/>
  <c r="BV6" i="43"/>
  <c r="BS6" i="43"/>
  <c r="BO6" i="43"/>
  <c r="BR6" i="43" s="1"/>
  <c r="BN6" i="43"/>
  <c r="BK6" i="43"/>
  <c r="BG6" i="43"/>
  <c r="BJ6" i="43" s="1"/>
  <c r="BC6" i="43"/>
  <c r="BF6" i="43" s="1"/>
  <c r="AY6" i="43"/>
  <c r="BB6" i="43" s="1"/>
  <c r="AX6" i="43"/>
  <c r="AQ6" i="43"/>
  <c r="AT6" i="43" s="1"/>
  <c r="AM6" i="43"/>
  <c r="AP6" i="43" s="1"/>
  <c r="AI6" i="43"/>
  <c r="AL6" i="43" s="1"/>
  <c r="AE6" i="43"/>
  <c r="AH6" i="43" s="1"/>
  <c r="AA6" i="43"/>
  <c r="AD6" i="43" s="1"/>
  <c r="W6" i="43"/>
  <c r="Z6" i="43" s="1"/>
  <c r="S6" i="43"/>
  <c r="V6" i="43" s="1"/>
  <c r="O6" i="43"/>
  <c r="R6" i="43" s="1"/>
  <c r="K6" i="43"/>
  <c r="N6" i="43" s="1"/>
  <c r="G6" i="43"/>
  <c r="J6" i="43" s="1"/>
  <c r="F6" i="43"/>
  <c r="DY5" i="43"/>
  <c r="DX5" i="43"/>
  <c r="DS5" i="43"/>
  <c r="DV5" i="43" s="1"/>
  <c r="DO5" i="43"/>
  <c r="DR5" i="43" s="1"/>
  <c r="DK5" i="43"/>
  <c r="DN5" i="43" s="1"/>
  <c r="DN26" i="43" s="1"/>
  <c r="DN27" i="43" s="1"/>
  <c r="DN29" i="43" s="1"/>
  <c r="DG5" i="43"/>
  <c r="DJ5" i="43"/>
  <c r="DC5" i="43"/>
  <c r="DF5" i="43" s="1"/>
  <c r="CY5" i="43"/>
  <c r="DB5" i="43" s="1"/>
  <c r="CU5" i="43"/>
  <c r="CX5" i="43"/>
  <c r="CQ5" i="43"/>
  <c r="CT5" i="43"/>
  <c r="CM5" i="43"/>
  <c r="CP5" i="43" s="1"/>
  <c r="CI5" i="43"/>
  <c r="CL5" i="43" s="1"/>
  <c r="CE5" i="43"/>
  <c r="CH5" i="43" s="1"/>
  <c r="CA5" i="43"/>
  <c r="CD5" i="43"/>
  <c r="BW5" i="43"/>
  <c r="BZ5" i="43"/>
  <c r="BS5" i="43"/>
  <c r="BV5" i="43" s="1"/>
  <c r="BO5" i="43"/>
  <c r="BR5" i="43" s="1"/>
  <c r="BK5" i="43"/>
  <c r="BN5" i="43"/>
  <c r="BG5" i="43"/>
  <c r="BJ5" i="43"/>
  <c r="BC5" i="43"/>
  <c r="BF5" i="43" s="1"/>
  <c r="AY5" i="43"/>
  <c r="BB5" i="43" s="1"/>
  <c r="AU5" i="43"/>
  <c r="AX5" i="43" s="1"/>
  <c r="AQ5" i="43"/>
  <c r="AT5" i="43" s="1"/>
  <c r="AM5" i="43"/>
  <c r="AP5" i="43" s="1"/>
  <c r="AI5" i="43"/>
  <c r="AL5" i="43" s="1"/>
  <c r="AE5" i="43"/>
  <c r="AH5" i="43" s="1"/>
  <c r="AA5" i="43"/>
  <c r="AD5" i="43" s="1"/>
  <c r="W5" i="43"/>
  <c r="Z5" i="43" s="1"/>
  <c r="S5" i="43"/>
  <c r="V5" i="43" s="1"/>
  <c r="O5" i="43"/>
  <c r="R5" i="43" s="1"/>
  <c r="K5" i="43"/>
  <c r="N5" i="43" s="1"/>
  <c r="G5" i="43"/>
  <c r="J5" i="43" s="1"/>
  <c r="F5" i="43"/>
  <c r="DY4" i="43"/>
  <c r="DX4" i="43"/>
  <c r="DS4" i="43"/>
  <c r="DV4" i="43" s="1"/>
  <c r="DV26" i="43" s="1"/>
  <c r="DV27" i="43" s="1"/>
  <c r="DV29" i="43" s="1"/>
  <c r="DO4" i="43"/>
  <c r="DR4" i="43" s="1"/>
  <c r="DK4" i="43"/>
  <c r="DN4" i="43" s="1"/>
  <c r="DG4" i="43"/>
  <c r="DJ4" i="43" s="1"/>
  <c r="DC4" i="43"/>
  <c r="DF4" i="43"/>
  <c r="CY4" i="43"/>
  <c r="DB4" i="43"/>
  <c r="CX4" i="43"/>
  <c r="CU4" i="43"/>
  <c r="CT4" i="43"/>
  <c r="CQ4" i="43"/>
  <c r="CM4" i="43"/>
  <c r="CP4" i="43"/>
  <c r="CI4" i="43"/>
  <c r="CL4" i="43"/>
  <c r="CH4" i="43"/>
  <c r="CE4" i="43"/>
  <c r="CD4" i="43"/>
  <c r="CD22" i="43" s="1"/>
  <c r="CA4" i="43"/>
  <c r="BZ26" i="43"/>
  <c r="BZ27" i="43" s="1"/>
  <c r="BZ29" i="43" s="1"/>
  <c r="BW4" i="43"/>
  <c r="BZ4" i="43" s="1"/>
  <c r="BV4" i="43"/>
  <c r="BS4" i="43"/>
  <c r="BO4" i="43"/>
  <c r="BR4" i="43" s="1"/>
  <c r="BK4" i="43"/>
  <c r="BN4" i="43" s="1"/>
  <c r="BG4" i="43"/>
  <c r="BJ4" i="43" s="1"/>
  <c r="BC4" i="43"/>
  <c r="BF4" i="43" s="1"/>
  <c r="AY4" i="43"/>
  <c r="BB4" i="43" s="1"/>
  <c r="AU4" i="43"/>
  <c r="AQ4" i="43"/>
  <c r="AT4" i="43" s="1"/>
  <c r="AM4" i="43"/>
  <c r="AP4" i="43"/>
  <c r="AI4" i="43"/>
  <c r="AL4" i="43" s="1"/>
  <c r="AE4" i="43"/>
  <c r="AH4" i="43" s="1"/>
  <c r="AA4" i="43"/>
  <c r="AD4" i="43" s="1"/>
  <c r="W4" i="43"/>
  <c r="Z4" i="43" s="1"/>
  <c r="S4" i="43"/>
  <c r="V4" i="43" s="1"/>
  <c r="O4" i="43"/>
  <c r="R4" i="43" s="1"/>
  <c r="K4" i="43"/>
  <c r="N4" i="43" s="1"/>
  <c r="G4" i="43"/>
  <c r="J4" i="43" s="1"/>
  <c r="F4" i="43"/>
  <c r="BR22" i="43"/>
  <c r="DN22" i="43"/>
  <c r="BJ35" i="43"/>
  <c r="BJ36" i="43" s="1"/>
  <c r="BJ38" i="43" s="1"/>
  <c r="BB44" i="43"/>
  <c r="BB46" i="43" s="1"/>
  <c r="BR44" i="43"/>
  <c r="BR46" i="43"/>
  <c r="DW5" i="43"/>
  <c r="DW9" i="43"/>
  <c r="DZ9" i="43" s="1"/>
  <c r="DW11" i="43"/>
  <c r="DZ11" i="43" s="1"/>
  <c r="BV35" i="43"/>
  <c r="BV36" i="43" s="1"/>
  <c r="BV38" i="43"/>
  <c r="DR35" i="43"/>
  <c r="DR36" i="43" s="1"/>
  <c r="DR38" i="43" s="1"/>
  <c r="DW15" i="43"/>
  <c r="DZ15" i="43" s="1"/>
  <c r="DW17" i="43"/>
  <c r="DZ17" i="43" s="1"/>
  <c r="DZ20" i="43"/>
  <c r="AP43" i="43"/>
  <c r="AP44" i="43" s="1"/>
  <c r="AP46" i="43" s="1"/>
  <c r="J44" i="43"/>
  <c r="J46" i="43" s="1"/>
  <c r="BN44" i="43"/>
  <c r="BN46" i="43"/>
  <c r="BV44" i="43"/>
  <c r="BV46" i="43" s="1"/>
  <c r="CD44" i="43"/>
  <c r="CD46" i="43" s="1"/>
  <c r="E77" i="14"/>
  <c r="E34" i="12"/>
  <c r="F34" i="12"/>
  <c r="G34" i="12"/>
  <c r="H34" i="12"/>
  <c r="F22" i="12"/>
  <c r="G22" i="12"/>
  <c r="H22" i="12"/>
  <c r="V38" i="12"/>
  <c r="H30" i="12"/>
  <c r="E30" i="34"/>
  <c r="F30" i="34"/>
  <c r="G30" i="34"/>
  <c r="H30" i="34"/>
  <c r="I30" i="34"/>
  <c r="J30" i="34"/>
  <c r="K30" i="34"/>
  <c r="L30" i="34"/>
  <c r="M30" i="34"/>
  <c r="N30" i="34"/>
  <c r="B24" i="20"/>
  <c r="AH17" i="41"/>
  <c r="J14" i="42" s="1"/>
  <c r="AH16" i="41"/>
  <c r="AH15" i="41"/>
  <c r="AH14" i="41"/>
  <c r="AH13" i="41"/>
  <c r="AH12" i="41"/>
  <c r="J9" i="42" s="1"/>
  <c r="AH11" i="41"/>
  <c r="AH10" i="41"/>
  <c r="AH9" i="41"/>
  <c r="AH8" i="41"/>
  <c r="D162" i="12"/>
  <c r="L33" i="34"/>
  <c r="K33" i="34"/>
  <c r="J33" i="34"/>
  <c r="M33" i="34" s="1"/>
  <c r="I33" i="34"/>
  <c r="H33" i="34"/>
  <c r="G33" i="34"/>
  <c r="F33" i="34"/>
  <c r="E5" i="34"/>
  <c r="F5" i="34" s="1"/>
  <c r="G5" i="34" s="1"/>
  <c r="H5" i="34" s="1"/>
  <c r="I5" i="34" s="1"/>
  <c r="J5" i="34" s="1"/>
  <c r="K5" i="34" s="1"/>
  <c r="L5" i="34" s="1"/>
  <c r="M5" i="34" s="1"/>
  <c r="N5" i="34" s="1"/>
  <c r="O5" i="34" s="1"/>
  <c r="P5" i="34" s="1"/>
  <c r="Q5" i="34" s="1"/>
  <c r="R5" i="34" s="1"/>
  <c r="S5" i="34" s="1"/>
  <c r="T5" i="34" s="1"/>
  <c r="U5" i="34" s="1"/>
  <c r="V5" i="34" s="1"/>
  <c r="W5" i="34" s="1"/>
  <c r="X5" i="34" s="1"/>
  <c r="Y5" i="34" s="1"/>
  <c r="Z5" i="34" s="1"/>
  <c r="AA5" i="34" s="1"/>
  <c r="AB5" i="34" s="1"/>
  <c r="AC5" i="34" s="1"/>
  <c r="AD5" i="34" s="1"/>
  <c r="AE5" i="34" s="1"/>
  <c r="AF5" i="34" s="1"/>
  <c r="AG5" i="34" s="1"/>
  <c r="AH5" i="34" s="1"/>
  <c r="AI5" i="34" s="1"/>
  <c r="J27" i="16"/>
  <c r="AH33" i="36"/>
  <c r="D1" i="41"/>
  <c r="A4" i="21"/>
  <c r="L4" i="21" s="1"/>
  <c r="A5" i="21"/>
  <c r="L5" i="21" s="1"/>
  <c r="A6" i="21"/>
  <c r="L6" i="21" s="1"/>
  <c r="A7" i="21"/>
  <c r="L7" i="21" s="1"/>
  <c r="A8" i="21"/>
  <c r="L8" i="21" s="1"/>
  <c r="A9" i="21"/>
  <c r="L9" i="21" s="1"/>
  <c r="A10" i="21"/>
  <c r="F10" i="21" s="1"/>
  <c r="A11" i="21"/>
  <c r="L11" i="21" s="1"/>
  <c r="A12" i="21"/>
  <c r="F12" i="21" s="1"/>
  <c r="A13" i="21"/>
  <c r="L13" i="21" s="1"/>
  <c r="A14" i="21"/>
  <c r="L14" i="21" s="1"/>
  <c r="A15" i="21"/>
  <c r="L15" i="21" s="1"/>
  <c r="A16" i="21"/>
  <c r="L16" i="21" s="1"/>
  <c r="A17" i="21"/>
  <c r="F17" i="21" s="1"/>
  <c r="A18" i="21"/>
  <c r="L18" i="21" s="1"/>
  <c r="A19" i="21"/>
  <c r="L19" i="21" s="1"/>
  <c r="A20" i="21"/>
  <c r="L20" i="21" s="1"/>
  <c r="A21" i="21"/>
  <c r="L21" i="21" s="1"/>
  <c r="A22" i="21"/>
  <c r="L22" i="21" s="1"/>
  <c r="A23" i="21"/>
  <c r="L23" i="21" s="1"/>
  <c r="A24" i="21"/>
  <c r="L24" i="21" s="1"/>
  <c r="A25" i="21"/>
  <c r="F25" i="21" s="1"/>
  <c r="A26" i="21"/>
  <c r="L26" i="21" s="1"/>
  <c r="A27" i="21"/>
  <c r="L27" i="21" s="1"/>
  <c r="A28" i="21"/>
  <c r="F28" i="21" s="1"/>
  <c r="A29" i="21"/>
  <c r="L29" i="21" s="1"/>
  <c r="A30" i="21"/>
  <c r="F30" i="21" s="1"/>
  <c r="A31" i="21"/>
  <c r="L31" i="21" s="1"/>
  <c r="A32" i="21"/>
  <c r="F32" i="21" s="1"/>
  <c r="A33" i="21"/>
  <c r="L33" i="21" s="1"/>
  <c r="J20" i="16"/>
  <c r="G40" i="33"/>
  <c r="G39" i="33"/>
  <c r="G40" i="40"/>
  <c r="G41" i="40"/>
  <c r="G42" i="40"/>
  <c r="G43" i="40"/>
  <c r="G44" i="40"/>
  <c r="G45" i="40"/>
  <c r="G46" i="40"/>
  <c r="G39" i="40"/>
  <c r="G27" i="33"/>
  <c r="G27" i="40"/>
  <c r="J21" i="16"/>
  <c r="DS5" i="36"/>
  <c r="DS6" i="36"/>
  <c r="DS7" i="36"/>
  <c r="DS8" i="36"/>
  <c r="DS9" i="36"/>
  <c r="DS10" i="36"/>
  <c r="DV10" i="36" s="1"/>
  <c r="DS11" i="36"/>
  <c r="DS12" i="36"/>
  <c r="DS13" i="36"/>
  <c r="DS14" i="36"/>
  <c r="DS15" i="36"/>
  <c r="DS16" i="36"/>
  <c r="DS17" i="36"/>
  <c r="DS18" i="36"/>
  <c r="DV18" i="36" s="1"/>
  <c r="DS19" i="36"/>
  <c r="DS4" i="36"/>
  <c r="E32" i="12"/>
  <c r="F32" i="12"/>
  <c r="G32" i="12"/>
  <c r="H32" i="12"/>
  <c r="E33" i="12"/>
  <c r="F33" i="12"/>
  <c r="E35" i="12"/>
  <c r="F35" i="12"/>
  <c r="E36" i="12"/>
  <c r="E41" i="12"/>
  <c r="CQ5" i="36"/>
  <c r="CQ6" i="36"/>
  <c r="CQ7" i="36"/>
  <c r="CQ8" i="36"/>
  <c r="CT8" i="36" s="1"/>
  <c r="CQ9" i="36"/>
  <c r="CQ10" i="36"/>
  <c r="CQ11" i="36"/>
  <c r="CQ12" i="36"/>
  <c r="CQ13" i="36"/>
  <c r="CQ14" i="36"/>
  <c r="CQ15" i="36"/>
  <c r="CQ16" i="36"/>
  <c r="CT16" i="36" s="1"/>
  <c r="CQ17" i="36"/>
  <c r="CQ18" i="36"/>
  <c r="CQ19" i="36"/>
  <c r="CQ4" i="36"/>
  <c r="K5" i="36"/>
  <c r="K6" i="36"/>
  <c r="K7" i="36"/>
  <c r="K8" i="36"/>
  <c r="K9" i="36"/>
  <c r="K10" i="36"/>
  <c r="K11" i="36"/>
  <c r="K12" i="36"/>
  <c r="K13" i="36"/>
  <c r="K14" i="36"/>
  <c r="K15" i="36"/>
  <c r="K16" i="36"/>
  <c r="N16" i="36" s="1"/>
  <c r="K17" i="36"/>
  <c r="K18" i="36"/>
  <c r="K19" i="36"/>
  <c r="K20" i="36"/>
  <c r="K4" i="36"/>
  <c r="DY5" i="36"/>
  <c r="DY6" i="36"/>
  <c r="DY7" i="36"/>
  <c r="DY8" i="36"/>
  <c r="DY9" i="36"/>
  <c r="DY10" i="36"/>
  <c r="DY11" i="36"/>
  <c r="DY12" i="36"/>
  <c r="DY13" i="36"/>
  <c r="DY14" i="36"/>
  <c r="DY15" i="36"/>
  <c r="DZ15" i="36" s="1"/>
  <c r="DY16" i="36"/>
  <c r="DY17" i="36"/>
  <c r="DY18" i="36"/>
  <c r="DY19" i="36"/>
  <c r="DY20" i="36"/>
  <c r="DY4" i="36"/>
  <c r="AA26" i="28"/>
  <c r="AB26" i="28"/>
  <c r="AC26" i="28"/>
  <c r="AD26" i="28"/>
  <c r="AE26" i="28"/>
  <c r="AF26" i="28"/>
  <c r="AG26" i="28"/>
  <c r="DK6" i="36"/>
  <c r="F4" i="42"/>
  <c r="DV41" i="36"/>
  <c r="DV33" i="36"/>
  <c r="DV24" i="36"/>
  <c r="DR24" i="36"/>
  <c r="DR33" i="36"/>
  <c r="DR41" i="36"/>
  <c r="DN41" i="36"/>
  <c r="DN33" i="36"/>
  <c r="DN24" i="36"/>
  <c r="DJ24" i="36"/>
  <c r="DJ33" i="36"/>
  <c r="DJ41" i="36"/>
  <c r="DF41" i="36"/>
  <c r="DF33" i="36"/>
  <c r="DF24" i="36"/>
  <c r="DB24" i="36"/>
  <c r="DB33" i="36"/>
  <c r="DB41" i="36"/>
  <c r="CX41" i="36"/>
  <c r="CX33" i="36"/>
  <c r="CX24" i="36"/>
  <c r="CT41" i="36"/>
  <c r="CT33" i="36"/>
  <c r="CT24" i="36"/>
  <c r="CP41" i="36"/>
  <c r="CP33" i="36"/>
  <c r="CP24" i="36"/>
  <c r="CL41" i="36"/>
  <c r="CL33" i="36"/>
  <c r="CL24" i="36"/>
  <c r="CH41" i="36"/>
  <c r="CH33" i="36"/>
  <c r="CH24" i="36"/>
  <c r="CD41" i="36"/>
  <c r="CD33" i="36"/>
  <c r="CD24" i="36"/>
  <c r="CA15" i="36"/>
  <c r="CA16" i="36"/>
  <c r="CA17" i="36"/>
  <c r="CA18" i="36"/>
  <c r="CA19" i="36"/>
  <c r="CD19" i="36" s="1"/>
  <c r="CA20" i="36"/>
  <c r="CA5" i="36"/>
  <c r="CA6" i="36"/>
  <c r="CA7" i="36"/>
  <c r="CA8" i="36"/>
  <c r="CA9" i="36"/>
  <c r="CA10" i="36"/>
  <c r="CA11" i="36"/>
  <c r="CD11" i="36" s="1"/>
  <c r="CA12" i="36"/>
  <c r="CA13" i="36"/>
  <c r="CA14" i="36"/>
  <c r="CA4" i="36"/>
  <c r="L74" i="36"/>
  <c r="P74" i="36"/>
  <c r="H74" i="36"/>
  <c r="T74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K51" i="36"/>
  <c r="B51" i="36"/>
  <c r="B50" i="36"/>
  <c r="B49" i="36"/>
  <c r="BZ41" i="36"/>
  <c r="BV41" i="36"/>
  <c r="BR41" i="36"/>
  <c r="BN41" i="36"/>
  <c r="BJ41" i="36"/>
  <c r="BF41" i="36"/>
  <c r="BB41" i="36"/>
  <c r="AX41" i="36"/>
  <c r="AT41" i="36"/>
  <c r="AP41" i="36"/>
  <c r="AL41" i="36"/>
  <c r="AH41" i="36"/>
  <c r="AD41" i="36"/>
  <c r="Z41" i="36"/>
  <c r="V41" i="36"/>
  <c r="R41" i="36"/>
  <c r="N41" i="36"/>
  <c r="J41" i="36"/>
  <c r="BZ33" i="36"/>
  <c r="BV33" i="36"/>
  <c r="BR33" i="36"/>
  <c r="BN33" i="36"/>
  <c r="BJ33" i="36"/>
  <c r="BF33" i="36"/>
  <c r="BB33" i="36"/>
  <c r="AX33" i="36"/>
  <c r="AT33" i="36"/>
  <c r="AP33" i="36"/>
  <c r="AL33" i="36"/>
  <c r="AD33" i="36"/>
  <c r="Z33" i="36"/>
  <c r="V33" i="36"/>
  <c r="R33" i="36"/>
  <c r="N33" i="36"/>
  <c r="BZ24" i="36"/>
  <c r="BV24" i="36"/>
  <c r="BR24" i="36"/>
  <c r="BN24" i="36"/>
  <c r="BJ24" i="36"/>
  <c r="BF24" i="36"/>
  <c r="BB24" i="36"/>
  <c r="AX24" i="36"/>
  <c r="AT24" i="36"/>
  <c r="AP24" i="36"/>
  <c r="AL24" i="36"/>
  <c r="AH24" i="36"/>
  <c r="AD24" i="36"/>
  <c r="Z24" i="36"/>
  <c r="V24" i="36"/>
  <c r="R24" i="36"/>
  <c r="N24" i="36"/>
  <c r="J24" i="36"/>
  <c r="DX20" i="36"/>
  <c r="DV20" i="36"/>
  <c r="DV69" i="36" s="1"/>
  <c r="DO20" i="36"/>
  <c r="DR20" i="36"/>
  <c r="DR69" i="36" s="1"/>
  <c r="DN20" i="36"/>
  <c r="DN69" i="36"/>
  <c r="DG20" i="36"/>
  <c r="DJ20" i="36"/>
  <c r="DJ69" i="36" s="1"/>
  <c r="DC20" i="36"/>
  <c r="DF20" i="36"/>
  <c r="DF69" i="36" s="1"/>
  <c r="CY20" i="36"/>
  <c r="DB20" i="36"/>
  <c r="DB69" i="36" s="1"/>
  <c r="CU20" i="36"/>
  <c r="CX20" i="36" s="1"/>
  <c r="CX69" i="36" s="1"/>
  <c r="CT20" i="36"/>
  <c r="CT69" i="36" s="1"/>
  <c r="CM20" i="36"/>
  <c r="CP20" i="36"/>
  <c r="CP69" i="36" s="1"/>
  <c r="CI20" i="36"/>
  <c r="CL20" i="36" s="1"/>
  <c r="CL69" i="36" s="1"/>
  <c r="CE20" i="36"/>
  <c r="CH20" i="36" s="1"/>
  <c r="CH69" i="36" s="1"/>
  <c r="CD20" i="36"/>
  <c r="CD69" i="36" s="1"/>
  <c r="BW20" i="36"/>
  <c r="BZ20" i="36" s="1"/>
  <c r="BZ69" i="36" s="1"/>
  <c r="BS20" i="36"/>
  <c r="BV20" i="36" s="1"/>
  <c r="BV69" i="36" s="1"/>
  <c r="BO20" i="36"/>
  <c r="BR20" i="36" s="1"/>
  <c r="BR69" i="36"/>
  <c r="BK20" i="36"/>
  <c r="BN20" i="36" s="1"/>
  <c r="BN69" i="36" s="1"/>
  <c r="BG20" i="36"/>
  <c r="BJ20" i="36"/>
  <c r="BJ69" i="36"/>
  <c r="BC20" i="36"/>
  <c r="BF20" i="36"/>
  <c r="BF69" i="36" s="1"/>
  <c r="AY20" i="36"/>
  <c r="BB20" i="36"/>
  <c r="BB69" i="36" s="1"/>
  <c r="AU20" i="36"/>
  <c r="AX20" i="36"/>
  <c r="AX69" i="36" s="1"/>
  <c r="AQ20" i="36"/>
  <c r="AT20" i="36" s="1"/>
  <c r="AT69" i="36" s="1"/>
  <c r="AM20" i="36"/>
  <c r="AP20" i="36" s="1"/>
  <c r="AI20" i="36"/>
  <c r="AL20" i="36" s="1"/>
  <c r="AL69" i="36"/>
  <c r="AE20" i="36"/>
  <c r="AH20" i="36" s="1"/>
  <c r="AH69" i="36" s="1"/>
  <c r="AA20" i="36"/>
  <c r="AD20" i="36"/>
  <c r="AD69" i="36"/>
  <c r="W20" i="36"/>
  <c r="Z20" i="36"/>
  <c r="Z69" i="36" s="1"/>
  <c r="V20" i="36"/>
  <c r="V69" i="36"/>
  <c r="S20" i="36"/>
  <c r="O20" i="36"/>
  <c r="R20" i="36"/>
  <c r="R69" i="36" s="1"/>
  <c r="N20" i="36"/>
  <c r="N69" i="36" s="1"/>
  <c r="G20" i="36"/>
  <c r="J20" i="36"/>
  <c r="J69" i="36" s="1"/>
  <c r="F20" i="36"/>
  <c r="DX19" i="36"/>
  <c r="DV19" i="36"/>
  <c r="DO19" i="36"/>
  <c r="DR19" i="36" s="1"/>
  <c r="DK19" i="36"/>
  <c r="DN19" i="36"/>
  <c r="DG19" i="36"/>
  <c r="DJ19" i="36"/>
  <c r="DC19" i="36"/>
  <c r="DF19" i="36" s="1"/>
  <c r="CY19" i="36"/>
  <c r="DB19" i="36" s="1"/>
  <c r="CU19" i="36"/>
  <c r="CX19" i="36"/>
  <c r="CT19" i="36"/>
  <c r="CM19" i="36"/>
  <c r="CP19" i="36"/>
  <c r="CI19" i="36"/>
  <c r="CL19" i="36"/>
  <c r="CE19" i="36"/>
  <c r="CH19" i="36"/>
  <c r="BW19" i="36"/>
  <c r="BZ19" i="36"/>
  <c r="BS19" i="36"/>
  <c r="BV19" i="36" s="1"/>
  <c r="BO19" i="36"/>
  <c r="BR19" i="36" s="1"/>
  <c r="BK19" i="36"/>
  <c r="BN19" i="36"/>
  <c r="BG19" i="36"/>
  <c r="BJ19" i="36"/>
  <c r="BC19" i="36"/>
  <c r="BF19" i="36" s="1"/>
  <c r="AY19" i="36"/>
  <c r="BB19" i="36" s="1"/>
  <c r="AU19" i="36"/>
  <c r="AX19" i="36"/>
  <c r="AQ19" i="36"/>
  <c r="AT19" i="36"/>
  <c r="AM19" i="36"/>
  <c r="AP19" i="36" s="1"/>
  <c r="AI19" i="36"/>
  <c r="AL19" i="36" s="1"/>
  <c r="AE19" i="36"/>
  <c r="AH19" i="36"/>
  <c r="AA19" i="36"/>
  <c r="AD19" i="36"/>
  <c r="W19" i="36"/>
  <c r="Z19" i="36" s="1"/>
  <c r="S19" i="36"/>
  <c r="V19" i="36" s="1"/>
  <c r="O19" i="36"/>
  <c r="R19" i="36"/>
  <c r="N19" i="36"/>
  <c r="G19" i="36"/>
  <c r="J19" i="36"/>
  <c r="F19" i="36"/>
  <c r="DX18" i="36"/>
  <c r="DZ18" i="36" s="1"/>
  <c r="DO18" i="36"/>
  <c r="DR18" i="36"/>
  <c r="DK18" i="36"/>
  <c r="DN18" i="36"/>
  <c r="DG18" i="36"/>
  <c r="DJ18" i="36" s="1"/>
  <c r="DC18" i="36"/>
  <c r="DF18" i="36" s="1"/>
  <c r="CY18" i="36"/>
  <c r="DB18" i="36"/>
  <c r="CU18" i="36"/>
  <c r="CX18" i="36"/>
  <c r="CT18" i="36"/>
  <c r="CM18" i="36"/>
  <c r="CP18" i="36"/>
  <c r="CI18" i="36"/>
  <c r="CL18" i="36"/>
  <c r="CE18" i="36"/>
  <c r="CH18" i="36" s="1"/>
  <c r="CD18" i="36"/>
  <c r="BW18" i="36"/>
  <c r="BZ18" i="36" s="1"/>
  <c r="BS18" i="36"/>
  <c r="BV18" i="36" s="1"/>
  <c r="BO18" i="36"/>
  <c r="BR18" i="36"/>
  <c r="BK18" i="36"/>
  <c r="BN18" i="36"/>
  <c r="BG18" i="36"/>
  <c r="BJ18" i="36" s="1"/>
  <c r="BJ35" i="36" s="1"/>
  <c r="BJ36" i="36" s="1"/>
  <c r="BJ38" i="36" s="1"/>
  <c r="BJ80" i="36" s="1"/>
  <c r="BC18" i="36"/>
  <c r="BF18" i="36" s="1"/>
  <c r="AY18" i="36"/>
  <c r="BB18" i="36"/>
  <c r="AU18" i="36"/>
  <c r="AX18" i="36"/>
  <c r="AQ18" i="36"/>
  <c r="AT18" i="36" s="1"/>
  <c r="AM18" i="36"/>
  <c r="AP18" i="36" s="1"/>
  <c r="AI18" i="36"/>
  <c r="AL18" i="36"/>
  <c r="AE18" i="36"/>
  <c r="AH18" i="36"/>
  <c r="AA18" i="36"/>
  <c r="AD18" i="36" s="1"/>
  <c r="W18" i="36"/>
  <c r="Z18" i="36" s="1"/>
  <c r="S18" i="36"/>
  <c r="V18" i="36"/>
  <c r="O18" i="36"/>
  <c r="R18" i="36"/>
  <c r="N18" i="36"/>
  <c r="G18" i="36"/>
  <c r="J18" i="36"/>
  <c r="F18" i="36"/>
  <c r="DX17" i="36"/>
  <c r="DZ17" i="36"/>
  <c r="DV17" i="36"/>
  <c r="DO17" i="36"/>
  <c r="DR17" i="36"/>
  <c r="DK17" i="36"/>
  <c r="DN17" i="36"/>
  <c r="DG17" i="36"/>
  <c r="DJ17" i="36"/>
  <c r="DC17" i="36"/>
  <c r="DF17" i="36" s="1"/>
  <c r="CY17" i="36"/>
  <c r="DB17" i="36"/>
  <c r="CU17" i="36"/>
  <c r="CX17" i="36"/>
  <c r="CT17" i="36"/>
  <c r="CM17" i="36"/>
  <c r="CP17" i="36"/>
  <c r="CI17" i="36"/>
  <c r="CL17" i="36"/>
  <c r="CE17" i="36"/>
  <c r="CH17" i="36" s="1"/>
  <c r="CD17" i="36"/>
  <c r="BW17" i="36"/>
  <c r="BZ17" i="36"/>
  <c r="BS17" i="36"/>
  <c r="BV17" i="36" s="1"/>
  <c r="BO17" i="36"/>
  <c r="BR17" i="36"/>
  <c r="BK17" i="36"/>
  <c r="BN17" i="36"/>
  <c r="BN68" i="36" s="1"/>
  <c r="BG17" i="36"/>
  <c r="BJ17" i="36"/>
  <c r="BC17" i="36"/>
  <c r="BF17" i="36" s="1"/>
  <c r="AY17" i="36"/>
  <c r="BB17" i="36"/>
  <c r="AU17" i="36"/>
  <c r="AX17" i="36"/>
  <c r="AQ17" i="36"/>
  <c r="AT17" i="36"/>
  <c r="AM17" i="36"/>
  <c r="AP17" i="36" s="1"/>
  <c r="AI17" i="36"/>
  <c r="AL17" i="36"/>
  <c r="AE17" i="36"/>
  <c r="AH17" i="36"/>
  <c r="AA17" i="36"/>
  <c r="AD17" i="36"/>
  <c r="W17" i="36"/>
  <c r="Z17" i="36" s="1"/>
  <c r="S17" i="36"/>
  <c r="V17" i="36"/>
  <c r="O17" i="36"/>
  <c r="R17" i="36"/>
  <c r="N17" i="36"/>
  <c r="G17" i="36"/>
  <c r="J17" i="36"/>
  <c r="F17" i="36"/>
  <c r="DX16" i="36"/>
  <c r="DV16" i="36"/>
  <c r="DO16" i="36"/>
  <c r="DR16" i="36"/>
  <c r="DK16" i="36"/>
  <c r="DN16" i="36"/>
  <c r="DG16" i="36"/>
  <c r="DJ16" i="36" s="1"/>
  <c r="DC16" i="36"/>
  <c r="DF16" i="36"/>
  <c r="CY16" i="36"/>
  <c r="DB16" i="36"/>
  <c r="CU16" i="36"/>
  <c r="CX16" i="36"/>
  <c r="CM16" i="36"/>
  <c r="CP16" i="36"/>
  <c r="CI16" i="36"/>
  <c r="CL16" i="36" s="1"/>
  <c r="CE16" i="36"/>
  <c r="CH16" i="36" s="1"/>
  <c r="CD16" i="36"/>
  <c r="BW16" i="36"/>
  <c r="BZ16" i="36" s="1"/>
  <c r="BS16" i="36"/>
  <c r="BV16" i="36"/>
  <c r="BO16" i="36"/>
  <c r="BR16" i="36"/>
  <c r="BK16" i="36"/>
  <c r="BN16" i="36"/>
  <c r="BG16" i="36"/>
  <c r="BJ16" i="36" s="1"/>
  <c r="BC16" i="36"/>
  <c r="BF16" i="36"/>
  <c r="AY16" i="36"/>
  <c r="BB16" i="36"/>
  <c r="A61" i="36" s="1"/>
  <c r="AU16" i="36"/>
  <c r="AX16" i="36"/>
  <c r="AQ16" i="36"/>
  <c r="AT16" i="36" s="1"/>
  <c r="AM16" i="36"/>
  <c r="AP16" i="36"/>
  <c r="AI16" i="36"/>
  <c r="AL16" i="36"/>
  <c r="AE16" i="36"/>
  <c r="AH16" i="36"/>
  <c r="AA16" i="36"/>
  <c r="AD16" i="36" s="1"/>
  <c r="AD68" i="36" s="1"/>
  <c r="W16" i="36"/>
  <c r="Z16" i="36"/>
  <c r="S16" i="36"/>
  <c r="V16" i="36" s="1"/>
  <c r="O16" i="36"/>
  <c r="R16" i="36"/>
  <c r="G16" i="36"/>
  <c r="J16" i="36"/>
  <c r="F16" i="36"/>
  <c r="DX15" i="36"/>
  <c r="DV15" i="36"/>
  <c r="DO15" i="36"/>
  <c r="DR15" i="36" s="1"/>
  <c r="DK15" i="36"/>
  <c r="DN15" i="36"/>
  <c r="DG15" i="36"/>
  <c r="DJ15" i="36" s="1"/>
  <c r="DC15" i="36"/>
  <c r="DF15" i="36" s="1"/>
  <c r="CY15" i="36"/>
  <c r="DB15" i="36" s="1"/>
  <c r="CU15" i="36"/>
  <c r="CX15" i="36"/>
  <c r="CT15" i="36"/>
  <c r="CM15" i="36"/>
  <c r="CP15" i="36"/>
  <c r="CI15" i="36"/>
  <c r="CL15" i="36"/>
  <c r="CE15" i="36"/>
  <c r="CH15" i="36" s="1"/>
  <c r="CD15" i="36"/>
  <c r="BW15" i="36"/>
  <c r="BZ15" i="36" s="1"/>
  <c r="BS15" i="36"/>
  <c r="BV15" i="36" s="1"/>
  <c r="BO15" i="36"/>
  <c r="BR15" i="36" s="1"/>
  <c r="BK15" i="36"/>
  <c r="BN15" i="36"/>
  <c r="BG15" i="36"/>
  <c r="BJ15" i="36" s="1"/>
  <c r="BC15" i="36"/>
  <c r="BF15" i="36" s="1"/>
  <c r="AY15" i="36"/>
  <c r="BB15" i="36" s="1"/>
  <c r="AU15" i="36"/>
  <c r="AX15" i="36"/>
  <c r="AQ15" i="36"/>
  <c r="AT15" i="36" s="1"/>
  <c r="AM15" i="36"/>
  <c r="AP15" i="36" s="1"/>
  <c r="AI15" i="36"/>
  <c r="AL15" i="36"/>
  <c r="AE15" i="36"/>
  <c r="AH15" i="36"/>
  <c r="AA15" i="36"/>
  <c r="AD15" i="36" s="1"/>
  <c r="W15" i="36"/>
  <c r="Z15" i="36" s="1"/>
  <c r="S15" i="36"/>
  <c r="V15" i="36"/>
  <c r="O15" i="36"/>
  <c r="R15" i="36"/>
  <c r="N15" i="36"/>
  <c r="G15" i="36"/>
  <c r="J15" i="36"/>
  <c r="F15" i="36"/>
  <c r="DX14" i="36"/>
  <c r="DV14" i="36"/>
  <c r="DO14" i="36"/>
  <c r="DR14" i="36"/>
  <c r="DK14" i="36"/>
  <c r="DN14" i="36" s="1"/>
  <c r="DG14" i="36"/>
  <c r="DJ14" i="36" s="1"/>
  <c r="DC14" i="36"/>
  <c r="DF14" i="36" s="1"/>
  <c r="CY14" i="36"/>
  <c r="DB14" i="36"/>
  <c r="CU14" i="36"/>
  <c r="CX14" i="36" s="1"/>
  <c r="CT14" i="36"/>
  <c r="CM14" i="36"/>
  <c r="CP14" i="36"/>
  <c r="CI14" i="36"/>
  <c r="CL14" i="36" s="1"/>
  <c r="CE14" i="36"/>
  <c r="CH14" i="36"/>
  <c r="CD14" i="36"/>
  <c r="BW14" i="36"/>
  <c r="BZ14" i="36" s="1"/>
  <c r="BZ35" i="36" s="1"/>
  <c r="BS14" i="36"/>
  <c r="BV14" i="36" s="1"/>
  <c r="BV76" i="36" s="1"/>
  <c r="BO14" i="36"/>
  <c r="BR14" i="36"/>
  <c r="BK14" i="36"/>
  <c r="BN14" i="36" s="1"/>
  <c r="BG14" i="36"/>
  <c r="BJ14" i="36" s="1"/>
  <c r="BC14" i="36"/>
  <c r="BF14" i="36" s="1"/>
  <c r="AY14" i="36"/>
  <c r="BB14" i="36"/>
  <c r="AU14" i="36"/>
  <c r="AX14" i="36" s="1"/>
  <c r="AQ14" i="36"/>
  <c r="AT14" i="36" s="1"/>
  <c r="AT35" i="36" s="1"/>
  <c r="AM14" i="36"/>
  <c r="AP14" i="36" s="1"/>
  <c r="AI14" i="36"/>
  <c r="AL14" i="36"/>
  <c r="AE14" i="36"/>
  <c r="AH14" i="36" s="1"/>
  <c r="AA14" i="36"/>
  <c r="AD14" i="36" s="1"/>
  <c r="W14" i="36"/>
  <c r="Z14" i="36" s="1"/>
  <c r="S14" i="36"/>
  <c r="V14" i="36"/>
  <c r="O14" i="36"/>
  <c r="R14" i="36" s="1"/>
  <c r="N14" i="36"/>
  <c r="J14" i="36"/>
  <c r="F14" i="36"/>
  <c r="DX13" i="36"/>
  <c r="DV13" i="36"/>
  <c r="DO13" i="36"/>
  <c r="DR13" i="36"/>
  <c r="DK13" i="36"/>
  <c r="DN13" i="36"/>
  <c r="DG13" i="36"/>
  <c r="DJ13" i="36"/>
  <c r="DC13" i="36"/>
  <c r="DF13" i="36" s="1"/>
  <c r="CY13" i="36"/>
  <c r="DB13" i="36"/>
  <c r="CU13" i="36"/>
  <c r="CX13" i="36"/>
  <c r="CT13" i="36"/>
  <c r="CM13" i="36"/>
  <c r="CP13" i="36"/>
  <c r="CI13" i="36"/>
  <c r="CL13" i="36"/>
  <c r="CE13" i="36"/>
  <c r="CH13" i="36" s="1"/>
  <c r="CD13" i="36"/>
  <c r="BW13" i="36"/>
  <c r="BZ13" i="36"/>
  <c r="BS13" i="36"/>
  <c r="BV13" i="36" s="1"/>
  <c r="BO13" i="36"/>
  <c r="BR13" i="36"/>
  <c r="BK13" i="36"/>
  <c r="BN13" i="36"/>
  <c r="BN76" i="36" s="1"/>
  <c r="BG13" i="36"/>
  <c r="BJ13" i="36"/>
  <c r="BC13" i="36"/>
  <c r="BF13" i="36" s="1"/>
  <c r="AY13" i="36"/>
  <c r="BB13" i="36"/>
  <c r="AU13" i="36"/>
  <c r="AX13" i="36"/>
  <c r="A58" i="36" s="1"/>
  <c r="AQ13" i="36"/>
  <c r="AT13" i="36"/>
  <c r="AM13" i="36"/>
  <c r="AP13" i="36" s="1"/>
  <c r="AI13" i="36"/>
  <c r="AE13" i="36"/>
  <c r="AH13" i="36" s="1"/>
  <c r="AA13" i="36"/>
  <c r="AD13" i="36" s="1"/>
  <c r="W13" i="36"/>
  <c r="Z13" i="36"/>
  <c r="S13" i="36"/>
  <c r="V13" i="36"/>
  <c r="O13" i="36"/>
  <c r="R13" i="36" s="1"/>
  <c r="N13" i="36"/>
  <c r="G13" i="36"/>
  <c r="J13" i="36"/>
  <c r="F13" i="36"/>
  <c r="DX12" i="36"/>
  <c r="DV12" i="36"/>
  <c r="DO12" i="36"/>
  <c r="DR12" i="36" s="1"/>
  <c r="DK12" i="36"/>
  <c r="DN12" i="36" s="1"/>
  <c r="DG12" i="36"/>
  <c r="DJ12" i="36"/>
  <c r="DC12" i="36"/>
  <c r="DF12" i="36"/>
  <c r="CY12" i="36"/>
  <c r="DB12" i="36" s="1"/>
  <c r="DB35" i="36" s="1"/>
  <c r="DB36" i="36" s="1"/>
  <c r="DB38" i="36" s="1"/>
  <c r="CU12" i="36"/>
  <c r="CX12" i="36" s="1"/>
  <c r="CT12" i="36"/>
  <c r="CM12" i="36"/>
  <c r="CP12" i="36" s="1"/>
  <c r="CI12" i="36"/>
  <c r="CL12" i="36" s="1"/>
  <c r="CE12" i="36"/>
  <c r="CH12" i="36"/>
  <c r="CD12" i="36"/>
  <c r="BW12" i="36"/>
  <c r="BZ12" i="36"/>
  <c r="BS12" i="36"/>
  <c r="BV12" i="36"/>
  <c r="BO12" i="36"/>
  <c r="BR12" i="36" s="1"/>
  <c r="BK12" i="36"/>
  <c r="BN12" i="36" s="1"/>
  <c r="BG12" i="36"/>
  <c r="BJ12" i="36"/>
  <c r="BC12" i="36"/>
  <c r="BF12" i="36"/>
  <c r="AY12" i="36"/>
  <c r="BB12" i="36" s="1"/>
  <c r="AU12" i="36"/>
  <c r="AX12" i="36" s="1"/>
  <c r="AQ12" i="36"/>
  <c r="AT12" i="36"/>
  <c r="AM12" i="36"/>
  <c r="AP12" i="36"/>
  <c r="AI12" i="36"/>
  <c r="AE12" i="36"/>
  <c r="AH12" i="36"/>
  <c r="AA12" i="36"/>
  <c r="AD12" i="36"/>
  <c r="W12" i="36"/>
  <c r="Z12" i="36" s="1"/>
  <c r="S12" i="36"/>
  <c r="V12" i="36" s="1"/>
  <c r="O12" i="36"/>
  <c r="R12" i="36"/>
  <c r="N12" i="36"/>
  <c r="G12" i="36"/>
  <c r="J12" i="36"/>
  <c r="F12" i="36"/>
  <c r="DX11" i="36"/>
  <c r="DV11" i="36"/>
  <c r="DO11" i="36"/>
  <c r="DR11" i="36"/>
  <c r="DK11" i="36"/>
  <c r="DN11" i="36"/>
  <c r="DG11" i="36"/>
  <c r="DJ11" i="36" s="1"/>
  <c r="DC11" i="36"/>
  <c r="DF11" i="36" s="1"/>
  <c r="CY11" i="36"/>
  <c r="DB11" i="36"/>
  <c r="CU11" i="36"/>
  <c r="CX11" i="36"/>
  <c r="CT11" i="36"/>
  <c r="CM11" i="36"/>
  <c r="CP11" i="36"/>
  <c r="CI11" i="36"/>
  <c r="CL11" i="36" s="1"/>
  <c r="CE11" i="36"/>
  <c r="CH11" i="36" s="1"/>
  <c r="BW11" i="36"/>
  <c r="BZ11" i="36" s="1"/>
  <c r="BS11" i="36"/>
  <c r="BV11" i="36" s="1"/>
  <c r="BO11" i="36"/>
  <c r="BR11" i="36"/>
  <c r="BR76" i="36" s="1"/>
  <c r="BK11" i="36"/>
  <c r="BN11" i="36"/>
  <c r="BG11" i="36"/>
  <c r="BJ11" i="36" s="1"/>
  <c r="BC11" i="36"/>
  <c r="BF11" i="36" s="1"/>
  <c r="AY11" i="36"/>
  <c r="BB11" i="36"/>
  <c r="AU11" i="36"/>
  <c r="AX11" i="36"/>
  <c r="AQ11" i="36"/>
  <c r="AT11" i="36" s="1"/>
  <c r="AT76" i="36" s="1"/>
  <c r="AM11" i="36"/>
  <c r="AP11" i="36" s="1"/>
  <c r="AI11" i="36"/>
  <c r="AE11" i="36"/>
  <c r="AH11" i="36" s="1"/>
  <c r="AA11" i="36"/>
  <c r="AD11" i="36"/>
  <c r="W11" i="36"/>
  <c r="Z11" i="36"/>
  <c r="Z76" i="36" s="1"/>
  <c r="S11" i="36"/>
  <c r="V11" i="36" s="1"/>
  <c r="O11" i="36"/>
  <c r="R11" i="36" s="1"/>
  <c r="N11" i="36"/>
  <c r="G11" i="36"/>
  <c r="J11" i="36" s="1"/>
  <c r="F11" i="36"/>
  <c r="DX10" i="36"/>
  <c r="DO10" i="36"/>
  <c r="DR10" i="36" s="1"/>
  <c r="DK10" i="36"/>
  <c r="DN10" i="36"/>
  <c r="DN65" i="36" s="1"/>
  <c r="DG10" i="36"/>
  <c r="DJ10" i="36"/>
  <c r="DC10" i="36"/>
  <c r="DF10" i="36" s="1"/>
  <c r="CY10" i="36"/>
  <c r="DB10" i="36" s="1"/>
  <c r="CU10" i="36"/>
  <c r="CX10" i="36"/>
  <c r="CX65" i="36" s="1"/>
  <c r="CT10" i="36"/>
  <c r="CM10" i="36"/>
  <c r="CP10" i="36" s="1"/>
  <c r="CP65" i="36" s="1"/>
  <c r="CI10" i="36"/>
  <c r="CL10" i="36"/>
  <c r="CE10" i="36"/>
  <c r="CH10" i="36"/>
  <c r="CD10" i="36"/>
  <c r="BW10" i="36"/>
  <c r="BZ10" i="36"/>
  <c r="BZ65" i="36" s="1"/>
  <c r="BS10" i="36"/>
  <c r="BV10" i="36" s="1"/>
  <c r="BV65" i="36" s="1"/>
  <c r="BO10" i="36"/>
  <c r="BR10" i="36" s="1"/>
  <c r="BK10" i="36"/>
  <c r="BN10" i="36"/>
  <c r="BN65" i="36" s="1"/>
  <c r="BG10" i="36"/>
  <c r="BJ10" i="36" s="1"/>
  <c r="BJ65" i="36" s="1"/>
  <c r="BJ72" i="36" s="1"/>
  <c r="BC10" i="36"/>
  <c r="BF10" i="36"/>
  <c r="BF76" i="36" s="1"/>
  <c r="AY10" i="36"/>
  <c r="BB10" i="36"/>
  <c r="AU10" i="36"/>
  <c r="AX10" i="36" s="1"/>
  <c r="AQ10" i="36"/>
  <c r="AT10" i="36"/>
  <c r="AM10" i="36"/>
  <c r="AP10" i="36"/>
  <c r="AP65" i="36" s="1"/>
  <c r="AI10" i="36"/>
  <c r="AE10" i="36"/>
  <c r="AH10" i="36" s="1"/>
  <c r="AH65" i="36" s="1"/>
  <c r="AA10" i="36"/>
  <c r="AD10" i="36"/>
  <c r="W10" i="36"/>
  <c r="Z10" i="36" s="1"/>
  <c r="Z65" i="36" s="1"/>
  <c r="S10" i="36"/>
  <c r="V10" i="36"/>
  <c r="V35" i="36" s="1"/>
  <c r="V36" i="36" s="1"/>
  <c r="V38" i="36" s="1"/>
  <c r="V80" i="36" s="1"/>
  <c r="V84" i="36" s="1"/>
  <c r="O10" i="36"/>
  <c r="R10" i="36" s="1"/>
  <c r="A55" i="36" s="1"/>
  <c r="N10" i="36"/>
  <c r="N65" i="36"/>
  <c r="G10" i="36"/>
  <c r="J10" i="36"/>
  <c r="J65" i="36" s="1"/>
  <c r="F10" i="36"/>
  <c r="DX9" i="36"/>
  <c r="DZ9" i="36" s="1"/>
  <c r="DV9" i="36"/>
  <c r="DV75" i="36" s="1"/>
  <c r="DO9" i="36"/>
  <c r="DR9" i="36"/>
  <c r="DK9" i="36"/>
  <c r="DN9" i="36" s="1"/>
  <c r="DG9" i="36"/>
  <c r="DJ9" i="36" s="1"/>
  <c r="DC9" i="36"/>
  <c r="DF9" i="36" s="1"/>
  <c r="CY9" i="36"/>
  <c r="DB9" i="36"/>
  <c r="CU9" i="36"/>
  <c r="CX9" i="36" s="1"/>
  <c r="CT9" i="36"/>
  <c r="CM9" i="36"/>
  <c r="CP9" i="36"/>
  <c r="CI9" i="36"/>
  <c r="CL9" i="36" s="1"/>
  <c r="CE9" i="36"/>
  <c r="CH9" i="36"/>
  <c r="CH68" i="36" s="1"/>
  <c r="CD9" i="36"/>
  <c r="BW9" i="36"/>
  <c r="BZ9" i="36" s="1"/>
  <c r="BS9" i="36"/>
  <c r="BV9" i="36"/>
  <c r="BO9" i="36"/>
  <c r="BR9" i="36"/>
  <c r="BR68" i="36" s="1"/>
  <c r="BK9" i="36"/>
  <c r="BN9" i="36" s="1"/>
  <c r="BG9" i="36"/>
  <c r="BJ9" i="36" s="1"/>
  <c r="BC9" i="36"/>
  <c r="BF9" i="36"/>
  <c r="AY9" i="36"/>
  <c r="BB9" i="36"/>
  <c r="AU9" i="36"/>
  <c r="AX9" i="36" s="1"/>
  <c r="AQ9" i="36"/>
  <c r="AT9" i="36" s="1"/>
  <c r="AM9" i="36"/>
  <c r="AP9" i="36"/>
  <c r="AI9" i="36"/>
  <c r="AE9" i="36"/>
  <c r="AH9" i="36" s="1"/>
  <c r="AH68" i="36" s="1"/>
  <c r="AA9" i="36"/>
  <c r="AD9" i="36"/>
  <c r="W9" i="36"/>
  <c r="Z9" i="36"/>
  <c r="S9" i="36"/>
  <c r="V9" i="36" s="1"/>
  <c r="O9" i="36"/>
  <c r="R9" i="36"/>
  <c r="N9" i="36"/>
  <c r="G9" i="36"/>
  <c r="J9" i="36" s="1"/>
  <c r="F9" i="36"/>
  <c r="DX8" i="36"/>
  <c r="DV8" i="36"/>
  <c r="DO8" i="36"/>
  <c r="DR8" i="36" s="1"/>
  <c r="DR68" i="36" s="1"/>
  <c r="DK8" i="36"/>
  <c r="DN8" i="36"/>
  <c r="DG8" i="36"/>
  <c r="DJ8" i="36"/>
  <c r="DC8" i="36"/>
  <c r="DF8" i="36" s="1"/>
  <c r="DF68" i="36" s="1"/>
  <c r="CY8" i="36"/>
  <c r="DB8" i="36"/>
  <c r="CU8" i="36"/>
  <c r="CX8" i="36"/>
  <c r="CM8" i="36"/>
  <c r="CP8" i="36"/>
  <c r="CI8" i="36"/>
  <c r="CL8" i="36"/>
  <c r="CE8" i="36"/>
  <c r="CH8" i="36" s="1"/>
  <c r="CD8" i="36"/>
  <c r="BW8" i="36"/>
  <c r="BZ8" i="36"/>
  <c r="BZ68" i="36" s="1"/>
  <c r="BS8" i="36"/>
  <c r="BV8" i="36" s="1"/>
  <c r="BO8" i="36"/>
  <c r="BR8" i="36"/>
  <c r="BK8" i="36"/>
  <c r="BN8" i="36"/>
  <c r="BG8" i="36"/>
  <c r="BJ8" i="36"/>
  <c r="BJ68" i="36" s="1"/>
  <c r="BC8" i="36"/>
  <c r="BF8" i="36" s="1"/>
  <c r="AY8" i="36"/>
  <c r="BB8" i="36"/>
  <c r="AU8" i="36"/>
  <c r="AX8" i="36"/>
  <c r="AQ8" i="36"/>
  <c r="AT8" i="36"/>
  <c r="AM8" i="36"/>
  <c r="AP8" i="36" s="1"/>
  <c r="AI8" i="36"/>
  <c r="AE8" i="36"/>
  <c r="AH8" i="36" s="1"/>
  <c r="AA8" i="36"/>
  <c r="AD8" i="36" s="1"/>
  <c r="W8" i="36"/>
  <c r="Z8" i="36"/>
  <c r="Z68" i="36" s="1"/>
  <c r="S8" i="36"/>
  <c r="V8" i="36"/>
  <c r="V68" i="36" s="1"/>
  <c r="O8" i="36"/>
  <c r="R8" i="36" s="1"/>
  <c r="R68" i="36" s="1"/>
  <c r="N8" i="36"/>
  <c r="N68" i="36" s="1"/>
  <c r="G8" i="36"/>
  <c r="J8" i="36"/>
  <c r="F8" i="36"/>
  <c r="DX7" i="36"/>
  <c r="DZ7" i="36" s="1"/>
  <c r="DV7" i="36"/>
  <c r="DO7" i="36"/>
  <c r="DR7" i="36"/>
  <c r="DR67" i="36" s="1"/>
  <c r="DK7" i="36"/>
  <c r="DN7" i="36"/>
  <c r="DG7" i="36"/>
  <c r="DJ7" i="36" s="1"/>
  <c r="DC7" i="36"/>
  <c r="DF7" i="36"/>
  <c r="CY7" i="36"/>
  <c r="DB7" i="36"/>
  <c r="CU7" i="36"/>
  <c r="CX7" i="36"/>
  <c r="CX67" i="36" s="1"/>
  <c r="CT7" i="36"/>
  <c r="CM7" i="36"/>
  <c r="CP7" i="36"/>
  <c r="CI7" i="36"/>
  <c r="CL7" i="36" s="1"/>
  <c r="CL67" i="36" s="1"/>
  <c r="CE7" i="36"/>
  <c r="CH7" i="36" s="1"/>
  <c r="CD7" i="36"/>
  <c r="BW7" i="36"/>
  <c r="BZ7" i="36" s="1"/>
  <c r="BS7" i="36"/>
  <c r="BV7" i="36" s="1"/>
  <c r="BO7" i="36"/>
  <c r="BR7" i="36"/>
  <c r="BK7" i="36"/>
  <c r="BN7" i="36"/>
  <c r="BG7" i="36"/>
  <c r="BJ7" i="36" s="1"/>
  <c r="BJ67" i="36" s="1"/>
  <c r="BC7" i="36"/>
  <c r="BF7" i="36"/>
  <c r="AY7" i="36"/>
  <c r="BB7" i="36"/>
  <c r="AU7" i="36"/>
  <c r="AX7" i="36"/>
  <c r="AQ7" i="36"/>
  <c r="AT7" i="36" s="1"/>
  <c r="AM7" i="36"/>
  <c r="AP7" i="36" s="1"/>
  <c r="AP22" i="36" s="1"/>
  <c r="AI7" i="36"/>
  <c r="AE7" i="36"/>
  <c r="AH7" i="36" s="1"/>
  <c r="AA7" i="36"/>
  <c r="AD7" i="36"/>
  <c r="W7" i="36"/>
  <c r="Z7" i="36"/>
  <c r="S7" i="36"/>
  <c r="V7" i="36" s="1"/>
  <c r="V67" i="36" s="1"/>
  <c r="O7" i="36"/>
  <c r="R7" i="36" s="1"/>
  <c r="N7" i="36"/>
  <c r="G7" i="36"/>
  <c r="J7" i="36" s="1"/>
  <c r="F7" i="36"/>
  <c r="DX6" i="36"/>
  <c r="DV6" i="36"/>
  <c r="DO6" i="36"/>
  <c r="DR6" i="36" s="1"/>
  <c r="DN6" i="36"/>
  <c r="DN67" i="36" s="1"/>
  <c r="DG6" i="36"/>
  <c r="DJ6" i="36" s="1"/>
  <c r="DJ67" i="36" s="1"/>
  <c r="DC6" i="36"/>
  <c r="DF6" i="36" s="1"/>
  <c r="CY6" i="36"/>
  <c r="DB6" i="36"/>
  <c r="CU6" i="36"/>
  <c r="CX6" i="36"/>
  <c r="CT6" i="36"/>
  <c r="CT67" i="36" s="1"/>
  <c r="CM6" i="36"/>
  <c r="CP6" i="36"/>
  <c r="CI6" i="36"/>
  <c r="CL6" i="36" s="1"/>
  <c r="CE6" i="36"/>
  <c r="CH6" i="36" s="1"/>
  <c r="CD6" i="36"/>
  <c r="BW6" i="36"/>
  <c r="BZ6" i="36" s="1"/>
  <c r="BS6" i="36"/>
  <c r="BV6" i="36"/>
  <c r="BV67" i="36" s="1"/>
  <c r="BV72" i="36" s="1"/>
  <c r="BO6" i="36"/>
  <c r="BR6" i="36"/>
  <c r="BR75" i="36" s="1"/>
  <c r="BK6" i="36"/>
  <c r="BN6" i="36"/>
  <c r="BG6" i="36"/>
  <c r="BJ6" i="36" s="1"/>
  <c r="BC6" i="36"/>
  <c r="BF6" i="36" s="1"/>
  <c r="BF67" i="36" s="1"/>
  <c r="AY6" i="36"/>
  <c r="BB6" i="36"/>
  <c r="BB67" i="36" s="1"/>
  <c r="AU6" i="36"/>
  <c r="AX6" i="36" s="1"/>
  <c r="AX67" i="36" s="1"/>
  <c r="AQ6" i="36"/>
  <c r="AT6" i="36" s="1"/>
  <c r="AM6" i="36"/>
  <c r="AP6" i="36"/>
  <c r="AI6" i="36"/>
  <c r="AE6" i="36"/>
  <c r="AH6" i="36" s="1"/>
  <c r="AH67" i="36" s="1"/>
  <c r="AA6" i="36"/>
  <c r="AD6" i="36" s="1"/>
  <c r="AD67" i="36" s="1"/>
  <c r="W6" i="36"/>
  <c r="Z6" i="36"/>
  <c r="S6" i="36"/>
  <c r="V6" i="36" s="1"/>
  <c r="O6" i="36"/>
  <c r="R6" i="36"/>
  <c r="R67" i="36" s="1"/>
  <c r="N6" i="36"/>
  <c r="N22" i="36" s="1"/>
  <c r="G6" i="36"/>
  <c r="J6" i="36" s="1"/>
  <c r="J67" i="36" s="1"/>
  <c r="F6" i="36"/>
  <c r="DX5" i="36"/>
  <c r="DV5" i="36"/>
  <c r="DO5" i="36"/>
  <c r="DR5" i="36" s="1"/>
  <c r="DR26" i="36" s="1"/>
  <c r="DR27" i="36" s="1"/>
  <c r="DR29" i="36" s="1"/>
  <c r="DR79" i="36" s="1"/>
  <c r="DK5" i="36"/>
  <c r="DN5" i="36" s="1"/>
  <c r="DG5" i="36"/>
  <c r="DJ5" i="36"/>
  <c r="DC5" i="36"/>
  <c r="DF5" i="36" s="1"/>
  <c r="CY5" i="36"/>
  <c r="DB5" i="36"/>
  <c r="DB22" i="36" s="1"/>
  <c r="CU5" i="36"/>
  <c r="CX5" i="36"/>
  <c r="CT5" i="36"/>
  <c r="CM5" i="36"/>
  <c r="CP5" i="36" s="1"/>
  <c r="CI5" i="36"/>
  <c r="CL5" i="36"/>
  <c r="CE5" i="36"/>
  <c r="CH5" i="36" s="1"/>
  <c r="CH66" i="36" s="1"/>
  <c r="CH72" i="36" s="1"/>
  <c r="CD5" i="36"/>
  <c r="CD22" i="36" s="1"/>
  <c r="BW5" i="36"/>
  <c r="BZ5" i="36"/>
  <c r="BS5" i="36"/>
  <c r="BV5" i="36" s="1"/>
  <c r="BO5" i="36"/>
  <c r="BR5" i="36"/>
  <c r="BK5" i="36"/>
  <c r="BN5" i="36" s="1"/>
  <c r="BN26" i="36" s="1"/>
  <c r="BN27" i="36" s="1"/>
  <c r="BN29" i="36" s="1"/>
  <c r="BN79" i="36" s="1"/>
  <c r="BG5" i="36"/>
  <c r="BJ5" i="36"/>
  <c r="BC5" i="36"/>
  <c r="BF5" i="36" s="1"/>
  <c r="AY5" i="36"/>
  <c r="BB5" i="36"/>
  <c r="AU5" i="36"/>
  <c r="AX5" i="36"/>
  <c r="AQ5" i="36"/>
  <c r="AT5" i="36"/>
  <c r="AM5" i="36"/>
  <c r="AP5" i="36"/>
  <c r="AI5" i="36"/>
  <c r="AE5" i="36"/>
  <c r="AH5" i="36"/>
  <c r="AA5" i="36"/>
  <c r="AD5" i="36" s="1"/>
  <c r="W5" i="36"/>
  <c r="Z5" i="36" s="1"/>
  <c r="S5" i="36"/>
  <c r="V5" i="36" s="1"/>
  <c r="V26" i="36" s="1"/>
  <c r="V27" i="36" s="1"/>
  <c r="V29" i="36" s="1"/>
  <c r="V79" i="36" s="1"/>
  <c r="O5" i="36"/>
  <c r="R5" i="36"/>
  <c r="N5" i="36"/>
  <c r="N26" i="36" s="1"/>
  <c r="G5" i="36"/>
  <c r="J5" i="36"/>
  <c r="F5" i="36"/>
  <c r="DX4" i="36"/>
  <c r="DV4" i="36"/>
  <c r="DO4" i="36"/>
  <c r="DR4" i="36"/>
  <c r="DK4" i="36"/>
  <c r="DN4" i="36" s="1"/>
  <c r="DG4" i="36"/>
  <c r="DJ4" i="36" s="1"/>
  <c r="DC4" i="36"/>
  <c r="DF4" i="36" s="1"/>
  <c r="CY4" i="36"/>
  <c r="DB4" i="36"/>
  <c r="CU4" i="36"/>
  <c r="CX4" i="36" s="1"/>
  <c r="CT4" i="36"/>
  <c r="CT26" i="36" s="1"/>
  <c r="CT27" i="36" s="1"/>
  <c r="CT29" i="36" s="1"/>
  <c r="CT79" i="36" s="1"/>
  <c r="CM4" i="36"/>
  <c r="CP4" i="36"/>
  <c r="CI4" i="36"/>
  <c r="CL4" i="36"/>
  <c r="CE4" i="36"/>
  <c r="CH4" i="36"/>
  <c r="CD4" i="36"/>
  <c r="BW4" i="36"/>
  <c r="BZ4" i="36" s="1"/>
  <c r="BZ75" i="36" s="1"/>
  <c r="BS4" i="36"/>
  <c r="BV4" i="36" s="1"/>
  <c r="BO4" i="36"/>
  <c r="BR4" i="36"/>
  <c r="BK4" i="36"/>
  <c r="BN4" i="36" s="1"/>
  <c r="BG4" i="36"/>
  <c r="BJ4" i="36" s="1"/>
  <c r="BC4" i="36"/>
  <c r="BF4" i="36" s="1"/>
  <c r="AY4" i="36"/>
  <c r="BB4" i="36"/>
  <c r="AU4" i="36"/>
  <c r="AX4" i="36" s="1"/>
  <c r="AQ4" i="36"/>
  <c r="AT4" i="36" s="1"/>
  <c r="AT66" i="36" s="1"/>
  <c r="AT72" i="36" s="1"/>
  <c r="AM4" i="36"/>
  <c r="AP4" i="36" s="1"/>
  <c r="AI4" i="36"/>
  <c r="AE4" i="36"/>
  <c r="AH4" i="36"/>
  <c r="AA4" i="36"/>
  <c r="AD4" i="36"/>
  <c r="AD22" i="36" s="1"/>
  <c r="W4" i="36"/>
  <c r="Z4" i="36"/>
  <c r="S4" i="36"/>
  <c r="V4" i="36"/>
  <c r="O4" i="36"/>
  <c r="R4" i="36"/>
  <c r="R75" i="36" s="1"/>
  <c r="N4" i="36"/>
  <c r="G4" i="36"/>
  <c r="J4" i="36" s="1"/>
  <c r="J66" i="36" s="1"/>
  <c r="F4" i="36"/>
  <c r="G2" i="36"/>
  <c r="K2" i="36" s="1"/>
  <c r="O2" i="36" s="1"/>
  <c r="S2" i="36" s="1"/>
  <c r="W2" i="36" s="1"/>
  <c r="AA2" i="36" s="1"/>
  <c r="AE2" i="36" s="1"/>
  <c r="AI2" i="36" s="1"/>
  <c r="AM2" i="36" s="1"/>
  <c r="AQ2" i="36" s="1"/>
  <c r="AU2" i="36" s="1"/>
  <c r="AY2" i="36" s="1"/>
  <c r="BC2" i="36" s="1"/>
  <c r="BG2" i="36" s="1"/>
  <c r="BK2" i="36" s="1"/>
  <c r="BO2" i="36" s="1"/>
  <c r="BS2" i="36" s="1"/>
  <c r="BW2" i="36" s="1"/>
  <c r="CA2" i="36" s="1"/>
  <c r="CE2" i="36" s="1"/>
  <c r="CI2" i="36" s="1"/>
  <c r="CM2" i="36" s="1"/>
  <c r="CQ2" i="36" s="1"/>
  <c r="CU2" i="36" s="1"/>
  <c r="CY2" i="36" s="1"/>
  <c r="DC2" i="36" s="1"/>
  <c r="DG2" i="36" s="1"/>
  <c r="DK2" i="36" s="1"/>
  <c r="DO2" i="36" s="1"/>
  <c r="DS2" i="36" s="1"/>
  <c r="CX68" i="36"/>
  <c r="DN26" i="36"/>
  <c r="DN27" i="36" s="1"/>
  <c r="DN29" i="36" s="1"/>
  <c r="DN79" i="36" s="1"/>
  <c r="CT68" i="36"/>
  <c r="DB68" i="36"/>
  <c r="DJ68" i="36"/>
  <c r="DN68" i="36"/>
  <c r="DV65" i="36"/>
  <c r="AX65" i="36"/>
  <c r="AL76" i="36"/>
  <c r="R65" i="36"/>
  <c r="DZ4" i="36"/>
  <c r="DZ22" i="36" s="1"/>
  <c r="DZ16" i="36"/>
  <c r="DZ35" i="36" s="1"/>
  <c r="CT65" i="36"/>
  <c r="CP68" i="36"/>
  <c r="CL68" i="36"/>
  <c r="CD68" i="36"/>
  <c r="BZ76" i="36"/>
  <c r="BV68" i="36"/>
  <c r="DZ8" i="36"/>
  <c r="BF65" i="36"/>
  <c r="BF68" i="36"/>
  <c r="DZ14" i="36"/>
  <c r="AP68" i="36"/>
  <c r="DZ10" i="36"/>
  <c r="DZ11" i="36"/>
  <c r="DZ12" i="36"/>
  <c r="DZ13" i="36"/>
  <c r="DZ20" i="36"/>
  <c r="DZ69" i="36"/>
  <c r="AD76" i="36"/>
  <c r="V76" i="36"/>
  <c r="J68" i="36"/>
  <c r="DV68" i="36"/>
  <c r="DZ19" i="36"/>
  <c r="DV67" i="36"/>
  <c r="DV72" i="36" s="1"/>
  <c r="DZ5" i="36"/>
  <c r="DR65" i="36"/>
  <c r="DJ65" i="36"/>
  <c r="DF65" i="36"/>
  <c r="DF67" i="36"/>
  <c r="DB65" i="36"/>
  <c r="CP67" i="36"/>
  <c r="CP72" i="36" s="1"/>
  <c r="DZ6" i="36"/>
  <c r="CL65" i="36"/>
  <c r="CD65" i="36"/>
  <c r="CH65" i="36"/>
  <c r="CH67" i="36"/>
  <c r="CP66" i="36"/>
  <c r="CP26" i="36"/>
  <c r="CP27" i="36"/>
  <c r="CP29" i="36" s="1"/>
  <c r="CP79" i="36" s="1"/>
  <c r="DF66" i="36"/>
  <c r="DF26" i="36"/>
  <c r="DF27" i="36" s="1"/>
  <c r="DF29" i="36" s="1"/>
  <c r="DF79" i="36" s="1"/>
  <c r="CL75" i="36"/>
  <c r="CL66" i="36"/>
  <c r="CL26" i="36"/>
  <c r="CL27" i="36"/>
  <c r="CL29" i="36" s="1"/>
  <c r="CL79" i="36" s="1"/>
  <c r="CL83" i="36" s="1"/>
  <c r="DB26" i="36"/>
  <c r="DB27" i="36"/>
  <c r="DB29" i="36" s="1"/>
  <c r="DB79" i="36" s="1"/>
  <c r="DJ26" i="36"/>
  <c r="DJ27" i="36" s="1"/>
  <c r="DJ29" i="36" s="1"/>
  <c r="DJ79" i="36" s="1"/>
  <c r="AL68" i="36"/>
  <c r="AL72" i="36" s="1"/>
  <c r="AT68" i="36"/>
  <c r="BB68" i="36"/>
  <c r="V65" i="36"/>
  <c r="AD65" i="36"/>
  <c r="AL65" i="36"/>
  <c r="AT65" i="36"/>
  <c r="BB65" i="36"/>
  <c r="BB72" i="36" s="1"/>
  <c r="AH76" i="36"/>
  <c r="AX76" i="36"/>
  <c r="AH35" i="36"/>
  <c r="AH36" i="36"/>
  <c r="AH38" i="36"/>
  <c r="AH80" i="36" s="1"/>
  <c r="AH84" i="36" s="1"/>
  <c r="AX35" i="36"/>
  <c r="AX36" i="36" s="1"/>
  <c r="AX38" i="36" s="1"/>
  <c r="AX80" i="36" s="1"/>
  <c r="AX84" i="36" s="1"/>
  <c r="BF35" i="36"/>
  <c r="BF36" i="36" s="1"/>
  <c r="BF38" i="36" s="1"/>
  <c r="BF80" i="36" s="1"/>
  <c r="BF84" i="36" s="1"/>
  <c r="BV35" i="36"/>
  <c r="BV36" i="36"/>
  <c r="BV38" i="36"/>
  <c r="BV80" i="36" s="1"/>
  <c r="BV84" i="36" s="1"/>
  <c r="DN22" i="36"/>
  <c r="DV66" i="36"/>
  <c r="DV26" i="36"/>
  <c r="DV27" i="36" s="1"/>
  <c r="DV29" i="36"/>
  <c r="DV79" i="36" s="1"/>
  <c r="DV83" i="36" s="1"/>
  <c r="DV22" i="36"/>
  <c r="AL35" i="36"/>
  <c r="AL36" i="36" s="1"/>
  <c r="AL38" i="36" s="1"/>
  <c r="AL80" i="36"/>
  <c r="BB35" i="36"/>
  <c r="BR35" i="36"/>
  <c r="BR36" i="36" s="1"/>
  <c r="BR38" i="36"/>
  <c r="BR80" i="36"/>
  <c r="BR84" i="36" s="1"/>
  <c r="R26" i="36"/>
  <c r="R27" i="36" s="1"/>
  <c r="R29" i="36" s="1"/>
  <c r="R79" i="36" s="1"/>
  <c r="R83" i="36" s="1"/>
  <c r="R22" i="36"/>
  <c r="AL75" i="36"/>
  <c r="AL66" i="36"/>
  <c r="AL26" i="36"/>
  <c r="AL27" i="36"/>
  <c r="AL29" i="36" s="1"/>
  <c r="AL79" i="36"/>
  <c r="AL83" i="36" s="1"/>
  <c r="AL22" i="36"/>
  <c r="AX22" i="36"/>
  <c r="BR66" i="36"/>
  <c r="BR22" i="36"/>
  <c r="AP67" i="36"/>
  <c r="BN67" i="36"/>
  <c r="F26" i="36"/>
  <c r="F27" i="36" s="1"/>
  <c r="F29" i="36"/>
  <c r="F79" i="36"/>
  <c r="F22" i="36"/>
  <c r="F67" i="36"/>
  <c r="CD67" i="36"/>
  <c r="N76" i="36"/>
  <c r="N35" i="36"/>
  <c r="N36" i="36"/>
  <c r="N38" i="36" s="1"/>
  <c r="N80" i="36" s="1"/>
  <c r="N84" i="36" s="1"/>
  <c r="CH77" i="36"/>
  <c r="CH43" i="36"/>
  <c r="CH44" i="36"/>
  <c r="CH46" i="36" s="1"/>
  <c r="CH81" i="36"/>
  <c r="CH85" i="36" s="1"/>
  <c r="CP77" i="36"/>
  <c r="CP85" i="36" s="1"/>
  <c r="CP43" i="36"/>
  <c r="CP44" i="36" s="1"/>
  <c r="CP46" i="36" s="1"/>
  <c r="CP81" i="36" s="1"/>
  <c r="CX77" i="36"/>
  <c r="CX43" i="36"/>
  <c r="CX44" i="36"/>
  <c r="CX46" i="36" s="1"/>
  <c r="CX81" i="36" s="1"/>
  <c r="CX85" i="36" s="1"/>
  <c r="DF77" i="36"/>
  <c r="DF43" i="36"/>
  <c r="DF44" i="36"/>
  <c r="DF46" i="36"/>
  <c r="DF81" i="36" s="1"/>
  <c r="DN77" i="36"/>
  <c r="DN43" i="36"/>
  <c r="DN44" i="36" s="1"/>
  <c r="DN46" i="36" s="1"/>
  <c r="DN81" i="36" s="1"/>
  <c r="DN85" i="36" s="1"/>
  <c r="DV77" i="36"/>
  <c r="DV43" i="36"/>
  <c r="DV44" i="36" s="1"/>
  <c r="DV46" i="36"/>
  <c r="DV81" i="36" s="1"/>
  <c r="DV85" i="36" s="1"/>
  <c r="AT36" i="36"/>
  <c r="AT38" i="36" s="1"/>
  <c r="AT80" i="36" s="1"/>
  <c r="AT84" i="36" s="1"/>
  <c r="BB36" i="36"/>
  <c r="BB38" i="36" s="1"/>
  <c r="BB80" i="36" s="1"/>
  <c r="BZ36" i="36"/>
  <c r="BZ38" i="36"/>
  <c r="BZ80" i="36" s="1"/>
  <c r="BZ84" i="36" s="1"/>
  <c r="N66" i="36"/>
  <c r="N27" i="36"/>
  <c r="N29" i="36" s="1"/>
  <c r="N79" i="36" s="1"/>
  <c r="AH26" i="36"/>
  <c r="AH27" i="36" s="1"/>
  <c r="AH29" i="36" s="1"/>
  <c r="AH79" i="36" s="1"/>
  <c r="AP75" i="36"/>
  <c r="AP66" i="36"/>
  <c r="AP26" i="36"/>
  <c r="AP27" i="36" s="1"/>
  <c r="AP29" i="36" s="1"/>
  <c r="AP79" i="36" s="1"/>
  <c r="AT22" i="36"/>
  <c r="BB66" i="36"/>
  <c r="BB26" i="36"/>
  <c r="BB27" i="36"/>
  <c r="BB29" i="36" s="1"/>
  <c r="BB79" i="36" s="1"/>
  <c r="BB22" i="36"/>
  <c r="BJ66" i="36"/>
  <c r="BJ22" i="36"/>
  <c r="BN66" i="36"/>
  <c r="BV66" i="36"/>
  <c r="BV22" i="36"/>
  <c r="BZ66" i="36"/>
  <c r="BZ72" i="36" s="1"/>
  <c r="AL67" i="36"/>
  <c r="AT67" i="36"/>
  <c r="BZ67" i="36"/>
  <c r="F68" i="36"/>
  <c r="A53" i="36"/>
  <c r="F65" i="36"/>
  <c r="F76" i="36"/>
  <c r="A56" i="36"/>
  <c r="J76" i="36"/>
  <c r="CD76" i="36"/>
  <c r="CH76" i="36"/>
  <c r="CH84" i="36" s="1"/>
  <c r="CL76" i="36"/>
  <c r="CT76" i="36"/>
  <c r="DB76" i="36"/>
  <c r="DF76" i="36"/>
  <c r="DJ76" i="36"/>
  <c r="DN76" i="36"/>
  <c r="DR76" i="36"/>
  <c r="DV76" i="36"/>
  <c r="F35" i="36"/>
  <c r="F36" i="36" s="1"/>
  <c r="F38" i="36" s="1"/>
  <c r="J35" i="36"/>
  <c r="J36" i="36" s="1"/>
  <c r="J38" i="36" s="1"/>
  <c r="J80" i="36" s="1"/>
  <c r="CD35" i="36"/>
  <c r="CD36" i="36"/>
  <c r="CD38" i="36" s="1"/>
  <c r="CD80" i="36"/>
  <c r="CD84" i="36"/>
  <c r="CH35" i="36"/>
  <c r="CH36" i="36" s="1"/>
  <c r="CH38" i="36" s="1"/>
  <c r="CH80" i="36" s="1"/>
  <c r="CL35" i="36"/>
  <c r="CL36" i="36"/>
  <c r="CL38" i="36"/>
  <c r="CL80" i="36"/>
  <c r="CL84" i="36" s="1"/>
  <c r="CT35" i="36"/>
  <c r="CT36" i="36"/>
  <c r="CT38" i="36" s="1"/>
  <c r="CT80" i="36" s="1"/>
  <c r="CT84" i="36" s="1"/>
  <c r="CX35" i="36"/>
  <c r="CX36" i="36" s="1"/>
  <c r="CX38" i="36" s="1"/>
  <c r="CX80" i="36" s="1"/>
  <c r="DB80" i="36"/>
  <c r="DB84" i="36" s="1"/>
  <c r="DF35" i="36"/>
  <c r="DF36" i="36" s="1"/>
  <c r="DF38" i="36" s="1"/>
  <c r="DF80" i="36" s="1"/>
  <c r="DF84" i="36" s="1"/>
  <c r="DJ35" i="36"/>
  <c r="DJ36" i="36"/>
  <c r="DJ38" i="36"/>
  <c r="DJ80" i="36" s="1"/>
  <c r="DJ84" i="36"/>
  <c r="DN35" i="36"/>
  <c r="DN36" i="36"/>
  <c r="DN38" i="36" s="1"/>
  <c r="DN80" i="36" s="1"/>
  <c r="DN84" i="36" s="1"/>
  <c r="DR35" i="36"/>
  <c r="DR36" i="36" s="1"/>
  <c r="DR38" i="36"/>
  <c r="DR80" i="36" s="1"/>
  <c r="DR84" i="36" s="1"/>
  <c r="DV35" i="36"/>
  <c r="DV36" i="36" s="1"/>
  <c r="DV38" i="36" s="1"/>
  <c r="DV80" i="36" s="1"/>
  <c r="DV84" i="36"/>
  <c r="A60" i="36"/>
  <c r="J77" i="36"/>
  <c r="J43" i="36"/>
  <c r="J44" i="36" s="1"/>
  <c r="J46" i="36" s="1"/>
  <c r="J81" i="36" s="1"/>
  <c r="CL77" i="36"/>
  <c r="CL43" i="36"/>
  <c r="CL44" i="36"/>
  <c r="CL46" i="36" s="1"/>
  <c r="CL81" i="36" s="1"/>
  <c r="CL85" i="36" s="1"/>
  <c r="CT77" i="36"/>
  <c r="CT43" i="36"/>
  <c r="CT44" i="36"/>
  <c r="CT46" i="36"/>
  <c r="CT81" i="36" s="1"/>
  <c r="DB77" i="36"/>
  <c r="DB43" i="36"/>
  <c r="DB44" i="36" s="1"/>
  <c r="DB46" i="36" s="1"/>
  <c r="DB81" i="36" s="1"/>
  <c r="DB85" i="36" s="1"/>
  <c r="DJ77" i="36"/>
  <c r="DJ43" i="36"/>
  <c r="DJ44" i="36" s="1"/>
  <c r="DJ46" i="36"/>
  <c r="DJ81" i="36" s="1"/>
  <c r="DJ85" i="36" s="1"/>
  <c r="DR77" i="36"/>
  <c r="DR43" i="36"/>
  <c r="DR44" i="36" s="1"/>
  <c r="DR46" i="36" s="1"/>
  <c r="DR81" i="36" s="1"/>
  <c r="DR85" i="36" s="1"/>
  <c r="N77" i="36"/>
  <c r="N43" i="36"/>
  <c r="N44" i="36" s="1"/>
  <c r="N46" i="36" s="1"/>
  <c r="N81" i="36" s="1"/>
  <c r="N85" i="36" s="1"/>
  <c r="R77" i="36"/>
  <c r="R43" i="36"/>
  <c r="R44" i="36" s="1"/>
  <c r="R46" i="36" s="1"/>
  <c r="R81" i="36"/>
  <c r="V77" i="36"/>
  <c r="V43" i="36"/>
  <c r="V44" i="36"/>
  <c r="V46" i="36" s="1"/>
  <c r="V81" i="36" s="1"/>
  <c r="V85" i="36" s="1"/>
  <c r="AD77" i="36"/>
  <c r="AD43" i="36"/>
  <c r="AH77" i="36"/>
  <c r="AH43" i="36"/>
  <c r="AH44" i="36" s="1"/>
  <c r="AH46" i="36" s="1"/>
  <c r="AH81" i="36" s="1"/>
  <c r="AH85" i="36" s="1"/>
  <c r="AL77" i="36"/>
  <c r="AL43" i="36"/>
  <c r="AL44" i="36" s="1"/>
  <c r="AL46" i="36" s="1"/>
  <c r="AL81" i="36" s="1"/>
  <c r="AL85" i="36" s="1"/>
  <c r="AP43" i="36"/>
  <c r="AP44" i="36"/>
  <c r="AP46" i="36"/>
  <c r="AP81" i="36"/>
  <c r="AT77" i="36"/>
  <c r="AT43" i="36"/>
  <c r="AT44" i="36"/>
  <c r="AT46" i="36" s="1"/>
  <c r="AT81" i="36" s="1"/>
  <c r="AT85" i="36" s="1"/>
  <c r="AX77" i="36"/>
  <c r="AX43" i="36"/>
  <c r="AX44" i="36"/>
  <c r="AX46" i="36" s="1"/>
  <c r="AX81" i="36" s="1"/>
  <c r="AX85" i="36" s="1"/>
  <c r="BB77" i="36"/>
  <c r="BB43" i="36"/>
  <c r="BB44" i="36"/>
  <c r="BB46" i="36"/>
  <c r="BB81" i="36" s="1"/>
  <c r="BB85" i="36" s="1"/>
  <c r="BF77" i="36"/>
  <c r="BF43" i="36"/>
  <c r="BF44" i="36"/>
  <c r="BF46" i="36"/>
  <c r="BF81" i="36" s="1"/>
  <c r="BF85" i="36" s="1"/>
  <c r="BJ77" i="36"/>
  <c r="BJ43" i="36"/>
  <c r="BJ44" i="36"/>
  <c r="BJ46" i="36" s="1"/>
  <c r="BJ81" i="36" s="1"/>
  <c r="BJ85" i="36" s="1"/>
  <c r="BN77" i="36"/>
  <c r="BN43" i="36"/>
  <c r="BN44" i="36" s="1"/>
  <c r="BR77" i="36"/>
  <c r="BR43" i="36"/>
  <c r="BR44" i="36"/>
  <c r="BR46" i="36" s="1"/>
  <c r="BR81" i="36" s="1"/>
  <c r="BR85" i="36" s="1"/>
  <c r="BV77" i="36"/>
  <c r="BV43" i="36"/>
  <c r="BZ77" i="36"/>
  <c r="BZ43" i="36"/>
  <c r="BZ44" i="36"/>
  <c r="BZ46" i="36"/>
  <c r="BZ81" i="36" s="1"/>
  <c r="BZ85" i="36" s="1"/>
  <c r="AD44" i="36"/>
  <c r="AD46" i="36" s="1"/>
  <c r="AD81" i="36" s="1"/>
  <c r="AD85" i="36" s="1"/>
  <c r="A62" i="36"/>
  <c r="A63" i="36"/>
  <c r="F77" i="36"/>
  <c r="A64" i="36"/>
  <c r="F62" i="36" s="1"/>
  <c r="F43" i="36"/>
  <c r="F46" i="36"/>
  <c r="F81" i="36" s="1"/>
  <c r="CD77" i="36"/>
  <c r="CD43" i="36"/>
  <c r="CD44" i="36"/>
  <c r="CD46" i="36"/>
  <c r="CD81" i="36"/>
  <c r="F69" i="36"/>
  <c r="A65" i="36"/>
  <c r="BN46" i="36"/>
  <c r="BN81" i="36" s="1"/>
  <c r="BN85" i="36" s="1"/>
  <c r="BV44" i="36"/>
  <c r="BV46" i="36" s="1"/>
  <c r="BV81" i="36" s="1"/>
  <c r="BV85" i="36" s="1"/>
  <c r="X74" i="36"/>
  <c r="AB74" i="36"/>
  <c r="AF74" i="36" s="1"/>
  <c r="AJ74" i="36"/>
  <c r="AN74" i="36"/>
  <c r="AR74" i="36" s="1"/>
  <c r="AV74" i="36" s="1"/>
  <c r="AZ74" i="36" s="1"/>
  <c r="BD74" i="36" s="1"/>
  <c r="BH74" i="36" s="1"/>
  <c r="BL74" i="36" s="1"/>
  <c r="BP74" i="36" s="1"/>
  <c r="BT74" i="36" s="1"/>
  <c r="BX74" i="36" s="1"/>
  <c r="CB74" i="36" s="1"/>
  <c r="CF74" i="36" s="1"/>
  <c r="CJ74" i="36" s="1"/>
  <c r="CN74" i="36" s="1"/>
  <c r="CR74" i="36" s="1"/>
  <c r="CV74" i="36" s="1"/>
  <c r="CZ74" i="36" s="1"/>
  <c r="DD74" i="36" s="1"/>
  <c r="DH74" i="36" s="1"/>
  <c r="DL74" i="36" s="1"/>
  <c r="DP74" i="36" s="1"/>
  <c r="DT74" i="36" s="1"/>
  <c r="DX74" i="36" s="1"/>
  <c r="F80" i="36"/>
  <c r="R85" i="36"/>
  <c r="DZ43" i="36"/>
  <c r="DZ44" i="36" s="1"/>
  <c r="DZ46" i="36" s="1"/>
  <c r="DZ81" i="36" s="1"/>
  <c r="DZ85" i="36" s="1"/>
  <c r="AP83" i="36"/>
  <c r="CL72" i="36"/>
  <c r="DZ77" i="36"/>
  <c r="DF72" i="36"/>
  <c r="BN72" i="36"/>
  <c r="AL84" i="36"/>
  <c r="DZ76" i="36"/>
  <c r="DZ26" i="36"/>
  <c r="DZ67" i="36"/>
  <c r="DZ66" i="36"/>
  <c r="DZ65" i="36"/>
  <c r="J85" i="36"/>
  <c r="DF85" i="36"/>
  <c r="CD85" i="36"/>
  <c r="CT85" i="36"/>
  <c r="H27" i="42"/>
  <c r="D2" i="42"/>
  <c r="L1" i="41"/>
  <c r="C5" i="41" s="1"/>
  <c r="D5" i="41" s="1"/>
  <c r="E5" i="41" s="1"/>
  <c r="F5" i="41" s="1"/>
  <c r="G5" i="41" s="1"/>
  <c r="H5" i="41" s="1"/>
  <c r="I5" i="41" s="1"/>
  <c r="J5" i="41" s="1"/>
  <c r="K5" i="41" s="1"/>
  <c r="L5" i="41" s="1"/>
  <c r="M5" i="41" s="1"/>
  <c r="N5" i="41" s="1"/>
  <c r="O5" i="41" s="1"/>
  <c r="P5" i="41" s="1"/>
  <c r="Q5" i="41" s="1"/>
  <c r="R5" i="41" s="1"/>
  <c r="S5" i="41" s="1"/>
  <c r="T5" i="41" s="1"/>
  <c r="U5" i="41" s="1"/>
  <c r="V5" i="41" s="1"/>
  <c r="W5" i="41" s="1"/>
  <c r="X5" i="41" s="1"/>
  <c r="Y5" i="41" s="1"/>
  <c r="Z5" i="41" s="1"/>
  <c r="AA5" i="41" s="1"/>
  <c r="AB5" i="41" s="1"/>
  <c r="AC5" i="41" s="1"/>
  <c r="AD5" i="41" s="1"/>
  <c r="AE5" i="41" s="1"/>
  <c r="AF5" i="41" s="1"/>
  <c r="AG5" i="41" s="1"/>
  <c r="K30" i="42"/>
  <c r="G29" i="42"/>
  <c r="K27" i="42"/>
  <c r="G26" i="42"/>
  <c r="C26" i="42"/>
  <c r="B26" i="42"/>
  <c r="C25" i="42"/>
  <c r="B25" i="42"/>
  <c r="C24" i="42"/>
  <c r="B24" i="42"/>
  <c r="C23" i="42"/>
  <c r="B23" i="42"/>
  <c r="C22" i="42"/>
  <c r="B22" i="42"/>
  <c r="C21" i="42"/>
  <c r="B21" i="42"/>
  <c r="C20" i="42"/>
  <c r="B20" i="42"/>
  <c r="C19" i="42"/>
  <c r="B19" i="42"/>
  <c r="C18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N3" i="42"/>
  <c r="N4" i="42"/>
  <c r="N5" i="42"/>
  <c r="N6" i="42"/>
  <c r="N7" i="42" s="1"/>
  <c r="N8" i="42" s="1"/>
  <c r="N9" i="42" s="1"/>
  <c r="N10" i="42" s="1"/>
  <c r="N11" i="42" s="1"/>
  <c r="N12" i="42" s="1"/>
  <c r="N13" i="42" s="1"/>
  <c r="N14" i="42" s="1"/>
  <c r="N15" i="42" s="1"/>
  <c r="N16" i="42" s="1"/>
  <c r="N17" i="42" s="1"/>
  <c r="N18" i="42" s="1"/>
  <c r="N19" i="42" s="1"/>
  <c r="N20" i="42" s="1"/>
  <c r="N21" i="42" s="1"/>
  <c r="N22" i="42" s="1"/>
  <c r="N23" i="42" s="1"/>
  <c r="N24" i="42" s="1"/>
  <c r="N25" i="42" s="1"/>
  <c r="N26" i="42" s="1"/>
  <c r="N27" i="42" s="1"/>
  <c r="N28" i="42" s="1"/>
  <c r="N29" i="42" s="1"/>
  <c r="N30" i="42" s="1"/>
  <c r="F1" i="42"/>
  <c r="AG30" i="41"/>
  <c r="AF30" i="41"/>
  <c r="AE30" i="41"/>
  <c r="AD30" i="41"/>
  <c r="AC30" i="41"/>
  <c r="AA30" i="41"/>
  <c r="Z30" i="41"/>
  <c r="Y30" i="41"/>
  <c r="X30" i="41"/>
  <c r="W30" i="41"/>
  <c r="V30" i="41"/>
  <c r="U30" i="41"/>
  <c r="T30" i="41"/>
  <c r="S30" i="41"/>
  <c r="R30" i="41"/>
  <c r="Q30" i="41"/>
  <c r="P30" i="41"/>
  <c r="N30" i="41"/>
  <c r="M30" i="41"/>
  <c r="L30" i="41"/>
  <c r="K30" i="41"/>
  <c r="J30" i="41"/>
  <c r="J26" i="42"/>
  <c r="B29" i="41"/>
  <c r="B28" i="41"/>
  <c r="B27" i="41"/>
  <c r="J23" i="42"/>
  <c r="B26" i="41"/>
  <c r="B25" i="41"/>
  <c r="J21" i="42"/>
  <c r="B24" i="41"/>
  <c r="J20" i="42"/>
  <c r="B23" i="41"/>
  <c r="J19" i="42"/>
  <c r="B22" i="41"/>
  <c r="J18" i="42"/>
  <c r="B21" i="41"/>
  <c r="AH19" i="41"/>
  <c r="AI30" i="34"/>
  <c r="AH30" i="34"/>
  <c r="AG30" i="34"/>
  <c r="AF30" i="34"/>
  <c r="AE30" i="34"/>
  <c r="AD30" i="34"/>
  <c r="AC30" i="34"/>
  <c r="AB30" i="34"/>
  <c r="AA30" i="34"/>
  <c r="Z30" i="34"/>
  <c r="Y30" i="34"/>
  <c r="X30" i="34"/>
  <c r="W30" i="34"/>
  <c r="V30" i="34"/>
  <c r="U30" i="34"/>
  <c r="T30" i="34"/>
  <c r="S30" i="34"/>
  <c r="R30" i="34"/>
  <c r="Q30" i="34"/>
  <c r="P30" i="34"/>
  <c r="O30" i="34"/>
  <c r="AP29" i="34"/>
  <c r="AL29" i="34"/>
  <c r="AP28" i="34"/>
  <c r="AL28" i="34"/>
  <c r="AP27" i="34"/>
  <c r="AL27" i="34"/>
  <c r="AP26" i="34"/>
  <c r="AL26" i="34"/>
  <c r="H22" i="42"/>
  <c r="AP25" i="34"/>
  <c r="AL25" i="34"/>
  <c r="AP24" i="34"/>
  <c r="AL24" i="34"/>
  <c r="H20" i="42"/>
  <c r="AP23" i="34"/>
  <c r="AL23" i="34"/>
  <c r="AP22" i="34"/>
  <c r="AL22" i="34"/>
  <c r="H18" i="42"/>
  <c r="AP21" i="34"/>
  <c r="AL21" i="34"/>
  <c r="AP20" i="34"/>
  <c r="AL20" i="34"/>
  <c r="H16" i="42"/>
  <c r="E16" i="42"/>
  <c r="D16" i="42"/>
  <c r="H15" i="42"/>
  <c r="E15" i="42"/>
  <c r="D15" i="42"/>
  <c r="F15" i="42"/>
  <c r="H14" i="42"/>
  <c r="G14" i="42"/>
  <c r="E14" i="42"/>
  <c r="D14" i="42"/>
  <c r="F14" i="42"/>
  <c r="H13" i="42"/>
  <c r="G13" i="42"/>
  <c r="E13" i="42"/>
  <c r="D13" i="42"/>
  <c r="F13" i="42"/>
  <c r="H12" i="42"/>
  <c r="G12" i="42"/>
  <c r="E12" i="42"/>
  <c r="D12" i="42"/>
  <c r="F12" i="42"/>
  <c r="H11" i="42"/>
  <c r="G11" i="42"/>
  <c r="E11" i="42"/>
  <c r="D11" i="42"/>
  <c r="F11" i="42"/>
  <c r="H10" i="42"/>
  <c r="G10" i="42"/>
  <c r="E10" i="42"/>
  <c r="D10" i="42"/>
  <c r="F10" i="42"/>
  <c r="AP12" i="34"/>
  <c r="AL12" i="34"/>
  <c r="AP11" i="34"/>
  <c r="AL11" i="34"/>
  <c r="AP10" i="34"/>
  <c r="AL10" i="34"/>
  <c r="AP9" i="34"/>
  <c r="AL9" i="34"/>
  <c r="AP8" i="34"/>
  <c r="AL8" i="34"/>
  <c r="B8" i="34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AP7" i="34"/>
  <c r="AL7" i="34"/>
  <c r="S1" i="34"/>
  <c r="F2" i="42" s="1"/>
  <c r="P1" i="41"/>
  <c r="F84" i="36"/>
  <c r="F16" i="42"/>
  <c r="G16" i="42"/>
  <c r="L29" i="16"/>
  <c r="K29" i="16"/>
  <c r="J29" i="16"/>
  <c r="L28" i="16"/>
  <c r="K28" i="16"/>
  <c r="J28" i="16"/>
  <c r="J25" i="16"/>
  <c r="J24" i="16"/>
  <c r="J23" i="16"/>
  <c r="J22" i="16"/>
  <c r="J19" i="16"/>
  <c r="J18" i="16"/>
  <c r="J17" i="16"/>
  <c r="J16" i="16"/>
  <c r="J14" i="16"/>
  <c r="J13" i="16"/>
  <c r="J12" i="16"/>
  <c r="J11" i="16"/>
  <c r="J10" i="16"/>
  <c r="J9" i="16"/>
  <c r="J8" i="16"/>
  <c r="J6" i="16"/>
  <c r="J4" i="16"/>
  <c r="J3" i="16"/>
  <c r="AH30" i="15"/>
  <c r="AH29" i="15"/>
  <c r="AK29" i="15" s="1"/>
  <c r="AH28" i="15"/>
  <c r="E28" i="16" s="1"/>
  <c r="AH27" i="15"/>
  <c r="E27" i="16" s="1"/>
  <c r="AH26" i="15"/>
  <c r="AK26" i="15" s="1"/>
  <c r="AH25" i="15"/>
  <c r="AK25" i="15" s="1"/>
  <c r="AH24" i="15"/>
  <c r="E24" i="16" s="1"/>
  <c r="AH23" i="15"/>
  <c r="E23" i="16" s="1"/>
  <c r="M23" i="16" s="1"/>
  <c r="AH22" i="15"/>
  <c r="E22" i="16" s="1"/>
  <c r="M22" i="16" s="1"/>
  <c r="AH21" i="15"/>
  <c r="E21" i="16" s="1"/>
  <c r="F21" i="16" s="1"/>
  <c r="H21" i="16" s="1"/>
  <c r="P21" i="16" s="1"/>
  <c r="AH20" i="15"/>
  <c r="E20" i="16" s="1"/>
  <c r="AH19" i="15"/>
  <c r="E19" i="16" s="1"/>
  <c r="AH18" i="15"/>
  <c r="E18" i="16" s="1"/>
  <c r="AH17" i="15"/>
  <c r="E17" i="16" s="1"/>
  <c r="AH16" i="15"/>
  <c r="AK16" i="15" s="1"/>
  <c r="AH15" i="15"/>
  <c r="E15" i="16" s="1"/>
  <c r="F15" i="16" s="1"/>
  <c r="H15" i="16" s="1"/>
  <c r="P15" i="16" s="1"/>
  <c r="AH14" i="15"/>
  <c r="E14" i="16" s="1"/>
  <c r="H13" i="16"/>
  <c r="P13" i="16" s="1"/>
  <c r="AH12" i="15"/>
  <c r="AK12" i="15" s="1"/>
  <c r="AH11" i="15"/>
  <c r="AK11" i="15" s="1"/>
  <c r="AH10" i="15"/>
  <c r="AK10" i="15" s="1"/>
  <c r="AH9" i="15"/>
  <c r="E9" i="16" s="1"/>
  <c r="M9" i="16" s="1"/>
  <c r="AH8" i="15"/>
  <c r="E8" i="16" s="1"/>
  <c r="M8" i="16" s="1"/>
  <c r="AH7" i="15"/>
  <c r="E7" i="16" s="1"/>
  <c r="M7" i="16" s="1"/>
  <c r="AH6" i="15"/>
  <c r="E6" i="16" s="1"/>
  <c r="F6" i="16" s="1"/>
  <c r="H6" i="16" s="1"/>
  <c r="P6" i="16" s="1"/>
  <c r="AH4" i="15"/>
  <c r="E4" i="16" s="1"/>
  <c r="F4" i="16" s="1"/>
  <c r="H4" i="16" s="1"/>
  <c r="P4" i="16" s="1"/>
  <c r="Q48" i="13"/>
  <c r="S48" i="13" s="1"/>
  <c r="Q47" i="13"/>
  <c r="S47" i="13" s="1"/>
  <c r="Q46" i="13"/>
  <c r="S46" i="13" s="1"/>
  <c r="N42" i="13"/>
  <c r="P41" i="13"/>
  <c r="O41" i="13"/>
  <c r="P40" i="13"/>
  <c r="O40" i="13"/>
  <c r="P39" i="13"/>
  <c r="O39" i="13"/>
  <c r="P38" i="13"/>
  <c r="O38" i="13"/>
  <c r="P37" i="13"/>
  <c r="O37" i="13"/>
  <c r="P36" i="13"/>
  <c r="O36" i="13"/>
  <c r="P35" i="13"/>
  <c r="O35" i="13"/>
  <c r="P34" i="13"/>
  <c r="O34" i="13"/>
  <c r="P33" i="13"/>
  <c r="O33" i="13"/>
  <c r="P32" i="13"/>
  <c r="O32" i="13"/>
  <c r="P31" i="13"/>
  <c r="O31" i="13"/>
  <c r="P30" i="13"/>
  <c r="O30" i="13"/>
  <c r="P29" i="13"/>
  <c r="O29" i="13"/>
  <c r="P28" i="13"/>
  <c r="O28" i="13"/>
  <c r="P27" i="13"/>
  <c r="O27" i="13"/>
  <c r="P26" i="13"/>
  <c r="O26" i="13"/>
  <c r="P25" i="13"/>
  <c r="O25" i="13"/>
  <c r="P24" i="13"/>
  <c r="O24" i="13"/>
  <c r="P23" i="13"/>
  <c r="O23" i="13"/>
  <c r="P22" i="13"/>
  <c r="O22" i="13"/>
  <c r="P21" i="13"/>
  <c r="O21" i="13"/>
  <c r="P20" i="13"/>
  <c r="O20" i="13"/>
  <c r="P19" i="13"/>
  <c r="O19" i="13"/>
  <c r="W18" i="13"/>
  <c r="P18" i="13"/>
  <c r="O18" i="13"/>
  <c r="P17" i="13"/>
  <c r="O17" i="13"/>
  <c r="P16" i="13"/>
  <c r="O16" i="13"/>
  <c r="P15" i="13"/>
  <c r="O15" i="13"/>
  <c r="P14" i="13"/>
  <c r="O14" i="13"/>
  <c r="P13" i="13"/>
  <c r="O13" i="13"/>
  <c r="P12" i="13"/>
  <c r="O12" i="13"/>
  <c r="P11" i="13"/>
  <c r="O11" i="13"/>
  <c r="I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D24" i="20"/>
  <c r="C24" i="20"/>
  <c r="J23" i="20"/>
  <c r="J22" i="20"/>
  <c r="J20" i="20"/>
  <c r="J19" i="20"/>
  <c r="J18" i="20"/>
  <c r="J17" i="20"/>
  <c r="J16" i="20"/>
  <c r="J15" i="20"/>
  <c r="R52" i="33"/>
  <c r="E52" i="33"/>
  <c r="T51" i="33"/>
  <c r="T50" i="33"/>
  <c r="E50" i="33"/>
  <c r="T49" i="33"/>
  <c r="T48" i="33"/>
  <c r="T47" i="33"/>
  <c r="L47" i="33"/>
  <c r="K47" i="33"/>
  <c r="J47" i="33"/>
  <c r="H47" i="33"/>
  <c r="F47" i="33"/>
  <c r="T46" i="33"/>
  <c r="M46" i="33"/>
  <c r="G46" i="33"/>
  <c r="T45" i="33"/>
  <c r="M45" i="33"/>
  <c r="G45" i="33"/>
  <c r="T44" i="33"/>
  <c r="M44" i="33"/>
  <c r="G44" i="33"/>
  <c r="T43" i="33"/>
  <c r="M43" i="33"/>
  <c r="G43" i="33"/>
  <c r="T42" i="33"/>
  <c r="M42" i="33"/>
  <c r="G42" i="33"/>
  <c r="T41" i="33"/>
  <c r="M41" i="33"/>
  <c r="G41" i="33"/>
  <c r="T40" i="33"/>
  <c r="M40" i="33"/>
  <c r="T39" i="33"/>
  <c r="M39" i="33"/>
  <c r="T38" i="33"/>
  <c r="M38" i="33"/>
  <c r="G38" i="33"/>
  <c r="T37" i="33"/>
  <c r="M37" i="33"/>
  <c r="G37" i="33"/>
  <c r="T36" i="33"/>
  <c r="M36" i="33"/>
  <c r="G36" i="33"/>
  <c r="T35" i="33"/>
  <c r="M35" i="33"/>
  <c r="G35" i="33"/>
  <c r="T34" i="33"/>
  <c r="M34" i="33"/>
  <c r="G34" i="33"/>
  <c r="T33" i="33"/>
  <c r="M33" i="33"/>
  <c r="G33" i="33"/>
  <c r="T32" i="33"/>
  <c r="M32" i="33"/>
  <c r="G32" i="33"/>
  <c r="T31" i="33"/>
  <c r="M31" i="33"/>
  <c r="G31" i="33"/>
  <c r="T30" i="33"/>
  <c r="M30" i="33"/>
  <c r="G30" i="33"/>
  <c r="T29" i="33"/>
  <c r="M29" i="33"/>
  <c r="G29" i="33"/>
  <c r="T28" i="33"/>
  <c r="M28" i="33"/>
  <c r="G28" i="33"/>
  <c r="T27" i="33"/>
  <c r="M27" i="33"/>
  <c r="T26" i="33"/>
  <c r="M26" i="33"/>
  <c r="G26" i="33"/>
  <c r="T25" i="33"/>
  <c r="M25" i="33"/>
  <c r="G25" i="33"/>
  <c r="T24" i="33"/>
  <c r="M24" i="33"/>
  <c r="G24" i="33"/>
  <c r="T23" i="33"/>
  <c r="M23" i="33"/>
  <c r="G23" i="33"/>
  <c r="T22" i="33"/>
  <c r="T52" i="33" s="1"/>
  <c r="M22" i="33"/>
  <c r="G22" i="33"/>
  <c r="T21" i="33"/>
  <c r="M21" i="33"/>
  <c r="G21" i="33"/>
  <c r="M20" i="33"/>
  <c r="G20" i="33"/>
  <c r="M19" i="33"/>
  <c r="G19" i="33"/>
  <c r="M18" i="33"/>
  <c r="G18" i="33"/>
  <c r="M17" i="33"/>
  <c r="G17" i="33"/>
  <c r="G47" i="33" s="1"/>
  <c r="D17" i="33"/>
  <c r="D18" i="33" s="1"/>
  <c r="D19" i="33" s="1"/>
  <c r="D20" i="33" s="1"/>
  <c r="D21" i="33" s="1"/>
  <c r="D22" i="33" s="1"/>
  <c r="D23" i="33" s="1"/>
  <c r="D24" i="33" s="1"/>
  <c r="D25" i="33" s="1"/>
  <c r="D26" i="33" s="1"/>
  <c r="D27" i="33" s="1"/>
  <c r="D28" i="33" s="1"/>
  <c r="D29" i="33" s="1"/>
  <c r="D30" i="33" s="1"/>
  <c r="D31" i="33" s="1"/>
  <c r="D32" i="33" s="1"/>
  <c r="D33" i="33" s="1"/>
  <c r="D34" i="33" s="1"/>
  <c r="D35" i="33" s="1"/>
  <c r="D36" i="33" s="1"/>
  <c r="D37" i="33" s="1"/>
  <c r="D38" i="33" s="1"/>
  <c r="D39" i="33" s="1"/>
  <c r="D40" i="33" s="1"/>
  <c r="D41" i="33" s="1"/>
  <c r="D42" i="33" s="1"/>
  <c r="D43" i="33" s="1"/>
  <c r="D44" i="33" s="1"/>
  <c r="D45" i="33" s="1"/>
  <c r="D46" i="33" s="1"/>
  <c r="N16" i="33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G52" i="33"/>
  <c r="G50" i="33"/>
  <c r="M16" i="33"/>
  <c r="M47" i="33"/>
  <c r="G16" i="33"/>
  <c r="R52" i="40"/>
  <c r="E52" i="40"/>
  <c r="G52" i="40"/>
  <c r="T51" i="40"/>
  <c r="T50" i="40"/>
  <c r="E50" i="40"/>
  <c r="G50" i="40"/>
  <c r="T49" i="40"/>
  <c r="T48" i="40"/>
  <c r="T47" i="40"/>
  <c r="L47" i="40"/>
  <c r="K47" i="40"/>
  <c r="J47" i="40"/>
  <c r="H47" i="40"/>
  <c r="F47" i="40"/>
  <c r="T46" i="40"/>
  <c r="M46" i="40"/>
  <c r="T45" i="40"/>
  <c r="M45" i="40"/>
  <c r="T44" i="40"/>
  <c r="M44" i="40"/>
  <c r="T43" i="40"/>
  <c r="M43" i="40"/>
  <c r="T42" i="40"/>
  <c r="M42" i="40"/>
  <c r="T41" i="40"/>
  <c r="M41" i="40"/>
  <c r="T40" i="40"/>
  <c r="M40" i="40"/>
  <c r="T39" i="40"/>
  <c r="M39" i="40"/>
  <c r="T38" i="40"/>
  <c r="M38" i="40"/>
  <c r="G38" i="40"/>
  <c r="T37" i="40"/>
  <c r="M37" i="40"/>
  <c r="G37" i="40"/>
  <c r="T36" i="40"/>
  <c r="M36" i="40"/>
  <c r="G36" i="40"/>
  <c r="T35" i="40"/>
  <c r="M35" i="40"/>
  <c r="G35" i="40"/>
  <c r="T34" i="40"/>
  <c r="M34" i="40"/>
  <c r="G34" i="40"/>
  <c r="T33" i="40"/>
  <c r="M33" i="40"/>
  <c r="G33" i="40"/>
  <c r="T32" i="40"/>
  <c r="M32" i="40"/>
  <c r="G32" i="40"/>
  <c r="T31" i="40"/>
  <c r="M31" i="40"/>
  <c r="G31" i="40"/>
  <c r="T30" i="40"/>
  <c r="M30" i="40"/>
  <c r="G30" i="40"/>
  <c r="T29" i="40"/>
  <c r="M29" i="40"/>
  <c r="G29" i="40"/>
  <c r="T28" i="40"/>
  <c r="M28" i="40"/>
  <c r="G28" i="40"/>
  <c r="T27" i="40"/>
  <c r="M27" i="40"/>
  <c r="T26" i="40"/>
  <c r="M26" i="40"/>
  <c r="G26" i="40"/>
  <c r="T25" i="40"/>
  <c r="M25" i="40"/>
  <c r="G25" i="40"/>
  <c r="T24" i="40"/>
  <c r="M24" i="40"/>
  <c r="G24" i="40"/>
  <c r="T23" i="40"/>
  <c r="M23" i="40"/>
  <c r="G23" i="40"/>
  <c r="T22" i="40"/>
  <c r="M22" i="40"/>
  <c r="G22" i="40"/>
  <c r="T21" i="40"/>
  <c r="M21" i="40"/>
  <c r="G21" i="40"/>
  <c r="M20" i="40"/>
  <c r="G20" i="40"/>
  <c r="M19" i="40"/>
  <c r="G19" i="40"/>
  <c r="M18" i="40"/>
  <c r="G18" i="40"/>
  <c r="M17" i="40"/>
  <c r="G17" i="40"/>
  <c r="D17" i="40"/>
  <c r="D18" i="40" s="1"/>
  <c r="D19" i="40" s="1"/>
  <c r="D20" i="40" s="1"/>
  <c r="D21" i="40" s="1"/>
  <c r="D22" i="40" s="1"/>
  <c r="D23" i="40" s="1"/>
  <c r="D24" i="40" s="1"/>
  <c r="D25" i="40" s="1"/>
  <c r="D26" i="40" s="1"/>
  <c r="D27" i="40" s="1"/>
  <c r="D28" i="40" s="1"/>
  <c r="D29" i="40" s="1"/>
  <c r="D30" i="40" s="1"/>
  <c r="D31" i="40" s="1"/>
  <c r="D32" i="40" s="1"/>
  <c r="D33" i="40" s="1"/>
  <c r="D34" i="40" s="1"/>
  <c r="D35" i="40" s="1"/>
  <c r="D36" i="40" s="1"/>
  <c r="D37" i="40" s="1"/>
  <c r="D38" i="40" s="1"/>
  <c r="D39" i="40" s="1"/>
  <c r="D40" i="40" s="1"/>
  <c r="D41" i="40" s="1"/>
  <c r="D42" i="40" s="1"/>
  <c r="D43" i="40" s="1"/>
  <c r="D44" i="40" s="1"/>
  <c r="D45" i="40" s="1"/>
  <c r="D46" i="40" s="1"/>
  <c r="N16" i="40"/>
  <c r="M16" i="40"/>
  <c r="M47" i="40" s="1"/>
  <c r="G16" i="40"/>
  <c r="N17" i="40"/>
  <c r="N18" i="40" s="1"/>
  <c r="N19" i="40" s="1"/>
  <c r="N20" i="40" s="1"/>
  <c r="N21" i="40" s="1"/>
  <c r="N22" i="40" s="1"/>
  <c r="N23" i="40" s="1"/>
  <c r="N24" i="40" s="1"/>
  <c r="N25" i="40" s="1"/>
  <c r="N26" i="40" s="1"/>
  <c r="N27" i="40" s="1"/>
  <c r="N28" i="40" s="1"/>
  <c r="N29" i="40" s="1"/>
  <c r="N30" i="40" s="1"/>
  <c r="N31" i="40" s="1"/>
  <c r="N32" i="40" s="1"/>
  <c r="N33" i="40" s="1"/>
  <c r="N34" i="40" s="1"/>
  <c r="N35" i="40" s="1"/>
  <c r="N36" i="40" s="1"/>
  <c r="N37" i="40" s="1"/>
  <c r="N38" i="40" s="1"/>
  <c r="N39" i="40" s="1"/>
  <c r="N40" i="40" s="1"/>
  <c r="N41" i="40" s="1"/>
  <c r="N42" i="40" s="1"/>
  <c r="N43" i="40" s="1"/>
  <c r="N44" i="40" s="1"/>
  <c r="N45" i="40" s="1"/>
  <c r="N46" i="40" s="1"/>
  <c r="G47" i="40"/>
  <c r="D115" i="23"/>
  <c r="D85" i="23"/>
  <c r="E67" i="23"/>
  <c r="D67" i="23"/>
  <c r="C67" i="23"/>
  <c r="C21" i="23"/>
  <c r="C8" i="23"/>
  <c r="E7" i="23"/>
  <c r="E6" i="23"/>
  <c r="E5" i="23"/>
  <c r="W38" i="12"/>
  <c r="D85" i="45" s="1"/>
  <c r="R38" i="12"/>
  <c r="G76" i="45" s="1"/>
  <c r="J76" i="45" s="1"/>
  <c r="D76" i="45" s="1"/>
  <c r="Q38" i="12"/>
  <c r="G75" i="45" s="1"/>
  <c r="M38" i="12"/>
  <c r="M40" i="12" s="1"/>
  <c r="C76" i="23"/>
  <c r="C77" i="23" s="1"/>
  <c r="C78" i="23" s="1"/>
  <c r="I38" i="12"/>
  <c r="H35" i="12"/>
  <c r="G35" i="12"/>
  <c r="H33" i="12"/>
  <c r="G33" i="12"/>
  <c r="H31" i="12"/>
  <c r="G31" i="12"/>
  <c r="F31" i="12"/>
  <c r="E31" i="12"/>
  <c r="G30" i="12"/>
  <c r="F30" i="12"/>
  <c r="E30" i="12"/>
  <c r="H29" i="12"/>
  <c r="G29" i="12"/>
  <c r="F29" i="12"/>
  <c r="E29" i="12"/>
  <c r="H28" i="12"/>
  <c r="G28" i="12"/>
  <c r="F28" i="12"/>
  <c r="E28" i="12"/>
  <c r="H27" i="12"/>
  <c r="G27" i="12"/>
  <c r="F27" i="12"/>
  <c r="E27" i="12"/>
  <c r="H26" i="12"/>
  <c r="F26" i="12"/>
  <c r="E26" i="12"/>
  <c r="H25" i="12"/>
  <c r="G25" i="12"/>
  <c r="F25" i="12"/>
  <c r="E25" i="12"/>
  <c r="E24" i="12"/>
  <c r="H23" i="12"/>
  <c r="F23" i="12"/>
  <c r="E23" i="12"/>
  <c r="E22" i="12"/>
  <c r="H21" i="12"/>
  <c r="F21" i="12"/>
  <c r="E21" i="12"/>
  <c r="H20" i="12"/>
  <c r="F20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K30" i="39"/>
  <c r="G29" i="39"/>
  <c r="K27" i="39"/>
  <c r="I27" i="39"/>
  <c r="H27" i="39"/>
  <c r="J26" i="39"/>
  <c r="I26" i="39"/>
  <c r="H26" i="39"/>
  <c r="G26" i="39"/>
  <c r="F26" i="39"/>
  <c r="E26" i="39"/>
  <c r="D26" i="39"/>
  <c r="C26" i="39"/>
  <c r="B26" i="39"/>
  <c r="J25" i="39"/>
  <c r="I25" i="39"/>
  <c r="H25" i="39"/>
  <c r="G25" i="39"/>
  <c r="F25" i="39"/>
  <c r="E25" i="39"/>
  <c r="D25" i="39"/>
  <c r="C25" i="39"/>
  <c r="B25" i="39"/>
  <c r="J24" i="39"/>
  <c r="I24" i="39"/>
  <c r="H24" i="39"/>
  <c r="G24" i="39"/>
  <c r="F24" i="39"/>
  <c r="E24" i="39"/>
  <c r="D24" i="39"/>
  <c r="C24" i="39"/>
  <c r="B24" i="39"/>
  <c r="J23" i="39"/>
  <c r="I23" i="39"/>
  <c r="H23" i="39"/>
  <c r="G23" i="39"/>
  <c r="F23" i="39"/>
  <c r="E23" i="39"/>
  <c r="D23" i="39"/>
  <c r="C23" i="39"/>
  <c r="B23" i="39"/>
  <c r="J22" i="39"/>
  <c r="I22" i="39"/>
  <c r="H22" i="39"/>
  <c r="G22" i="39"/>
  <c r="F22" i="39"/>
  <c r="E22" i="39"/>
  <c r="D22" i="39"/>
  <c r="C22" i="39"/>
  <c r="B22" i="39"/>
  <c r="J21" i="39"/>
  <c r="I21" i="39"/>
  <c r="H21" i="39"/>
  <c r="G21" i="39"/>
  <c r="F21" i="39"/>
  <c r="E21" i="39"/>
  <c r="D21" i="39"/>
  <c r="C21" i="39"/>
  <c r="B21" i="39"/>
  <c r="J20" i="39"/>
  <c r="I20" i="39"/>
  <c r="H20" i="39"/>
  <c r="G20" i="39"/>
  <c r="F20" i="39"/>
  <c r="E20" i="39"/>
  <c r="D20" i="39"/>
  <c r="C20" i="39"/>
  <c r="B20" i="39"/>
  <c r="J19" i="39"/>
  <c r="I19" i="39"/>
  <c r="H19" i="39"/>
  <c r="G19" i="39"/>
  <c r="F19" i="39"/>
  <c r="E19" i="39"/>
  <c r="D19" i="39"/>
  <c r="C19" i="39"/>
  <c r="B19" i="39"/>
  <c r="J18" i="39"/>
  <c r="I18" i="39"/>
  <c r="H18" i="39"/>
  <c r="G18" i="39"/>
  <c r="F18" i="39"/>
  <c r="E18" i="39"/>
  <c r="D18" i="39"/>
  <c r="C18" i="39"/>
  <c r="B18" i="39"/>
  <c r="J17" i="39"/>
  <c r="I17" i="39"/>
  <c r="H17" i="39"/>
  <c r="G17" i="39"/>
  <c r="F17" i="39"/>
  <c r="E17" i="39"/>
  <c r="D17" i="39"/>
  <c r="C17" i="39"/>
  <c r="B17" i="39"/>
  <c r="J16" i="39"/>
  <c r="I16" i="39"/>
  <c r="H16" i="39"/>
  <c r="G16" i="39"/>
  <c r="F16" i="39"/>
  <c r="E16" i="39"/>
  <c r="D16" i="39"/>
  <c r="C16" i="39"/>
  <c r="B16" i="39"/>
  <c r="J15" i="39"/>
  <c r="I15" i="39"/>
  <c r="H15" i="39"/>
  <c r="G15" i="39"/>
  <c r="F15" i="39"/>
  <c r="E15" i="39"/>
  <c r="D15" i="39"/>
  <c r="C15" i="39"/>
  <c r="B15" i="39"/>
  <c r="J14" i="39"/>
  <c r="I14" i="39"/>
  <c r="H14" i="39"/>
  <c r="G14" i="39"/>
  <c r="F14" i="39"/>
  <c r="E14" i="39"/>
  <c r="D14" i="39"/>
  <c r="C14" i="39"/>
  <c r="B14" i="39"/>
  <c r="J13" i="39"/>
  <c r="I13" i="39"/>
  <c r="H13" i="39"/>
  <c r="G13" i="39"/>
  <c r="F13" i="39"/>
  <c r="E13" i="39"/>
  <c r="D13" i="39"/>
  <c r="C13" i="39"/>
  <c r="B13" i="39"/>
  <c r="J12" i="39"/>
  <c r="I12" i="39"/>
  <c r="H12" i="39"/>
  <c r="G12" i="39"/>
  <c r="F12" i="39"/>
  <c r="E12" i="39"/>
  <c r="D12" i="39"/>
  <c r="C12" i="39"/>
  <c r="B12" i="39"/>
  <c r="J11" i="39"/>
  <c r="I11" i="39"/>
  <c r="H11" i="39"/>
  <c r="G11" i="39"/>
  <c r="F11" i="39"/>
  <c r="E11" i="39"/>
  <c r="D11" i="39"/>
  <c r="C11" i="39"/>
  <c r="B11" i="39"/>
  <c r="J10" i="39"/>
  <c r="I10" i="39"/>
  <c r="H10" i="39"/>
  <c r="G10" i="39"/>
  <c r="F10" i="39"/>
  <c r="E10" i="39"/>
  <c r="D10" i="39"/>
  <c r="C10" i="39"/>
  <c r="B10" i="39"/>
  <c r="J9" i="39"/>
  <c r="I9" i="39"/>
  <c r="H9" i="39"/>
  <c r="G9" i="39"/>
  <c r="F9" i="39"/>
  <c r="E9" i="39"/>
  <c r="D9" i="39"/>
  <c r="C9" i="39"/>
  <c r="B9" i="39"/>
  <c r="J8" i="39"/>
  <c r="I8" i="39"/>
  <c r="H8" i="39"/>
  <c r="G8" i="39"/>
  <c r="F8" i="39"/>
  <c r="E8" i="39"/>
  <c r="D8" i="39"/>
  <c r="C8" i="39"/>
  <c r="B8" i="39"/>
  <c r="J7" i="39"/>
  <c r="I7" i="39"/>
  <c r="H7" i="39"/>
  <c r="G7" i="39"/>
  <c r="F7" i="39"/>
  <c r="E7" i="39"/>
  <c r="D7" i="39"/>
  <c r="C7" i="39"/>
  <c r="B7" i="39"/>
  <c r="J6" i="39"/>
  <c r="I6" i="39"/>
  <c r="H6" i="39"/>
  <c r="G6" i="39"/>
  <c r="F6" i="39"/>
  <c r="E6" i="39"/>
  <c r="D6" i="39"/>
  <c r="C6" i="39"/>
  <c r="B6" i="39"/>
  <c r="J5" i="39"/>
  <c r="I5" i="39"/>
  <c r="H5" i="39"/>
  <c r="G5" i="39"/>
  <c r="F5" i="39"/>
  <c r="E5" i="39"/>
  <c r="D5" i="39"/>
  <c r="C5" i="39"/>
  <c r="B5" i="39"/>
  <c r="J4" i="39"/>
  <c r="I4" i="39"/>
  <c r="H4" i="39"/>
  <c r="G4" i="39"/>
  <c r="F4" i="39"/>
  <c r="E4" i="39"/>
  <c r="D4" i="39"/>
  <c r="C4" i="39"/>
  <c r="B4" i="39"/>
  <c r="N3" i="39"/>
  <c r="N4" i="39"/>
  <c r="N5" i="39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N16" i="39" s="1"/>
  <c r="N17" i="39" s="1"/>
  <c r="N18" i="39" s="1"/>
  <c r="N19" i="39" s="1"/>
  <c r="N20" i="39" s="1"/>
  <c r="N21" i="39" s="1"/>
  <c r="N22" i="39" s="1"/>
  <c r="N23" i="39" s="1"/>
  <c r="N24" i="39" s="1"/>
  <c r="N25" i="39" s="1"/>
  <c r="N26" i="39" s="1"/>
  <c r="N27" i="39" s="1"/>
  <c r="N28" i="39" s="1"/>
  <c r="N29" i="39" s="1"/>
  <c r="N30" i="39" s="1"/>
  <c r="F2" i="39"/>
  <c r="D2" i="39"/>
  <c r="F1" i="39"/>
  <c r="AG30" i="38"/>
  <c r="AF30" i="38"/>
  <c r="AE30" i="38"/>
  <c r="AD30" i="38"/>
  <c r="AC30" i="38"/>
  <c r="AB30" i="38"/>
  <c r="AA30" i="38"/>
  <c r="Z30" i="38"/>
  <c r="Y30" i="38"/>
  <c r="X30" i="38"/>
  <c r="W30" i="38"/>
  <c r="V30" i="38"/>
  <c r="U30" i="38"/>
  <c r="T30" i="38"/>
  <c r="S30" i="38"/>
  <c r="R30" i="38"/>
  <c r="Q30" i="38"/>
  <c r="P30" i="38"/>
  <c r="N30" i="38"/>
  <c r="M30" i="38"/>
  <c r="L30" i="38"/>
  <c r="K30" i="38"/>
  <c r="J30" i="38"/>
  <c r="I30" i="38"/>
  <c r="H30" i="38"/>
  <c r="G30" i="38"/>
  <c r="F30" i="38"/>
  <c r="E30" i="38"/>
  <c r="D30" i="38"/>
  <c r="C30" i="38"/>
  <c r="AH29" i="38"/>
  <c r="B29" i="38"/>
  <c r="AH28" i="38"/>
  <c r="B28" i="38"/>
  <c r="AH27" i="38"/>
  <c r="B27" i="38"/>
  <c r="AH26" i="38"/>
  <c r="B26" i="38"/>
  <c r="AH25" i="38"/>
  <c r="B25" i="38"/>
  <c r="AH24" i="38"/>
  <c r="B24" i="38"/>
  <c r="AH23" i="38"/>
  <c r="B23" i="38"/>
  <c r="AH22" i="38"/>
  <c r="B22" i="38"/>
  <c r="AH21" i="38"/>
  <c r="B21" i="38"/>
  <c r="AH20" i="38"/>
  <c r="B20" i="38"/>
  <c r="AH19" i="38"/>
  <c r="B19" i="38"/>
  <c r="AH18" i="38"/>
  <c r="AH17" i="38"/>
  <c r="AH16" i="38"/>
  <c r="AH15" i="38"/>
  <c r="AH14" i="38"/>
  <c r="AH13" i="38"/>
  <c r="AH12" i="38"/>
  <c r="AH11" i="38"/>
  <c r="AH10" i="38"/>
  <c r="AH9" i="38"/>
  <c r="AH8" i="38"/>
  <c r="AH7" i="38"/>
  <c r="L1" i="38"/>
  <c r="P1" i="38" s="1"/>
  <c r="D1" i="38"/>
  <c r="L33" i="37"/>
  <c r="K33" i="37"/>
  <c r="J33" i="37"/>
  <c r="I33" i="37"/>
  <c r="H33" i="37"/>
  <c r="G33" i="37"/>
  <c r="F33" i="37"/>
  <c r="AI30" i="37"/>
  <c r="AH30" i="37"/>
  <c r="AG30" i="37"/>
  <c r="AF30" i="37"/>
  <c r="AE30" i="37"/>
  <c r="AD30" i="37"/>
  <c r="AC30" i="37"/>
  <c r="AB30" i="37"/>
  <c r="AA30" i="37"/>
  <c r="Z30" i="37"/>
  <c r="Y30" i="37"/>
  <c r="X30" i="37"/>
  <c r="W30" i="37"/>
  <c r="V30" i="37"/>
  <c r="U30" i="37"/>
  <c r="T30" i="37"/>
  <c r="S30" i="37"/>
  <c r="R30" i="37"/>
  <c r="Q30" i="37"/>
  <c r="P30" i="37"/>
  <c r="O30" i="37"/>
  <c r="N30" i="37"/>
  <c r="M30" i="37"/>
  <c r="L30" i="37"/>
  <c r="K30" i="37"/>
  <c r="J30" i="37"/>
  <c r="I30" i="37"/>
  <c r="H30" i="37"/>
  <c r="G30" i="37"/>
  <c r="F30" i="37"/>
  <c r="E30" i="37"/>
  <c r="AQ29" i="37"/>
  <c r="AP29" i="37"/>
  <c r="AO29" i="37"/>
  <c r="AN29" i="37"/>
  <c r="AM29" i="37"/>
  <c r="AL29" i="37"/>
  <c r="AK29" i="37"/>
  <c r="AJ29" i="37"/>
  <c r="AQ28" i="37"/>
  <c r="AP28" i="37"/>
  <c r="AO28" i="37"/>
  <c r="AN28" i="37"/>
  <c r="AM28" i="37"/>
  <c r="AL28" i="37"/>
  <c r="AK28" i="37"/>
  <c r="AJ28" i="37"/>
  <c r="AQ27" i="37"/>
  <c r="AP27" i="37"/>
  <c r="AO27" i="37"/>
  <c r="AN27" i="37"/>
  <c r="AM27" i="37"/>
  <c r="AL27" i="37"/>
  <c r="AK27" i="37"/>
  <c r="AJ27" i="37"/>
  <c r="AQ26" i="37"/>
  <c r="AP26" i="37"/>
  <c r="AO26" i="37"/>
  <c r="AN26" i="37"/>
  <c r="AM26" i="37"/>
  <c r="AL26" i="37"/>
  <c r="AK26" i="37"/>
  <c r="AJ26" i="37"/>
  <c r="AQ25" i="37"/>
  <c r="AP25" i="37"/>
  <c r="AO25" i="37"/>
  <c r="AN25" i="37"/>
  <c r="AM25" i="37"/>
  <c r="AL25" i="37"/>
  <c r="AK25" i="37"/>
  <c r="AJ25" i="37"/>
  <c r="AQ24" i="37"/>
  <c r="AP24" i="37"/>
  <c r="AO24" i="37"/>
  <c r="AN24" i="37"/>
  <c r="AM24" i="37"/>
  <c r="AL24" i="37"/>
  <c r="AK24" i="37"/>
  <c r="AJ24" i="37"/>
  <c r="AQ23" i="37"/>
  <c r="AP23" i="37"/>
  <c r="AO23" i="37"/>
  <c r="AN23" i="37"/>
  <c r="AM23" i="37"/>
  <c r="AL23" i="37"/>
  <c r="AK23" i="37"/>
  <c r="AJ23" i="37"/>
  <c r="AQ22" i="37"/>
  <c r="AP22" i="37"/>
  <c r="AO22" i="37"/>
  <c r="AN22" i="37"/>
  <c r="AM22" i="37"/>
  <c r="AL22" i="37"/>
  <c r="AK22" i="37"/>
  <c r="AJ22" i="37"/>
  <c r="AQ21" i="37"/>
  <c r="AP21" i="37"/>
  <c r="AO21" i="37"/>
  <c r="AN21" i="37"/>
  <c r="AM21" i="37"/>
  <c r="AL21" i="37"/>
  <c r="AK21" i="37"/>
  <c r="AJ21" i="37"/>
  <c r="AQ20" i="37"/>
  <c r="AP20" i="37"/>
  <c r="AO20" i="37"/>
  <c r="AN20" i="37"/>
  <c r="AM20" i="37"/>
  <c r="AL20" i="37"/>
  <c r="AK20" i="37"/>
  <c r="AJ20" i="37"/>
  <c r="AQ19" i="37"/>
  <c r="AP19" i="37"/>
  <c r="AO19" i="37"/>
  <c r="AN19" i="37"/>
  <c r="AM19" i="37"/>
  <c r="AL19" i="37"/>
  <c r="AK19" i="37"/>
  <c r="AJ19" i="37"/>
  <c r="AQ18" i="37"/>
  <c r="AP18" i="37"/>
  <c r="AO18" i="37"/>
  <c r="AN18" i="37"/>
  <c r="AM18" i="37"/>
  <c r="AL18" i="37"/>
  <c r="AK18" i="37"/>
  <c r="AJ18" i="37"/>
  <c r="AQ17" i="37"/>
  <c r="AP17" i="37"/>
  <c r="AO17" i="37"/>
  <c r="AN17" i="37"/>
  <c r="AM17" i="37"/>
  <c r="AL17" i="37"/>
  <c r="AK17" i="37"/>
  <c r="AJ17" i="37"/>
  <c r="AQ16" i="37"/>
  <c r="AP16" i="37"/>
  <c r="AO16" i="37"/>
  <c r="AN16" i="37"/>
  <c r="AM16" i="37"/>
  <c r="AL16" i="37"/>
  <c r="AK16" i="37"/>
  <c r="AJ16" i="37"/>
  <c r="AQ15" i="37"/>
  <c r="AP15" i="37"/>
  <c r="AO15" i="37"/>
  <c r="AN15" i="37"/>
  <c r="AM15" i="37"/>
  <c r="AL15" i="37"/>
  <c r="AK15" i="37"/>
  <c r="AJ15" i="37"/>
  <c r="AQ14" i="37"/>
  <c r="AP14" i="37"/>
  <c r="AO14" i="37"/>
  <c r="AN14" i="37"/>
  <c r="AM14" i="37"/>
  <c r="AL14" i="37"/>
  <c r="AK14" i="37"/>
  <c r="AJ14" i="37"/>
  <c r="AQ13" i="37"/>
  <c r="AP13" i="37"/>
  <c r="AO13" i="37"/>
  <c r="AN13" i="37"/>
  <c r="AM13" i="37"/>
  <c r="AL13" i="37"/>
  <c r="AK13" i="37"/>
  <c r="AJ13" i="37"/>
  <c r="AQ12" i="37"/>
  <c r="AP12" i="37"/>
  <c r="AO12" i="37"/>
  <c r="AN12" i="37"/>
  <c r="AM12" i="37"/>
  <c r="AL12" i="37"/>
  <c r="AK12" i="37"/>
  <c r="AJ12" i="37"/>
  <c r="AQ11" i="37"/>
  <c r="AP11" i="37"/>
  <c r="AO11" i="37"/>
  <c r="AN11" i="37"/>
  <c r="AM11" i="37"/>
  <c r="AL11" i="37"/>
  <c r="AK11" i="37"/>
  <c r="AJ11" i="37"/>
  <c r="AQ10" i="37"/>
  <c r="AP10" i="37"/>
  <c r="AO10" i="37"/>
  <c r="AN10" i="37"/>
  <c r="AM10" i="37"/>
  <c r="AL10" i="37"/>
  <c r="AK10" i="37"/>
  <c r="AJ10" i="37"/>
  <c r="AQ9" i="37"/>
  <c r="AP9" i="37"/>
  <c r="AO9" i="37"/>
  <c r="AN9" i="37"/>
  <c r="AM9" i="37"/>
  <c r="AL9" i="37"/>
  <c r="AK9" i="37"/>
  <c r="AJ9" i="37"/>
  <c r="AQ8" i="37"/>
  <c r="AP8" i="37"/>
  <c r="AO8" i="37"/>
  <c r="AN8" i="37"/>
  <c r="AM8" i="37"/>
  <c r="AL8" i="37"/>
  <c r="AK8" i="37"/>
  <c r="AJ8" i="37"/>
  <c r="B8" i="37"/>
  <c r="B9" i="37"/>
  <c r="B10" i="37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AQ7" i="37"/>
  <c r="AP7" i="37"/>
  <c r="AO7" i="37"/>
  <c r="AN7" i="37"/>
  <c r="AM7" i="37"/>
  <c r="AL7" i="37"/>
  <c r="AK7" i="37"/>
  <c r="AJ7" i="37"/>
  <c r="H5" i="37"/>
  <c r="I5" i="37" s="1"/>
  <c r="J5" i="37" s="1"/>
  <c r="K5" i="37" s="1"/>
  <c r="L5" i="37" s="1"/>
  <c r="M5" i="37" s="1"/>
  <c r="N5" i="37" s="1"/>
  <c r="O5" i="37" s="1"/>
  <c r="P5" i="37" s="1"/>
  <c r="Q5" i="37" s="1"/>
  <c r="R5" i="37" s="1"/>
  <c r="S5" i="37" s="1"/>
  <c r="T5" i="37" s="1"/>
  <c r="U5" i="37" s="1"/>
  <c r="V5" i="37" s="1"/>
  <c r="W5" i="37" s="1"/>
  <c r="X5" i="37" s="1"/>
  <c r="Y5" i="37" s="1"/>
  <c r="Z5" i="37" s="1"/>
  <c r="AA5" i="37" s="1"/>
  <c r="AB5" i="37" s="1"/>
  <c r="AC5" i="37" s="1"/>
  <c r="AD5" i="37" s="1"/>
  <c r="AE5" i="37" s="1"/>
  <c r="AF5" i="37" s="1"/>
  <c r="AG5" i="37" s="1"/>
  <c r="AH5" i="37" s="1"/>
  <c r="AI5" i="37" s="1"/>
  <c r="E5" i="37"/>
  <c r="F5" i="37" s="1"/>
  <c r="G5" i="37" s="1"/>
  <c r="S1" i="37"/>
  <c r="L9" i="31"/>
  <c r="K9" i="31"/>
  <c r="J9" i="31"/>
  <c r="I9" i="31"/>
  <c r="G9" i="31"/>
  <c r="L8" i="31"/>
  <c r="K8" i="31"/>
  <c r="J8" i="31"/>
  <c r="I8" i="31"/>
  <c r="G8" i="31"/>
  <c r="L7" i="31"/>
  <c r="K7" i="31"/>
  <c r="G7" i="31"/>
  <c r="L6" i="31"/>
  <c r="K6" i="31"/>
  <c r="G6" i="31"/>
  <c r="L5" i="31"/>
  <c r="K5" i="31"/>
  <c r="I5" i="31"/>
  <c r="G5" i="31"/>
  <c r="K4" i="31"/>
  <c r="I4" i="31"/>
  <c r="G4" i="31"/>
  <c r="E4" i="31"/>
  <c r="L3" i="31"/>
  <c r="K3" i="31"/>
  <c r="J3" i="31"/>
  <c r="J10" i="31" s="1"/>
  <c r="E3" i="31"/>
  <c r="K2" i="31"/>
  <c r="J2" i="31"/>
  <c r="D2" i="31"/>
  <c r="F2" i="31" s="1"/>
  <c r="I2" i="31" s="1"/>
  <c r="AE10" i="29"/>
  <c r="AD10" i="29"/>
  <c r="AC10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AH9" i="29"/>
  <c r="AJ9" i="29"/>
  <c r="AF9" i="29"/>
  <c r="AF8" i="29"/>
  <c r="AH8" i="29"/>
  <c r="AJ8" i="29" s="1"/>
  <c r="AG7" i="29"/>
  <c r="AF7" i="29"/>
  <c r="AG6" i="29"/>
  <c r="AF6" i="29"/>
  <c r="AH6" i="29"/>
  <c r="AJ6" i="29"/>
  <c r="AF5" i="29"/>
  <c r="AH5" i="29" s="1"/>
  <c r="AJ5" i="29" s="1"/>
  <c r="AF4" i="29"/>
  <c r="AH4" i="29" s="1"/>
  <c r="AJ4" i="29" s="1"/>
  <c r="AH3" i="29"/>
  <c r="AJ3" i="29" s="1"/>
  <c r="AF3" i="29"/>
  <c r="AF2" i="29"/>
  <c r="AH2" i="29" s="1"/>
  <c r="AJ2" i="29"/>
  <c r="N43" i="35"/>
  <c r="L43" i="35"/>
  <c r="K43" i="35"/>
  <c r="G48" i="35"/>
  <c r="I48" i="35" s="1"/>
  <c r="J43" i="35"/>
  <c r="I43" i="35"/>
  <c r="G47" i="35"/>
  <c r="I47" i="35" s="1"/>
  <c r="H43" i="35"/>
  <c r="G43" i="35"/>
  <c r="G46" i="35" s="1"/>
  <c r="I46" i="35" s="1"/>
  <c r="M42" i="35"/>
  <c r="M41" i="35"/>
  <c r="M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O12" i="35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O42" i="35" s="1"/>
  <c r="M12" i="35"/>
  <c r="E52" i="26"/>
  <c r="G52" i="26" s="1"/>
  <c r="E50" i="26"/>
  <c r="G50" i="26" s="1"/>
  <c r="V48" i="26"/>
  <c r="T48" i="26"/>
  <c r="V47" i="26"/>
  <c r="L47" i="26"/>
  <c r="J47" i="26"/>
  <c r="H47" i="26"/>
  <c r="F47" i="26"/>
  <c r="V46" i="26"/>
  <c r="M46" i="26"/>
  <c r="K46" i="26"/>
  <c r="V45" i="26"/>
  <c r="K45" i="26"/>
  <c r="M45" i="26"/>
  <c r="V44" i="26"/>
  <c r="M44" i="26"/>
  <c r="K44" i="26"/>
  <c r="G44" i="26"/>
  <c r="V43" i="26"/>
  <c r="K43" i="26"/>
  <c r="M43" i="26" s="1"/>
  <c r="V42" i="26"/>
  <c r="K42" i="26"/>
  <c r="M42" i="26"/>
  <c r="G42" i="26"/>
  <c r="V41" i="26"/>
  <c r="K41" i="26"/>
  <c r="M41" i="26" s="1"/>
  <c r="V40" i="26"/>
  <c r="M40" i="26"/>
  <c r="K40" i="26"/>
  <c r="V39" i="26"/>
  <c r="K39" i="26"/>
  <c r="M39" i="26"/>
  <c r="V38" i="26"/>
  <c r="M38" i="26"/>
  <c r="K38" i="26"/>
  <c r="V37" i="26"/>
  <c r="K37" i="26"/>
  <c r="M37" i="26"/>
  <c r="G37" i="26"/>
  <c r="V36" i="26"/>
  <c r="M36" i="26"/>
  <c r="G36" i="26"/>
  <c r="V35" i="26"/>
  <c r="K35" i="26"/>
  <c r="M35" i="26" s="1"/>
  <c r="G35" i="26"/>
  <c r="V34" i="26"/>
  <c r="K34" i="26"/>
  <c r="M34" i="26" s="1"/>
  <c r="G34" i="26"/>
  <c r="V33" i="26"/>
  <c r="K33" i="26"/>
  <c r="M33" i="26" s="1"/>
  <c r="G33" i="26"/>
  <c r="V32" i="26"/>
  <c r="M32" i="26"/>
  <c r="K32" i="26"/>
  <c r="G32" i="26"/>
  <c r="V31" i="26"/>
  <c r="K31" i="26"/>
  <c r="M31" i="26" s="1"/>
  <c r="G31" i="26"/>
  <c r="V30" i="26"/>
  <c r="K30" i="26"/>
  <c r="M30" i="26" s="1"/>
  <c r="V29" i="26"/>
  <c r="K29" i="26"/>
  <c r="M29" i="26" s="1"/>
  <c r="G29" i="26"/>
  <c r="V28" i="26"/>
  <c r="K28" i="26"/>
  <c r="M28" i="26"/>
  <c r="G28" i="26"/>
  <c r="V27" i="26"/>
  <c r="K27" i="26"/>
  <c r="M27" i="26"/>
  <c r="V26" i="26"/>
  <c r="M26" i="26"/>
  <c r="K26" i="26"/>
  <c r="V25" i="26"/>
  <c r="K25" i="26"/>
  <c r="M25" i="26" s="1"/>
  <c r="G25" i="26"/>
  <c r="V24" i="26"/>
  <c r="K24" i="26"/>
  <c r="M24" i="26"/>
  <c r="G24" i="26"/>
  <c r="V23" i="26"/>
  <c r="M23" i="26"/>
  <c r="K23" i="26"/>
  <c r="G23" i="26"/>
  <c r="V22" i="26"/>
  <c r="K22" i="26"/>
  <c r="M22" i="26"/>
  <c r="G22" i="26"/>
  <c r="V21" i="26"/>
  <c r="K21" i="26"/>
  <c r="M21" i="26" s="1"/>
  <c r="G21" i="26"/>
  <c r="V20" i="26"/>
  <c r="K20" i="26"/>
  <c r="M20" i="26"/>
  <c r="G20" i="26"/>
  <c r="V19" i="26"/>
  <c r="M19" i="26"/>
  <c r="K19" i="26"/>
  <c r="G19" i="26"/>
  <c r="E19" i="26"/>
  <c r="V18" i="26"/>
  <c r="K18" i="26"/>
  <c r="M18" i="26" s="1"/>
  <c r="G18" i="26"/>
  <c r="E18" i="26"/>
  <c r="V17" i="26"/>
  <c r="K17" i="26"/>
  <c r="M17" i="26" s="1"/>
  <c r="E17" i="26"/>
  <c r="K16" i="26"/>
  <c r="E16" i="26"/>
  <c r="Z26" i="28"/>
  <c r="Y26" i="28"/>
  <c r="X26" i="28"/>
  <c r="W26" i="28"/>
  <c r="V26" i="28"/>
  <c r="U26" i="28"/>
  <c r="T26" i="28"/>
  <c r="S26" i="28"/>
  <c r="R26" i="28"/>
  <c r="Q26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C26" i="28"/>
  <c r="AK25" i="28"/>
  <c r="AH24" i="28"/>
  <c r="AK24" i="28" s="1"/>
  <c r="AH23" i="28"/>
  <c r="AK23" i="28"/>
  <c r="AH22" i="28"/>
  <c r="AK22" i="28"/>
  <c r="AH21" i="28"/>
  <c r="AK21" i="28"/>
  <c r="AH20" i="28"/>
  <c r="AK20" i="28" s="1"/>
  <c r="AH19" i="28"/>
  <c r="AK19" i="28"/>
  <c r="AH18" i="28"/>
  <c r="AK18" i="28"/>
  <c r="AH17" i="28"/>
  <c r="AK17" i="28"/>
  <c r="AH16" i="28"/>
  <c r="AK16" i="28" s="1"/>
  <c r="AH15" i="28"/>
  <c r="AK15" i="28"/>
  <c r="AH14" i="28"/>
  <c r="AK14" i="28"/>
  <c r="AH13" i="28"/>
  <c r="AK13" i="28"/>
  <c r="AH12" i="28"/>
  <c r="AK12" i="28" s="1"/>
  <c r="AH11" i="28"/>
  <c r="AK11" i="28"/>
  <c r="AH10" i="28"/>
  <c r="AK10" i="28"/>
  <c r="AH9" i="28"/>
  <c r="AK9" i="28"/>
  <c r="AH8" i="28"/>
  <c r="AK8" i="28" s="1"/>
  <c r="AH7" i="28"/>
  <c r="AK7" i="28"/>
  <c r="AH6" i="28"/>
  <c r="AK6" i="28"/>
  <c r="AH5" i="28"/>
  <c r="AK5" i="28"/>
  <c r="AH4" i="28"/>
  <c r="AH3" i="28"/>
  <c r="AK3" i="28" s="1"/>
  <c r="AH2" i="28"/>
  <c r="AK2" i="28" s="1"/>
  <c r="AK27" i="28" s="1"/>
  <c r="F24" i="25"/>
  <c r="I24" i="25" s="1"/>
  <c r="F23" i="25"/>
  <c r="I23" i="25" s="1"/>
  <c r="F22" i="25"/>
  <c r="I22" i="25" s="1"/>
  <c r="I21" i="25"/>
  <c r="I20" i="25"/>
  <c r="I19" i="25"/>
  <c r="I18" i="25"/>
  <c r="I17" i="25"/>
  <c r="I16" i="25"/>
  <c r="I15" i="25"/>
  <c r="I14" i="25"/>
  <c r="F13" i="25"/>
  <c r="I13" i="25" s="1"/>
  <c r="I12" i="25"/>
  <c r="I11" i="25"/>
  <c r="F10" i="25"/>
  <c r="I10" i="25" s="1"/>
  <c r="I9" i="25"/>
  <c r="I8" i="25"/>
  <c r="F7" i="25"/>
  <c r="I7" i="25" s="1"/>
  <c r="F6" i="25"/>
  <c r="I6" i="25"/>
  <c r="F5" i="25"/>
  <c r="I5" i="25" s="1"/>
  <c r="I4" i="25"/>
  <c r="I3" i="25"/>
  <c r="G36" i="21"/>
  <c r="O33" i="21"/>
  <c r="N33" i="21"/>
  <c r="M33" i="21"/>
  <c r="I33" i="21"/>
  <c r="G33" i="21" s="1"/>
  <c r="D33" i="21"/>
  <c r="C33" i="21"/>
  <c r="B33" i="21"/>
  <c r="O32" i="21"/>
  <c r="N32" i="21"/>
  <c r="M32" i="21"/>
  <c r="I32" i="21"/>
  <c r="G32" i="21" s="1"/>
  <c r="D32" i="21"/>
  <c r="B32" i="21"/>
  <c r="C32" i="21"/>
  <c r="O31" i="21"/>
  <c r="N31" i="21"/>
  <c r="M31" i="21"/>
  <c r="I31" i="21"/>
  <c r="G31" i="21" s="1"/>
  <c r="D31" i="21"/>
  <c r="C31" i="21"/>
  <c r="B31" i="21"/>
  <c r="O30" i="21"/>
  <c r="N30" i="21"/>
  <c r="M30" i="21"/>
  <c r="I30" i="21"/>
  <c r="G30" i="21" s="1"/>
  <c r="D30" i="21"/>
  <c r="C30" i="21"/>
  <c r="B30" i="21"/>
  <c r="O29" i="21"/>
  <c r="N29" i="21"/>
  <c r="M29" i="21"/>
  <c r="I29" i="21"/>
  <c r="G29" i="21" s="1"/>
  <c r="D29" i="21"/>
  <c r="C29" i="21"/>
  <c r="B29" i="21"/>
  <c r="O28" i="21"/>
  <c r="M28" i="21"/>
  <c r="N28" i="21"/>
  <c r="I28" i="21"/>
  <c r="G28" i="21" s="1"/>
  <c r="D28" i="21"/>
  <c r="C28" i="21"/>
  <c r="B28" i="21"/>
  <c r="O27" i="21"/>
  <c r="N27" i="21"/>
  <c r="M27" i="21"/>
  <c r="I27" i="21"/>
  <c r="G27" i="21" s="1"/>
  <c r="D27" i="21"/>
  <c r="B27" i="21"/>
  <c r="C27" i="21"/>
  <c r="O26" i="2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M24" i="21"/>
  <c r="N24" i="21"/>
  <c r="O25" i="21"/>
  <c r="M25" i="21"/>
  <c r="N25" i="21"/>
  <c r="N26" i="21"/>
  <c r="M26" i="21"/>
  <c r="I26" i="21"/>
  <c r="G26" i="21" s="1"/>
  <c r="D26" i="21"/>
  <c r="C26" i="21"/>
  <c r="B26" i="21"/>
  <c r="I25" i="21"/>
  <c r="G25" i="21" s="1"/>
  <c r="D25" i="21"/>
  <c r="C25" i="21"/>
  <c r="B25" i="21"/>
  <c r="I24" i="21"/>
  <c r="G24" i="21" s="1"/>
  <c r="D24" i="21"/>
  <c r="C24" i="21"/>
  <c r="B24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C18" i="21"/>
  <c r="D18" i="21"/>
  <c r="B19" i="21"/>
  <c r="B20" i="21"/>
  <c r="B21" i="21"/>
  <c r="B22" i="21"/>
  <c r="B23" i="21"/>
  <c r="N23" i="21"/>
  <c r="M23" i="21"/>
  <c r="I23" i="21"/>
  <c r="G23" i="21" s="1"/>
  <c r="D23" i="21"/>
  <c r="C23" i="21"/>
  <c r="N22" i="21"/>
  <c r="M22" i="21"/>
  <c r="I22" i="21"/>
  <c r="G22" i="21" s="1"/>
  <c r="D22" i="21"/>
  <c r="C22" i="21"/>
  <c r="N21" i="21"/>
  <c r="M21" i="21"/>
  <c r="I21" i="21"/>
  <c r="G21" i="21" s="1"/>
  <c r="D21" i="21"/>
  <c r="C21" i="21"/>
  <c r="N20" i="21"/>
  <c r="M20" i="21"/>
  <c r="I20" i="21"/>
  <c r="G20" i="21" s="1"/>
  <c r="D20" i="21"/>
  <c r="C20" i="21"/>
  <c r="N19" i="21"/>
  <c r="M19" i="21"/>
  <c r="I19" i="21"/>
  <c r="G19" i="21" s="1"/>
  <c r="D19" i="21"/>
  <c r="C19" i="21"/>
  <c r="N18" i="21"/>
  <c r="M18" i="21"/>
  <c r="I18" i="21"/>
  <c r="G18" i="21" s="1"/>
  <c r="N17" i="21"/>
  <c r="M17" i="21"/>
  <c r="I17" i="21"/>
  <c r="G17" i="21" s="1"/>
  <c r="D17" i="21"/>
  <c r="C17" i="21"/>
  <c r="N16" i="21"/>
  <c r="M16" i="21"/>
  <c r="I16" i="21"/>
  <c r="G16" i="21" s="1"/>
  <c r="D16" i="21"/>
  <c r="C16" i="21"/>
  <c r="N15" i="21"/>
  <c r="M15" i="21"/>
  <c r="I15" i="21"/>
  <c r="G15" i="21" s="1"/>
  <c r="D15" i="21"/>
  <c r="C15" i="21"/>
  <c r="N14" i="21"/>
  <c r="M14" i="21"/>
  <c r="I14" i="21"/>
  <c r="G14" i="21" s="1"/>
  <c r="D14" i="21"/>
  <c r="C14" i="21"/>
  <c r="N13" i="21"/>
  <c r="M13" i="21"/>
  <c r="I13" i="21"/>
  <c r="G13" i="21" s="1"/>
  <c r="D13" i="21"/>
  <c r="C13" i="21"/>
  <c r="N12" i="21"/>
  <c r="M12" i="21"/>
  <c r="I12" i="21"/>
  <c r="G12" i="21" s="1"/>
  <c r="D12" i="21"/>
  <c r="C12" i="21"/>
  <c r="N11" i="21"/>
  <c r="M11" i="21"/>
  <c r="I11" i="21"/>
  <c r="G11" i="21" s="1"/>
  <c r="D11" i="21"/>
  <c r="C11" i="21"/>
  <c r="M10" i="21"/>
  <c r="I10" i="21"/>
  <c r="G10" i="21" s="1"/>
  <c r="D10" i="21"/>
  <c r="C10" i="21"/>
  <c r="N9" i="21"/>
  <c r="M9" i="21"/>
  <c r="I9" i="21"/>
  <c r="G9" i="21" s="1"/>
  <c r="D9" i="21"/>
  <c r="C9" i="21"/>
  <c r="N8" i="21"/>
  <c r="M8" i="21"/>
  <c r="I8" i="21"/>
  <c r="G8" i="21" s="1"/>
  <c r="D8" i="21"/>
  <c r="C8" i="21"/>
  <c r="N7" i="21"/>
  <c r="M7" i="21"/>
  <c r="I7" i="21"/>
  <c r="D7" i="21"/>
  <c r="C7" i="21"/>
  <c r="N6" i="21"/>
  <c r="M6" i="21"/>
  <c r="I6" i="21"/>
  <c r="G6" i="21" s="1"/>
  <c r="D6" i="21"/>
  <c r="C6" i="21"/>
  <c r="N5" i="21"/>
  <c r="M5" i="21"/>
  <c r="I5" i="21"/>
  <c r="G5" i="21" s="1"/>
  <c r="D5" i="21"/>
  <c r="C5" i="21"/>
  <c r="N4" i="21"/>
  <c r="M4" i="21"/>
  <c r="I4" i="21"/>
  <c r="G4" i="21" s="1"/>
  <c r="D4" i="21"/>
  <c r="C4" i="21"/>
  <c r="N3" i="21"/>
  <c r="I3" i="21"/>
  <c r="J3" i="21" s="1"/>
  <c r="D3" i="21"/>
  <c r="C3" i="21"/>
  <c r="A3" i="21"/>
  <c r="L3" i="21" s="1"/>
  <c r="D75" i="14"/>
  <c r="D60" i="14"/>
  <c r="G47" i="26"/>
  <c r="E51" i="26" s="1"/>
  <c r="G51" i="26" s="1"/>
  <c r="M43" i="35"/>
  <c r="M33" i="37"/>
  <c r="AF10" i="29"/>
  <c r="N16" i="26"/>
  <c r="N17" i="26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K10" i="31"/>
  <c r="D4" i="31"/>
  <c r="F3" i="31" s="1"/>
  <c r="F11" i="21"/>
  <c r="F19" i="21"/>
  <c r="F27" i="21"/>
  <c r="AH26" i="28"/>
  <c r="AK26" i="28" s="1"/>
  <c r="AK4" i="28"/>
  <c r="E8" i="23"/>
  <c r="C12" i="23"/>
  <c r="C49" i="23" s="1"/>
  <c r="L4" i="31"/>
  <c r="D87" i="23"/>
  <c r="D89" i="23" s="1"/>
  <c r="E51" i="40"/>
  <c r="G51" i="40" s="1"/>
  <c r="G53" i="40" s="1"/>
  <c r="T52" i="40"/>
  <c r="E51" i="33"/>
  <c r="G51" i="33" s="1"/>
  <c r="G53" i="33" s="1"/>
  <c r="AH5" i="15"/>
  <c r="E5" i="16" s="1"/>
  <c r="AB30" i="41"/>
  <c r="AH20" i="41"/>
  <c r="J17" i="42"/>
  <c r="DJ35" i="43"/>
  <c r="DJ36" i="43" s="1"/>
  <c r="DJ38" i="43" s="1"/>
  <c r="DJ22" i="43"/>
  <c r="DJ26" i="43"/>
  <c r="DJ27" i="43" s="1"/>
  <c r="DJ29" i="43" s="1"/>
  <c r="I18" i="42"/>
  <c r="DF35" i="43"/>
  <c r="DF36" i="43" s="1"/>
  <c r="DF38" i="43" s="1"/>
  <c r="DF26" i="43"/>
  <c r="DF27" i="43" s="1"/>
  <c r="DF29" i="43" s="1"/>
  <c r="DF22" i="43"/>
  <c r="CP35" i="43"/>
  <c r="CP36" i="43" s="1"/>
  <c r="CP38" i="43" s="1"/>
  <c r="CX26" i="43"/>
  <c r="CX27" i="43" s="1"/>
  <c r="CX29" i="43" s="1"/>
  <c r="CT26" i="43"/>
  <c r="CT27" i="43"/>
  <c r="CT29" i="43" s="1"/>
  <c r="CT22" i="43"/>
  <c r="CT35" i="43"/>
  <c r="CT36" i="43" s="1"/>
  <c r="CT38" i="43" s="1"/>
  <c r="CX35" i="43"/>
  <c r="CX36" i="43"/>
  <c r="CX38" i="43" s="1"/>
  <c r="CX22" i="43"/>
  <c r="DB35" i="43"/>
  <c r="DB36" i="43" s="1"/>
  <c r="DB38" i="43" s="1"/>
  <c r="DB26" i="43"/>
  <c r="DB27" i="43" s="1"/>
  <c r="DB29" i="43" s="1"/>
  <c r="DB22" i="43"/>
  <c r="B50" i="13"/>
  <c r="D50" i="13" s="1"/>
  <c r="CL22" i="43"/>
  <c r="CP26" i="43"/>
  <c r="CP27" i="43" s="1"/>
  <c r="CP29" i="43" s="1"/>
  <c r="CP22" i="43"/>
  <c r="G15" i="42"/>
  <c r="AH3" i="15"/>
  <c r="AK3" i="15" s="1"/>
  <c r="AH7" i="41"/>
  <c r="AH18" i="41"/>
  <c r="J15" i="42" s="1"/>
  <c r="BF35" i="43" l="1"/>
  <c r="BF36" i="43" s="1"/>
  <c r="BF38" i="43" s="1"/>
  <c r="BF22" i="43"/>
  <c r="BF26" i="43"/>
  <c r="BF27" i="43" s="1"/>
  <c r="BF29" i="43" s="1"/>
  <c r="BB35" i="43"/>
  <c r="BB36" i="43" s="1"/>
  <c r="BB38" i="43" s="1"/>
  <c r="DZ19" i="43"/>
  <c r="AX35" i="43"/>
  <c r="AX36" i="43" s="1"/>
  <c r="AX38" i="43" s="1"/>
  <c r="AX12" i="43"/>
  <c r="AT35" i="43"/>
  <c r="AT36" i="43" s="1"/>
  <c r="AT38" i="43" s="1"/>
  <c r="AP22" i="43"/>
  <c r="AP26" i="43"/>
  <c r="AP27" i="43" s="1"/>
  <c r="AP29" i="43" s="1"/>
  <c r="AL35" i="43"/>
  <c r="AL36" i="43" s="1"/>
  <c r="AL38" i="43" s="1"/>
  <c r="AH35" i="43"/>
  <c r="AH36" i="43" s="1"/>
  <c r="AH38" i="43" s="1"/>
  <c r="AD26" i="43"/>
  <c r="AD27" i="43" s="1"/>
  <c r="AD29" i="43" s="1"/>
  <c r="Z35" i="43"/>
  <c r="Z36" i="43" s="1"/>
  <c r="Z38" i="43" s="1"/>
  <c r="V35" i="43"/>
  <c r="V36" i="43" s="1"/>
  <c r="V38" i="43" s="1"/>
  <c r="R35" i="43"/>
  <c r="R36" i="43" s="1"/>
  <c r="R38" i="43" s="1"/>
  <c r="R26" i="43"/>
  <c r="R27" i="43" s="1"/>
  <c r="R29" i="43" s="1"/>
  <c r="N35" i="43"/>
  <c r="N38" i="43" s="1"/>
  <c r="F35" i="43"/>
  <c r="F36" i="43" s="1"/>
  <c r="F38" i="43" s="1"/>
  <c r="F22" i="43"/>
  <c r="F26" i="43"/>
  <c r="F27" i="43" s="1"/>
  <c r="F29" i="43" s="1"/>
  <c r="J35" i="43"/>
  <c r="J36" i="43" s="1"/>
  <c r="J38" i="43" s="1"/>
  <c r="DZ5" i="43"/>
  <c r="C5" i="38"/>
  <c r="D5" i="38" s="1"/>
  <c r="E5" i="38" s="1"/>
  <c r="F5" i="38" s="1"/>
  <c r="G5" i="38" s="1"/>
  <c r="H5" i="38" s="1"/>
  <c r="I5" i="38" s="1"/>
  <c r="J5" i="38" s="1"/>
  <c r="K5" i="38" s="1"/>
  <c r="L5" i="38" s="1"/>
  <c r="M5" i="38" s="1"/>
  <c r="N5" i="38" s="1"/>
  <c r="O5" i="38" s="1"/>
  <c r="P5" i="38" s="1"/>
  <c r="Q5" i="38" s="1"/>
  <c r="R5" i="38" s="1"/>
  <c r="S5" i="38" s="1"/>
  <c r="T5" i="38" s="1"/>
  <c r="U5" i="38" s="1"/>
  <c r="V5" i="38" s="1"/>
  <c r="W5" i="38" s="1"/>
  <c r="X5" i="38" s="1"/>
  <c r="Y5" i="38" s="1"/>
  <c r="Z5" i="38" s="1"/>
  <c r="AA5" i="38" s="1"/>
  <c r="AB5" i="38" s="1"/>
  <c r="AC5" i="38" s="1"/>
  <c r="AD5" i="38" s="1"/>
  <c r="AE5" i="38" s="1"/>
  <c r="AF5" i="38" s="1"/>
  <c r="AG5" i="38" s="1"/>
  <c r="G20" i="42"/>
  <c r="AR27" i="34"/>
  <c r="I23" i="42"/>
  <c r="L2" i="31"/>
  <c r="L10" i="31" s="1"/>
  <c r="E2" i="31"/>
  <c r="G2" i="31" s="1"/>
  <c r="G10" i="31" s="1"/>
  <c r="D147" i="14"/>
  <c r="D86" i="45"/>
  <c r="J30" i="16"/>
  <c r="B17" i="20"/>
  <c r="F7" i="21"/>
  <c r="F15" i="21"/>
  <c r="F31" i="21"/>
  <c r="E10" i="16"/>
  <c r="M10" i="16" s="1"/>
  <c r="F29" i="21"/>
  <c r="F5" i="21"/>
  <c r="F21" i="21"/>
  <c r="F13" i="21"/>
  <c r="E29" i="16"/>
  <c r="M29" i="16" s="1"/>
  <c r="L6" i="12"/>
  <c r="N6" i="12" s="1"/>
  <c r="X6" i="12" s="1"/>
  <c r="E11" i="16"/>
  <c r="F11" i="16" s="1"/>
  <c r="H11" i="16" s="1"/>
  <c r="P11" i="16" s="1"/>
  <c r="D11" i="25"/>
  <c r="E11" i="25" s="1"/>
  <c r="G11" i="25" s="1"/>
  <c r="J11" i="25" s="1"/>
  <c r="L21" i="12"/>
  <c r="N21" i="12" s="1"/>
  <c r="X21" i="12" s="1"/>
  <c r="L36" i="12"/>
  <c r="N36" i="12" s="1"/>
  <c r="X36" i="12" s="1"/>
  <c r="P26" i="21"/>
  <c r="L18" i="12"/>
  <c r="N18" i="12" s="1"/>
  <c r="X18" i="12" s="1"/>
  <c r="D10" i="25"/>
  <c r="E10" i="25" s="1"/>
  <c r="G10" i="25" s="1"/>
  <c r="J10" i="25" s="1"/>
  <c r="E12" i="16"/>
  <c r="H12" i="16" s="1"/>
  <c r="P12" i="16" s="1"/>
  <c r="AJ30" i="37"/>
  <c r="AH30" i="38"/>
  <c r="L34" i="12"/>
  <c r="N34" i="12" s="1"/>
  <c r="X34" i="12" s="1"/>
  <c r="L15" i="12"/>
  <c r="L7" i="12"/>
  <c r="N7" i="12" s="1"/>
  <c r="X7" i="12" s="1"/>
  <c r="L20" i="12"/>
  <c r="N20" i="12" s="1"/>
  <c r="X20" i="12" s="1"/>
  <c r="L27" i="12"/>
  <c r="N27" i="12" s="1"/>
  <c r="X27" i="12" s="1"/>
  <c r="L29" i="12"/>
  <c r="N29" i="12" s="1"/>
  <c r="X29" i="12" s="1"/>
  <c r="C17" i="20"/>
  <c r="F22" i="16"/>
  <c r="H22" i="16" s="1"/>
  <c r="P22" i="16" s="1"/>
  <c r="AK22" i="15"/>
  <c r="AK6" i="15"/>
  <c r="D6" i="25"/>
  <c r="E6" i="25" s="1"/>
  <c r="G6" i="25" s="1"/>
  <c r="L32" i="12"/>
  <c r="N32" i="12" s="1"/>
  <c r="X32" i="12" s="1"/>
  <c r="L17" i="12"/>
  <c r="N17" i="12" s="1"/>
  <c r="L26" i="12"/>
  <c r="N26" i="12" s="1"/>
  <c r="X26" i="12" s="1"/>
  <c r="P16" i="21"/>
  <c r="AP30" i="37"/>
  <c r="I26" i="42"/>
  <c r="AN30" i="37"/>
  <c r="AK30" i="37"/>
  <c r="F27" i="39"/>
  <c r="AR20" i="34"/>
  <c r="AR28" i="34"/>
  <c r="I24" i="42"/>
  <c r="AR28" i="37"/>
  <c r="E27" i="39"/>
  <c r="G27" i="39"/>
  <c r="L9" i="12"/>
  <c r="N9" i="12" s="1"/>
  <c r="X9" i="12" s="1"/>
  <c r="AK23" i="15"/>
  <c r="P23" i="21"/>
  <c r="L28" i="12"/>
  <c r="N28" i="12" s="1"/>
  <c r="X28" i="12" s="1"/>
  <c r="L30" i="12"/>
  <c r="N30" i="12" s="1"/>
  <c r="X30" i="12" s="1"/>
  <c r="L12" i="12"/>
  <c r="N12" i="12" s="1"/>
  <c r="L35" i="12"/>
  <c r="N35" i="12" s="1"/>
  <c r="X35" i="12" s="1"/>
  <c r="L14" i="12"/>
  <c r="N14" i="12" s="1"/>
  <c r="L31" i="12"/>
  <c r="N31" i="12" s="1"/>
  <c r="X31" i="12" s="1"/>
  <c r="L33" i="12"/>
  <c r="N33" i="12" s="1"/>
  <c r="X33" i="12" s="1"/>
  <c r="L19" i="12"/>
  <c r="N19" i="12" s="1"/>
  <c r="X19" i="12" s="1"/>
  <c r="L11" i="12"/>
  <c r="N11" i="12" s="1"/>
  <c r="X11" i="12" s="1"/>
  <c r="L24" i="12"/>
  <c r="N24" i="12" s="1"/>
  <c r="X24" i="12" s="1"/>
  <c r="L22" i="12"/>
  <c r="N22" i="12" s="1"/>
  <c r="X22" i="12" s="1"/>
  <c r="L16" i="12"/>
  <c r="N16" i="12" s="1"/>
  <c r="X16" i="12" s="1"/>
  <c r="L8" i="12"/>
  <c r="N8" i="12" s="1"/>
  <c r="X8" i="12" s="1"/>
  <c r="L25" i="12"/>
  <c r="N25" i="12" s="1"/>
  <c r="X25" i="12" s="1"/>
  <c r="L13" i="12"/>
  <c r="N13" i="12" s="1"/>
  <c r="L10" i="12"/>
  <c r="N10" i="12" s="1"/>
  <c r="X10" i="12" s="1"/>
  <c r="L23" i="12"/>
  <c r="N23" i="12" s="1"/>
  <c r="X23" i="12" s="1"/>
  <c r="L25" i="21"/>
  <c r="F9" i="21"/>
  <c r="L17" i="21"/>
  <c r="F23" i="21"/>
  <c r="E117" i="23"/>
  <c r="B117" i="23" s="1"/>
  <c r="J75" i="45"/>
  <c r="D75" i="45" s="1"/>
  <c r="D77" i="45" s="1"/>
  <c r="D24" i="25"/>
  <c r="E24" i="25" s="1"/>
  <c r="G24" i="25" s="1"/>
  <c r="D19" i="25"/>
  <c r="E19" i="25" s="1"/>
  <c r="G19" i="25" s="1"/>
  <c r="AK8" i="15"/>
  <c r="P14" i="21"/>
  <c r="P15" i="21"/>
  <c r="P11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O42" i="13"/>
  <c r="L50" i="13" s="1"/>
  <c r="N50" i="13" s="1"/>
  <c r="AK9" i="15"/>
  <c r="D9" i="25"/>
  <c r="E9" i="25" s="1"/>
  <c r="G9" i="25" s="1"/>
  <c r="J9" i="25" s="1"/>
  <c r="D3" i="25"/>
  <c r="E3" i="25" s="1"/>
  <c r="G3" i="25" s="1"/>
  <c r="D4" i="25"/>
  <c r="E4" i="25" s="1"/>
  <c r="G4" i="25" s="1"/>
  <c r="AK4" i="15"/>
  <c r="D17" i="25"/>
  <c r="E17" i="25" s="1"/>
  <c r="G17" i="25" s="1"/>
  <c r="J17" i="25" s="1"/>
  <c r="D27" i="39"/>
  <c r="I3" i="31"/>
  <c r="G3" i="31"/>
  <c r="I25" i="25"/>
  <c r="M47" i="26"/>
  <c r="M49" i="26" s="1"/>
  <c r="G53" i="26"/>
  <c r="I49" i="35"/>
  <c r="P4" i="21"/>
  <c r="P18" i="21"/>
  <c r="V83" i="36"/>
  <c r="K47" i="26"/>
  <c r="P13" i="21"/>
  <c r="P17" i="21"/>
  <c r="J84" i="36"/>
  <c r="P12" i="21"/>
  <c r="M28" i="16"/>
  <c r="H28" i="16"/>
  <c r="P28" i="16" s="1"/>
  <c r="AH7" i="29"/>
  <c r="AJ7" i="29" s="1"/>
  <c r="AJ10" i="29" s="1"/>
  <c r="F85" i="36"/>
  <c r="B81" i="36"/>
  <c r="AK28" i="15"/>
  <c r="BV26" i="36"/>
  <c r="BV27" i="36" s="1"/>
  <c r="BV29" i="36" s="1"/>
  <c r="BV79" i="36" s="1"/>
  <c r="AH75" i="36"/>
  <c r="AH83" i="36" s="1"/>
  <c r="BF75" i="36"/>
  <c r="BF66" i="36"/>
  <c r="BF72" i="36" s="1"/>
  <c r="BF26" i="36"/>
  <c r="BF27" i="36" s="1"/>
  <c r="BF29" i="36" s="1"/>
  <c r="BF79" i="36" s="1"/>
  <c r="CH22" i="36"/>
  <c r="AO30" i="37"/>
  <c r="BJ26" i="36"/>
  <c r="BJ27" i="36" s="1"/>
  <c r="BJ29" i="36" s="1"/>
  <c r="BJ79" i="36" s="1"/>
  <c r="AT26" i="36"/>
  <c r="AT27" i="36" s="1"/>
  <c r="AT29" i="36" s="1"/>
  <c r="AT79" i="36" s="1"/>
  <c r="J26" i="36"/>
  <c r="J27" i="36" s="1"/>
  <c r="J29" i="36" s="1"/>
  <c r="J79" i="36" s="1"/>
  <c r="BJ75" i="36"/>
  <c r="A50" i="36"/>
  <c r="BJ26" i="43"/>
  <c r="BJ27" i="43" s="1"/>
  <c r="BJ29" i="43" s="1"/>
  <c r="BJ22" i="43"/>
  <c r="BB26" i="43"/>
  <c r="BB27" i="43" s="1"/>
  <c r="BB29" i="43" s="1"/>
  <c r="BB22" i="43"/>
  <c r="DZ75" i="36"/>
  <c r="BF22" i="36"/>
  <c r="BN75" i="36"/>
  <c r="BN83" i="36" s="1"/>
  <c r="DF22" i="36"/>
  <c r="DF75" i="36"/>
  <c r="DF83" i="36" s="1"/>
  <c r="I10" i="31"/>
  <c r="AR15" i="37"/>
  <c r="AR26" i="37"/>
  <c r="J27" i="39"/>
  <c r="BZ22" i="36"/>
  <c r="BN22" i="36"/>
  <c r="DJ22" i="36"/>
  <c r="DJ75" i="36"/>
  <c r="DJ83" i="36" s="1"/>
  <c r="DJ66" i="36"/>
  <c r="DJ72" i="36" s="1"/>
  <c r="A52" i="36"/>
  <c r="DB67" i="36"/>
  <c r="DB75" i="36"/>
  <c r="DB83" i="36" s="1"/>
  <c r="BB76" i="36"/>
  <c r="BB84" i="36" s="1"/>
  <c r="DZ68" i="36"/>
  <c r="DZ72" i="36" s="1"/>
  <c r="A54" i="36"/>
  <c r="Z75" i="36"/>
  <c r="Z66" i="36"/>
  <c r="Z72" i="36" s="1"/>
  <c r="Z26" i="36"/>
  <c r="Z27" i="36" s="1"/>
  <c r="Z29" i="36" s="1"/>
  <c r="Z79" i="36" s="1"/>
  <c r="Z83" i="36" s="1"/>
  <c r="AT75" i="36"/>
  <c r="CP22" i="36"/>
  <c r="CP75" i="36"/>
  <c r="CP83" i="36" s="1"/>
  <c r="DN75" i="36"/>
  <c r="DN83" i="36" s="1"/>
  <c r="DN66" i="36"/>
  <c r="DN72" i="36" s="1"/>
  <c r="DR22" i="36"/>
  <c r="DR75" i="36"/>
  <c r="DR83" i="36" s="1"/>
  <c r="DR66" i="36"/>
  <c r="DR72" i="36" s="1"/>
  <c r="Z77" i="36"/>
  <c r="B77" i="36" s="1"/>
  <c r="Z43" i="36"/>
  <c r="Z44" i="36" s="1"/>
  <c r="Z46" i="36" s="1"/>
  <c r="Z81" i="36" s="1"/>
  <c r="Z85" i="36" s="1"/>
  <c r="AP69" i="36"/>
  <c r="AP72" i="36" s="1"/>
  <c r="AP77" i="36"/>
  <c r="AP85" i="36" s="1"/>
  <c r="AK20" i="15"/>
  <c r="BZ26" i="36"/>
  <c r="BZ27" i="36" s="1"/>
  <c r="BZ29" i="36" s="1"/>
  <c r="BZ79" i="36" s="1"/>
  <c r="BZ83" i="36" s="1"/>
  <c r="Z22" i="36"/>
  <c r="AP76" i="36"/>
  <c r="BJ76" i="36"/>
  <c r="BJ84" i="36" s="1"/>
  <c r="F75" i="36"/>
  <c r="F66" i="36"/>
  <c r="A49" i="36"/>
  <c r="AX75" i="36"/>
  <c r="AX66" i="36"/>
  <c r="AX26" i="36"/>
  <c r="AX27" i="36" s="1"/>
  <c r="AX29" i="36" s="1"/>
  <c r="AX79" i="36" s="1"/>
  <c r="AX83" i="36" s="1"/>
  <c r="BV75" i="36"/>
  <c r="AX68" i="36"/>
  <c r="A57" i="36"/>
  <c r="R76" i="36"/>
  <c r="B76" i="36" s="1"/>
  <c r="R35" i="36"/>
  <c r="R36" i="36" s="1"/>
  <c r="R38" i="36" s="1"/>
  <c r="R80" i="36" s="1"/>
  <c r="B80" i="36" s="1"/>
  <c r="Z35" i="36"/>
  <c r="Z36" i="36" s="1"/>
  <c r="Z38" i="36" s="1"/>
  <c r="Z80" i="36" s="1"/>
  <c r="Z84" i="36" s="1"/>
  <c r="Z67" i="36"/>
  <c r="A59" i="36"/>
  <c r="CX76" i="36"/>
  <c r="CX84" i="36" s="1"/>
  <c r="AP35" i="36"/>
  <c r="AP36" i="36" s="1"/>
  <c r="AP38" i="36" s="1"/>
  <c r="AP80" i="36" s="1"/>
  <c r="CP76" i="36"/>
  <c r="CP35" i="36"/>
  <c r="CP36" i="36" s="1"/>
  <c r="CP38" i="36" s="1"/>
  <c r="CP80" i="36" s="1"/>
  <c r="CP84" i="36" s="1"/>
  <c r="I40" i="12"/>
  <c r="J22" i="36"/>
  <c r="J75" i="36"/>
  <c r="AD75" i="36"/>
  <c r="AD66" i="36"/>
  <c r="AD72" i="36" s="1"/>
  <c r="AD26" i="36"/>
  <c r="AD27" i="36" s="1"/>
  <c r="AD29" i="36" s="1"/>
  <c r="AD79" i="36" s="1"/>
  <c r="AD83" i="36" s="1"/>
  <c r="CT22" i="36"/>
  <c r="CT75" i="36"/>
  <c r="CT83" i="36" s="1"/>
  <c r="CT66" i="36"/>
  <c r="CT72" i="36" s="1"/>
  <c r="CD75" i="36"/>
  <c r="CD66" i="36"/>
  <c r="CD72" i="36" s="1"/>
  <c r="CD26" i="36"/>
  <c r="CD27" i="36" s="1"/>
  <c r="CD29" i="36" s="1"/>
  <c r="CD79" i="36" s="1"/>
  <c r="S50" i="13"/>
  <c r="N72" i="36"/>
  <c r="CX22" i="36"/>
  <c r="CX75" i="36"/>
  <c r="CX66" i="36"/>
  <c r="CX72" i="36" s="1"/>
  <c r="CX26" i="36"/>
  <c r="CX27" i="36" s="1"/>
  <c r="CX29" i="36" s="1"/>
  <c r="CX79" i="36" s="1"/>
  <c r="CX83" i="36" s="1"/>
  <c r="V22" i="36"/>
  <c r="V75" i="36"/>
  <c r="V66" i="36"/>
  <c r="V72" i="36" s="1"/>
  <c r="BB75" i="36"/>
  <c r="BB83" i="36" s="1"/>
  <c r="AH22" i="36"/>
  <c r="AD35" i="36"/>
  <c r="AD36" i="36" s="1"/>
  <c r="AD38" i="36" s="1"/>
  <c r="AD80" i="36" s="1"/>
  <c r="AD84" i="36" s="1"/>
  <c r="CH26" i="36"/>
  <c r="CH27" i="36" s="1"/>
  <c r="CH29" i="36" s="1"/>
  <c r="CH79" i="36" s="1"/>
  <c r="BN35" i="36"/>
  <c r="BN36" i="36" s="1"/>
  <c r="BN38" i="36" s="1"/>
  <c r="BN80" i="36" s="1"/>
  <c r="BN84" i="36" s="1"/>
  <c r="DB66" i="36"/>
  <c r="DB72" i="36" s="1"/>
  <c r="K30" i="16"/>
  <c r="BN22" i="43"/>
  <c r="DR22" i="43"/>
  <c r="DR26" i="43"/>
  <c r="DR27" i="43" s="1"/>
  <c r="DR29" i="43" s="1"/>
  <c r="V26" i="43"/>
  <c r="V27" i="43" s="1"/>
  <c r="V29" i="43" s="1"/>
  <c r="V22" i="43"/>
  <c r="AT26" i="43"/>
  <c r="AT27" i="43" s="1"/>
  <c r="AT29" i="43" s="1"/>
  <c r="AT22" i="43"/>
  <c r="BR26" i="43"/>
  <c r="BR27" i="43" s="1"/>
  <c r="BR29" i="43" s="1"/>
  <c r="AD35" i="43"/>
  <c r="AD36" i="43" s="1"/>
  <c r="AD38" i="43" s="1"/>
  <c r="AD22" i="43"/>
  <c r="BR67" i="36"/>
  <c r="AH66" i="36"/>
  <c r="AH72" i="36" s="1"/>
  <c r="N75" i="36"/>
  <c r="N83" i="36" s="1"/>
  <c r="A51" i="36"/>
  <c r="BR26" i="36"/>
  <c r="BR27" i="36" s="1"/>
  <c r="BR29" i="36" s="1"/>
  <c r="BR79" i="36" s="1"/>
  <c r="BR83" i="36" s="1"/>
  <c r="R66" i="36"/>
  <c r="R72" i="36" s="1"/>
  <c r="CH75" i="36"/>
  <c r="CL22" i="36"/>
  <c r="Z22" i="43"/>
  <c r="Z26" i="43"/>
  <c r="Z27" i="43" s="1"/>
  <c r="Z29" i="43" s="1"/>
  <c r="AX4" i="43"/>
  <c r="DW4" i="43"/>
  <c r="BR65" i="36"/>
  <c r="BR72" i="36" s="1"/>
  <c r="N67" i="36"/>
  <c r="DV22" i="43"/>
  <c r="BZ35" i="43"/>
  <c r="BZ36" i="43" s="1"/>
  <c r="BZ38" i="43" s="1"/>
  <c r="BR35" i="43"/>
  <c r="BR36" i="43" s="1"/>
  <c r="BR38" i="43" s="1"/>
  <c r="J22" i="43"/>
  <c r="J26" i="43"/>
  <c r="J27" i="43" s="1"/>
  <c r="J29" i="43" s="1"/>
  <c r="AH22" i="43"/>
  <c r="AH26" i="43"/>
  <c r="AH27" i="43" s="1"/>
  <c r="AH29" i="43" s="1"/>
  <c r="N22" i="43"/>
  <c r="N26" i="43"/>
  <c r="N27" i="43" s="1"/>
  <c r="N29" i="43" s="1"/>
  <c r="AL26" i="43"/>
  <c r="AL27" i="43" s="1"/>
  <c r="AL29" i="43" s="1"/>
  <c r="AL22" i="43"/>
  <c r="BV26" i="43"/>
  <c r="BV27" i="43" s="1"/>
  <c r="BV29" i="43" s="1"/>
  <c r="BV22" i="43"/>
  <c r="DZ10" i="43"/>
  <c r="DZ4" i="43"/>
  <c r="DZ43" i="43"/>
  <c r="DZ44" i="43" s="1"/>
  <c r="DZ46" i="43" s="1"/>
  <c r="DF43" i="43"/>
  <c r="DF44" i="43" s="1"/>
  <c r="DF46" i="43" s="1"/>
  <c r="CH22" i="43"/>
  <c r="CH26" i="43"/>
  <c r="CH27" i="43" s="1"/>
  <c r="CH29" i="43" s="1"/>
  <c r="D146" i="14"/>
  <c r="R22" i="43"/>
  <c r="CL26" i="43"/>
  <c r="CL27" i="43" s="1"/>
  <c r="CL29" i="43" s="1"/>
  <c r="DZ8" i="43"/>
  <c r="D19" i="20"/>
  <c r="CD26" i="43"/>
  <c r="CD27" i="43" s="1"/>
  <c r="CD29" i="43" s="1"/>
  <c r="BZ43" i="43"/>
  <c r="BZ44" i="43" s="1"/>
  <c r="BZ46" i="43" s="1"/>
  <c r="DN44" i="43"/>
  <c r="DN46" i="43" s="1"/>
  <c r="CL35" i="43"/>
  <c r="CL36" i="43" s="1"/>
  <c r="CL38" i="43" s="1"/>
  <c r="CX43" i="43"/>
  <c r="CX44" i="43" s="1"/>
  <c r="CX46" i="43" s="1"/>
  <c r="D17" i="20"/>
  <c r="DW18" i="43"/>
  <c r="DZ18" i="43" s="1"/>
  <c r="B49" i="13"/>
  <c r="D49" i="13" s="1"/>
  <c r="D145" i="14"/>
  <c r="J73" i="45"/>
  <c r="D73" i="45" s="1"/>
  <c r="DW16" i="43"/>
  <c r="DZ16" i="43" s="1"/>
  <c r="B48" i="13"/>
  <c r="D48" i="13" s="1"/>
  <c r="C19" i="20"/>
  <c r="D144" i="14"/>
  <c r="J74" i="45"/>
  <c r="D74" i="45" s="1"/>
  <c r="D143" i="14"/>
  <c r="B19" i="20"/>
  <c r="E8" i="21"/>
  <c r="L28" i="21"/>
  <c r="L30" i="21"/>
  <c r="L32" i="21"/>
  <c r="E33" i="21"/>
  <c r="AR10" i="37"/>
  <c r="AR12" i="37"/>
  <c r="AR19" i="37"/>
  <c r="AR22" i="37"/>
  <c r="I22" i="42"/>
  <c r="AR22" i="34"/>
  <c r="AR24" i="34"/>
  <c r="AR26" i="34"/>
  <c r="P32" i="21"/>
  <c r="P29" i="21"/>
  <c r="E26" i="21"/>
  <c r="P22" i="21"/>
  <c r="P21" i="21"/>
  <c r="P25" i="21"/>
  <c r="AR23" i="34"/>
  <c r="P20" i="21"/>
  <c r="D23" i="25"/>
  <c r="E23" i="25" s="1"/>
  <c r="G23" i="25" s="1"/>
  <c r="AK7" i="15"/>
  <c r="D8" i="25"/>
  <c r="E8" i="25" s="1"/>
  <c r="G8" i="25" s="1"/>
  <c r="J8" i="25" s="1"/>
  <c r="AK27" i="15"/>
  <c r="M27" i="16"/>
  <c r="F27" i="16"/>
  <c r="H27" i="16" s="1"/>
  <c r="P27" i="16" s="1"/>
  <c r="D7" i="25"/>
  <c r="E7" i="25" s="1"/>
  <c r="G7" i="25" s="1"/>
  <c r="AR11" i="37"/>
  <c r="AR14" i="37"/>
  <c r="AR18" i="37"/>
  <c r="AR20" i="37"/>
  <c r="AR23" i="37"/>
  <c r="AR27" i="37"/>
  <c r="F3" i="21"/>
  <c r="E7" i="21"/>
  <c r="E21" i="21"/>
  <c r="P5" i="21"/>
  <c r="P6" i="21"/>
  <c r="P7" i="21"/>
  <c r="P8" i="21"/>
  <c r="P9" i="21"/>
  <c r="F8" i="16"/>
  <c r="H8" i="16" s="1"/>
  <c r="P8" i="16" s="1"/>
  <c r="M21" i="16"/>
  <c r="D5" i="25"/>
  <c r="E5" i="25" s="1"/>
  <c r="G5" i="25" s="1"/>
  <c r="AK17" i="15"/>
  <c r="M6" i="16"/>
  <c r="F9" i="16"/>
  <c r="H9" i="16" s="1"/>
  <c r="P9" i="16" s="1"/>
  <c r="D154" i="14"/>
  <c r="D159" i="14"/>
  <c r="E29" i="21"/>
  <c r="AK24" i="15"/>
  <c r="E27" i="21"/>
  <c r="J16" i="42"/>
  <c r="J5" i="42"/>
  <c r="J7" i="42"/>
  <c r="J10" i="42"/>
  <c r="J12" i="42"/>
  <c r="J4" i="42"/>
  <c r="J6" i="42"/>
  <c r="J8" i="42"/>
  <c r="J11" i="42"/>
  <c r="J13" i="42"/>
  <c r="D21" i="42"/>
  <c r="E21" i="42"/>
  <c r="H6" i="42"/>
  <c r="D9" i="42"/>
  <c r="E9" i="42"/>
  <c r="F20" i="42"/>
  <c r="F18" i="42"/>
  <c r="D20" i="42"/>
  <c r="D18" i="42"/>
  <c r="E20" i="42"/>
  <c r="E18" i="42"/>
  <c r="G8" i="42"/>
  <c r="G6" i="42"/>
  <c r="I25" i="42"/>
  <c r="AR9" i="37"/>
  <c r="AR13" i="37"/>
  <c r="AR16" i="37"/>
  <c r="AR17" i="37"/>
  <c r="AR21" i="37"/>
  <c r="AR25" i="37"/>
  <c r="AR29" i="37"/>
  <c r="I19" i="42"/>
  <c r="AR29" i="34"/>
  <c r="F24" i="42"/>
  <c r="I17" i="42"/>
  <c r="H17" i="42"/>
  <c r="G19" i="42"/>
  <c r="H19" i="42"/>
  <c r="I21" i="42"/>
  <c r="H21" i="42"/>
  <c r="D24" i="42"/>
  <c r="E24" i="42"/>
  <c r="F26" i="42"/>
  <c r="H9" i="42"/>
  <c r="F17" i="42"/>
  <c r="AR12" i="34"/>
  <c r="F9" i="42"/>
  <c r="AK14" i="15"/>
  <c r="P19" i="21"/>
  <c r="P24" i="21"/>
  <c r="G34" i="21"/>
  <c r="F6" i="21"/>
  <c r="F4" i="21"/>
  <c r="E20" i="21"/>
  <c r="E22" i="21"/>
  <c r="AR21" i="34"/>
  <c r="D186" i="14"/>
  <c r="L49" i="13"/>
  <c r="N49" i="13" s="1"/>
  <c r="M15" i="16"/>
  <c r="D20" i="25"/>
  <c r="E20" i="25" s="1"/>
  <c r="G20" i="25" s="1"/>
  <c r="D18" i="25"/>
  <c r="E18" i="25" s="1"/>
  <c r="G18" i="25" s="1"/>
  <c r="AK19" i="15"/>
  <c r="M4" i="16"/>
  <c r="F14" i="16"/>
  <c r="H14" i="16" s="1"/>
  <c r="P14" i="16" s="1"/>
  <c r="M14" i="16"/>
  <c r="F18" i="16"/>
  <c r="H18" i="16" s="1"/>
  <c r="P18" i="16" s="1"/>
  <c r="M18" i="16"/>
  <c r="F20" i="16"/>
  <c r="H20" i="16" s="1"/>
  <c r="P20" i="16" s="1"/>
  <c r="M20" i="16"/>
  <c r="F24" i="16"/>
  <c r="H24" i="16" s="1"/>
  <c r="P24" i="16" s="1"/>
  <c r="M24" i="16"/>
  <c r="E3" i="16"/>
  <c r="M17" i="16"/>
  <c r="F17" i="16"/>
  <c r="H17" i="16" s="1"/>
  <c r="P17" i="16" s="1"/>
  <c r="M19" i="16"/>
  <c r="F19" i="16"/>
  <c r="H19" i="16" s="1"/>
  <c r="P19" i="16" s="1"/>
  <c r="AK15" i="15"/>
  <c r="D15" i="25"/>
  <c r="E15" i="25" s="1"/>
  <c r="G15" i="25" s="1"/>
  <c r="J15" i="25" s="1"/>
  <c r="AK21" i="15"/>
  <c r="E16" i="16"/>
  <c r="E25" i="16"/>
  <c r="D13" i="25"/>
  <c r="E13" i="25" s="1"/>
  <c r="G13" i="25" s="1"/>
  <c r="J13" i="25" s="1"/>
  <c r="D14" i="25"/>
  <c r="E14" i="25" s="1"/>
  <c r="G14" i="25" s="1"/>
  <c r="J14" i="25" s="1"/>
  <c r="D16" i="25"/>
  <c r="E16" i="25" s="1"/>
  <c r="G16" i="25" s="1"/>
  <c r="J16" i="25" s="1"/>
  <c r="D21" i="25"/>
  <c r="E21" i="25" s="1"/>
  <c r="G21" i="25" s="1"/>
  <c r="D22" i="25"/>
  <c r="E22" i="25" s="1"/>
  <c r="G22" i="25" s="1"/>
  <c r="AK18" i="15"/>
  <c r="L30" i="16"/>
  <c r="P31" i="21"/>
  <c r="P28" i="21"/>
  <c r="P30" i="21"/>
  <c r="E19" i="21"/>
  <c r="E13" i="21"/>
  <c r="E11" i="21"/>
  <c r="E3" i="21"/>
  <c r="E14" i="21"/>
  <c r="E17" i="21"/>
  <c r="E23" i="21"/>
  <c r="E5" i="21"/>
  <c r="E9" i="21"/>
  <c r="E15" i="21"/>
  <c r="E18" i="21"/>
  <c r="E16" i="21"/>
  <c r="E12" i="21"/>
  <c r="E10" i="21"/>
  <c r="E6" i="21"/>
  <c r="E4" i="21"/>
  <c r="E28" i="21"/>
  <c r="E30" i="21"/>
  <c r="E31" i="21"/>
  <c r="E32" i="21"/>
  <c r="F26" i="21"/>
  <c r="F24" i="21"/>
  <c r="F22" i="21"/>
  <c r="F20" i="21"/>
  <c r="F18" i="21"/>
  <c r="F16" i="21"/>
  <c r="F14" i="21"/>
  <c r="F8" i="21"/>
  <c r="L10" i="21"/>
  <c r="L12" i="21"/>
  <c r="D40" i="12"/>
  <c r="D22" i="20" s="1"/>
  <c r="D38" i="20" s="1"/>
  <c r="D44" i="20" s="1"/>
  <c r="C57" i="23"/>
  <c r="C59" i="23" s="1"/>
  <c r="C60" i="23" s="1"/>
  <c r="F38" i="12"/>
  <c r="E24" i="21"/>
  <c r="B34" i="21"/>
  <c r="AR24" i="37"/>
  <c r="H5" i="42"/>
  <c r="H7" i="42"/>
  <c r="D17" i="42"/>
  <c r="D6" i="42"/>
  <c r="D4" i="42"/>
  <c r="E17" i="42"/>
  <c r="E8" i="42"/>
  <c r="E6" i="42"/>
  <c r="E4" i="42"/>
  <c r="F8" i="42"/>
  <c r="F6" i="42"/>
  <c r="G7" i="42"/>
  <c r="AR8" i="37"/>
  <c r="H4" i="42"/>
  <c r="H8" i="42"/>
  <c r="H23" i="42"/>
  <c r="D22" i="42"/>
  <c r="D7" i="42"/>
  <c r="E22" i="42"/>
  <c r="E7" i="42"/>
  <c r="E5" i="42"/>
  <c r="AR25" i="34"/>
  <c r="F7" i="42"/>
  <c r="F5" i="42"/>
  <c r="G23" i="42"/>
  <c r="G4" i="42"/>
  <c r="P33" i="21"/>
  <c r="I4" i="42"/>
  <c r="F7" i="16"/>
  <c r="H7" i="16" s="1"/>
  <c r="P7" i="16" s="1"/>
  <c r="B40" i="12"/>
  <c r="B22" i="20" s="1"/>
  <c r="B42" i="20" s="1"/>
  <c r="C40" i="12"/>
  <c r="C22" i="20" s="1"/>
  <c r="C42" i="20" s="1"/>
  <c r="D34" i="21"/>
  <c r="H38" i="12"/>
  <c r="AR7" i="34"/>
  <c r="D57" i="23"/>
  <c r="D59" i="23" s="1"/>
  <c r="D60" i="23" s="1"/>
  <c r="F5" i="16"/>
  <c r="H5" i="16" s="1"/>
  <c r="P5" i="16" s="1"/>
  <c r="M5" i="16"/>
  <c r="AK5" i="15"/>
  <c r="F23" i="16"/>
  <c r="H23" i="16" s="1"/>
  <c r="P23" i="16" s="1"/>
  <c r="DZ25" i="36"/>
  <c r="DZ27" i="36" s="1"/>
  <c r="DZ29" i="36" s="1"/>
  <c r="DZ79" i="36" s="1"/>
  <c r="DZ83" i="36" s="1"/>
  <c r="D12" i="25"/>
  <c r="E12" i="25" s="1"/>
  <c r="G12" i="25" s="1"/>
  <c r="J12" i="25" s="1"/>
  <c r="D25" i="20"/>
  <c r="P27" i="21"/>
  <c r="AR7" i="37"/>
  <c r="AR11" i="34"/>
  <c r="D8" i="42"/>
  <c r="AR10" i="34"/>
  <c r="G9" i="42"/>
  <c r="DZ34" i="36"/>
  <c r="DZ36" i="36" s="1"/>
  <c r="DZ38" i="36" s="1"/>
  <c r="DZ80" i="36" s="1"/>
  <c r="DZ84" i="36" s="1"/>
  <c r="AK13" i="15"/>
  <c r="E26" i="16"/>
  <c r="E57" i="23"/>
  <c r="E59" i="23" s="1"/>
  <c r="E60" i="23" s="1"/>
  <c r="E38" i="12"/>
  <c r="D51" i="14"/>
  <c r="E25" i="21"/>
  <c r="G38" i="12"/>
  <c r="AH30" i="41"/>
  <c r="AR9" i="34"/>
  <c r="AK30" i="34"/>
  <c r="AO30" i="34"/>
  <c r="AN30" i="34"/>
  <c r="D5" i="42"/>
  <c r="AR8" i="34"/>
  <c r="G5" i="42"/>
  <c r="AJ30" i="34"/>
  <c r="AP30" i="34"/>
  <c r="M13" i="16"/>
  <c r="O34" i="21"/>
  <c r="P42" i="13"/>
  <c r="L48" i="13"/>
  <c r="N48" i="13" s="1"/>
  <c r="C34" i="21"/>
  <c r="D31" i="20" l="1"/>
  <c r="D60" i="49"/>
  <c r="D62" i="49" s="1"/>
  <c r="C31" i="20"/>
  <c r="C60" i="49"/>
  <c r="C62" i="49" s="1"/>
  <c r="B31" i="20"/>
  <c r="B60" i="49"/>
  <c r="D6" i="45"/>
  <c r="D7" i="45" s="1"/>
  <c r="F10" i="16"/>
  <c r="H10" i="16" s="1"/>
  <c r="P10" i="16" s="1"/>
  <c r="F29" i="16"/>
  <c r="H29" i="16" s="1"/>
  <c r="P29" i="16" s="1"/>
  <c r="B42" i="12"/>
  <c r="M12" i="16"/>
  <c r="M11" i="16"/>
  <c r="B51" i="13"/>
  <c r="O31" i="16"/>
  <c r="D51" i="13"/>
  <c r="D182" i="14" s="1"/>
  <c r="C21" i="20"/>
  <c r="C27" i="20" s="1"/>
  <c r="C75" i="49" s="1"/>
  <c r="D21" i="20"/>
  <c r="D27" i="20" s="1"/>
  <c r="D75" i="49" s="1"/>
  <c r="D170" i="14"/>
  <c r="B21" i="20"/>
  <c r="B27" i="20" s="1"/>
  <c r="B75" i="49" s="1"/>
  <c r="D149" i="14"/>
  <c r="DZ26" i="43"/>
  <c r="DZ27" i="43" s="1"/>
  <c r="DZ29" i="43" s="1"/>
  <c r="DZ22" i="43"/>
  <c r="F59" i="36"/>
  <c r="B75" i="36"/>
  <c r="B79" i="36"/>
  <c r="J83" i="36"/>
  <c r="AR30" i="37"/>
  <c r="CD83" i="36"/>
  <c r="AP84" i="36"/>
  <c r="AT83" i="36"/>
  <c r="BV83" i="36"/>
  <c r="J72" i="45"/>
  <c r="J77" i="45" s="1"/>
  <c r="G77" i="45"/>
  <c r="DZ35" i="43"/>
  <c r="DZ36" i="43" s="1"/>
  <c r="DZ38" i="43" s="1"/>
  <c r="BJ83" i="36"/>
  <c r="D7" i="14"/>
  <c r="D8" i="14" s="1"/>
  <c r="AX22" i="43"/>
  <c r="AX26" i="43"/>
  <c r="AX27" i="43" s="1"/>
  <c r="AX29" i="43" s="1"/>
  <c r="F51" i="36"/>
  <c r="CH83" i="36"/>
  <c r="AX72" i="36"/>
  <c r="BF83" i="36"/>
  <c r="R84" i="36"/>
  <c r="B84" i="36" s="1"/>
  <c r="F56" i="36"/>
  <c r="F83" i="36"/>
  <c r="J27" i="42"/>
  <c r="C44" i="20"/>
  <c r="F27" i="42"/>
  <c r="E27" i="42"/>
  <c r="G27" i="42"/>
  <c r="AK30" i="15"/>
  <c r="N51" i="13"/>
  <c r="F16" i="16"/>
  <c r="H16" i="16" s="1"/>
  <c r="P16" i="16" s="1"/>
  <c r="M16" i="16"/>
  <c r="F3" i="16"/>
  <c r="H3" i="16" s="1"/>
  <c r="P3" i="16" s="1"/>
  <c r="M3" i="16"/>
  <c r="F25" i="16"/>
  <c r="H25" i="16" s="1"/>
  <c r="P25" i="16" s="1"/>
  <c r="M25" i="16"/>
  <c r="D42" i="20"/>
  <c r="E34" i="21"/>
  <c r="N38" i="12"/>
  <c r="N40" i="12" s="1"/>
  <c r="X38" i="12"/>
  <c r="L38" i="12"/>
  <c r="L40" i="12" s="1"/>
  <c r="B38" i="20"/>
  <c r="B44" i="20" s="1"/>
  <c r="E40" i="12"/>
  <c r="F60" i="23"/>
  <c r="D27" i="42"/>
  <c r="AR30" i="34"/>
  <c r="F57" i="23"/>
  <c r="F59" i="23" s="1"/>
  <c r="F26" i="16"/>
  <c r="H26" i="16" s="1"/>
  <c r="P26" i="16" s="1"/>
  <c r="M26" i="16"/>
  <c r="I27" i="42"/>
  <c r="D45" i="20"/>
  <c r="E69" i="23" l="1"/>
  <c r="D76" i="49"/>
  <c r="D69" i="23"/>
  <c r="C76" i="49"/>
  <c r="B62" i="49"/>
  <c r="E62" i="49" s="1"/>
  <c r="E60" i="49"/>
  <c r="C69" i="23"/>
  <c r="B76" i="49"/>
  <c r="E76" i="49" s="1"/>
  <c r="E75" i="49"/>
  <c r="B166" i="14"/>
  <c r="D166" i="14" s="1"/>
  <c r="B93" i="45"/>
  <c r="D93" i="45" s="1"/>
  <c r="B95" i="45"/>
  <c r="D95" i="45" s="1"/>
  <c r="C37" i="20"/>
  <c r="B94" i="45"/>
  <c r="D94" i="45" s="1"/>
  <c r="P30" i="16"/>
  <c r="D41" i="20"/>
  <c r="C28" i="20"/>
  <c r="B167" i="14"/>
  <c r="D167" i="14" s="1"/>
  <c r="C33" i="20"/>
  <c r="C41" i="20"/>
  <c r="D68" i="23"/>
  <c r="E68" i="23"/>
  <c r="D33" i="20"/>
  <c r="D28" i="20"/>
  <c r="I47" i="20"/>
  <c r="D37" i="20"/>
  <c r="B168" i="14"/>
  <c r="D168" i="14" s="1"/>
  <c r="B33" i="20"/>
  <c r="B41" i="20"/>
  <c r="C68" i="23"/>
  <c r="B28" i="20"/>
  <c r="B37" i="20"/>
  <c r="M30" i="16"/>
  <c r="K33" i="16" s="1"/>
  <c r="K34" i="16" s="1"/>
  <c r="B83" i="36"/>
  <c r="F53" i="36"/>
  <c r="L51" i="36"/>
  <c r="D72" i="45"/>
  <c r="B45" i="20"/>
  <c r="C45" i="20"/>
  <c r="E70" i="23" l="1"/>
  <c r="D77" i="49"/>
  <c r="D70" i="23"/>
  <c r="C77" i="49"/>
  <c r="B34" i="20"/>
  <c r="B77" i="49"/>
  <c r="E77" i="49" s="1"/>
  <c r="D96" i="45"/>
  <c r="D103" i="45" s="1"/>
  <c r="D29" i="20"/>
  <c r="F70" i="23"/>
  <c r="D34" i="20"/>
  <c r="C34" i="20"/>
  <c r="D169" i="14"/>
  <c r="D187" i="14" s="1"/>
  <c r="D189" i="14" s="1"/>
  <c r="C70" i="23"/>
  <c r="J21" i="20"/>
  <c r="N10" i="21"/>
  <c r="P10" i="21" s="1"/>
  <c r="M3" i="21"/>
  <c r="P3" i="21" s="1"/>
  <c r="H45" i="20"/>
  <c r="H47" i="20" s="1"/>
  <c r="G45" i="20"/>
  <c r="G47" i="20" s="1"/>
  <c r="J14" i="20"/>
  <c r="D105" i="45" l="1"/>
  <c r="D35" i="20"/>
  <c r="J45" i="20"/>
  <c r="M34" i="21"/>
  <c r="N34" i="21"/>
  <c r="P34" i="21" l="1"/>
  <c r="A1" i="49"/>
</calcChain>
</file>

<file path=xl/comments1.xml><?xml version="1.0" encoding="utf-8"?>
<comments xmlns="http://schemas.openxmlformats.org/spreadsheetml/2006/main">
  <authors>
    <author>Auteur</author>
  </authors>
  <commentList>
    <comment ref="H2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filtre vidànge
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filtre vidànge
</t>
        </r>
      </text>
    </comment>
    <comment ref="H3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gàz
</t>
        </r>
      </text>
    </comment>
  </commentList>
</comments>
</file>

<file path=xl/comments2.xml><?xml version="1.0" encoding="utf-8"?>
<comments xmlns="http://schemas.openxmlformats.org/spreadsheetml/2006/main">
  <authors>
    <author>jacqueline Mbus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jacqueline Mbus:</t>
        </r>
        <r>
          <rPr>
            <sz val="9"/>
            <color indexed="81"/>
            <rFont val="Tahoma"/>
            <family val="2"/>
          </rPr>
          <t xml:space="preserve">
Repos Maladie
Marriage
Deuil du parent
Absences payees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jacqueline Mbus:</t>
        </r>
        <r>
          <rPr>
            <sz val="9"/>
            <color indexed="81"/>
            <rFont val="Tahoma"/>
            <family val="2"/>
          </rPr>
          <t xml:space="preserve">
Absence sans notification ni justificatif</t>
        </r>
      </text>
    </comment>
  </commentList>
</comments>
</file>

<file path=xl/comments3.xml><?xml version="1.0" encoding="utf-8"?>
<comments xmlns="http://schemas.openxmlformats.org/spreadsheetml/2006/main">
  <authors>
    <author>Auteur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Repos Maladie
Marriage
Deuil du parent
Absences payees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Absence sans notification ni justificatif</t>
        </r>
      </text>
    </comment>
  </commentList>
</comments>
</file>

<file path=xl/comments4.xml><?xml version="1.0" encoding="utf-8"?>
<comments xmlns="http://schemas.openxmlformats.org/spreadsheetml/2006/main">
  <authors>
    <author>Auteur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Repos Maladie
Marriage
Deuil du parent
Absences payees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Absence sans notification ni justificatif</t>
        </r>
      </text>
    </comment>
    <comment ref="AB2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Repos Maladie
Marriage
Deuil du parent
Absences payees</t>
        </r>
      </text>
    </comment>
    <comment ref="AC2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Repos Maladie
Marriage
Deuil du parent
Absences payees</t>
        </r>
      </text>
    </comment>
  </commentList>
</comments>
</file>

<file path=xl/sharedStrings.xml><?xml version="1.0" encoding="utf-8"?>
<sst xmlns="http://schemas.openxmlformats.org/spreadsheetml/2006/main" count="4528" uniqueCount="712">
  <si>
    <t>SUPER</t>
  </si>
  <si>
    <t>PETROLE</t>
  </si>
  <si>
    <t>TOTAL</t>
  </si>
  <si>
    <t>GASOIL</t>
  </si>
  <si>
    <t>DATE</t>
  </si>
  <si>
    <t>VENTES</t>
  </si>
  <si>
    <t>POSITION EN BANQUE BICEC 2</t>
  </si>
  <si>
    <t>ECART</t>
  </si>
  <si>
    <t>GROUPE</t>
  </si>
  <si>
    <t>MANQUANT CITERNE</t>
  </si>
  <si>
    <t>CARBURANT</t>
  </si>
  <si>
    <t>VALEURS</t>
  </si>
  <si>
    <t>TOTAUX</t>
  </si>
  <si>
    <t>Moyenne</t>
  </si>
  <si>
    <t>Analyse</t>
  </si>
  <si>
    <t>YAPAKI</t>
  </si>
  <si>
    <t>VERSEMENT BANQUE</t>
  </si>
  <si>
    <t>BLESSING PETROLEUM S.A</t>
  </si>
  <si>
    <t>CONTROLE DES STOCKS</t>
  </si>
  <si>
    <t>GAZOIL</t>
  </si>
  <si>
    <t xml:space="preserve">Secteur/District : </t>
  </si>
  <si>
    <t>Nom de la station :</t>
  </si>
  <si>
    <t xml:space="preserve">Nom du gérant : </t>
  </si>
  <si>
    <t xml:space="preserve">Type de gestion : </t>
  </si>
  <si>
    <t>Gérance directe</t>
  </si>
  <si>
    <t>MOIS:</t>
  </si>
  <si>
    <t>STOCKS</t>
  </si>
  <si>
    <t>Prix unitaire</t>
  </si>
  <si>
    <t>S.INITIAL/JAUGE (a)</t>
  </si>
  <si>
    <t>Valeur</t>
  </si>
  <si>
    <t xml:space="preserve">VENTES (C) </t>
  </si>
  <si>
    <t>STOCK FINAL THEO (d) =(a+b-c)</t>
  </si>
  <si>
    <t>Stock.FINAL REEL/JAUGE (e)</t>
  </si>
  <si>
    <t>Total</t>
  </si>
  <si>
    <t>ECARTS (f) = (e) - (d)</t>
  </si>
  <si>
    <t>Coualage admis</t>
  </si>
  <si>
    <t>Coualage non admis</t>
  </si>
  <si>
    <t>‰ = (f)*1000/(c)</t>
  </si>
  <si>
    <t>QTES</t>
  </si>
  <si>
    <t>PU</t>
  </si>
  <si>
    <t>LUBRIFIANTS</t>
  </si>
  <si>
    <t>SOUS TOTAL 1</t>
  </si>
  <si>
    <t>SOUS TOTAL 2</t>
  </si>
  <si>
    <t>CREANCES</t>
  </si>
  <si>
    <t>REMISE</t>
  </si>
  <si>
    <t>SOLDE</t>
  </si>
  <si>
    <t>SOUS TOTAL 3</t>
  </si>
  <si>
    <t>MANQUANTS POMPISTES</t>
  </si>
  <si>
    <t>TOTAL GENERAL</t>
  </si>
  <si>
    <t xml:space="preserve">DECOUVERT </t>
  </si>
  <si>
    <t xml:space="preserve"> </t>
  </si>
  <si>
    <t>CONDITIONNEMENT</t>
  </si>
  <si>
    <t>TOTAL 1</t>
  </si>
  <si>
    <t>TOTAL2</t>
  </si>
  <si>
    <t>MONTANT 1</t>
  </si>
  <si>
    <t>Engen Xtreme 5W40</t>
  </si>
  <si>
    <t>5 L</t>
  </si>
  <si>
    <t>Engen Xtreme 15W40</t>
  </si>
  <si>
    <t>Engen multigrade 20W50</t>
  </si>
  <si>
    <t>Engen dieselube 700</t>
  </si>
  <si>
    <t>Engen ATF 22 D</t>
  </si>
  <si>
    <t>0,5 L</t>
  </si>
  <si>
    <t>Engen premium oil 40</t>
  </si>
  <si>
    <t>Engen breakfluid dot 4</t>
  </si>
  <si>
    <t>Engen gearlube 80W 90</t>
  </si>
  <si>
    <t>1 VRAC</t>
  </si>
  <si>
    <t>Engen grease GP</t>
  </si>
  <si>
    <t>0,4 KG</t>
  </si>
  <si>
    <t>FUT DE 50 KG</t>
  </si>
  <si>
    <t>5L</t>
  </si>
  <si>
    <t>20L</t>
  </si>
  <si>
    <t>Oil 10W</t>
  </si>
  <si>
    <t>Multigrade 20W50</t>
  </si>
  <si>
    <t>0,5l</t>
  </si>
  <si>
    <t>Premium oil 40</t>
  </si>
  <si>
    <t>0,5L</t>
  </si>
  <si>
    <t>Dieselube 600</t>
  </si>
  <si>
    <t>Dieselube 700</t>
  </si>
  <si>
    <t>RECETTES JOURNALLIERES</t>
  </si>
  <si>
    <t>ecart</t>
  </si>
  <si>
    <t>&amp;²</t>
  </si>
  <si>
    <t>Nature</t>
  </si>
  <si>
    <t>SI</t>
  </si>
  <si>
    <t>ENTREE</t>
  </si>
  <si>
    <t>VENTE</t>
  </si>
  <si>
    <t>S THEO</t>
  </si>
  <si>
    <t>S PHYSIQ</t>
  </si>
  <si>
    <t>MONTANT</t>
  </si>
  <si>
    <t>ACHATS (b)</t>
  </si>
  <si>
    <t>MONTANT RECEPTION</t>
  </si>
  <si>
    <t>MONTANT STOCK INITIAL</t>
  </si>
  <si>
    <t>MONTANT STOCK PHYSIQUE</t>
  </si>
  <si>
    <t>MONTANT  VENTE</t>
  </si>
  <si>
    <t>IV- ETAT de LIVRAISON CARBURANTS</t>
  </si>
  <si>
    <t>PERIODE:</t>
  </si>
  <si>
    <t>Super</t>
  </si>
  <si>
    <t>Gasoil</t>
  </si>
  <si>
    <t>Pétrole</t>
  </si>
  <si>
    <t>N° BORD</t>
  </si>
  <si>
    <t>Cde-S</t>
  </si>
  <si>
    <t>RECU</t>
  </si>
  <si>
    <t>Coulage-S</t>
  </si>
  <si>
    <t>Cde-G</t>
  </si>
  <si>
    <t>Coulage-G</t>
  </si>
  <si>
    <t>Cde-P</t>
  </si>
  <si>
    <t>Coulage-P</t>
  </si>
  <si>
    <t>Montant CDE</t>
  </si>
  <si>
    <t>T0TAL</t>
  </si>
  <si>
    <t>RECAPITULATIF APPROV ET COULAGES</t>
  </si>
  <si>
    <t>VALEUR TOTAL DES COMMNADES</t>
  </si>
  <si>
    <t>TRANSFERT CARBURANT</t>
  </si>
  <si>
    <t>COULAGE</t>
  </si>
  <si>
    <t>QTEES</t>
  </si>
  <si>
    <t>VALEUR</t>
  </si>
  <si>
    <t>PRODUIT</t>
  </si>
  <si>
    <t>QUANTITE</t>
  </si>
  <si>
    <t>DESTINATION</t>
  </si>
  <si>
    <t xml:space="preserve">PU </t>
  </si>
  <si>
    <t xml:space="preserve">  </t>
  </si>
  <si>
    <t>STOCK</t>
  </si>
  <si>
    <t>ESPECE E CAISSE</t>
  </si>
  <si>
    <t xml:space="preserve">TEL: </t>
  </si>
  <si>
    <t xml:space="preserve"> ECARTS SUR STOCK DU MOIS</t>
  </si>
  <si>
    <t>Prix unitaire par produit</t>
  </si>
  <si>
    <t>Lub 600 (5L)</t>
  </si>
  <si>
    <t>Engen oil P 40</t>
  </si>
  <si>
    <t>Lub D600 (20L)</t>
  </si>
  <si>
    <t>Engen oil P40</t>
  </si>
  <si>
    <t>Lub 600 (20L)</t>
  </si>
  <si>
    <t>cheque ou virement</t>
  </si>
  <si>
    <t>banque</t>
  </si>
  <si>
    <t>numero</t>
  </si>
  <si>
    <t>montant</t>
  </si>
  <si>
    <t>18 KG</t>
  </si>
  <si>
    <t>Engen oil 50 VRAC</t>
  </si>
  <si>
    <t>Engen grease EP</t>
  </si>
  <si>
    <t>200L</t>
  </si>
  <si>
    <t xml:space="preserve">                                                                            TOTAL</t>
  </si>
  <si>
    <t>CUMUL</t>
  </si>
  <si>
    <t xml:space="preserve">DATES </t>
  </si>
  <si>
    <t xml:space="preserve">QUANTITE </t>
  </si>
  <si>
    <t>MONTANT CONSOMME</t>
  </si>
  <si>
    <t xml:space="preserve">COMPTEUR HORAIRE </t>
  </si>
  <si>
    <t>TPC</t>
  </si>
  <si>
    <t>RECETTE</t>
  </si>
  <si>
    <t>DEPENSES</t>
  </si>
  <si>
    <t>ANALYSE VENTES</t>
  </si>
  <si>
    <t>Objectif déjà réalisé :</t>
  </si>
  <si>
    <t>Objectif mensuel       :            </t>
  </si>
  <si>
    <t>Objectif mensuel :</t>
  </si>
  <si>
    <t xml:space="preserve">Vente réalisée      : </t>
  </si>
  <si>
    <t>Ecart</t>
  </si>
  <si>
    <t>COULAGE REALISE</t>
  </si>
  <si>
    <t>COULAGE ADMIS</t>
  </si>
  <si>
    <t>COULAGE NON ADMIS</t>
  </si>
  <si>
    <t>ecart/jr</t>
  </si>
  <si>
    <t>GAP   /jr </t>
  </si>
  <si>
    <t>GAP                            </t>
  </si>
  <si>
    <t>YOSSI SARL</t>
  </si>
  <si>
    <t>13/01/2017 (1ER QUART)</t>
  </si>
  <si>
    <t>LUB</t>
  </si>
  <si>
    <t>ETAT</t>
  </si>
  <si>
    <t>AFB 12079019</t>
  </si>
  <si>
    <t>AFB 12378336</t>
  </si>
  <si>
    <t>AFB 12484638</t>
  </si>
  <si>
    <t>AFB 12484614</t>
  </si>
  <si>
    <t>AFB 12484616</t>
  </si>
  <si>
    <t>AFB 11875105</t>
  </si>
  <si>
    <t>AFB 12079025</t>
  </si>
  <si>
    <t>AFB 12484582</t>
  </si>
  <si>
    <t>AFB 12484617</t>
  </si>
  <si>
    <t>AFB 12484618</t>
  </si>
  <si>
    <t>AFB 12405218</t>
  </si>
  <si>
    <t>DECHARGE FRANCOISE</t>
  </si>
  <si>
    <t>BILLETAGE</t>
  </si>
  <si>
    <t>INVENT.STOCK  LUB NKOLAFAMBA AU 13/01/2016 A 16H</t>
  </si>
  <si>
    <t>MONTANT VALEUR</t>
  </si>
  <si>
    <t>ORANGE MARCHAND</t>
  </si>
  <si>
    <t>DATES</t>
  </si>
  <si>
    <t>QUANTITES VENDUES</t>
  </si>
  <si>
    <t>CONTRÔLE</t>
  </si>
  <si>
    <t>LUBRIFIANT</t>
  </si>
  <si>
    <t xml:space="preserve"> TOTALES</t>
  </si>
  <si>
    <t>VERSEMENTS</t>
  </si>
  <si>
    <t xml:space="preserve">ECARTS </t>
  </si>
  <si>
    <t>DETTES+AUTRES DEPENSES</t>
  </si>
  <si>
    <t>RECETTES ATTENDUES</t>
  </si>
  <si>
    <t>QUANTITES</t>
  </si>
  <si>
    <t>BANQUE</t>
  </si>
  <si>
    <t xml:space="preserve">YOSSI </t>
  </si>
  <si>
    <t>GE</t>
  </si>
  <si>
    <t>SURPLUS/ MANQUANTS</t>
  </si>
  <si>
    <t>Totaux</t>
  </si>
  <si>
    <t>Objectifs</t>
  </si>
  <si>
    <t>PRODUITS</t>
  </si>
  <si>
    <t>GAZ</t>
  </si>
  <si>
    <t xml:space="preserve">VENTES A TERMES </t>
  </si>
  <si>
    <t>CLIENTS</t>
  </si>
  <si>
    <t>P.U</t>
  </si>
  <si>
    <t>YOSSI</t>
  </si>
  <si>
    <t>REGLEMENTS CLIENTS</t>
  </si>
  <si>
    <t>ESPECE</t>
  </si>
  <si>
    <t>CHEQUE</t>
  </si>
  <si>
    <t>REFERENCE</t>
  </si>
  <si>
    <t>SOLDE CLIENTS</t>
  </si>
  <si>
    <t>MQT CITERNE</t>
  </si>
  <si>
    <t xml:space="preserve">LOCATION YAPPE </t>
  </si>
  <si>
    <r>
      <rPr>
        <sz val="11"/>
        <color rgb="FF7030A0"/>
        <rFont val="Calibri"/>
        <family val="2"/>
        <scheme val="minor"/>
      </rPr>
      <t>Commentaires</t>
    </r>
    <r>
      <rPr>
        <sz val="11"/>
        <color rgb="FF000000"/>
        <rFont val="Calibri"/>
        <family val="2"/>
        <scheme val="minor"/>
      </rPr>
      <t xml:space="preserve"> : </t>
    </r>
  </si>
  <si>
    <t>Commentaires</t>
  </si>
  <si>
    <t xml:space="preserve">Commentaires </t>
  </si>
  <si>
    <t>BOUTIQUE "LE BABONE"</t>
  </si>
  <si>
    <t>Vente de la journée (1)</t>
  </si>
  <si>
    <t>Report solde journée précédente (2)</t>
  </si>
  <si>
    <t>Cumul (3) = 1+2</t>
  </si>
  <si>
    <t>Retraits /Achats 4</t>
  </si>
  <si>
    <t>Nouveau Solde (5) = 3-4</t>
  </si>
  <si>
    <t>Versement Banque (6)</t>
  </si>
  <si>
    <t>Ecart (7) = 5-6</t>
  </si>
  <si>
    <t>Stock D'ouverture</t>
  </si>
  <si>
    <t>Reception</t>
  </si>
  <si>
    <t>Ventes</t>
  </si>
  <si>
    <t>Stock fermeture</t>
  </si>
  <si>
    <t>Charges  6kg</t>
  </si>
  <si>
    <t>Charges 12 Kg</t>
  </si>
  <si>
    <t>Consignation 6 kg</t>
  </si>
  <si>
    <t>Consignation 12 kg</t>
  </si>
  <si>
    <t>Foyer</t>
  </si>
  <si>
    <t>Bruleur</t>
  </si>
  <si>
    <t>PANNES ET PROBLEMES</t>
  </si>
  <si>
    <t>CONSOMMATION GROUPE</t>
  </si>
  <si>
    <t>QTE</t>
  </si>
  <si>
    <t>SECURITE</t>
  </si>
  <si>
    <t>Commentaires:</t>
  </si>
  <si>
    <t>TRANSVAL</t>
  </si>
  <si>
    <t>ECOBANK</t>
  </si>
  <si>
    <t>C.I.C</t>
  </si>
  <si>
    <t>C I C</t>
  </si>
  <si>
    <t>CLIENTS:</t>
  </si>
  <si>
    <t>BLESSING PETROLEUM</t>
  </si>
  <si>
    <t>RELEVE DE CONSOMMATION HEBDOMADAIRE</t>
  </si>
  <si>
    <t>VERSEMENT</t>
  </si>
  <si>
    <t>Solde progressif</t>
  </si>
  <si>
    <t>CLIENT</t>
  </si>
  <si>
    <t>Quantité</t>
  </si>
  <si>
    <t>Montant</t>
  </si>
  <si>
    <t>N° vehicule</t>
  </si>
  <si>
    <t>N° bon</t>
  </si>
  <si>
    <t>produit</t>
  </si>
  <si>
    <t>quantité</t>
  </si>
  <si>
    <t>P,U</t>
  </si>
  <si>
    <t>Arretez la presente à la somme de</t>
  </si>
  <si>
    <t>le Gérant</t>
  </si>
  <si>
    <t xml:space="preserve">Veillez confirmer le solde suivant qui est de </t>
  </si>
  <si>
    <t>STATION BLESSING MFOMAKAP</t>
  </si>
  <si>
    <t>SOLDE AU</t>
  </si>
  <si>
    <t>TOLAL 1</t>
  </si>
  <si>
    <t>TOTAL 2</t>
  </si>
  <si>
    <t>T.G</t>
  </si>
  <si>
    <t xml:space="preserve">MONTANT </t>
  </si>
  <si>
    <t>GAZ 6 KG</t>
  </si>
  <si>
    <t>GAZ 12,5 KG</t>
  </si>
  <si>
    <t>Consignation 12,5kg</t>
  </si>
  <si>
    <t>Consignation 6kg</t>
  </si>
  <si>
    <t>bouteille vide 6 kg</t>
  </si>
  <si>
    <t>bouteille vide 12,5kg</t>
  </si>
  <si>
    <t>Bruleurs</t>
  </si>
  <si>
    <t>Foyers</t>
  </si>
  <si>
    <t>NATURE</t>
  </si>
  <si>
    <t xml:space="preserve"> RECEPTION</t>
  </si>
  <si>
    <t>VALEUR  STK PHYSIQUE</t>
  </si>
  <si>
    <t xml:space="preserve"> VALEUR STOCK INITIAL</t>
  </si>
  <si>
    <t>VALEUR  RECEPTION</t>
  </si>
  <si>
    <t>VALEUR  VENTE</t>
  </si>
  <si>
    <t>manquant pompiste</t>
  </si>
  <si>
    <t>orange marchand</t>
  </si>
  <si>
    <t>NBRE DE JOURS DE STOCK</t>
  </si>
  <si>
    <t>CAPACITE CUVE</t>
  </si>
  <si>
    <t xml:space="preserve">FOND DE CUVE </t>
  </si>
  <si>
    <t>CREUX DISPONIBLE</t>
  </si>
  <si>
    <t>STOCK DE SECURITE</t>
  </si>
  <si>
    <t>STOCK COMMERCIAL</t>
  </si>
  <si>
    <t>DECISION DE COMMANDE</t>
  </si>
  <si>
    <t>QUANTITE A COMMANDER</t>
  </si>
  <si>
    <t>moyenne de vente</t>
  </si>
  <si>
    <t>conso groupe</t>
  </si>
  <si>
    <t>1L</t>
  </si>
  <si>
    <t>0,2L</t>
  </si>
  <si>
    <t>JAUGEAGE CAMION 36000</t>
  </si>
  <si>
    <t>CH 1</t>
  </si>
  <si>
    <t>CH 2</t>
  </si>
  <si>
    <t>CH 3</t>
  </si>
  <si>
    <t>CH 4</t>
  </si>
  <si>
    <t>ECART CH1</t>
  </si>
  <si>
    <t>ECART CH3</t>
  </si>
  <si>
    <t>DEBIT</t>
  </si>
  <si>
    <t>Présence de deux vigile en poste</t>
  </si>
  <si>
    <t xml:space="preserve">SUIVI </t>
  </si>
  <si>
    <t>ELECTROGENE</t>
  </si>
  <si>
    <t>super</t>
  </si>
  <si>
    <t>bidons</t>
  </si>
  <si>
    <t>BELLO</t>
  </si>
  <si>
    <t>gasoil</t>
  </si>
  <si>
    <t xml:space="preserve">                                                                                                                                                                               </t>
  </si>
  <si>
    <t xml:space="preserve">VENTES </t>
  </si>
  <si>
    <t>CIC</t>
  </si>
  <si>
    <t>k4lIT4S</t>
  </si>
  <si>
    <t>NOMS LUB</t>
  </si>
  <si>
    <t>K4LIT4S</t>
  </si>
  <si>
    <t>OM</t>
  </si>
  <si>
    <t>MGT CITERNE</t>
  </si>
  <si>
    <t>210L</t>
  </si>
  <si>
    <t>SITUATION VENTE CARBURANT</t>
  </si>
  <si>
    <t>CUMUL MOIS</t>
  </si>
  <si>
    <t>FUEL</t>
  </si>
  <si>
    <t>Index Ouverture</t>
  </si>
  <si>
    <t>Remise en cuve</t>
  </si>
  <si>
    <t>Index Fermeture</t>
  </si>
  <si>
    <t>POMPES / PISTOLETS</t>
  </si>
  <si>
    <t>S1</t>
  </si>
  <si>
    <t>S2</t>
  </si>
  <si>
    <t>S3</t>
  </si>
  <si>
    <t>S4</t>
  </si>
  <si>
    <t>S5</t>
  </si>
  <si>
    <t>S6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</si>
  <si>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</si>
  <si>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</si>
  <si>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</si>
  <si>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</si>
  <si>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</si>
  <si>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</si>
  <si>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</si>
  <si>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</si>
  <si>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</si>
  <si>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P1</t>
  </si>
  <si>
    <t>P2</t>
  </si>
  <si>
    <t>OBJECTIF</t>
  </si>
  <si>
    <t xml:space="preserve">Stock Physique matin </t>
  </si>
  <si>
    <t>Pertrole</t>
  </si>
  <si>
    <t>Vente</t>
  </si>
  <si>
    <t>Stock Théorique</t>
  </si>
  <si>
    <t>Stock Physique Soir</t>
  </si>
  <si>
    <t>Petrole</t>
  </si>
  <si>
    <t>pump   pistol</t>
  </si>
  <si>
    <t>TOTAL MENSUEL:</t>
  </si>
  <si>
    <t>OBJECTIF MENSUEL:</t>
  </si>
  <si>
    <t>MOYENNE JOUR:</t>
  </si>
  <si>
    <t>REALISATIONS PAR POMPE</t>
  </si>
  <si>
    <t>OBJECTIF PAR POMPE</t>
  </si>
  <si>
    <t>CUMUL REALISATIONS PAR POMPE</t>
  </si>
  <si>
    <t>DUO</t>
  </si>
  <si>
    <t>G1-G2</t>
  </si>
  <si>
    <t>QUATRO</t>
  </si>
  <si>
    <t>S1-S2-G3-G4</t>
  </si>
  <si>
    <t>S3-S4-G5-G6</t>
  </si>
  <si>
    <t>S5-S6-G7-G8</t>
  </si>
  <si>
    <t>MONO</t>
  </si>
  <si>
    <t>PET</t>
  </si>
  <si>
    <t>CUMUL COULAGE</t>
  </si>
  <si>
    <t>Cumul Coulage Physique</t>
  </si>
  <si>
    <t>Coualge physique obtenu</t>
  </si>
  <si>
    <t>Cumul Coulage non admis</t>
  </si>
  <si>
    <t>Coulage non admis (dépasement)</t>
  </si>
  <si>
    <t xml:space="preserve">ÉTAT DE PRÉSENCE BLESSING    </t>
  </si>
  <si>
    <t>Nkozoa</t>
  </si>
  <si>
    <t>Pour la période allant du</t>
  </si>
  <si>
    <t>au</t>
  </si>
  <si>
    <t>Cliquez sur une case puis sur la fleche qui s'affiche pour choisir la position</t>
  </si>
  <si>
    <t xml:space="preserve"> Changer les noms ici</t>
  </si>
  <si>
    <t xml:space="preserve">Status </t>
  </si>
  <si>
    <t>Rt</t>
  </si>
  <si>
    <t>En Retard</t>
  </si>
  <si>
    <t>S</t>
  </si>
  <si>
    <t>Suspendu</t>
  </si>
  <si>
    <t>Abs</t>
  </si>
  <si>
    <t>Absence(commentaire)</t>
  </si>
  <si>
    <t>NJ</t>
  </si>
  <si>
    <t>Absence non justifiée</t>
  </si>
  <si>
    <t>P</t>
  </si>
  <si>
    <t>Présent</t>
  </si>
  <si>
    <t>Rp</t>
  </si>
  <si>
    <t>Repos</t>
  </si>
  <si>
    <t>MP</t>
  </si>
  <si>
    <t>Mise a pied</t>
  </si>
  <si>
    <t>Congé</t>
  </si>
  <si>
    <t>#</t>
  </si>
  <si>
    <t>Position</t>
  </si>
  <si>
    <t>Nom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</si>
  <si>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</si>
  <si>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</si>
  <si>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</si>
  <si>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</si>
  <si>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</si>
  <si>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</si>
  <si>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</si>
  <si>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</si>
  <si>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jour 9</t>
  </si>
  <si>
    <t>jour 10</t>
  </si>
  <si>
    <t>jour 11</t>
  </si>
  <si>
    <t>jour 12</t>
  </si>
  <si>
    <t>jour 13</t>
  </si>
  <si>
    <t>jour 14</t>
  </si>
  <si>
    <t>jour 15</t>
  </si>
  <si>
    <t>jour 16</t>
  </si>
  <si>
    <t>jour 17</t>
  </si>
  <si>
    <t>jour 18</t>
  </si>
  <si>
    <t>jour 19</t>
  </si>
  <si>
    <t>jour 20</t>
  </si>
  <si>
    <t>jour 21</t>
  </si>
  <si>
    <t>jour 22</t>
  </si>
  <si>
    <t>jour 23</t>
  </si>
  <si>
    <t>jour 24</t>
  </si>
  <si>
    <t>jour 25</t>
  </si>
  <si>
    <t>jour 26</t>
  </si>
  <si>
    <t>jour 27</t>
  </si>
  <si>
    <t>jour 28</t>
  </si>
  <si>
    <t>jour 29</t>
  </si>
  <si>
    <t>jour 30</t>
  </si>
  <si>
    <t>jour 31</t>
  </si>
  <si>
    <t xml:space="preserve">Abs. </t>
  </si>
  <si>
    <t>Abs. Non Justif.</t>
  </si>
  <si>
    <t>Suspensions</t>
  </si>
  <si>
    <t>Mises a pied</t>
  </si>
  <si>
    <t>Présences</t>
  </si>
  <si>
    <t>Repos ce mois</t>
  </si>
  <si>
    <t>Retards ce mois2</t>
  </si>
  <si>
    <t>jrs de congé ce mois</t>
  </si>
  <si>
    <t>Jours d’absence ce mois</t>
  </si>
  <si>
    <t>Chef de piste</t>
  </si>
  <si>
    <t>Pompiste</t>
  </si>
  <si>
    <t>Boutique</t>
  </si>
  <si>
    <t>Ecrire uniquement les noms et positions necessaires et laisser les autres cases vides</t>
  </si>
  <si>
    <t>Ne pas modifier ce petit tableau effectif</t>
  </si>
  <si>
    <t>Effectif</t>
  </si>
  <si>
    <t>Graisseur</t>
  </si>
  <si>
    <t>Stagiaire</t>
  </si>
  <si>
    <t>Formation</t>
  </si>
  <si>
    <t>Vigile</t>
  </si>
  <si>
    <t>ÉTAT DE MANQUANTS/EXCEDANTS BLESSING</t>
  </si>
  <si>
    <t xml:space="preserve">Ne pas changer les noms ici! </t>
  </si>
  <si>
    <t>Ajouter le symbol negatif (-) aux manquants  et ecrire normalement le montant quand il s'agit de l'excedant</t>
  </si>
  <si>
    <t xml:space="preserve">Noms                                                     </t>
  </si>
  <si>
    <t>Total Manquant</t>
  </si>
  <si>
    <t xml:space="preserve">RECAP MQT/PRS BLESSING </t>
  </si>
  <si>
    <t>Pour la periode allant du</t>
  </si>
  <si>
    <t>Noms</t>
  </si>
  <si>
    <t>Nb Jr d' Abs. NJ</t>
  </si>
  <si>
    <t>Nb MAP</t>
  </si>
  <si>
    <t>Nb Jours d'abs J</t>
  </si>
  <si>
    <t>Nb Jrs de presence</t>
  </si>
  <si>
    <t>Jrs de conge</t>
  </si>
  <si>
    <t>Jours travaille</t>
  </si>
  <si>
    <t>Signatures</t>
  </si>
  <si>
    <t>En terme de manquants notre station illustre un echec de</t>
  </si>
  <si>
    <t>par rapport aux normes de la societe</t>
  </si>
  <si>
    <t>En terme d'absence (tous types confondus) notre station illustre un echec de</t>
  </si>
  <si>
    <t>NE PAS MODIFIER CETTE PAGE, IMPRIMER ET AFFICHER EN SALLE DES COMPTES</t>
  </si>
  <si>
    <t>Coulage</t>
  </si>
  <si>
    <t>MTN marchand</t>
  </si>
  <si>
    <t>MTN MARCHAND</t>
  </si>
  <si>
    <t>mtn marchand</t>
  </si>
  <si>
    <t>SUIVI CONSO GROUPE ELECTROGENE KENA</t>
  </si>
  <si>
    <t>NFON</t>
  </si>
  <si>
    <t>OWONO</t>
  </si>
  <si>
    <t>KAMGA</t>
  </si>
  <si>
    <t>KEUALI</t>
  </si>
  <si>
    <t>LAISIN</t>
  </si>
  <si>
    <t>FOMEKONG</t>
  </si>
  <si>
    <t>MADOUMTSING</t>
  </si>
  <si>
    <t>FOTSO</t>
  </si>
  <si>
    <t>TEDJUONG</t>
  </si>
  <si>
    <t>GANGOUE</t>
  </si>
  <si>
    <t>NKONG</t>
  </si>
  <si>
    <t>MABAH</t>
  </si>
  <si>
    <t>VERSEMENT NON PRIS EN COMPTE</t>
  </si>
  <si>
    <t>TOTAL VENTE A TERME</t>
  </si>
  <si>
    <t>TOTAL VERSEMENT NON PRIS EN COMPTE</t>
  </si>
  <si>
    <t>VENTE A TERME</t>
  </si>
  <si>
    <t>DEPENSES MAI 2019</t>
  </si>
  <si>
    <t>AVARIES DOT 4 0,2 L(46bouteilles percées)</t>
  </si>
  <si>
    <t>TOTAL 3</t>
  </si>
  <si>
    <t>RECEPTION CARBURANT</t>
  </si>
  <si>
    <t xml:space="preserve">NFON </t>
  </si>
  <si>
    <t>TEDJOUONG</t>
  </si>
  <si>
    <t>Kena</t>
  </si>
  <si>
    <t>TETDJOUONG ALEXIS</t>
  </si>
  <si>
    <t>Cumul Freinte</t>
  </si>
  <si>
    <t>Freinte</t>
  </si>
  <si>
    <t>1 ere semaine</t>
  </si>
  <si>
    <t>explication quotidienne</t>
  </si>
  <si>
    <t>2 eme semaine</t>
  </si>
  <si>
    <t>3 eme semaine</t>
  </si>
  <si>
    <t>4 eme semaine</t>
  </si>
  <si>
    <t>5 eme semaine</t>
  </si>
  <si>
    <t>MULTIGRADE 20W50(5L)</t>
  </si>
  <si>
    <t>VERSEMENT DU 30/06/2019</t>
  </si>
  <si>
    <t>EXCEDENT  LUB DE  FEVRIER A MAI</t>
  </si>
  <si>
    <t>DEPENSES JUIN 2019</t>
  </si>
  <si>
    <t>MANQANTS LUB</t>
  </si>
  <si>
    <t>EXCEDENT SUR VERSEMENT JUIN</t>
  </si>
  <si>
    <t>DEPENSES  JUILLET  2019</t>
  </si>
  <si>
    <t>freinte dans la norme</t>
  </si>
  <si>
    <t>freinte dù au froid</t>
  </si>
  <si>
    <t>jauge approximative</t>
  </si>
  <si>
    <t>PREMIUM OIL40(1L)</t>
  </si>
  <si>
    <t xml:space="preserve">TOTAL </t>
  </si>
  <si>
    <t>DEPENSES AOUT 2019</t>
  </si>
  <si>
    <t>MANQUANT POMPISTE</t>
  </si>
  <si>
    <t>MANQUANT  LUBS</t>
  </si>
  <si>
    <t xml:space="preserve"> SUR VERSEMENT JUILLET 27 ET 28 JUILLET</t>
  </si>
  <si>
    <t>EXCEDENTS LUBS</t>
  </si>
  <si>
    <t>MANQUANTS SUR VERSEMENT DU 10 AOUT</t>
  </si>
  <si>
    <t>EXCEDENT LUBS</t>
  </si>
  <si>
    <t>mauvais</t>
  </si>
  <si>
    <t>ATF (0,5 L)</t>
  </si>
  <si>
    <t>dieselube 600(5 l)</t>
  </si>
  <si>
    <t>dieselube 700(1 l)</t>
  </si>
  <si>
    <t>PREMIUM OIL40(5L)</t>
  </si>
  <si>
    <t>premium oil 40(20 l)</t>
  </si>
  <si>
    <t>X-TREME SYN 5W40</t>
  </si>
  <si>
    <t>X-TREME SYN 15W40</t>
  </si>
  <si>
    <t>MULTIGRADE 20W 50</t>
  </si>
  <si>
    <t>DIESEL LUB 700</t>
  </si>
  <si>
    <t>ATF 22 D</t>
  </si>
  <si>
    <t>PREMUIM OIL 40</t>
  </si>
  <si>
    <t>BRAKE FLUID DOT 4</t>
  </si>
  <si>
    <t>GEARLUBE 80W90</t>
  </si>
  <si>
    <t>GREASE GP 0,4G</t>
  </si>
  <si>
    <t>0,4L</t>
  </si>
  <si>
    <t>80w90 fut (210 L)</t>
  </si>
  <si>
    <t>VRAC ENGEN OIL 50</t>
  </si>
  <si>
    <t>OIL 40 (20 L)</t>
  </si>
  <si>
    <t>DIESEL LUB 600 5L</t>
  </si>
  <si>
    <t>GREASE GP 18 KG</t>
  </si>
  <si>
    <t>18L</t>
  </si>
  <si>
    <t>OIL40 0,5L</t>
  </si>
  <si>
    <t>20W50 0,5L</t>
  </si>
  <si>
    <t>DIESEL 600 0,5L</t>
  </si>
  <si>
    <t xml:space="preserve">DIESEL 700 </t>
  </si>
  <si>
    <t>DIESEL 600 20L</t>
  </si>
  <si>
    <t xml:space="preserve">OIL 40 </t>
  </si>
  <si>
    <t>20W50</t>
  </si>
  <si>
    <t>DIESELUBE 600</t>
  </si>
  <si>
    <t>DOT 4</t>
  </si>
  <si>
    <t>GREASSE</t>
  </si>
  <si>
    <t>50L</t>
  </si>
  <si>
    <t>DEPENSES OCTOBRE</t>
  </si>
  <si>
    <t xml:space="preserve">freinte dans la norme </t>
  </si>
  <si>
    <t>yossi</t>
  </si>
  <si>
    <t>mauvaise appreciation de la jauge</t>
  </si>
  <si>
    <t>mauvaise appreciation de la jauge pourra se regularisé le lendemain</t>
  </si>
  <si>
    <t>mauvais appreciation de la jauge</t>
  </si>
  <si>
    <t>DEPENSES novembre2019</t>
  </si>
  <si>
    <t>manqt livraison</t>
  </si>
  <si>
    <t>MANQUANT LIVRAISON</t>
  </si>
  <si>
    <t>VENTES KENA AU 29/11/2019</t>
  </si>
  <si>
    <t>ecobank</t>
  </si>
  <si>
    <t>ECART LUB</t>
  </si>
  <si>
    <t>MQT LUB</t>
  </si>
  <si>
    <t>freinte du au froid</t>
  </si>
  <si>
    <t xml:space="preserve">mauvaise appreciation de la jauge </t>
  </si>
  <si>
    <t xml:space="preserve">20w50(01l) </t>
  </si>
  <si>
    <t>DIESELUBE 600(20l)</t>
  </si>
  <si>
    <t>dieselube 540(210 l)</t>
  </si>
  <si>
    <t>manquant graisseur</t>
  </si>
  <si>
    <t>SOUS-TOTAL 2</t>
  </si>
  <si>
    <t xml:space="preserve">RECEPTION LUBRIFIANT </t>
  </si>
  <si>
    <t>DEPENSES DECEMBRE 2019</t>
  </si>
  <si>
    <t>DEPENSES JANVIER 2020</t>
  </si>
  <si>
    <t>DEPENSES FEVRIER 2020</t>
  </si>
  <si>
    <t>EXECEDENT GRAISSEUR</t>
  </si>
  <si>
    <t>sous total 3</t>
  </si>
  <si>
    <t xml:space="preserve">SOUS TOTAL </t>
  </si>
  <si>
    <t>AVARIE LUB DOT4+(08 bteilles)</t>
  </si>
  <si>
    <t xml:space="preserve">CAMTEL </t>
  </si>
  <si>
    <t>CAMTEL</t>
  </si>
  <si>
    <t>KENFACK MOMO B</t>
  </si>
  <si>
    <t>NDJOCK  FREDERIC S</t>
  </si>
  <si>
    <t>MADOUMTSING FOTSING G</t>
  </si>
  <si>
    <t>WOLE  WILFRIEDE</t>
  </si>
  <si>
    <t>NKONG BIFENDE CLARISE</t>
  </si>
  <si>
    <t>NFON EDOUKA  JEAN PAUL</t>
  </si>
  <si>
    <t>GANGOUE NOUBISSIE  ROSINE</t>
  </si>
  <si>
    <t>ETAT DE PRESENCE BLESSING</t>
  </si>
  <si>
    <t>AVARIE DOT4+( 31 bouteilles)</t>
  </si>
  <si>
    <t>coulage FEVRIER 2021</t>
  </si>
  <si>
    <t>COULAGES  MARS 2021</t>
  </si>
  <si>
    <t>DABOUEN KOAGNE PERVERCHE</t>
  </si>
  <si>
    <t>COULAGES MAI 2021</t>
  </si>
  <si>
    <t>GUELAH KUETCHE</t>
  </si>
  <si>
    <t>FOUOMENE YEFOU</t>
  </si>
  <si>
    <t>S INT</t>
  </si>
  <si>
    <t>DEPENSES MAI 2021</t>
  </si>
  <si>
    <t>DECOUVERT  KENA AU  18/07/2021</t>
  </si>
  <si>
    <t>COULAGES AOUT  2021</t>
  </si>
  <si>
    <t>DEPENSE AOUT 2021</t>
  </si>
  <si>
    <t>DEPENSES SEPTEMBRE 2021</t>
  </si>
  <si>
    <t>versement  du 31/08/2021</t>
  </si>
  <si>
    <t>FOTSO KAPTUE MARIUS</t>
  </si>
  <si>
    <t>NOUHO OUMBE GAELLE</t>
  </si>
  <si>
    <t>ERREUR RECEPTION</t>
  </si>
  <si>
    <t>ERREUR  RECEPTION</t>
  </si>
  <si>
    <t>DECOUVERT  KENA  AOUT 2021</t>
  </si>
  <si>
    <t>RECEPTION</t>
  </si>
  <si>
    <t>AVARAIES</t>
  </si>
  <si>
    <t>RECETTE DU  31  AOUT 2021</t>
  </si>
  <si>
    <t xml:space="preserve">ECART </t>
  </si>
  <si>
    <t>S I</t>
  </si>
  <si>
    <t>CONSO</t>
  </si>
  <si>
    <t>REGLEMENT</t>
  </si>
  <si>
    <t>AVOIR</t>
  </si>
  <si>
    <t>SF</t>
  </si>
  <si>
    <t>MOBILE MONEY</t>
  </si>
  <si>
    <t>depenses  aout 21</t>
  </si>
  <si>
    <t>MQT POMPISTE</t>
  </si>
  <si>
    <t>TOTAL DEPENSES</t>
  </si>
  <si>
    <t>COULAGES  AOUT 2021</t>
  </si>
  <si>
    <t>ELEMENTS</t>
  </si>
  <si>
    <t>LIVRAISON</t>
  </si>
  <si>
    <t xml:space="preserve">TOTAL COULAGES </t>
  </si>
  <si>
    <t>produit facturé non recu super 10000l c1041130</t>
  </si>
  <si>
    <t>S REEL</t>
  </si>
  <si>
    <t>DIFFERENTIEL PRIX (C1041490)</t>
  </si>
  <si>
    <t>ECARTS</t>
  </si>
  <si>
    <t>Manquant sur versement 28 septembre</t>
  </si>
  <si>
    <t>Manquant sur versement 25 et 26 septembre</t>
  </si>
  <si>
    <t>DETAILS ECARTS</t>
  </si>
  <si>
    <t>TOTAL GENERAL ECARTS</t>
  </si>
  <si>
    <t>DIFFERENTIEL PRIX SUR LIVRAISON PRODUITS (C1041490)</t>
  </si>
  <si>
    <t>LIVRAISON CARBURANT SUPER</t>
  </si>
  <si>
    <t>LIVRAISON CARBURANT GAZOIL</t>
  </si>
  <si>
    <t>REGLEMENT GROUPE</t>
  </si>
  <si>
    <t>nouvaux prix</t>
  </si>
  <si>
    <t>valeur</t>
  </si>
  <si>
    <t>excedent sur differentiel prix lub</t>
  </si>
  <si>
    <t>LIVRAISON CARBURANT  PETROLE</t>
  </si>
  <si>
    <t>DEPENSESS</t>
  </si>
  <si>
    <t xml:space="preserve">MQT POMPISTE </t>
  </si>
  <si>
    <t>LIVRAISON LUBRIFIANT</t>
  </si>
  <si>
    <t>COULAGES    mars 2022</t>
  </si>
  <si>
    <t>AUTRES</t>
  </si>
  <si>
    <t>MANQUANT LIV</t>
  </si>
  <si>
    <t xml:space="preserve">depenses  avril  2022 </t>
  </si>
  <si>
    <t>ETAT DES VENTES TRANSMIS A LA DIRECTION AU MOIS DE AVRIL 2022</t>
  </si>
  <si>
    <t>STATION SERVICE BLESSING KEKEM</t>
  </si>
  <si>
    <t>KEKEM</t>
  </si>
  <si>
    <t>S/S BLESSING KEKEM</t>
  </si>
  <si>
    <t>STATION SERVICE BLESSING  KEKEM</t>
  </si>
  <si>
    <t>KENFACK BENJAMIN</t>
  </si>
  <si>
    <t>KENFACK CEDRIC</t>
  </si>
  <si>
    <t>EWOUKENG</t>
  </si>
  <si>
    <t>EXPRESS EXCHANGE</t>
  </si>
  <si>
    <t xml:space="preserve">depenses  MAI  2022 </t>
  </si>
  <si>
    <t>INVENT.STOCK  LUB KEKEM MAI  2022</t>
  </si>
  <si>
    <t>C1045445</t>
  </si>
  <si>
    <t>DECOUVERT  KEKEM  AU  06 MAI 2022</t>
  </si>
  <si>
    <t>KARGA</t>
  </si>
  <si>
    <t>C1045530</t>
  </si>
  <si>
    <t>horse power(208L)</t>
  </si>
  <si>
    <t>208L</t>
  </si>
  <si>
    <t>HORSE POWER(208L)</t>
  </si>
  <si>
    <t xml:space="preserve">ÉTAT DE PRÉSENCE BLESSING    KEKEM </t>
  </si>
  <si>
    <t>Pour la période allant du 02/04/2022  AU 30/05/2022</t>
  </si>
  <si>
    <t>7/04/2022/</t>
  </si>
  <si>
    <t>Colonne1</t>
  </si>
  <si>
    <t>KENFACK BENJAMAIN</t>
  </si>
  <si>
    <t>EWOUKENG GUY MODESTE</t>
  </si>
  <si>
    <t>MBOUATE HYPPILITE</t>
  </si>
  <si>
    <t>YEPBONG ELLIANE</t>
  </si>
  <si>
    <t>KUINGA BIJOU</t>
  </si>
  <si>
    <t>ÉTAT DE MANQUANTS/EXCEDANTS BLESSIN KEKEM</t>
  </si>
  <si>
    <t>Matricule</t>
  </si>
  <si>
    <t xml:space="preserve"> VENTE  KEkem DU 01/05/2022</t>
  </si>
  <si>
    <t xml:space="preserve">                           </t>
  </si>
  <si>
    <t>MODE DE REGLEMENT</t>
  </si>
  <si>
    <t>Solde</t>
  </si>
  <si>
    <t xml:space="preserve">SALAIRE POMPISTE PLUS PRELEVEMENT GERANT </t>
  </si>
  <si>
    <t>DIGIPAY YOSSI</t>
  </si>
  <si>
    <t>REGU DEPENSE</t>
  </si>
  <si>
    <t>MANQUANT POMPISTES</t>
  </si>
  <si>
    <t>MTN</t>
  </si>
  <si>
    <t>ESPECES BANQ(ECOBANK)</t>
  </si>
  <si>
    <t>VERSEMENT CUMULE</t>
  </si>
  <si>
    <t>VERSEMENT DU 18 ET 19 - 11 - 2017</t>
  </si>
  <si>
    <t>ANALYSES VENTES</t>
  </si>
  <si>
    <t>ANALYSE MENSUELLE</t>
  </si>
  <si>
    <t>Objectif mensuel déjà réalisé :</t>
  </si>
  <si>
    <t>Différence</t>
  </si>
  <si>
    <t>ANALYSE JOURNALIERE</t>
  </si>
  <si>
    <t>réalisation du jour :</t>
  </si>
  <si>
    <t>Objectif journalier :            </t>
  </si>
  <si>
    <t xml:space="preserve">Gap journalier </t>
  </si>
  <si>
    <t>Vente passable</t>
  </si>
  <si>
    <t>,</t>
  </si>
  <si>
    <t>COULAGE MENSUEL REALISE</t>
  </si>
  <si>
    <t>COULAGE MENSUEL ADMIS</t>
  </si>
  <si>
    <t>COULAGE  MENSUEL NON ADMIS</t>
  </si>
  <si>
    <t>creux</t>
  </si>
  <si>
    <t>COULAGE JOUR</t>
  </si>
  <si>
    <r>
      <t>Commentaires</t>
    </r>
    <r>
      <rPr>
        <b/>
        <u/>
        <sz val="11"/>
        <color rgb="FF000000"/>
        <rFont val="Bodoni MT"/>
        <family val="1"/>
      </rPr>
      <t> </t>
    </r>
  </si>
  <si>
    <t xml:space="preserve">Ecarts non  satisfaisant </t>
  </si>
  <si>
    <t>Gap</t>
  </si>
  <si>
    <t>Gap/jr</t>
  </si>
  <si>
    <t>OBSERVATION</t>
  </si>
  <si>
    <t xml:space="preserve">Toutes les pompes ne programme pas </t>
  </si>
  <si>
    <t xml:space="preserve"> ENEO pas </t>
  </si>
  <si>
    <t>présence effective de 01    vigiles  nuit.</t>
  </si>
  <si>
    <t>KARGA AUGUSTIN</t>
  </si>
  <si>
    <t>C1045604</t>
  </si>
  <si>
    <t>KENKACK BENJAMIN</t>
  </si>
  <si>
    <t>EWOUKEM GUY MODESTE</t>
  </si>
  <si>
    <t>MBOUATE HYPPOLITE</t>
  </si>
  <si>
    <t>HORSE POWER:3,5L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</si>
</sst>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3" formatCode="_-* #,##0.00\ _€_-;\-* #,##0.00\ _€_-;_-* &quot;-&quot;??\ _€_-;_-@_-"/>
    <numFmt numFmtId="164" formatCode="_-* #,##0\ _€_-;\-* #,##0\ _€_-;_-* &quot;-&quot;??\ _€_-;_-@_-"/>
    <numFmt numFmtId="165" formatCode="[$-40C]d\-mmm\-yy;@"/>
    <numFmt numFmtId="166" formatCode="_(* #,##0_);_(* \(#,##0\);_(* &quot;-&quot;??_);_(@_)"/>
    <numFmt numFmtId="167" formatCode="_-* #,##0.0\ _€_-;\-* #,##0.0\ _€_-;_-* &quot;-&quot;??\ _€_-;_-@_-"/>
    <numFmt numFmtId="168" formatCode="_-* #,##0\ _F_-;\-* #,##0\ _F_-;_-* &quot;-&quot;??\ _F_-;_-@_-"/>
    <numFmt numFmtId="169" formatCode="#,##0_ ;[Red]\-#,##0\ "/>
    <numFmt numFmtId="170" formatCode="_-* #,##0.000\ _€_-;\-* #,##0.000\ _€_-;_-* &quot;-&quot;??\ _€_-;_-@_-"/>
    <numFmt numFmtId="171" formatCode="#,##0\ _€"/>
    <numFmt numFmtId="172" formatCode="_-* #,##0.0\ _€_-;\-* #,##0.0\ _€_-;_-* &quot;-&quot;?\ _€_-;_-@_-"/>
    <numFmt numFmtId="173" formatCode="_-* #,##0.00\ _F_-;\-* #,##0.00\ _F_-;_-* &quot;-&quot;??\ _F_-;_-@_-"/>
    <numFmt numFmtId="174" formatCode="#,###&quot;H&quot;"/>
    <numFmt numFmtId="175" formatCode="[$-40C]d\-mmm;@"/>
    <numFmt numFmtId="176" formatCode="_ * #,##0_)_F_C_F_A_ ;_ * \(#,##0\)_F_C_F_A_ ;_ * &quot;-&quot;??_)_F_C_F_A_ ;_ @_ "/>
    <numFmt numFmtId="177" formatCode="[$-409]d\-mmm\-yy;@"/>
    <numFmt numFmtId="178" formatCode="0;0;"/>
    <numFmt numFmtId="179" formatCode="[$-40C]dd\-mmm\-yy;@"/>
    <numFmt numFmtId="180" formatCode="#,##0_ ;\-#,##0\ "/>
    <numFmt numFmtId="181" formatCode="#,##0.0_ ;[Red]\-#,##0.0\ "/>
    <numFmt numFmtId="182" formatCode="#,##0.00_ ;[Red]\-#,##0.00\ "/>
  </numFmts>
  <fonts count="23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Tahoma"/>
      <family val="2"/>
    </font>
    <font>
      <sz val="14"/>
      <name val="Tahoma"/>
      <family val="2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name val="Tahoma"/>
      <family val="2"/>
    </font>
    <font>
      <b/>
      <sz val="10"/>
      <name val="Tahoma"/>
      <family val="2"/>
    </font>
    <font>
      <b/>
      <sz val="10"/>
      <name val="Bodoni MT"/>
      <family val="1"/>
    </font>
    <font>
      <sz val="10"/>
      <name val="Arial"/>
      <family val="2"/>
    </font>
    <font>
      <sz val="10"/>
      <name val="Bodoni MT"/>
      <family val="1"/>
    </font>
    <font>
      <b/>
      <sz val="16"/>
      <name val="Calibri"/>
      <family val="2"/>
      <scheme val="minor"/>
    </font>
    <font>
      <b/>
      <sz val="14"/>
      <name val="Bodoni MT"/>
      <family val="1"/>
    </font>
    <font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48"/>
      <name val="Tahoma"/>
      <family val="2"/>
    </font>
    <font>
      <b/>
      <sz val="12"/>
      <name val="Bodoni MT"/>
      <family val="1"/>
    </font>
    <font>
      <sz val="12"/>
      <name val="Arial"/>
      <family val="2"/>
    </font>
    <font>
      <sz val="12"/>
      <name val="Bodoni MT"/>
      <family val="1"/>
    </font>
    <font>
      <b/>
      <sz val="12"/>
      <color indexed="10"/>
      <name val="Bodoni MT"/>
      <family val="1"/>
    </font>
    <font>
      <b/>
      <sz val="11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b/>
      <sz val="10"/>
      <name val="Cambria"/>
      <family val="1"/>
      <scheme val="major"/>
    </font>
    <font>
      <sz val="11"/>
      <color theme="1"/>
      <name val="Bodoni MT"/>
      <family val="1"/>
    </font>
    <font>
      <b/>
      <sz val="12"/>
      <color theme="1"/>
      <name val="Bodoni MT"/>
      <family val="1"/>
    </font>
    <font>
      <sz val="12"/>
      <color theme="1"/>
      <name val="Bodoni MT"/>
      <family val="1"/>
    </font>
    <font>
      <b/>
      <sz val="24"/>
      <name val="Agency FB"/>
      <family val="2"/>
    </font>
    <font>
      <sz val="11"/>
      <name val="Arial"/>
      <family val="2"/>
    </font>
    <font>
      <sz val="24"/>
      <name val="Agency FB"/>
      <family val="2"/>
    </font>
    <font>
      <b/>
      <sz val="18"/>
      <name val="Bodoni MT"/>
      <family val="1"/>
    </font>
    <font>
      <sz val="11"/>
      <name val="Bodoni MT"/>
      <family val="1"/>
    </font>
    <font>
      <b/>
      <sz val="10"/>
      <name val="Arial"/>
      <family val="2"/>
    </font>
    <font>
      <b/>
      <u/>
      <sz val="12"/>
      <name val="Bodoni MT"/>
      <family val="1"/>
    </font>
    <font>
      <sz val="14"/>
      <name val="Arial"/>
      <family val="2"/>
    </font>
    <font>
      <b/>
      <sz val="22"/>
      <color theme="1"/>
      <name val="Algerian"/>
      <family val="5"/>
    </font>
    <font>
      <b/>
      <sz val="14"/>
      <name val="Tahoma"/>
      <family val="2"/>
    </font>
    <font>
      <sz val="14"/>
      <color rgb="FFFF0000"/>
      <name val="Tahoma"/>
      <family val="2"/>
    </font>
    <font>
      <b/>
      <sz val="14"/>
      <color rgb="FFFF0000"/>
      <name val="Tahoma"/>
      <family val="2"/>
    </font>
    <font>
      <sz val="22"/>
      <color theme="1"/>
      <name val="Calibri"/>
      <family val="2"/>
      <scheme val="minor"/>
    </font>
    <font>
      <b/>
      <sz val="11"/>
      <color rgb="FFFF0000"/>
      <name val="Cambria"/>
      <family val="1"/>
      <scheme val="major"/>
    </font>
    <font>
      <b/>
      <i/>
      <sz val="12"/>
      <name val="Bodoni MT"/>
      <family val="1"/>
    </font>
    <font>
      <sz val="11"/>
      <color rgb="FF000000"/>
      <name val="Calibri"/>
      <family val="2"/>
    </font>
    <font>
      <b/>
      <sz val="14"/>
      <name val="Cambria"/>
      <family val="1"/>
      <scheme val="major"/>
    </font>
    <font>
      <b/>
      <sz val="16"/>
      <name val="Cambria"/>
      <family val="1"/>
      <scheme val="major"/>
    </font>
    <font>
      <b/>
      <sz val="18"/>
      <name val="Cambria"/>
      <family val="1"/>
      <scheme val="major"/>
    </font>
    <font>
      <sz val="16"/>
      <name val="Cambria"/>
      <family val="1"/>
      <scheme val="major"/>
    </font>
    <font>
      <sz val="11"/>
      <color rgb="FFFF0000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Algerian"/>
      <family val="5"/>
    </font>
    <font>
      <sz val="14"/>
      <color theme="1"/>
      <name val="Agency FB"/>
      <family val="2"/>
    </font>
    <font>
      <sz val="14"/>
      <color rgb="FFFF0000"/>
      <name val="Agency FB"/>
      <family val="2"/>
    </font>
    <font>
      <b/>
      <sz val="18"/>
      <color rgb="FFFF0000"/>
      <name val="Agency FB"/>
      <family val="2"/>
    </font>
    <font>
      <b/>
      <sz val="11"/>
      <color theme="9" tint="-0.249977111117893"/>
      <name val="Broadway"/>
      <family val="5"/>
    </font>
    <font>
      <b/>
      <sz val="14"/>
      <color theme="1"/>
      <name val="Agency FB"/>
      <family val="2"/>
    </font>
    <font>
      <b/>
      <sz val="16"/>
      <color rgb="FFFF0000"/>
      <name val="Agency FB"/>
      <family val="2"/>
    </font>
    <font>
      <b/>
      <sz val="11"/>
      <color theme="9" tint="-0.499984740745262"/>
      <name val="Bodoni MT Black"/>
      <family val="1"/>
    </font>
    <font>
      <b/>
      <sz val="11"/>
      <color rgb="FFFF0000"/>
      <name val="Bodoni MT Black"/>
      <family val="1"/>
    </font>
    <font>
      <b/>
      <sz val="11"/>
      <color rgb="FF002060"/>
      <name val="Bernard MT Condensed"/>
      <family val="1"/>
    </font>
    <font>
      <b/>
      <sz val="11"/>
      <color theme="1"/>
      <name val="Algerian"/>
      <family val="5"/>
    </font>
    <font>
      <sz val="11"/>
      <color theme="1"/>
      <name val="Arial Black"/>
      <family val="2"/>
    </font>
    <font>
      <sz val="11"/>
      <color rgb="FF000000"/>
      <name val="Berlin Sans FB Demi"/>
      <family val="2"/>
    </font>
    <font>
      <b/>
      <sz val="12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7030A0"/>
      <name val="Calibri"/>
      <family val="2"/>
    </font>
    <font>
      <b/>
      <sz val="11"/>
      <color theme="1"/>
      <name val="Bodoni MT Black"/>
      <family val="1"/>
    </font>
    <font>
      <b/>
      <sz val="11"/>
      <color rgb="FF000000"/>
      <name val="Baskerville Old Face"/>
      <family val="1"/>
    </font>
    <font>
      <b/>
      <sz val="11"/>
      <color rgb="FF7030A0"/>
      <name val="Calibri"/>
      <family val="2"/>
      <scheme val="minor"/>
    </font>
    <font>
      <b/>
      <sz val="11"/>
      <color theme="1"/>
      <name val="Bernard MT Condensed"/>
      <family val="1"/>
    </font>
    <font>
      <b/>
      <sz val="11"/>
      <color theme="1"/>
      <name val="Broadway"/>
      <family val="5"/>
    </font>
    <font>
      <b/>
      <i/>
      <sz val="18"/>
      <color theme="5"/>
      <name val="Berlin Sans FB Demi"/>
      <family val="2"/>
    </font>
    <font>
      <b/>
      <sz val="14"/>
      <color theme="1"/>
      <name val="Bodoni MT Black"/>
      <family val="1"/>
    </font>
    <font>
      <b/>
      <sz val="14"/>
      <color rgb="FF7030A0"/>
      <name val="Algerian"/>
      <family val="5"/>
    </font>
    <font>
      <b/>
      <sz val="11"/>
      <name val="Bodoni MT"/>
      <family val="1"/>
    </font>
    <font>
      <b/>
      <sz val="12"/>
      <color rgb="FFFF0000"/>
      <name val="Bodoni MT"/>
      <family val="1"/>
    </font>
    <font>
      <b/>
      <sz val="11"/>
      <color rgb="FF000000"/>
      <name val="Calibri Light"/>
      <family val="1"/>
    </font>
    <font>
      <sz val="11"/>
      <color rgb="FF000000"/>
      <name val="Calibri Light"/>
      <family val="1"/>
    </font>
    <font>
      <sz val="11"/>
      <color rgb="FFFF0000"/>
      <name val="Calibri Light"/>
      <family val="1"/>
    </font>
    <font>
      <sz val="12"/>
      <color rgb="FF000000"/>
      <name val="Calibri Light"/>
      <family val="1"/>
    </font>
    <font>
      <b/>
      <i/>
      <sz val="18"/>
      <color rgb="FF000000"/>
      <name val="Calibri Light"/>
      <family val="1"/>
    </font>
    <font>
      <b/>
      <i/>
      <sz val="11"/>
      <color rgb="FF000000"/>
      <name val="Calibri Light"/>
      <family val="1"/>
    </font>
    <font>
      <b/>
      <i/>
      <sz val="16"/>
      <color rgb="FF000000"/>
      <name val="Calibri Light"/>
      <family val="1"/>
    </font>
    <font>
      <sz val="11"/>
      <color theme="1"/>
      <name val="Calibri"/>
      <family val="2"/>
    </font>
    <font>
      <b/>
      <sz val="11"/>
      <name val="Calibri Light"/>
      <family val="1"/>
    </font>
    <font>
      <b/>
      <sz val="11"/>
      <color rgb="FFFF0000"/>
      <name val="Calibri Light"/>
      <family val="1"/>
    </font>
    <font>
      <b/>
      <sz val="12"/>
      <color rgb="FFFF0000"/>
      <name val="Arial"/>
      <family val="2"/>
    </font>
    <font>
      <sz val="18"/>
      <name val="Arial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Bodoni MT"/>
      <family val="1"/>
    </font>
    <font>
      <sz val="11"/>
      <color theme="1"/>
      <name val="Bodoni MT"/>
      <family val="2"/>
    </font>
    <font>
      <sz val="18"/>
      <color theme="3"/>
      <name val="Cambria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5"/>
      <color rgb="FFFFFFFF"/>
      <name val="Calibri"/>
      <family val="2"/>
    </font>
    <font>
      <sz val="11"/>
      <color rgb="FF963634"/>
      <name val="Calibri"/>
      <family val="2"/>
    </font>
    <font>
      <sz val="11"/>
      <color rgb="FFFFFFFF"/>
      <name val="Calibri"/>
      <family val="2"/>
    </font>
    <font>
      <b/>
      <sz val="15"/>
      <color rgb="FFFFFFFF"/>
      <name val="Calibri"/>
      <family val="2"/>
    </font>
    <font>
      <b/>
      <sz val="25"/>
      <color rgb="FF963634"/>
      <name val="Calibri"/>
      <family val="2"/>
    </font>
    <font>
      <sz val="9"/>
      <color rgb="FF000000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color rgb="FFFFFFFF"/>
      <name val="Calibri"/>
      <family val="2"/>
    </font>
    <font>
      <b/>
      <sz val="11"/>
      <color rgb="FF963634"/>
      <name val="Calibri"/>
      <family val="2"/>
    </font>
    <font>
      <b/>
      <sz val="11"/>
      <name val="Calibri"/>
      <family val="2"/>
    </font>
    <font>
      <b/>
      <sz val="10"/>
      <color theme="0"/>
      <name val="Calibri"/>
      <family val="2"/>
      <scheme val="minor"/>
    </font>
    <font>
      <b/>
      <sz val="18"/>
      <color theme="0"/>
      <name val="Century Gothic"/>
      <family val="2"/>
    </font>
    <font>
      <b/>
      <sz val="22"/>
      <color theme="0"/>
      <name val="Calibri"/>
      <family val="2"/>
      <scheme val="minor"/>
    </font>
    <font>
      <sz val="10"/>
      <name val="Century Gothic"/>
      <family val="2"/>
    </font>
    <font>
      <b/>
      <sz val="22"/>
      <color theme="0"/>
      <name val="Century Gothic"/>
      <family val="2"/>
    </font>
    <font>
      <b/>
      <sz val="12"/>
      <name val="Arial"/>
      <family val="2"/>
    </font>
    <font>
      <b/>
      <sz val="18"/>
      <color theme="0"/>
      <name val="Calibri"/>
      <family val="2"/>
      <scheme val="minor"/>
    </font>
    <font>
      <sz val="9"/>
      <color theme="0"/>
      <name val="Century Gothic"/>
      <family val="2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entury Gothic"/>
      <family val="2"/>
    </font>
    <font>
      <b/>
      <sz val="9"/>
      <name val="Century Gothic"/>
      <family val="2"/>
    </font>
    <font>
      <sz val="9"/>
      <color theme="0"/>
      <name val="Cambria"/>
      <family val="1"/>
      <scheme val="major"/>
    </font>
    <font>
      <b/>
      <sz val="9"/>
      <color theme="0"/>
      <name val="Cambria"/>
      <family val="1"/>
      <scheme val="major"/>
    </font>
    <font>
      <b/>
      <sz val="11"/>
      <color theme="0"/>
      <name val="Calibri"/>
      <family val="2"/>
      <scheme val="minor"/>
    </font>
    <font>
      <b/>
      <sz val="10"/>
      <name val="Century Gothic"/>
      <family val="2"/>
    </font>
    <font>
      <condense/>
      <extend/>
      <outline/>
      <shadow/>
      <sz val="10"/>
      <color theme="1"/>
      <name val="Calibri"/>
      <family val="2"/>
      <scheme val="minor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b/>
      <sz val="10"/>
      <color theme="8" tint="0.39997558519241921"/>
      <name val="Century Gothic"/>
      <family val="2"/>
    </font>
    <font>
      <b/>
      <sz val="12"/>
      <color theme="0"/>
      <name val="Century Gothic"/>
      <family val="2"/>
    </font>
    <font>
      <b/>
      <sz val="12"/>
      <color theme="8" tint="0.39997558519241921"/>
      <name val="Century Gothic"/>
      <family val="2"/>
    </font>
    <font>
      <b/>
      <sz val="13"/>
      <color theme="0"/>
      <name val="Calibri"/>
      <family val="2"/>
      <scheme val="minor"/>
    </font>
    <font>
      <b/>
      <sz val="15"/>
      <color theme="0"/>
      <name val="Cambria"/>
      <family val="1"/>
      <scheme val="major"/>
    </font>
    <font>
      <b/>
      <sz val="15"/>
      <color theme="0"/>
      <name val="Calibri"/>
      <family val="2"/>
      <scheme val="minor"/>
    </font>
    <font>
      <b/>
      <outline/>
      <shadow/>
      <sz val="15"/>
      <color rgb="FFFF0000"/>
      <name val="Calibri"/>
      <family val="2"/>
      <scheme val="minor"/>
    </font>
    <font>
      <b/>
      <sz val="12"/>
      <color theme="0" tint="-0.499984740745262"/>
      <name val="Century Gothic"/>
      <family val="2"/>
    </font>
    <font>
      <b/>
      <sz val="12"/>
      <color theme="1"/>
      <name val="Century Gothic"/>
      <family val="2"/>
    </font>
    <font>
      <b/>
      <sz val="22"/>
      <color theme="0" tint="-0.499984740745262"/>
      <name val="Calibri"/>
      <family val="2"/>
      <scheme val="minor"/>
    </font>
    <font>
      <sz val="10"/>
      <color theme="1"/>
      <name val="Century Gothic"/>
      <family val="2"/>
    </font>
    <font>
      <sz val="10"/>
      <color theme="0" tint="-0.499984740745262"/>
      <name val="Century Gothic"/>
      <family val="2"/>
    </font>
    <font>
      <b/>
      <sz val="12"/>
      <color theme="0" tint="-0.499984740745262"/>
      <name val="Arial"/>
      <family val="2"/>
    </font>
    <font>
      <b/>
      <sz val="18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1"/>
      <name val="Cambria"/>
      <family val="1"/>
      <scheme val="major"/>
    </font>
    <font>
      <sz val="9"/>
      <name val="Arial"/>
      <family val="2"/>
    </font>
    <font>
      <sz val="14"/>
      <color theme="1"/>
      <name val="Cambria"/>
      <family val="1"/>
      <scheme val="major"/>
    </font>
    <font>
      <condense/>
      <extend/>
      <outline/>
      <shadow/>
      <sz val="10"/>
      <color theme="1"/>
      <name val="Calibri"/>
      <family val="2"/>
      <scheme val="minor"/>
    </font>
    <font>
      <i/>
      <sz val="12"/>
      <color theme="1"/>
      <name val="Cambria"/>
      <family val="1"/>
      <scheme val="major"/>
    </font>
    <font>
      <sz val="16"/>
      <name val="Arial"/>
      <family val="2"/>
    </font>
    <font>
      <condense/>
      <extend/>
      <outline/>
      <shadow/>
      <sz val="10"/>
      <color theme="1"/>
      <name val="Calibri"/>
      <family val="2"/>
      <scheme val="minor"/>
    </font>
    <font>
      <b/>
      <outline/>
      <shadow/>
      <sz val="12"/>
      <color rgb="FFFF0000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FF0000"/>
      <name val="Cambria"/>
      <family val="1"/>
      <scheme val="major"/>
    </font>
    <font>
      <sz val="12"/>
      <color indexed="12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4"/>
      <name val="Cambria"/>
      <family val="1"/>
      <scheme val="major"/>
    </font>
    <font>
      <sz val="14"/>
      <color rgb="FF000000"/>
      <name val="Calibri"/>
      <family val="2"/>
      <scheme val="minor"/>
    </font>
    <font>
      <sz val="10"/>
      <name val="Cambria"/>
      <family val="1"/>
      <scheme val="major"/>
    </font>
    <font>
      <b/>
      <i/>
      <sz val="12"/>
      <name val="Cambria"/>
      <family val="1"/>
      <scheme val="major"/>
    </font>
    <font>
      <b/>
      <i/>
      <sz val="11"/>
      <name val="Calibri"/>
      <family val="2"/>
      <scheme val="minor"/>
    </font>
    <font>
      <b/>
      <i/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mbria"/>
      <family val="1"/>
      <scheme val="major"/>
    </font>
    <font>
      <sz val="12"/>
      <color theme="0"/>
      <name val="Cambria"/>
      <family val="1"/>
      <scheme val="major"/>
    </font>
    <font>
      <b/>
      <i/>
      <sz val="12"/>
      <color theme="0"/>
      <name val="Cambria"/>
      <family val="1"/>
      <scheme val="major"/>
    </font>
    <font>
      <b/>
      <sz val="24"/>
      <color theme="0"/>
      <name val="Century Gothic"/>
      <family val="2"/>
    </font>
    <font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24"/>
      <name val="Century Gothic"/>
      <family val="2"/>
    </font>
    <font>
      <b/>
      <sz val="24"/>
      <name val="Arial"/>
      <family val="2"/>
    </font>
    <font>
      <sz val="24"/>
      <name val="Calibri"/>
      <family val="2"/>
      <scheme val="minor"/>
    </font>
    <font>
      <b/>
      <sz val="24"/>
      <name val="Calibri"/>
      <family val="2"/>
      <scheme val="minor"/>
    </font>
    <font>
      <sz val="24"/>
      <color theme="0"/>
      <name val="Cambria"/>
      <family val="1"/>
      <scheme val="major"/>
    </font>
    <font>
      <b/>
      <sz val="24"/>
      <color theme="0"/>
      <name val="Cambria"/>
      <family val="1"/>
      <scheme val="major"/>
    </font>
    <font>
      <b/>
      <sz val="24"/>
      <name val="Century Gothic"/>
      <family val="2"/>
    </font>
    <font>
      <b/>
      <sz val="24"/>
      <color theme="1"/>
      <name val="Calibri"/>
      <family val="2"/>
      <scheme val="minor"/>
    </font>
    <font>
      <condense/>
      <extend/>
      <outline/>
      <shadow/>
      <sz val="24"/>
      <color theme="1"/>
      <name val="Calibri"/>
      <family val="2"/>
      <scheme val="minor"/>
    </font>
    <font>
      <b/>
      <outline/>
      <shadow/>
      <sz val="24"/>
      <color rgb="FFFF0000"/>
      <name val="Calibri"/>
      <family val="2"/>
      <scheme val="minor"/>
    </font>
    <font>
      <b/>
      <i/>
      <sz val="18"/>
      <color rgb="FF0070C0"/>
      <name val="Bodoni MT"/>
      <family val="1"/>
    </font>
    <font>
      <i/>
      <sz val="18"/>
      <color rgb="FF0070C0"/>
      <name val="Bodoni MT"/>
      <family val="1"/>
    </font>
    <font>
      <b/>
      <sz val="11"/>
      <color rgb="FF000000"/>
      <name val="Bodoni MT"/>
      <family val="1"/>
    </font>
    <font>
      <b/>
      <sz val="11"/>
      <color rgb="FFFF0000"/>
      <name val="Bodoni MT"/>
      <family val="1"/>
    </font>
    <font>
      <b/>
      <sz val="10"/>
      <color rgb="FFFF0000"/>
      <name val="Bodoni MT"/>
      <family val="1"/>
    </font>
    <font>
      <sz val="11"/>
      <color rgb="FF000000"/>
      <name val="Bodoni MT"/>
      <family val="1"/>
    </font>
    <font>
      <b/>
      <sz val="11"/>
      <name val="Arial"/>
      <family val="2"/>
    </font>
    <font>
      <sz val="11"/>
      <color rgb="FFFF0000"/>
      <name val="Bodoni MT"/>
      <family val="1"/>
    </font>
    <font>
      <sz val="10"/>
      <color rgb="FFFF0000"/>
      <name val="Bodoni MT"/>
      <family val="1"/>
    </font>
    <font>
      <sz val="16"/>
      <color rgb="FFFF0000"/>
      <name val="Bodoni MT"/>
      <family val="1"/>
    </font>
    <font>
      <sz val="11"/>
      <color theme="1"/>
      <name val="Arial"/>
      <family val="2"/>
    </font>
    <font>
      <sz val="14"/>
      <color rgb="FFFF0000"/>
      <name val="Bodoni MT"/>
      <family val="1"/>
    </font>
    <font>
      <b/>
      <sz val="11"/>
      <color rgb="FF002060"/>
      <name val="Bodoni MT"/>
      <family val="1"/>
    </font>
    <font>
      <b/>
      <sz val="14"/>
      <color rgb="FFFF0000"/>
      <name val="Bodoni MT"/>
      <family val="1"/>
    </font>
    <font>
      <sz val="11"/>
      <name val="Algerian"/>
      <family val="5"/>
    </font>
    <font>
      <b/>
      <sz val="11"/>
      <color theme="1"/>
      <name val="Bodoni MT"/>
      <family val="1"/>
    </font>
    <font>
      <sz val="12"/>
      <color rgb="FFFF0000"/>
      <name val="Bodoni MT"/>
      <family val="1"/>
    </font>
    <font>
      <sz val="11"/>
      <color rgb="FF1F497D"/>
      <name val="Bodoni MT"/>
      <family val="1"/>
    </font>
    <font>
      <sz val="11"/>
      <color theme="0"/>
      <name val="Bodoni MT"/>
      <family val="1"/>
    </font>
    <font>
      <sz val="18"/>
      <color rgb="FF1F497D"/>
      <name val="Bodoni MT"/>
      <family val="1"/>
    </font>
    <font>
      <b/>
      <u/>
      <sz val="11"/>
      <color rgb="FF1F497D"/>
      <name val="Bodoni MT"/>
      <family val="1"/>
    </font>
    <font>
      <b/>
      <u/>
      <sz val="11"/>
      <color rgb="FF000000"/>
      <name val="Bodoni MT"/>
      <family val="1"/>
    </font>
    <font>
      <b/>
      <sz val="11"/>
      <color rgb="FF1F497D"/>
      <name val="Bodoni MT"/>
      <family val="1"/>
    </font>
    <font>
      <i/>
      <sz val="10"/>
      <name val="Bodoni MT"/>
      <family val="1"/>
    </font>
    <font>
      <b/>
      <i/>
      <u/>
      <sz val="11"/>
      <color rgb="FF1F497D"/>
      <name val="Bodoni MT"/>
      <family val="1"/>
    </font>
    <font>
      <b/>
      <i/>
      <u/>
      <sz val="11"/>
      <color rgb="FF000000"/>
      <name val="Bodoni MT"/>
      <family val="1"/>
    </font>
    <font>
      <u/>
      <sz val="11"/>
      <name val="Bodoni MT"/>
      <family val="1"/>
    </font>
    <font>
      <sz val="18"/>
      <name val="Bodoni MT"/>
      <family val="1"/>
    </font>
    <font>
      <sz val="10"/>
      <color theme="0"/>
      <name val="Cambria"/>
      <family val="1"/>
      <scheme val="major"/>
    </font>
    <font>
      <b/>
      <sz val="10"/>
      <color theme="0"/>
      <name val="Cambria"/>
      <family val="1"/>
      <scheme val="major"/>
    </font>
  </fonts>
  <fills count="6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/>
      </patternFill>
    </fill>
    <fill>
      <patternFill patternType="solid">
        <fgColor rgb="FFFF0000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963634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90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ABF8F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4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21">
    <xf numFmtId="0" fontId="0" fillId="0" borderId="0"/>
    <xf numFmtId="43" fontId="2" fillId="0" borderId="0" applyFont="0" applyFill="0" applyBorder="0" applyAlignment="0" applyProtection="0"/>
    <xf numFmtId="0" fontId="2" fillId="0" borderId="0"/>
    <xf numFmtId="173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/>
    <xf numFmtId="165" fontId="2" fillId="0" borderId="0"/>
    <xf numFmtId="0" fontId="34" fillId="36" borderId="0" applyNumberFormat="0" applyBorder="0" applyAlignment="0" applyProtection="0"/>
    <xf numFmtId="0" fontId="16" fillId="0" borderId="0"/>
    <xf numFmtId="0" fontId="2" fillId="0" borderId="0"/>
    <xf numFmtId="0" fontId="111" fillId="0" borderId="0"/>
    <xf numFmtId="0" fontId="112" fillId="0" borderId="0" applyNumberFormat="0" applyFill="0" applyBorder="0" applyAlignment="0" applyProtection="0"/>
    <xf numFmtId="0" fontId="34" fillId="36" borderId="0" applyNumberFormat="0" applyBorder="0" applyAlignment="0" applyProtection="0"/>
    <xf numFmtId="0" fontId="16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73" fontId="16" fillId="0" borderId="0" applyFont="0" applyFill="0" applyBorder="0" applyAlignment="0" applyProtection="0"/>
  </cellStyleXfs>
  <cellXfs count="2105">
    <xf numFmtId="0" fontId="0" fillId="0" borderId="0" xfId="0"/>
    <xf numFmtId="165" fontId="8" fillId="0" borderId="0" xfId="0" applyNumberFormat="1" applyFont="1"/>
    <xf numFmtId="164" fontId="8" fillId="0" borderId="0" xfId="1" applyNumberFormat="1" applyFont="1"/>
    <xf numFmtId="165" fontId="10" fillId="0" borderId="0" xfId="0" applyNumberFormat="1" applyFont="1"/>
    <xf numFmtId="165" fontId="5" fillId="4" borderId="7" xfId="0" applyNumberFormat="1" applyFont="1" applyFill="1" applyBorder="1" applyAlignment="1">
      <alignment vertical="center"/>
    </xf>
    <xf numFmtId="165" fontId="3" fillId="4" borderId="20" xfId="0" applyNumberFormat="1" applyFont="1" applyFill="1" applyBorder="1" applyAlignment="1">
      <alignment horizontal="left"/>
    </xf>
    <xf numFmtId="164" fontId="8" fillId="0" borderId="22" xfId="1" applyNumberFormat="1" applyFont="1" applyBorder="1"/>
    <xf numFmtId="164" fontId="10" fillId="0" borderId="22" xfId="1" applyNumberFormat="1" applyFont="1" applyBorder="1"/>
    <xf numFmtId="166" fontId="10" fillId="0" borderId="0" xfId="1" applyNumberFormat="1" applyFont="1" applyBorder="1"/>
    <xf numFmtId="166" fontId="8" fillId="0" borderId="0" xfId="1" applyNumberFormat="1" applyFont="1" applyBorder="1"/>
    <xf numFmtId="1" fontId="8" fillId="0" borderId="0" xfId="0" applyNumberFormat="1" applyFont="1"/>
    <xf numFmtId="17" fontId="13" fillId="0" borderId="0" xfId="0" applyNumberFormat="1" applyFont="1"/>
    <xf numFmtId="0" fontId="14" fillId="0" borderId="0" xfId="0" applyNumberFormat="1" applyFont="1"/>
    <xf numFmtId="0" fontId="15" fillId="0" borderId="0" xfId="0" applyNumberFormat="1" applyFont="1"/>
    <xf numFmtId="0" fontId="16" fillId="0" borderId="0" xfId="0" applyNumberFormat="1" applyFont="1"/>
    <xf numFmtId="0" fontId="16" fillId="0" borderId="0" xfId="0" applyNumberFormat="1" applyFont="1" applyBorder="1"/>
    <xf numFmtId="0" fontId="17" fillId="0" borderId="0" xfId="0" applyNumberFormat="1" applyFont="1" applyBorder="1"/>
    <xf numFmtId="164" fontId="16" fillId="0" borderId="0" xfId="1" applyNumberFormat="1" applyFont="1"/>
    <xf numFmtId="164" fontId="5" fillId="4" borderId="30" xfId="1" applyNumberFormat="1" applyFont="1" applyFill="1" applyBorder="1"/>
    <xf numFmtId="164" fontId="5" fillId="4" borderId="31" xfId="1" applyNumberFormat="1" applyFont="1" applyFill="1" applyBorder="1"/>
    <xf numFmtId="164" fontId="5" fillId="4" borderId="32" xfId="1" applyNumberFormat="1" applyFont="1" applyFill="1" applyBorder="1"/>
    <xf numFmtId="164" fontId="11" fillId="4" borderId="32" xfId="1" applyNumberFormat="1" applyFont="1" applyFill="1" applyBorder="1"/>
    <xf numFmtId="0" fontId="20" fillId="2" borderId="0" xfId="0" applyFont="1" applyFill="1" applyBorder="1"/>
    <xf numFmtId="168" fontId="20" fillId="2" borderId="0" xfId="1" applyNumberFormat="1" applyFont="1" applyFill="1" applyBorder="1"/>
    <xf numFmtId="43" fontId="20" fillId="2" borderId="0" xfId="1" applyNumberFormat="1" applyFont="1" applyFill="1" applyBorder="1"/>
    <xf numFmtId="1" fontId="10" fillId="0" borderId="0" xfId="0" applyNumberFormat="1" applyFont="1"/>
    <xf numFmtId="0" fontId="19" fillId="0" borderId="0" xfId="0" applyFont="1" applyFill="1" applyAlignment="1">
      <alignment vertical="center"/>
    </xf>
    <xf numFmtId="0" fontId="23" fillId="9" borderId="0" xfId="0" applyFont="1" applyFill="1" applyBorder="1" applyAlignment="1">
      <alignment horizontal="center"/>
    </xf>
    <xf numFmtId="0" fontId="23" fillId="0" borderId="0" xfId="0" applyFont="1"/>
    <xf numFmtId="0" fontId="24" fillId="0" borderId="0" xfId="0" applyFont="1"/>
    <xf numFmtId="17" fontId="23" fillId="0" borderId="0" xfId="0" applyNumberFormat="1" applyFont="1"/>
    <xf numFmtId="0" fontId="25" fillId="0" borderId="0" xfId="0" applyFont="1" applyBorder="1"/>
    <xf numFmtId="0" fontId="23" fillId="0" borderId="1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3" fillId="0" borderId="1" xfId="0" applyFont="1" applyBorder="1"/>
    <xf numFmtId="0" fontId="25" fillId="0" borderId="1" xfId="0" applyFont="1" applyBorder="1"/>
    <xf numFmtId="0" fontId="23" fillId="0" borderId="1" xfId="0" applyFont="1" applyFill="1" applyBorder="1"/>
    <xf numFmtId="164" fontId="25" fillId="0" borderId="1" xfId="0" applyNumberFormat="1" applyFont="1" applyBorder="1"/>
    <xf numFmtId="164" fontId="26" fillId="0" borderId="1" xfId="0" applyNumberFormat="1" applyFont="1" applyFill="1" applyBorder="1"/>
    <xf numFmtId="2" fontId="23" fillId="0" borderId="1" xfId="0" applyNumberFormat="1" applyFont="1" applyBorder="1"/>
    <xf numFmtId="0" fontId="0" fillId="2" borderId="0" xfId="0" applyFill="1"/>
    <xf numFmtId="0" fontId="0" fillId="0" borderId="0" xfId="0" applyFill="1"/>
    <xf numFmtId="0" fontId="28" fillId="0" borderId="0" xfId="0" applyFont="1"/>
    <xf numFmtId="3" fontId="0" fillId="0" borderId="0" xfId="0" applyNumberFormat="1" applyFill="1" applyBorder="1"/>
    <xf numFmtId="164" fontId="0" fillId="0" borderId="0" xfId="1" applyNumberFormat="1" applyFont="1" applyFill="1" applyBorder="1"/>
    <xf numFmtId="0" fontId="27" fillId="4" borderId="7" xfId="0" applyFont="1" applyFill="1" applyBorder="1" applyAlignment="1">
      <alignment horizontal="left"/>
    </xf>
    <xf numFmtId="0" fontId="27" fillId="4" borderId="9" xfId="0" applyFont="1" applyFill="1" applyBorder="1" applyAlignment="1">
      <alignment horizontal="right"/>
    </xf>
    <xf numFmtId="0" fontId="27" fillId="4" borderId="7" xfId="0" applyFont="1" applyFill="1" applyBorder="1" applyAlignment="1">
      <alignment horizontal="right"/>
    </xf>
    <xf numFmtId="0" fontId="0" fillId="0" borderId="0" xfId="0" applyFont="1"/>
    <xf numFmtId="164" fontId="0" fillId="0" borderId="0" xfId="1" applyNumberFormat="1" applyFont="1"/>
    <xf numFmtId="0" fontId="0" fillId="0" borderId="30" xfId="0" applyFill="1" applyBorder="1" applyAlignment="1">
      <alignment horizontal="left"/>
    </xf>
    <xf numFmtId="3" fontId="0" fillId="4" borderId="3" xfId="0" applyNumberFormat="1" applyFill="1" applyBorder="1"/>
    <xf numFmtId="3" fontId="0" fillId="4" borderId="5" xfId="0" applyNumberFormat="1" applyFill="1" applyBorder="1"/>
    <xf numFmtId="164" fontId="0" fillId="4" borderId="22" xfId="1" applyNumberFormat="1" applyFont="1" applyFill="1" applyBorder="1"/>
    <xf numFmtId="3" fontId="0" fillId="4" borderId="2" xfId="0" applyNumberFormat="1" applyFill="1" applyBorder="1"/>
    <xf numFmtId="164" fontId="0" fillId="4" borderId="23" xfId="1" applyNumberFormat="1" applyFont="1" applyFill="1" applyBorder="1"/>
    <xf numFmtId="3" fontId="0" fillId="0" borderId="0" xfId="0" applyNumberFormat="1" applyFont="1" applyFill="1" applyBorder="1"/>
    <xf numFmtId="164" fontId="27" fillId="0" borderId="0" xfId="1" applyNumberFormat="1" applyFont="1" applyFill="1" applyBorder="1"/>
    <xf numFmtId="0" fontId="27" fillId="4" borderId="1" xfId="0" applyFont="1" applyFill="1" applyBorder="1" applyAlignment="1">
      <alignment horizontal="center"/>
    </xf>
    <xf numFmtId="164" fontId="30" fillId="4" borderId="7" xfId="1" applyNumberFormat="1" applyFont="1" applyFill="1" applyBorder="1"/>
    <xf numFmtId="164" fontId="31" fillId="0" borderId="0" xfId="1" applyNumberFormat="1" applyFont="1" applyFill="1" applyBorder="1" applyAlignment="1"/>
    <xf numFmtId="0" fontId="31" fillId="0" borderId="0" xfId="0" applyFont="1" applyFill="1"/>
    <xf numFmtId="3" fontId="31" fillId="4" borderId="20" xfId="0" applyNumberFormat="1" applyFont="1" applyFill="1" applyBorder="1" applyAlignment="1">
      <alignment horizontal="center"/>
    </xf>
    <xf numFmtId="0" fontId="31" fillId="4" borderId="57" xfId="0" applyFont="1" applyFill="1" applyBorder="1" applyAlignment="1">
      <alignment horizontal="right"/>
    </xf>
    <xf numFmtId="3" fontId="31" fillId="4" borderId="22" xfId="0" applyNumberFormat="1" applyFont="1" applyFill="1" applyBorder="1" applyAlignment="1">
      <alignment horizontal="center"/>
    </xf>
    <xf numFmtId="0" fontId="31" fillId="4" borderId="5" xfId="0" applyFont="1" applyFill="1" applyBorder="1" applyAlignment="1">
      <alignment horizontal="right"/>
    </xf>
    <xf numFmtId="3" fontId="31" fillId="4" borderId="23" xfId="0" applyNumberFormat="1" applyFont="1" applyFill="1" applyBorder="1" applyAlignment="1">
      <alignment horizontal="center"/>
    </xf>
    <xf numFmtId="0" fontId="31" fillId="4" borderId="2" xfId="0" applyFont="1" applyFill="1" applyBorder="1" applyAlignment="1">
      <alignment horizontal="right"/>
    </xf>
    <xf numFmtId="0" fontId="27" fillId="0" borderId="0" xfId="0" applyFont="1"/>
    <xf numFmtId="0" fontId="0" fillId="0" borderId="9" xfId="0" applyBorder="1"/>
    <xf numFmtId="0" fontId="0" fillId="4" borderId="1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4" fontId="0" fillId="4" borderId="1" xfId="0" applyNumberFormat="1" applyFill="1" applyBorder="1"/>
    <xf numFmtId="0" fontId="27" fillId="4" borderId="0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167" fontId="0" fillId="0" borderId="1" xfId="1" applyNumberFormat="1" applyFont="1" applyFill="1" applyBorder="1"/>
    <xf numFmtId="167" fontId="0" fillId="4" borderId="1" xfId="1" applyNumberFormat="1" applyFont="1" applyFill="1" applyBorder="1"/>
    <xf numFmtId="164" fontId="31" fillId="4" borderId="1" xfId="1" applyNumberFormat="1" applyFont="1" applyFill="1" applyBorder="1"/>
    <xf numFmtId="164" fontId="0" fillId="4" borderId="1" xfId="1" applyNumberFormat="1" applyFont="1" applyFill="1" applyBorder="1"/>
    <xf numFmtId="167" fontId="0" fillId="0" borderId="0" xfId="0" applyNumberFormat="1"/>
    <xf numFmtId="0" fontId="0" fillId="0" borderId="1" xfId="0" applyFill="1" applyBorder="1"/>
    <xf numFmtId="164" fontId="0" fillId="0" borderId="1" xfId="1" applyNumberFormat="1" applyFont="1" applyFill="1" applyBorder="1"/>
    <xf numFmtId="0" fontId="35" fillId="0" borderId="1" xfId="0" applyFont="1" applyBorder="1" applyAlignment="1">
      <alignment horizontal="center"/>
    </xf>
    <xf numFmtId="164" fontId="36" fillId="11" borderId="1" xfId="1" applyNumberFormat="1" applyFont="1" applyFill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34" fillId="12" borderId="0" xfId="0" applyFont="1" applyFill="1" applyBorder="1"/>
    <xf numFmtId="164" fontId="34" fillId="12" borderId="0" xfId="1" applyNumberFormat="1" applyFont="1" applyFill="1"/>
    <xf numFmtId="164" fontId="27" fillId="0" borderId="0" xfId="0" applyNumberFormat="1" applyFont="1"/>
    <xf numFmtId="0" fontId="0" fillId="0" borderId="32" xfId="0" applyFill="1" applyBorder="1" applyAlignment="1">
      <alignment horizontal="left"/>
    </xf>
    <xf numFmtId="0" fontId="0" fillId="0" borderId="33" xfId="0" applyFill="1" applyBorder="1" applyAlignment="1">
      <alignment horizontal="left"/>
    </xf>
    <xf numFmtId="0" fontId="30" fillId="4" borderId="7" xfId="0" applyFont="1" applyFill="1" applyBorder="1" applyAlignment="1">
      <alignment horizontal="right"/>
    </xf>
    <xf numFmtId="164" fontId="30" fillId="4" borderId="15" xfId="1" applyNumberFormat="1" applyFont="1" applyFill="1" applyBorder="1" applyAlignment="1"/>
    <xf numFmtId="0" fontId="27" fillId="4" borderId="13" xfId="0" applyFont="1" applyFill="1" applyBorder="1"/>
    <xf numFmtId="164" fontId="27" fillId="4" borderId="15" xfId="1" applyNumberFormat="1" applyFont="1" applyFill="1" applyBorder="1"/>
    <xf numFmtId="164" fontId="0" fillId="4" borderId="31" xfId="0" applyNumberFormat="1" applyFill="1" applyBorder="1"/>
    <xf numFmtId="164" fontId="31" fillId="4" borderId="1" xfId="1" applyNumberFormat="1" applyFont="1" applyFill="1" applyBorder="1" applyAlignment="1"/>
    <xf numFmtId="164" fontId="33" fillId="4" borderId="22" xfId="1" applyNumberFormat="1" applyFont="1" applyFill="1" applyBorder="1" applyAlignment="1">
      <alignment horizontal="center"/>
    </xf>
    <xf numFmtId="3" fontId="32" fillId="10" borderId="7" xfId="0" applyNumberFormat="1" applyFont="1" applyFill="1" applyBorder="1"/>
    <xf numFmtId="0" fontId="4" fillId="4" borderId="59" xfId="0" applyFont="1" applyFill="1" applyBorder="1" applyAlignment="1">
      <alignment horizontal="center"/>
    </xf>
    <xf numFmtId="3" fontId="32" fillId="4" borderId="21" xfId="0" applyNumberFormat="1" applyFont="1" applyFill="1" applyBorder="1"/>
    <xf numFmtId="0" fontId="4" fillId="4" borderId="49" xfId="0" applyFont="1" applyFill="1" applyBorder="1" applyAlignment="1">
      <alignment horizontal="center"/>
    </xf>
    <xf numFmtId="3" fontId="32" fillId="4" borderId="22" xfId="0" applyNumberFormat="1" applyFont="1" applyFill="1" applyBorder="1"/>
    <xf numFmtId="0" fontId="4" fillId="4" borderId="50" xfId="0" applyFont="1" applyFill="1" applyBorder="1" applyAlignment="1">
      <alignment horizontal="center"/>
    </xf>
    <xf numFmtId="3" fontId="32" fillId="4" borderId="23" xfId="0" applyNumberFormat="1" applyFont="1" applyFill="1" applyBorder="1"/>
    <xf numFmtId="3" fontId="4" fillId="8" borderId="19" xfId="0" applyNumberFormat="1" applyFont="1" applyFill="1" applyBorder="1"/>
    <xf numFmtId="169" fontId="25" fillId="0" borderId="1" xfId="0" applyNumberFormat="1" applyFont="1" applyBorder="1"/>
    <xf numFmtId="0" fontId="38" fillId="0" borderId="0" xfId="0" applyFont="1"/>
    <xf numFmtId="3" fontId="38" fillId="0" borderId="22" xfId="0" applyNumberFormat="1" applyFont="1" applyBorder="1"/>
    <xf numFmtId="164" fontId="38" fillId="0" borderId="0" xfId="0" applyNumberFormat="1" applyFont="1"/>
    <xf numFmtId="0" fontId="38" fillId="0" borderId="0" xfId="0" applyFont="1" applyFill="1"/>
    <xf numFmtId="172" fontId="38" fillId="0" borderId="0" xfId="0" applyNumberFormat="1" applyFont="1"/>
    <xf numFmtId="171" fontId="38" fillId="0" borderId="0" xfId="0" applyNumberFormat="1" applyFont="1"/>
    <xf numFmtId="0" fontId="37" fillId="4" borderId="56" xfId="0" applyFont="1" applyFill="1" applyBorder="1"/>
    <xf numFmtId="0" fontId="38" fillId="2" borderId="0" xfId="0" applyFont="1" applyFill="1" applyBorder="1"/>
    <xf numFmtId="164" fontId="38" fillId="2" borderId="0" xfId="1" applyNumberFormat="1" applyFont="1" applyFill="1" applyBorder="1"/>
    <xf numFmtId="164" fontId="38" fillId="2" borderId="0" xfId="0" applyNumberFormat="1" applyFont="1" applyFill="1" applyBorder="1"/>
    <xf numFmtId="164" fontId="37" fillId="2" borderId="0" xfId="0" applyNumberFormat="1" applyFont="1" applyFill="1" applyBorder="1"/>
    <xf numFmtId="0" fontId="37" fillId="4" borderId="1" xfId="0" applyFont="1" applyFill="1" applyBorder="1"/>
    <xf numFmtId="164" fontId="38" fillId="0" borderId="1" xfId="1" applyNumberFormat="1" applyFont="1" applyBorder="1"/>
    <xf numFmtId="164" fontId="37" fillId="4" borderId="1" xfId="1" applyNumberFormat="1" applyFont="1" applyFill="1" applyBorder="1"/>
    <xf numFmtId="0" fontId="39" fillId="4" borderId="1" xfId="0" applyFont="1" applyFill="1" applyBorder="1"/>
    <xf numFmtId="0" fontId="37" fillId="4" borderId="1" xfId="0" applyFont="1" applyFill="1" applyBorder="1" applyAlignment="1">
      <alignment horizontal="right"/>
    </xf>
    <xf numFmtId="0" fontId="0" fillId="0" borderId="0" xfId="0" applyBorder="1"/>
    <xf numFmtId="164" fontId="31" fillId="4" borderId="6" xfId="1" applyNumberFormat="1" applyFont="1" applyFill="1" applyBorder="1" applyAlignment="1"/>
    <xf numFmtId="164" fontId="30" fillId="4" borderId="13" xfId="1" applyNumberFormat="1" applyFont="1" applyFill="1" applyBorder="1"/>
    <xf numFmtId="164" fontId="0" fillId="4" borderId="1" xfId="0" applyNumberFormat="1" applyFill="1" applyBorder="1"/>
    <xf numFmtId="164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164" fontId="4" fillId="2" borderId="1" xfId="1" applyNumberFormat="1" applyFont="1" applyFill="1" applyBorder="1"/>
    <xf numFmtId="3" fontId="32" fillId="9" borderId="7" xfId="0" applyNumberFormat="1" applyFont="1" applyFill="1" applyBorder="1" applyAlignment="1">
      <alignment horizontal="center"/>
    </xf>
    <xf numFmtId="164" fontId="3" fillId="9" borderId="62" xfId="0" applyNumberFormat="1" applyFont="1" applyFill="1" applyBorder="1" applyAlignment="1"/>
    <xf numFmtId="164" fontId="23" fillId="0" borderId="1" xfId="3" applyNumberFormat="1" applyFont="1" applyFill="1" applyBorder="1"/>
    <xf numFmtId="164" fontId="23" fillId="0" borderId="4" xfId="3" applyNumberFormat="1" applyFont="1" applyFill="1" applyBorder="1"/>
    <xf numFmtId="164" fontId="23" fillId="0" borderId="1" xfId="3" applyNumberFormat="1" applyFont="1" applyBorder="1"/>
    <xf numFmtId="164" fontId="23" fillId="0" borderId="4" xfId="3" applyNumberFormat="1" applyFont="1" applyBorder="1"/>
    <xf numFmtId="164" fontId="23" fillId="0" borderId="1" xfId="3" applyNumberFormat="1" applyFont="1" applyFill="1" applyBorder="1" applyAlignment="1"/>
    <xf numFmtId="164" fontId="23" fillId="14" borderId="1" xfId="3" applyNumberFormat="1" applyFont="1" applyFill="1" applyBorder="1"/>
    <xf numFmtId="3" fontId="4" fillId="0" borderId="13" xfId="0" applyNumberFormat="1" applyFont="1" applyFill="1" applyBorder="1"/>
    <xf numFmtId="3" fontId="4" fillId="4" borderId="1" xfId="0" applyNumberFormat="1" applyFont="1" applyFill="1" applyBorder="1"/>
    <xf numFmtId="0" fontId="43" fillId="0" borderId="0" xfId="0" applyFont="1" applyFill="1"/>
    <xf numFmtId="0" fontId="44" fillId="0" borderId="0" xfId="0" applyFont="1" applyFill="1"/>
    <xf numFmtId="0" fontId="45" fillId="0" borderId="0" xfId="0" applyFont="1" applyFill="1"/>
    <xf numFmtId="0" fontId="25" fillId="0" borderId="0" xfId="0" applyFont="1" applyFill="1"/>
    <xf numFmtId="0" fontId="23" fillId="0" borderId="0" xfId="0" applyFont="1" applyFill="1"/>
    <xf numFmtId="17" fontId="0" fillId="0" borderId="0" xfId="0" applyNumberFormat="1" applyFill="1"/>
    <xf numFmtId="17" fontId="23" fillId="0" borderId="0" xfId="0" applyNumberFormat="1" applyFont="1" applyFill="1"/>
    <xf numFmtId="0" fontId="15" fillId="0" borderId="1" xfId="0" applyFont="1" applyFill="1" applyBorder="1" applyAlignment="1">
      <alignment horizontal="center"/>
    </xf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168" fontId="25" fillId="2" borderId="1" xfId="3" applyNumberFormat="1" applyFont="1" applyFill="1" applyBorder="1" applyProtection="1">
      <protection locked="0"/>
    </xf>
    <xf numFmtId="0" fontId="15" fillId="2" borderId="1" xfId="0" applyFont="1" applyFill="1" applyBorder="1" applyAlignment="1">
      <alignment horizontal="center"/>
    </xf>
    <xf numFmtId="173" fontId="17" fillId="2" borderId="1" xfId="3" applyFont="1" applyFill="1" applyBorder="1" applyProtection="1">
      <protection locked="0"/>
    </xf>
    <xf numFmtId="173" fontId="17" fillId="2" borderId="1" xfId="3" applyFont="1" applyFill="1" applyBorder="1" applyAlignment="1" applyProtection="1">
      <alignment horizontal="center" vertical="center"/>
      <protection locked="0"/>
    </xf>
    <xf numFmtId="168" fontId="25" fillId="0" borderId="1" xfId="3" applyNumberFormat="1" applyFont="1" applyFill="1" applyBorder="1" applyAlignment="1">
      <alignment horizontal="center"/>
    </xf>
    <xf numFmtId="173" fontId="25" fillId="0" borderId="1" xfId="3" applyFont="1" applyFill="1" applyBorder="1" applyAlignment="1">
      <alignment horizontal="center"/>
    </xf>
    <xf numFmtId="0" fontId="24" fillId="0" borderId="0" xfId="0" applyFont="1" applyFill="1"/>
    <xf numFmtId="0" fontId="15" fillId="0" borderId="0" xfId="0" applyFont="1" applyFill="1"/>
    <xf numFmtId="0" fontId="15" fillId="0" borderId="53" xfId="0" applyFont="1" applyFill="1" applyBorder="1" applyAlignment="1">
      <alignment horizontal="center"/>
    </xf>
    <xf numFmtId="0" fontId="17" fillId="0" borderId="0" xfId="0" applyFont="1" applyFill="1"/>
    <xf numFmtId="0" fontId="16" fillId="0" borderId="1" xfId="0" applyFont="1" applyFill="1" applyBorder="1"/>
    <xf numFmtId="0" fontId="15" fillId="0" borderId="1" xfId="0" applyFont="1" applyFill="1" applyBorder="1"/>
    <xf numFmtId="3" fontId="17" fillId="0" borderId="4" xfId="3" applyNumberFormat="1" applyFont="1" applyFill="1" applyBorder="1"/>
    <xf numFmtId="168" fontId="17" fillId="0" borderId="1" xfId="3" applyNumberFormat="1" applyFont="1" applyFill="1" applyBorder="1"/>
    <xf numFmtId="3" fontId="17" fillId="0" borderId="6" xfId="3" applyNumberFormat="1" applyFont="1" applyFill="1" applyBorder="1"/>
    <xf numFmtId="0" fontId="48" fillId="0" borderId="1" xfId="0" applyFont="1" applyFill="1" applyBorder="1" applyAlignment="1">
      <alignment horizontal="center"/>
    </xf>
    <xf numFmtId="3" fontId="17" fillId="0" borderId="1" xfId="3" applyNumberFormat="1" applyFont="1" applyFill="1" applyBorder="1"/>
    <xf numFmtId="168" fontId="17" fillId="0" borderId="1" xfId="3" applyNumberFormat="1" applyFont="1" applyFill="1" applyBorder="1" applyAlignment="1">
      <alignment horizontal="right"/>
    </xf>
    <xf numFmtId="173" fontId="17" fillId="0" borderId="0" xfId="3" applyFont="1" applyFill="1" applyBorder="1"/>
    <xf numFmtId="3" fontId="17" fillId="0" borderId="0" xfId="3" applyNumberFormat="1" applyFont="1" applyFill="1" applyBorder="1"/>
    <xf numFmtId="0" fontId="5" fillId="2" borderId="1" xfId="0" applyFont="1" applyFill="1" applyBorder="1" applyAlignment="1">
      <alignment horizontal="center"/>
    </xf>
    <xf numFmtId="164" fontId="31" fillId="9" borderId="20" xfId="0" applyNumberFormat="1" applyFont="1" applyFill="1" applyBorder="1"/>
    <xf numFmtId="0" fontId="5" fillId="4" borderId="1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16" fontId="25" fillId="0" borderId="1" xfId="0" applyNumberFormat="1" applyFont="1" applyBorder="1"/>
    <xf numFmtId="169" fontId="25" fillId="0" borderId="0" xfId="0" applyNumberFormat="1" applyFont="1" applyFill="1" applyBorder="1"/>
    <xf numFmtId="0" fontId="25" fillId="0" borderId="0" xfId="0" applyFont="1"/>
    <xf numFmtId="0" fontId="25" fillId="0" borderId="43" xfId="0" applyFont="1" applyBorder="1"/>
    <xf numFmtId="0" fontId="49" fillId="0" borderId="43" xfId="0" applyFont="1" applyBorder="1"/>
    <xf numFmtId="0" fontId="0" fillId="15" borderId="1" xfId="0" applyFill="1" applyBorder="1"/>
    <xf numFmtId="0" fontId="0" fillId="15" borderId="1" xfId="0" applyFill="1" applyBorder="1" applyAlignment="1"/>
    <xf numFmtId="167" fontId="0" fillId="15" borderId="1" xfId="1" applyNumberFormat="1" applyFont="1" applyFill="1" applyBorder="1"/>
    <xf numFmtId="170" fontId="0" fillId="15" borderId="1" xfId="1" applyNumberFormat="1" applyFont="1" applyFill="1" applyBorder="1"/>
    <xf numFmtId="164" fontId="0" fillId="15" borderId="1" xfId="1" applyNumberFormat="1" applyFont="1" applyFill="1" applyBorder="1"/>
    <xf numFmtId="167" fontId="0" fillId="15" borderId="0" xfId="0" applyNumberFormat="1" applyFill="1"/>
    <xf numFmtId="0" fontId="0" fillId="15" borderId="0" xfId="0" applyFill="1"/>
    <xf numFmtId="0" fontId="0" fillId="16" borderId="0" xfId="0" applyFill="1"/>
    <xf numFmtId="14" fontId="5" fillId="2" borderId="1" xfId="0" applyNumberFormat="1" applyFont="1" applyFill="1" applyBorder="1" applyAlignment="1">
      <alignment horizontal="center"/>
    </xf>
    <xf numFmtId="0" fontId="0" fillId="9" borderId="39" xfId="0" applyFill="1" applyBorder="1" applyAlignment="1"/>
    <xf numFmtId="0" fontId="0" fillId="9" borderId="55" xfId="0" applyFill="1" applyBorder="1" applyAlignment="1"/>
    <xf numFmtId="0" fontId="0" fillId="9" borderId="25" xfId="0" applyFill="1" applyBorder="1" applyAlignment="1"/>
    <xf numFmtId="0" fontId="15" fillId="9" borderId="1" xfId="0" applyFont="1" applyFill="1" applyBorder="1" applyAlignment="1">
      <alignment horizontal="center"/>
    </xf>
    <xf numFmtId="164" fontId="31" fillId="9" borderId="1" xfId="1" applyNumberFormat="1" applyFont="1" applyFill="1" applyBorder="1"/>
    <xf numFmtId="164" fontId="0" fillId="9" borderId="3" xfId="1" applyNumberFormat="1" applyFont="1" applyFill="1" applyBorder="1"/>
    <xf numFmtId="164" fontId="5" fillId="4" borderId="13" xfId="1" applyNumberFormat="1" applyFont="1" applyFill="1" applyBorder="1"/>
    <xf numFmtId="164" fontId="42" fillId="0" borderId="1" xfId="0" applyNumberFormat="1" applyFont="1" applyBorder="1"/>
    <xf numFmtId="0" fontId="42" fillId="0" borderId="1" xfId="0" applyFont="1" applyBorder="1"/>
    <xf numFmtId="164" fontId="41" fillId="0" borderId="1" xfId="0" applyNumberFormat="1" applyFont="1" applyBorder="1"/>
    <xf numFmtId="164" fontId="27" fillId="0" borderId="1" xfId="0" applyNumberFormat="1" applyFont="1" applyFill="1" applyBorder="1"/>
    <xf numFmtId="3" fontId="15" fillId="0" borderId="6" xfId="3" applyNumberFormat="1" applyFont="1" applyFill="1" applyBorder="1"/>
    <xf numFmtId="164" fontId="8" fillId="2" borderId="22" xfId="1" applyNumberFormat="1" applyFont="1" applyFill="1" applyBorder="1"/>
    <xf numFmtId="0" fontId="25" fillId="0" borderId="1" xfId="0" applyFont="1" applyFill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49" fontId="4" fillId="0" borderId="1" xfId="0" applyNumberFormat="1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Alignment="1"/>
    <xf numFmtId="0" fontId="0" fillId="0" borderId="44" xfId="0" applyFill="1" applyBorder="1" applyAlignment="1"/>
    <xf numFmtId="164" fontId="5" fillId="2" borderId="32" xfId="1" applyNumberFormat="1" applyFont="1" applyFill="1" applyBorder="1"/>
    <xf numFmtId="164" fontId="5" fillId="2" borderId="31" xfId="1" applyNumberFormat="1" applyFont="1" applyFill="1" applyBorder="1"/>
    <xf numFmtId="165" fontId="8" fillId="2" borderId="0" xfId="0" applyNumberFormat="1" applyFont="1" applyFill="1"/>
    <xf numFmtId="1" fontId="8" fillId="2" borderId="0" xfId="0" applyNumberFormat="1" applyFont="1" applyFill="1"/>
    <xf numFmtId="166" fontId="8" fillId="2" borderId="0" xfId="1" applyNumberFormat="1" applyFont="1" applyFill="1" applyBorder="1"/>
    <xf numFmtId="0" fontId="16" fillId="2" borderId="0" xfId="0" applyNumberFormat="1" applyFont="1" applyFill="1" applyBorder="1"/>
    <xf numFmtId="164" fontId="4" fillId="9" borderId="1" xfId="1" applyNumberFormat="1" applyFont="1" applyFill="1" applyBorder="1"/>
    <xf numFmtId="164" fontId="4" fillId="14" borderId="13" xfId="1" applyNumberFormat="1" applyFont="1" applyFill="1" applyBorder="1"/>
    <xf numFmtId="0" fontId="23" fillId="14" borderId="1" xfId="0" applyFont="1" applyFill="1" applyBorder="1" applyAlignment="1">
      <alignment horizontal="center"/>
    </xf>
    <xf numFmtId="0" fontId="23" fillId="14" borderId="4" xfId="0" applyFont="1" applyFill="1" applyBorder="1" applyAlignment="1">
      <alignment horizontal="center"/>
    </xf>
    <xf numFmtId="164" fontId="23" fillId="14" borderId="4" xfId="3" applyNumberFormat="1" applyFont="1" applyFill="1" applyBorder="1"/>
    <xf numFmtId="164" fontId="23" fillId="14" borderId="1" xfId="0" applyNumberFormat="1" applyFont="1" applyFill="1" applyBorder="1"/>
    <xf numFmtId="169" fontId="23" fillId="14" borderId="1" xfId="0" applyNumberFormat="1" applyFont="1" applyFill="1" applyBorder="1"/>
    <xf numFmtId="3" fontId="38" fillId="0" borderId="22" xfId="0" applyNumberFormat="1" applyFont="1" applyBorder="1" applyAlignment="1">
      <alignment horizontal="center"/>
    </xf>
    <xf numFmtId="168" fontId="0" fillId="0" borderId="0" xfId="0" applyNumberFormat="1" applyFill="1"/>
    <xf numFmtId="0" fontId="24" fillId="2" borderId="0" xfId="0" applyFont="1" applyFill="1"/>
    <xf numFmtId="0" fontId="24" fillId="0" borderId="0" xfId="0" applyFont="1" applyBorder="1"/>
    <xf numFmtId="0" fontId="24" fillId="2" borderId="0" xfId="0" applyFont="1" applyFill="1" applyBorder="1"/>
    <xf numFmtId="0" fontId="3" fillId="0" borderId="5" xfId="0" applyFont="1" applyFill="1" applyBorder="1" applyAlignment="1">
      <alignment horizontal="left"/>
    </xf>
    <xf numFmtId="169" fontId="16" fillId="2" borderId="21" xfId="0" applyNumberFormat="1" applyFont="1" applyFill="1" applyBorder="1" applyAlignment="1" applyProtection="1">
      <alignment horizontal="right"/>
      <protection locked="0"/>
    </xf>
    <xf numFmtId="169" fontId="16" fillId="2" borderId="22" xfId="0" applyNumberFormat="1" applyFont="1" applyFill="1" applyBorder="1" applyAlignment="1" applyProtection="1">
      <alignment horizontal="right"/>
      <protection locked="0"/>
    </xf>
    <xf numFmtId="169" fontId="16" fillId="2" borderId="23" xfId="0" applyNumberFormat="1" applyFont="1" applyFill="1" applyBorder="1" applyAlignment="1" applyProtection="1">
      <alignment horizontal="right"/>
      <protection locked="0"/>
    </xf>
    <xf numFmtId="164" fontId="38" fillId="2" borderId="1" xfId="1" applyNumberFormat="1" applyFont="1" applyFill="1" applyBorder="1"/>
    <xf numFmtId="164" fontId="31" fillId="10" borderId="1" xfId="1" applyNumberFormat="1" applyFont="1" applyFill="1" applyBorder="1"/>
    <xf numFmtId="164" fontId="0" fillId="10" borderId="3" xfId="1" applyNumberFormat="1" applyFont="1" applyFill="1" applyBorder="1"/>
    <xf numFmtId="0" fontId="3" fillId="0" borderId="5" xfId="0" applyFont="1" applyFill="1" applyBorder="1" applyAlignment="1">
      <alignment horizontal="left"/>
    </xf>
    <xf numFmtId="164" fontId="33" fillId="4" borderId="62" xfId="1" applyNumberFormat="1" applyFont="1" applyFill="1" applyBorder="1" applyAlignment="1">
      <alignment horizontal="center"/>
    </xf>
    <xf numFmtId="0" fontId="50" fillId="0" borderId="0" xfId="0" applyFont="1"/>
    <xf numFmtId="0" fontId="19" fillId="17" borderId="40" xfId="0" applyFont="1" applyFill="1" applyBorder="1" applyAlignment="1">
      <alignment horizontal="center"/>
    </xf>
    <xf numFmtId="0" fontId="19" fillId="17" borderId="1" xfId="0" applyFont="1" applyFill="1" applyBorder="1" applyAlignment="1">
      <alignment horizontal="center"/>
    </xf>
    <xf numFmtId="0" fontId="19" fillId="17" borderId="0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NumberFormat="1" applyFont="1" applyBorder="1"/>
    <xf numFmtId="0" fontId="4" fillId="0" borderId="1" xfId="0" applyNumberFormat="1" applyFont="1" applyBorder="1" applyAlignment="1">
      <alignment horizontal="center" vertical="center"/>
    </xf>
    <xf numFmtId="164" fontId="4" fillId="0" borderId="1" xfId="1" applyNumberFormat="1" applyFont="1" applyBorder="1"/>
    <xf numFmtId="164" fontId="4" fillId="0" borderId="1" xfId="1" applyNumberFormat="1" applyFont="1" applyFill="1" applyBorder="1" applyAlignment="1">
      <alignment horizontal="center" vertical="center"/>
    </xf>
    <xf numFmtId="16" fontId="19" fillId="0" borderId="1" xfId="0" applyNumberFormat="1" applyFont="1" applyBorder="1"/>
    <xf numFmtId="3" fontId="13" fillId="0" borderId="1" xfId="4" applyNumberFormat="1" applyFont="1" applyBorder="1" applyAlignment="1">
      <alignment horizontal="center"/>
    </xf>
    <xf numFmtId="3" fontId="13" fillId="0" borderId="1" xfId="4" applyNumberFormat="1" applyFont="1" applyBorder="1"/>
    <xf numFmtId="3" fontId="53" fillId="0" borderId="1" xfId="0" applyNumberFormat="1" applyFont="1" applyBorder="1"/>
    <xf numFmtId="14" fontId="0" fillId="0" borderId="1" xfId="0" applyNumberFormat="1" applyBorder="1" applyAlignment="1">
      <alignment horizontal="center" vertical="center"/>
    </xf>
    <xf numFmtId="0" fontId="27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27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74" fontId="4" fillId="0" borderId="6" xfId="1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9" fontId="25" fillId="2" borderId="1" xfId="0" applyNumberFormat="1" applyFont="1" applyFill="1" applyBorder="1"/>
    <xf numFmtId="169" fontId="23" fillId="0" borderId="1" xfId="0" applyNumberFormat="1" applyFont="1" applyBorder="1"/>
    <xf numFmtId="3" fontId="52" fillId="0" borderId="1" xfId="4" applyNumberFormat="1" applyFont="1" applyBorder="1"/>
    <xf numFmtId="169" fontId="25" fillId="0" borderId="53" xfId="0" applyNumberFormat="1" applyFont="1" applyFill="1" applyBorder="1"/>
    <xf numFmtId="3" fontId="52" fillId="0" borderId="1" xfId="0" applyNumberFormat="1" applyFont="1" applyFill="1" applyBorder="1" applyAlignment="1">
      <alignment horizontal="center"/>
    </xf>
    <xf numFmtId="3" fontId="52" fillId="18" borderId="1" xfId="0" applyNumberFormat="1" applyFont="1" applyFill="1" applyBorder="1" applyAlignment="1">
      <alignment horizontal="center"/>
    </xf>
    <xf numFmtId="3" fontId="52" fillId="18" borderId="1" xfId="4" applyNumberFormat="1" applyFont="1" applyFill="1" applyBorder="1"/>
    <xf numFmtId="3" fontId="54" fillId="3" borderId="1" xfId="0" applyNumberFormat="1" applyFont="1" applyFill="1" applyBorder="1"/>
    <xf numFmtId="169" fontId="23" fillId="13" borderId="1" xfId="0" applyNumberFormat="1" applyFont="1" applyFill="1" applyBorder="1"/>
    <xf numFmtId="0" fontId="0" fillId="2" borderId="0" xfId="0" applyNumberFormat="1" applyFill="1"/>
    <xf numFmtId="164" fontId="0" fillId="2" borderId="0" xfId="1" applyNumberFormat="1" applyFont="1" applyFill="1"/>
    <xf numFmtId="0" fontId="0" fillId="0" borderId="0" xfId="0" applyNumberFormat="1"/>
    <xf numFmtId="164" fontId="56" fillId="0" borderId="22" xfId="1" applyNumberFormat="1" applyFont="1" applyBorder="1"/>
    <xf numFmtId="164" fontId="0" fillId="9" borderId="1" xfId="1" applyNumberFormat="1" applyFont="1" applyFill="1" applyBorder="1"/>
    <xf numFmtId="16" fontId="25" fillId="9" borderId="1" xfId="0" applyNumberFormat="1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55" fillId="2" borderId="8" xfId="0" applyFont="1" applyFill="1" applyBorder="1" applyAlignment="1">
      <alignment vertical="center"/>
    </xf>
    <xf numFmtId="0" fontId="55" fillId="2" borderId="9" xfId="0" applyFont="1" applyFill="1" applyBorder="1" applyAlignment="1">
      <alignment vertical="center"/>
    </xf>
    <xf numFmtId="0" fontId="55" fillId="2" borderId="61" xfId="0" applyFont="1" applyFill="1" applyBorder="1" applyAlignment="1">
      <alignment vertical="center"/>
    </xf>
    <xf numFmtId="167" fontId="35" fillId="19" borderId="1" xfId="0" applyNumberFormat="1" applyFont="1" applyFill="1" applyBorder="1" applyAlignment="1">
      <alignment horizontal="center"/>
    </xf>
    <xf numFmtId="167" fontId="21" fillId="20" borderId="1" xfId="1" applyNumberFormat="1" applyFont="1" applyFill="1" applyBorder="1"/>
    <xf numFmtId="43" fontId="0" fillId="0" borderId="1" xfId="1" applyFont="1" applyFill="1" applyBorder="1"/>
    <xf numFmtId="164" fontId="8" fillId="9" borderId="5" xfId="1" applyNumberFormat="1" applyFont="1" applyFill="1" applyBorder="1" applyAlignment="1">
      <alignment horizontal="center" vertical="center"/>
    </xf>
    <xf numFmtId="174" fontId="0" fillId="2" borderId="0" xfId="0" applyNumberFormat="1" applyFill="1" applyAlignment="1">
      <alignment horizontal="center" vertical="center"/>
    </xf>
    <xf numFmtId="165" fontId="5" fillId="4" borderId="9" xfId="0" applyNumberFormat="1" applyFont="1" applyFill="1" applyBorder="1" applyAlignment="1">
      <alignment horizontal="center" vertical="center" wrapText="1"/>
    </xf>
    <xf numFmtId="165" fontId="5" fillId="4" borderId="7" xfId="0" applyNumberFormat="1" applyFont="1" applyFill="1" applyBorder="1" applyAlignment="1">
      <alignment horizontal="center" vertical="center" wrapText="1"/>
    </xf>
    <xf numFmtId="165" fontId="5" fillId="4" borderId="8" xfId="0" applyNumberFormat="1" applyFont="1" applyFill="1" applyBorder="1" applyAlignment="1">
      <alignment horizontal="center" vertical="center" wrapText="1"/>
    </xf>
    <xf numFmtId="164" fontId="5" fillId="0" borderId="4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/>
    <xf numFmtId="164" fontId="8" fillId="4" borderId="4" xfId="1" applyNumberFormat="1" applyFont="1" applyFill="1" applyBorder="1"/>
    <xf numFmtId="0" fontId="37" fillId="4" borderId="68" xfId="0" applyFont="1" applyFill="1" applyBorder="1" applyAlignment="1">
      <alignment horizontal="right"/>
    </xf>
    <xf numFmtId="0" fontId="0" fillId="0" borderId="49" xfId="0" applyBorder="1"/>
    <xf numFmtId="0" fontId="0" fillId="0" borderId="49" xfId="0" applyFill="1" applyBorder="1"/>
    <xf numFmtId="164" fontId="37" fillId="4" borderId="70" xfId="1" applyNumberFormat="1" applyFont="1" applyFill="1" applyBorder="1"/>
    <xf numFmtId="164" fontId="11" fillId="10" borderId="68" xfId="1" applyNumberFormat="1" applyFont="1" applyFill="1" applyBorder="1"/>
    <xf numFmtId="3" fontId="62" fillId="0" borderId="22" xfId="0" applyNumberFormat="1" applyFont="1" applyFill="1" applyBorder="1" applyAlignment="1">
      <alignment horizontal="center" vertical="center"/>
    </xf>
    <xf numFmtId="171" fontId="62" fillId="0" borderId="5" xfId="0" applyNumberFormat="1" applyFont="1" applyFill="1" applyBorder="1" applyAlignment="1">
      <alignment horizontal="center" vertical="center"/>
    </xf>
    <xf numFmtId="164" fontId="60" fillId="9" borderId="71" xfId="1" applyNumberFormat="1" applyFont="1" applyFill="1" applyBorder="1"/>
    <xf numFmtId="3" fontId="59" fillId="9" borderId="22" xfId="0" applyNumberFormat="1" applyFont="1" applyFill="1" applyBorder="1" applyAlignment="1">
      <alignment horizontal="center" vertical="center"/>
    </xf>
    <xf numFmtId="171" fontId="59" fillId="9" borderId="5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/>
    <xf numFmtId="165" fontId="3" fillId="4" borderId="13" xfId="0" applyNumberFormat="1" applyFont="1" applyFill="1" applyBorder="1" applyAlignment="1">
      <alignment horizontal="left"/>
    </xf>
    <xf numFmtId="164" fontId="5" fillId="4" borderId="33" xfId="1" applyNumberFormat="1" applyFont="1" applyFill="1" applyBorder="1"/>
    <xf numFmtId="164" fontId="5" fillId="4" borderId="72" xfId="1" applyNumberFormat="1" applyFont="1" applyFill="1" applyBorder="1"/>
    <xf numFmtId="164" fontId="8" fillId="9" borderId="2" xfId="1" applyNumberFormat="1" applyFont="1" applyFill="1" applyBorder="1" applyAlignment="1">
      <alignment horizontal="center" vertical="center"/>
    </xf>
    <xf numFmtId="164" fontId="8" fillId="4" borderId="41" xfId="1" applyNumberFormat="1" applyFont="1" applyFill="1" applyBorder="1"/>
    <xf numFmtId="164" fontId="8" fillId="0" borderId="23" xfId="1" applyNumberFormat="1" applyFont="1" applyBorder="1"/>
    <xf numFmtId="165" fontId="9" fillId="7" borderId="7" xfId="0" applyNumberFormat="1" applyFont="1" applyFill="1" applyBorder="1"/>
    <xf numFmtId="164" fontId="5" fillId="7" borderId="10" xfId="0" applyNumberFormat="1" applyFont="1" applyFill="1" applyBorder="1"/>
    <xf numFmtId="164" fontId="5" fillId="7" borderId="7" xfId="0" applyNumberFormat="1" applyFont="1" applyFill="1" applyBorder="1"/>
    <xf numFmtId="164" fontId="5" fillId="7" borderId="8" xfId="0" applyNumberFormat="1" applyFont="1" applyFill="1" applyBorder="1"/>
    <xf numFmtId="164" fontId="5" fillId="7" borderId="9" xfId="0" applyNumberFormat="1" applyFont="1" applyFill="1" applyBorder="1"/>
    <xf numFmtId="164" fontId="8" fillId="0" borderId="7" xfId="1" applyNumberFormat="1" applyFont="1" applyBorder="1"/>
    <xf numFmtId="3" fontId="6" fillId="0" borderId="1" xfId="1" applyNumberFormat="1" applyFont="1" applyFill="1" applyBorder="1" applyAlignment="1">
      <alignment horizontal="center"/>
    </xf>
    <xf numFmtId="3" fontId="7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3" fontId="7" fillId="0" borderId="34" xfId="1" applyNumberFormat="1" applyFont="1" applyFill="1" applyBorder="1" applyAlignment="1">
      <alignment horizontal="center"/>
    </xf>
    <xf numFmtId="164" fontId="6" fillId="0" borderId="34" xfId="1" applyNumberFormat="1" applyFont="1" applyFill="1" applyBorder="1" applyAlignment="1">
      <alignment horizontal="center"/>
    </xf>
    <xf numFmtId="3" fontId="24" fillId="0" borderId="1" xfId="1" applyNumberFormat="1" applyFont="1" applyFill="1" applyBorder="1" applyAlignment="1">
      <alignment horizontal="center"/>
    </xf>
    <xf numFmtId="3" fontId="24" fillId="0" borderId="34" xfId="1" applyNumberFormat="1" applyFont="1" applyFill="1" applyBorder="1" applyAlignment="1">
      <alignment horizontal="center"/>
    </xf>
    <xf numFmtId="164" fontId="5" fillId="9" borderId="4" xfId="1" applyNumberFormat="1" applyFont="1" applyFill="1" applyBorder="1" applyAlignment="1">
      <alignment horizontal="center" vertical="center"/>
    </xf>
    <xf numFmtId="164" fontId="5" fillId="9" borderId="41" xfId="1" applyNumberFormat="1" applyFont="1" applyFill="1" applyBorder="1" applyAlignment="1">
      <alignment vertical="center"/>
    </xf>
    <xf numFmtId="169" fontId="24" fillId="0" borderId="0" xfId="0" applyNumberFormat="1" applyFont="1"/>
    <xf numFmtId="164" fontId="23" fillId="9" borderId="1" xfId="3" applyNumberFormat="1" applyFont="1" applyFill="1" applyBorder="1"/>
    <xf numFmtId="0" fontId="0" fillId="0" borderId="0" xfId="0" applyBorder="1" applyAlignment="1">
      <alignment vertical="center"/>
    </xf>
    <xf numFmtId="165" fontId="65" fillId="4" borderId="8" xfId="6" applyFont="1" applyFill="1" applyBorder="1" applyAlignment="1">
      <alignment horizontal="center"/>
    </xf>
    <xf numFmtId="165" fontId="65" fillId="4" borderId="9" xfId="6" applyFont="1" applyFill="1" applyBorder="1" applyAlignment="1">
      <alignment horizontal="center"/>
    </xf>
    <xf numFmtId="3" fontId="66" fillId="0" borderId="1" xfId="6" applyNumberFormat="1" applyFont="1" applyBorder="1"/>
    <xf numFmtId="165" fontId="65" fillId="4" borderId="9" xfId="6" applyFont="1" applyFill="1" applyBorder="1" applyAlignment="1"/>
    <xf numFmtId="165" fontId="65" fillId="4" borderId="9" xfId="6" applyFont="1" applyFill="1" applyBorder="1" applyAlignment="1">
      <alignment vertical="center" wrapText="1"/>
    </xf>
    <xf numFmtId="0" fontId="66" fillId="0" borderId="0" xfId="0" applyFont="1"/>
    <xf numFmtId="165" fontId="65" fillId="4" borderId="13" xfId="6" applyFont="1" applyFill="1" applyBorder="1" applyAlignment="1">
      <alignment horizontal="center" vertical="center" wrapText="1"/>
    </xf>
    <xf numFmtId="165" fontId="65" fillId="4" borderId="14" xfId="6" applyFont="1" applyFill="1" applyBorder="1" applyAlignment="1">
      <alignment horizontal="center" vertical="center" wrapText="1"/>
    </xf>
    <xf numFmtId="165" fontId="65" fillId="5" borderId="14" xfId="6" applyFont="1" applyFill="1" applyBorder="1" applyAlignment="1">
      <alignment horizontal="center" vertical="top" wrapText="1"/>
    </xf>
    <xf numFmtId="165" fontId="65" fillId="4" borderId="11" xfId="6" applyFont="1" applyFill="1" applyBorder="1" applyAlignment="1">
      <alignment horizontal="center" vertical="center" wrapText="1"/>
    </xf>
    <xf numFmtId="0" fontId="66" fillId="0" borderId="1" xfId="0" applyFont="1" applyBorder="1"/>
    <xf numFmtId="165" fontId="65" fillId="4" borderId="18" xfId="6" applyFont="1" applyFill="1" applyBorder="1" applyAlignment="1">
      <alignment horizontal="center" vertical="center" wrapText="1"/>
    </xf>
    <xf numFmtId="165" fontId="65" fillId="4" borderId="11" xfId="6" applyFont="1" applyFill="1" applyBorder="1" applyAlignment="1">
      <alignment horizontal="center" vertical="center"/>
    </xf>
    <xf numFmtId="165" fontId="65" fillId="4" borderId="13" xfId="6" applyFont="1" applyFill="1" applyBorder="1" applyAlignment="1">
      <alignment horizontal="center"/>
    </xf>
    <xf numFmtId="165" fontId="65" fillId="4" borderId="72" xfId="6" applyFont="1" applyFill="1" applyBorder="1" applyAlignment="1">
      <alignment horizontal="center" vertical="center" wrapText="1"/>
    </xf>
    <xf numFmtId="165" fontId="65" fillId="5" borderId="72" xfId="6" applyFont="1" applyFill="1" applyBorder="1" applyAlignment="1">
      <alignment horizontal="center" vertical="top" wrapText="1"/>
    </xf>
    <xf numFmtId="165" fontId="65" fillId="4" borderId="38" xfId="6" applyFont="1" applyFill="1" applyBorder="1" applyAlignment="1">
      <alignment horizontal="center" vertical="center" wrapText="1"/>
    </xf>
    <xf numFmtId="165" fontId="65" fillId="4" borderId="16" xfId="6" applyFont="1" applyFill="1" applyBorder="1" applyAlignment="1">
      <alignment horizontal="center" vertical="center" wrapText="1"/>
    </xf>
    <xf numFmtId="165" fontId="65" fillId="4" borderId="13" xfId="6" applyFont="1" applyFill="1" applyBorder="1"/>
    <xf numFmtId="165" fontId="65" fillId="4" borderId="0" xfId="6" applyFont="1" applyFill="1" applyBorder="1"/>
    <xf numFmtId="165" fontId="65" fillId="4" borderId="14" xfId="6" applyFont="1" applyFill="1" applyBorder="1"/>
    <xf numFmtId="165" fontId="65" fillId="4" borderId="15" xfId="6" applyFont="1" applyFill="1" applyBorder="1"/>
    <xf numFmtId="165" fontId="65" fillId="4" borderId="16" xfId="6" applyFont="1" applyFill="1" applyBorder="1" applyAlignment="1">
      <alignment horizontal="center" vertical="center"/>
    </xf>
    <xf numFmtId="165" fontId="65" fillId="4" borderId="19" xfId="6" applyFont="1" applyFill="1" applyBorder="1" applyAlignment="1">
      <alignment horizontal="center"/>
    </xf>
    <xf numFmtId="165" fontId="65" fillId="4" borderId="27" xfId="6" applyFont="1" applyFill="1" applyBorder="1" applyAlignment="1">
      <alignment horizontal="center" vertical="center" wrapText="1"/>
    </xf>
    <xf numFmtId="165" fontId="65" fillId="5" borderId="31" xfId="6" applyFont="1" applyFill="1" applyBorder="1" applyAlignment="1">
      <alignment horizontal="center" vertical="top" wrapText="1"/>
    </xf>
    <xf numFmtId="165" fontId="67" fillId="4" borderId="0" xfId="6" applyFont="1" applyFill="1" applyBorder="1" applyAlignment="1">
      <alignment horizontal="center" wrapText="1"/>
    </xf>
    <xf numFmtId="165" fontId="67" fillId="4" borderId="1" xfId="6" applyFont="1" applyFill="1" applyBorder="1" applyAlignment="1">
      <alignment horizontal="center" wrapText="1"/>
    </xf>
    <xf numFmtId="165" fontId="66" fillId="4" borderId="30" xfId="2" applyNumberFormat="1" applyFont="1" applyFill="1" applyBorder="1" applyAlignment="1">
      <alignment horizontal="left"/>
    </xf>
    <xf numFmtId="3" fontId="66" fillId="0" borderId="22" xfId="7" applyNumberFormat="1" applyFont="1" applyBorder="1"/>
    <xf numFmtId="3" fontId="66" fillId="0" borderId="22" xfId="6" applyNumberFormat="1" applyFont="1" applyBorder="1"/>
    <xf numFmtId="3" fontId="68" fillId="4" borderId="22" xfId="6" applyNumberFormat="1" applyFont="1" applyFill="1" applyBorder="1"/>
    <xf numFmtId="3" fontId="65" fillId="4" borderId="30" xfId="6" applyNumberFormat="1" applyFont="1" applyFill="1" applyBorder="1"/>
    <xf numFmtId="3" fontId="66" fillId="0" borderId="1" xfId="0" applyNumberFormat="1" applyFont="1" applyBorder="1"/>
    <xf numFmtId="0" fontId="68" fillId="0" borderId="1" xfId="0" applyFont="1" applyFill="1" applyBorder="1"/>
    <xf numFmtId="0" fontId="66" fillId="0" borderId="0" xfId="0" applyFont="1" applyFill="1" applyBorder="1"/>
    <xf numFmtId="165" fontId="66" fillId="22" borderId="11" xfId="6" applyNumberFormat="1" applyFont="1" applyFill="1" applyBorder="1" applyAlignment="1">
      <alignment horizontal="left"/>
    </xf>
    <xf numFmtId="3" fontId="66" fillId="22" borderId="13" xfId="6" applyNumberFormat="1" applyFont="1" applyFill="1" applyBorder="1"/>
    <xf numFmtId="3" fontId="66" fillId="22" borderId="15" xfId="6" applyNumberFormat="1" applyFont="1" applyFill="1" applyBorder="1"/>
    <xf numFmtId="3" fontId="68" fillId="22" borderId="14" xfId="6" applyNumberFormat="1" applyFont="1" applyFill="1" applyBorder="1"/>
    <xf numFmtId="3" fontId="66" fillId="22" borderId="11" xfId="6" applyNumberFormat="1" applyFont="1" applyFill="1" applyBorder="1"/>
    <xf numFmtId="3" fontId="65" fillId="22" borderId="15" xfId="6" applyNumberFormat="1" applyFont="1" applyFill="1" applyBorder="1"/>
    <xf numFmtId="3" fontId="65" fillId="22" borderId="7" xfId="6" applyNumberFormat="1" applyFont="1" applyFill="1" applyBorder="1"/>
    <xf numFmtId="0" fontId="68" fillId="0" borderId="0" xfId="0" applyFont="1" applyFill="1" applyBorder="1"/>
    <xf numFmtId="1" fontId="65" fillId="22" borderId="16" xfId="6" applyNumberFormat="1" applyFont="1" applyFill="1" applyBorder="1"/>
    <xf numFmtId="3" fontId="65" fillId="22" borderId="19" xfId="6" applyNumberFormat="1" applyFont="1" applyFill="1" applyBorder="1"/>
    <xf numFmtId="0" fontId="66" fillId="0" borderId="0" xfId="0" applyFont="1" applyAlignment="1"/>
    <xf numFmtId="3" fontId="65" fillId="22" borderId="0" xfId="6" applyNumberFormat="1" applyFont="1" applyFill="1" applyBorder="1"/>
    <xf numFmtId="1" fontId="68" fillId="14" borderId="7" xfId="2" applyNumberFormat="1" applyFont="1" applyFill="1" applyBorder="1"/>
    <xf numFmtId="1" fontId="66" fillId="14" borderId="7" xfId="2" applyNumberFormat="1" applyFont="1" applyFill="1" applyBorder="1" applyAlignment="1"/>
    <xf numFmtId="1" fontId="66" fillId="14" borderId="7" xfId="2" applyNumberFormat="1" applyFont="1" applyFill="1" applyBorder="1"/>
    <xf numFmtId="165" fontId="66" fillId="0" borderId="0" xfId="6" applyFont="1" applyFill="1"/>
    <xf numFmtId="165" fontId="68" fillId="0" borderId="0" xfId="6" applyFont="1" applyFill="1"/>
    <xf numFmtId="3" fontId="37" fillId="0" borderId="0" xfId="6" applyNumberFormat="1" applyFont="1" applyFill="1" applyBorder="1"/>
    <xf numFmtId="164" fontId="68" fillId="0" borderId="0" xfId="1" applyNumberFormat="1" applyFont="1"/>
    <xf numFmtId="164" fontId="68" fillId="0" borderId="0" xfId="1" applyNumberFormat="1" applyFont="1" applyFill="1" applyBorder="1"/>
    <xf numFmtId="1" fontId="68" fillId="8" borderId="8" xfId="2" applyNumberFormat="1" applyFont="1" applyFill="1" applyBorder="1" applyAlignment="1"/>
    <xf numFmtId="1" fontId="68" fillId="8" borderId="9" xfId="2" applyNumberFormat="1" applyFont="1" applyFill="1" applyBorder="1" applyAlignment="1"/>
    <xf numFmtId="1" fontId="68" fillId="8" borderId="10" xfId="2" applyNumberFormat="1" applyFont="1" applyFill="1" applyBorder="1" applyAlignment="1"/>
    <xf numFmtId="3" fontId="38" fillId="0" borderId="0" xfId="6" applyNumberFormat="1" applyFont="1" applyFill="1" applyBorder="1"/>
    <xf numFmtId="165" fontId="66" fillId="0" borderId="0" xfId="6" applyFont="1"/>
    <xf numFmtId="1" fontId="68" fillId="23" borderId="7" xfId="6" applyNumberFormat="1" applyFont="1" applyFill="1" applyBorder="1" applyAlignment="1"/>
    <xf numFmtId="3" fontId="66" fillId="0" borderId="0" xfId="6" applyNumberFormat="1" applyFont="1"/>
    <xf numFmtId="164" fontId="66" fillId="0" borderId="0" xfId="1" applyNumberFormat="1" applyFont="1"/>
    <xf numFmtId="9" fontId="66" fillId="0" borderId="0" xfId="5" applyFont="1" applyFill="1"/>
    <xf numFmtId="164" fontId="66" fillId="0" borderId="0" xfId="1" applyNumberFormat="1" applyFont="1" applyFill="1"/>
    <xf numFmtId="164" fontId="66" fillId="0" borderId="0" xfId="1" applyNumberFormat="1" applyFont="1" applyFill="1" applyBorder="1"/>
    <xf numFmtId="164" fontId="66" fillId="0" borderId="0" xfId="0" applyNumberFormat="1" applyFont="1"/>
    <xf numFmtId="3" fontId="68" fillId="24" borderId="22" xfId="6" applyNumberFormat="1" applyFont="1" applyFill="1" applyBorder="1"/>
    <xf numFmtId="3" fontId="65" fillId="22" borderId="13" xfId="6" applyNumberFormat="1" applyFont="1" applyFill="1" applyBorder="1"/>
    <xf numFmtId="3" fontId="65" fillId="22" borderId="10" xfId="6" applyNumberFormat="1" applyFont="1" applyFill="1" applyBorder="1"/>
    <xf numFmtId="0" fontId="66" fillId="0" borderId="49" xfId="0" applyFont="1" applyBorder="1"/>
    <xf numFmtId="0" fontId="66" fillId="0" borderId="68" xfId="0" applyFont="1" applyBorder="1"/>
    <xf numFmtId="165" fontId="65" fillId="4" borderId="49" xfId="6" applyFont="1" applyFill="1" applyBorder="1" applyAlignment="1">
      <alignment horizontal="center"/>
    </xf>
    <xf numFmtId="0" fontId="68" fillId="0" borderId="70" xfId="0" applyFont="1" applyFill="1" applyBorder="1"/>
    <xf numFmtId="0" fontId="66" fillId="0" borderId="20" xfId="0" applyFont="1" applyBorder="1"/>
    <xf numFmtId="0" fontId="66" fillId="0" borderId="22" xfId="0" applyFont="1" applyBorder="1"/>
    <xf numFmtId="165" fontId="65" fillId="4" borderId="22" xfId="6" applyFont="1" applyFill="1" applyBorder="1" applyAlignment="1">
      <alignment horizontal="center" wrapText="1"/>
    </xf>
    <xf numFmtId="3" fontId="66" fillId="0" borderId="22" xfId="0" applyNumberFormat="1" applyFont="1" applyBorder="1"/>
    <xf numFmtId="3" fontId="66" fillId="0" borderId="26" xfId="0" applyNumberFormat="1" applyFont="1" applyBorder="1"/>
    <xf numFmtId="0" fontId="67" fillId="0" borderId="68" xfId="0" applyFont="1" applyBorder="1" applyAlignment="1">
      <alignment horizontal="center" wrapText="1"/>
    </xf>
    <xf numFmtId="0" fontId="69" fillId="0" borderId="0" xfId="0" applyFont="1" applyAlignment="1"/>
    <xf numFmtId="0" fontId="0" fillId="0" borderId="0" xfId="0" applyBorder="1" applyAlignment="1"/>
    <xf numFmtId="0" fontId="27" fillId="0" borderId="65" xfId="0" applyFont="1" applyBorder="1"/>
    <xf numFmtId="0" fontId="27" fillId="0" borderId="66" xfId="0" applyFont="1" applyBorder="1" applyAlignment="1">
      <alignment horizontal="center" vertical="center"/>
    </xf>
    <xf numFmtId="0" fontId="27" fillId="0" borderId="49" xfId="0" applyFont="1" applyBorder="1"/>
    <xf numFmtId="0" fontId="70" fillId="0" borderId="1" xfId="0" applyFont="1" applyBorder="1" applyAlignment="1">
      <alignment horizontal="center" vertical="center"/>
    </xf>
    <xf numFmtId="0" fontId="70" fillId="0" borderId="1" xfId="0" applyFont="1" applyBorder="1" applyAlignment="1">
      <alignment horizontal="center"/>
    </xf>
    <xf numFmtId="0" fontId="70" fillId="0" borderId="68" xfId="0" applyFont="1" applyBorder="1" applyAlignment="1">
      <alignment horizontal="center" vertical="center"/>
    </xf>
    <xf numFmtId="0" fontId="27" fillId="23" borderId="49" xfId="0" applyFont="1" applyFill="1" applyBorder="1"/>
    <xf numFmtId="0" fontId="71" fillId="25" borderId="1" xfId="0" applyFont="1" applyFill="1" applyBorder="1" applyAlignment="1">
      <alignment horizontal="center" vertical="center"/>
    </xf>
    <xf numFmtId="0" fontId="27" fillId="0" borderId="49" xfId="0" applyFont="1" applyFill="1" applyBorder="1"/>
    <xf numFmtId="0" fontId="27" fillId="0" borderId="1" xfId="0" applyFont="1" applyBorder="1" applyAlignment="1">
      <alignment horizontal="center" vertical="center"/>
    </xf>
    <xf numFmtId="0" fontId="74" fillId="0" borderId="1" xfId="0" applyFont="1" applyBorder="1" applyAlignment="1">
      <alignment horizontal="center" vertical="center"/>
    </xf>
    <xf numFmtId="1" fontId="70" fillId="0" borderId="68" xfId="0" applyNumberFormat="1" applyFont="1" applyBorder="1" applyAlignment="1">
      <alignment horizontal="center" vertical="center"/>
    </xf>
    <xf numFmtId="0" fontId="27" fillId="0" borderId="49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center"/>
    </xf>
    <xf numFmtId="3" fontId="7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8" fillId="2" borderId="0" xfId="0" applyFont="1" applyFill="1" applyBorder="1" applyAlignment="1">
      <alignment vertical="center"/>
    </xf>
    <xf numFmtId="0" fontId="0" fillId="0" borderId="65" xfId="0" applyBorder="1" applyAlignment="1"/>
    <xf numFmtId="0" fontId="81" fillId="27" borderId="49" xfId="0" applyFont="1" applyFill="1" applyBorder="1" applyAlignment="1">
      <alignment vertical="center"/>
    </xf>
    <xf numFmtId="3" fontId="70" fillId="0" borderId="1" xfId="0" applyNumberFormat="1" applyFont="1" applyBorder="1" applyAlignment="1">
      <alignment horizontal="center" vertical="center"/>
    </xf>
    <xf numFmtId="1" fontId="70" fillId="0" borderId="1" xfId="0" applyNumberFormat="1" applyFont="1" applyBorder="1" applyAlignment="1">
      <alignment horizontal="center" vertical="center"/>
    </xf>
    <xf numFmtId="3" fontId="70" fillId="0" borderId="68" xfId="0" applyNumberFormat="1" applyFont="1" applyBorder="1" applyAlignment="1">
      <alignment horizontal="center" vertical="center"/>
    </xf>
    <xf numFmtId="0" fontId="82" fillId="2" borderId="0" xfId="0" applyFont="1" applyFill="1" applyBorder="1" applyAlignment="1">
      <alignment vertical="center"/>
    </xf>
    <xf numFmtId="0" fontId="83" fillId="0" borderId="0" xfId="0" applyFont="1"/>
    <xf numFmtId="0" fontId="84" fillId="0" borderId="11" xfId="0" applyFont="1" applyBorder="1"/>
    <xf numFmtId="0" fontId="0" fillId="0" borderId="3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1" fillId="28" borderId="69" xfId="0" applyFont="1" applyFill="1" applyBorder="1" applyAlignment="1">
      <alignment vertical="center"/>
    </xf>
    <xf numFmtId="0" fontId="71" fillId="0" borderId="6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41" fillId="28" borderId="52" xfId="0" applyFont="1" applyFill="1" applyBorder="1" applyAlignment="1">
      <alignment vertical="center"/>
    </xf>
    <xf numFmtId="0" fontId="58" fillId="0" borderId="0" xfId="0" applyFont="1" applyBorder="1" applyAlignment="1">
      <alignment vertical="center" wrapText="1"/>
    </xf>
    <xf numFmtId="0" fontId="88" fillId="29" borderId="49" xfId="0" applyFont="1" applyFill="1" applyBorder="1" applyAlignment="1">
      <alignment vertical="center"/>
    </xf>
    <xf numFmtId="0" fontId="88" fillId="29" borderId="38" xfId="0" applyFont="1" applyFill="1" applyBorder="1" applyAlignment="1">
      <alignment vertical="center"/>
    </xf>
    <xf numFmtId="0" fontId="86" fillId="2" borderId="38" xfId="0" applyFont="1" applyFill="1" applyBorder="1" applyAlignment="1">
      <alignment vertical="center"/>
    </xf>
    <xf numFmtId="0" fontId="0" fillId="0" borderId="30" xfId="0" applyBorder="1" applyAlignment="1">
      <alignment vertical="center"/>
    </xf>
    <xf numFmtId="0" fontId="27" fillId="0" borderId="6" xfId="0" applyFont="1" applyBorder="1" applyAlignment="1">
      <alignment vertical="center"/>
    </xf>
    <xf numFmtId="0" fontId="27" fillId="0" borderId="63" xfId="0" applyFont="1" applyBorder="1" applyAlignment="1">
      <alignment vertical="center"/>
    </xf>
    <xf numFmtId="0" fontId="89" fillId="0" borderId="43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0" fillId="0" borderId="44" xfId="0" applyBorder="1" applyAlignment="1">
      <alignment vertical="center"/>
    </xf>
    <xf numFmtId="0" fontId="87" fillId="26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27" fillId="0" borderId="1" xfId="0" applyFont="1" applyBorder="1" applyAlignment="1">
      <alignment vertical="center"/>
    </xf>
    <xf numFmtId="0" fontId="0" fillId="0" borderId="34" xfId="0" applyBorder="1" applyAlignment="1">
      <alignment vertical="center"/>
    </xf>
    <xf numFmtId="0" fontId="27" fillId="0" borderId="34" xfId="0" applyFont="1" applyBorder="1" applyAlignment="1">
      <alignment horizontal="center" vertical="center"/>
    </xf>
    <xf numFmtId="0" fontId="27" fillId="0" borderId="34" xfId="0" applyFont="1" applyBorder="1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0" fillId="0" borderId="49" xfId="0" applyBorder="1" applyAlignment="1">
      <alignment horizontal="center" vertical="center"/>
    </xf>
    <xf numFmtId="1" fontId="70" fillId="0" borderId="49" xfId="0" applyNumberFormat="1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67" xfId="0" applyFont="1" applyBorder="1" applyAlignment="1">
      <alignment horizontal="center" vertical="center"/>
    </xf>
    <xf numFmtId="43" fontId="66" fillId="22" borderId="13" xfId="1" applyFont="1" applyFill="1" applyBorder="1"/>
    <xf numFmtId="0" fontId="88" fillId="29" borderId="59" xfId="0" applyFont="1" applyFill="1" applyBorder="1" applyAlignment="1">
      <alignment vertical="center"/>
    </xf>
    <xf numFmtId="0" fontId="70" fillId="0" borderId="1" xfId="0" applyFont="1" applyBorder="1" applyAlignment="1">
      <alignment vertical="center"/>
    </xf>
    <xf numFmtId="0" fontId="27" fillId="0" borderId="1" xfId="0" applyFont="1" applyBorder="1" applyAlignment="1">
      <alignment horizontal="center"/>
    </xf>
    <xf numFmtId="3" fontId="74" fillId="0" borderId="1" xfId="0" applyNumberFormat="1" applyFont="1" applyBorder="1" applyAlignment="1">
      <alignment horizontal="left" vertical="top"/>
    </xf>
    <xf numFmtId="0" fontId="74" fillId="0" borderId="1" xfId="0" applyFont="1" applyBorder="1" applyAlignment="1">
      <alignment vertical="center"/>
    </xf>
    <xf numFmtId="0" fontId="0" fillId="0" borderId="66" xfId="0" applyBorder="1"/>
    <xf numFmtId="0" fontId="0" fillId="0" borderId="68" xfId="0" applyBorder="1"/>
    <xf numFmtId="0" fontId="0" fillId="0" borderId="34" xfId="0" applyBorder="1" applyAlignment="1"/>
    <xf numFmtId="0" fontId="0" fillId="0" borderId="73" xfId="0" applyBorder="1"/>
    <xf numFmtId="0" fontId="27" fillId="0" borderId="69" xfId="0" applyFont="1" applyFill="1" applyBorder="1"/>
    <xf numFmtId="0" fontId="5" fillId="0" borderId="70" xfId="0" applyFont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82" fillId="0" borderId="69" xfId="0" applyFont="1" applyBorder="1" applyAlignment="1">
      <alignment vertical="center"/>
    </xf>
    <xf numFmtId="1" fontId="70" fillId="0" borderId="70" xfId="0" applyNumberFormat="1" applyFont="1" applyBorder="1" applyAlignment="1">
      <alignment horizontal="center" vertical="center"/>
    </xf>
    <xf numFmtId="1" fontId="70" fillId="0" borderId="71" xfId="0" applyNumberFormat="1" applyFont="1" applyBorder="1" applyAlignment="1">
      <alignment horizontal="center" vertical="center"/>
    </xf>
    <xf numFmtId="1" fontId="71" fillId="0" borderId="37" xfId="0" applyNumberFormat="1" applyFont="1" applyBorder="1" applyAlignment="1">
      <alignment horizontal="center" vertical="center"/>
    </xf>
    <xf numFmtId="0" fontId="88" fillId="29" borderId="69" xfId="0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77" xfId="0" applyBorder="1" applyAlignment="1">
      <alignment vertical="center"/>
    </xf>
    <xf numFmtId="17" fontId="57" fillId="0" borderId="0" xfId="0" applyNumberFormat="1" applyFont="1" applyAlignment="1">
      <alignment horizontal="left"/>
    </xf>
    <xf numFmtId="0" fontId="86" fillId="2" borderId="38" xfId="0" applyFont="1" applyFill="1" applyBorder="1" applyAlignment="1">
      <alignment vertical="center" wrapText="1"/>
    </xf>
    <xf numFmtId="0" fontId="58" fillId="2" borderId="38" xfId="0" applyFont="1" applyFill="1" applyBorder="1" applyAlignment="1">
      <alignment vertical="center" wrapText="1"/>
    </xf>
    <xf numFmtId="0" fontId="58" fillId="2" borderId="16" xfId="0" applyFont="1" applyFill="1" applyBorder="1" applyAlignment="1">
      <alignment vertical="center" wrapText="1"/>
    </xf>
    <xf numFmtId="0" fontId="67" fillId="0" borderId="1" xfId="0" applyFont="1" applyBorder="1" applyAlignment="1">
      <alignment horizontal="center" wrapText="1"/>
    </xf>
    <xf numFmtId="168" fontId="25" fillId="0" borderId="0" xfId="3" applyNumberFormat="1" applyFont="1" applyBorder="1"/>
    <xf numFmtId="0" fontId="25" fillId="0" borderId="0" xfId="0" applyFont="1" applyAlignment="1">
      <alignment vertical="top"/>
    </xf>
    <xf numFmtId="0" fontId="23" fillId="0" borderId="50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52" xfId="0" applyFont="1" applyBorder="1" applyAlignment="1">
      <alignment horizontal="center" vertical="center"/>
    </xf>
    <xf numFmtId="0" fontId="23" fillId="17" borderId="4" xfId="0" applyFont="1" applyFill="1" applyBorder="1" applyAlignment="1">
      <alignment horizontal="center" vertical="center"/>
    </xf>
    <xf numFmtId="0" fontId="23" fillId="17" borderId="6" xfId="0" applyFont="1" applyFill="1" applyBorder="1" applyAlignment="1">
      <alignment horizontal="center" vertical="center"/>
    </xf>
    <xf numFmtId="0" fontId="23" fillId="0" borderId="59" xfId="0" applyFont="1" applyBorder="1" applyAlignment="1">
      <alignment horizontal="center" vertical="center"/>
    </xf>
    <xf numFmtId="168" fontId="25" fillId="0" borderId="1" xfId="3" applyNumberFormat="1" applyFont="1" applyFill="1" applyBorder="1" applyAlignment="1">
      <alignment horizontal="center" vertical="center"/>
    </xf>
    <xf numFmtId="173" fontId="25" fillId="0" borderId="1" xfId="3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2" borderId="1" xfId="3" applyNumberFormat="1" applyFont="1" applyFill="1" applyBorder="1" applyAlignment="1">
      <alignment vertical="center"/>
    </xf>
    <xf numFmtId="168" fontId="25" fillId="2" borderId="1" xfId="3" applyNumberFormat="1" applyFont="1" applyFill="1" applyBorder="1" applyAlignment="1">
      <alignment vertical="center"/>
    </xf>
    <xf numFmtId="16" fontId="25" fillId="0" borderId="1" xfId="0" applyNumberFormat="1" applyFont="1" applyBorder="1" applyAlignment="1">
      <alignment vertical="center"/>
    </xf>
    <xf numFmtId="173" fontId="25" fillId="0" borderId="1" xfId="3" applyFont="1" applyBorder="1" applyAlignment="1">
      <alignment vertical="center"/>
    </xf>
    <xf numFmtId="168" fontId="25" fillId="0" borderId="1" xfId="3" applyNumberFormat="1" applyFont="1" applyBorder="1"/>
    <xf numFmtId="168" fontId="25" fillId="0" borderId="1" xfId="3" applyNumberFormat="1" applyFont="1" applyBorder="1" applyAlignment="1">
      <alignment vertical="center"/>
    </xf>
    <xf numFmtId="168" fontId="23" fillId="0" borderId="1" xfId="3" applyNumberFormat="1" applyFont="1" applyBorder="1" applyAlignment="1">
      <alignment vertical="center"/>
    </xf>
    <xf numFmtId="164" fontId="25" fillId="0" borderId="1" xfId="3" applyNumberFormat="1" applyFont="1" applyFill="1" applyBorder="1" applyAlignment="1">
      <alignment horizontal="center" vertical="center"/>
    </xf>
    <xf numFmtId="168" fontId="25" fillId="2" borderId="1" xfId="3" applyNumberFormat="1" applyFont="1" applyFill="1" applyBorder="1"/>
    <xf numFmtId="168" fontId="23" fillId="0" borderId="1" xfId="3" applyNumberFormat="1" applyFont="1" applyBorder="1"/>
    <xf numFmtId="168" fontId="25" fillId="0" borderId="0" xfId="0" applyNumberFormat="1" applyFont="1"/>
    <xf numFmtId="0" fontId="24" fillId="0" borderId="1" xfId="0" applyFont="1" applyBorder="1"/>
    <xf numFmtId="16" fontId="24" fillId="0" borderId="1" xfId="0" applyNumberFormat="1" applyFont="1" applyBorder="1" applyAlignment="1"/>
    <xf numFmtId="43" fontId="24" fillId="0" borderId="1" xfId="1" applyNumberFormat="1" applyFont="1" applyBorder="1" applyAlignment="1"/>
    <xf numFmtId="164" fontId="24" fillId="0" borderId="1" xfId="1" applyNumberFormat="1" applyFont="1" applyBorder="1" applyAlignment="1"/>
    <xf numFmtId="173" fontId="25" fillId="0" borderId="1" xfId="3" applyFont="1" applyFill="1" applyBorder="1" applyAlignment="1">
      <alignment vertical="center"/>
    </xf>
    <xf numFmtId="168" fontId="25" fillId="0" borderId="1" xfId="3" applyNumberFormat="1" applyFont="1" applyFill="1" applyBorder="1" applyAlignment="1">
      <alignment vertical="center"/>
    </xf>
    <xf numFmtId="168" fontId="23" fillId="0" borderId="0" xfId="0" applyNumberFormat="1" applyFont="1" applyFill="1"/>
    <xf numFmtId="168" fontId="25" fillId="30" borderId="1" xfId="3" applyNumberFormat="1" applyFont="1" applyFill="1" applyBorder="1" applyAlignment="1">
      <alignment vertical="center"/>
    </xf>
    <xf numFmtId="0" fontId="23" fillId="0" borderId="1" xfId="0" applyFont="1" applyBorder="1" applyAlignment="1">
      <alignment vertical="center"/>
    </xf>
    <xf numFmtId="173" fontId="23" fillId="0" borderId="1" xfId="3" applyFont="1" applyBorder="1" applyAlignment="1">
      <alignment vertical="center"/>
    </xf>
    <xf numFmtId="168" fontId="95" fillId="0" borderId="1" xfId="3" applyNumberFormat="1" applyFont="1" applyBorder="1" applyAlignment="1">
      <alignment vertical="center"/>
    </xf>
    <xf numFmtId="168" fontId="23" fillId="0" borderId="41" xfId="3" applyNumberFormat="1" applyFont="1" applyFill="1" applyBorder="1" applyAlignment="1">
      <alignment vertical="center"/>
    </xf>
    <xf numFmtId="0" fontId="25" fillId="0" borderId="0" xfId="0" applyFont="1" applyAlignment="1">
      <alignment vertical="center"/>
    </xf>
    <xf numFmtId="173" fontId="25" fillId="0" borderId="0" xfId="3" applyFont="1" applyAlignment="1">
      <alignment vertical="center"/>
    </xf>
    <xf numFmtId="173" fontId="25" fillId="0" borderId="1" xfId="3" applyFont="1" applyBorder="1"/>
    <xf numFmtId="168" fontId="25" fillId="0" borderId="1" xfId="0" applyNumberFormat="1" applyFont="1" applyBorder="1"/>
    <xf numFmtId="168" fontId="25" fillId="0" borderId="0" xfId="3" applyNumberFormat="1" applyFont="1"/>
    <xf numFmtId="0" fontId="25" fillId="0" borderId="4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6" xfId="0" applyFont="1" applyFill="1" applyBorder="1" applyAlignment="1">
      <alignment horizontal="center"/>
    </xf>
    <xf numFmtId="164" fontId="23" fillId="0" borderId="1" xfId="3" applyNumberFormat="1" applyFont="1" applyFill="1" applyBorder="1" applyAlignment="1">
      <alignment horizontal="center" vertical="center"/>
    </xf>
    <xf numFmtId="164" fontId="96" fillId="0" borderId="1" xfId="3" applyNumberFormat="1" applyFont="1" applyFill="1" applyBorder="1" applyAlignment="1">
      <alignment horizontal="center" vertical="center"/>
    </xf>
    <xf numFmtId="172" fontId="0" fillId="0" borderId="0" xfId="0" applyNumberFormat="1"/>
    <xf numFmtId="0" fontId="27" fillId="0" borderId="0" xfId="0" applyFont="1" applyBorder="1"/>
    <xf numFmtId="164" fontId="9" fillId="9" borderId="0" xfId="0" applyNumberFormat="1" applyFont="1" applyFill="1" applyBorder="1"/>
    <xf numFmtId="0" fontId="0" fillId="0" borderId="1" xfId="0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8" fillId="0" borderId="41" xfId="0" applyFont="1" applyBorder="1" applyAlignment="1"/>
    <xf numFmtId="0" fontId="8" fillId="0" borderId="2" xfId="0" applyFont="1" applyBorder="1" applyAlignment="1"/>
    <xf numFmtId="0" fontId="8" fillId="0" borderId="42" xfId="0" applyFont="1" applyBorder="1" applyAlignment="1"/>
    <xf numFmtId="0" fontId="8" fillId="0" borderId="43" xfId="0" applyFont="1" applyBorder="1" applyAlignment="1"/>
    <xf numFmtId="0" fontId="8" fillId="0" borderId="0" xfId="0" applyFont="1" applyBorder="1" applyAlignment="1"/>
    <xf numFmtId="0" fontId="8" fillId="0" borderId="44" xfId="0" applyFont="1" applyBorder="1" applyAlignment="1"/>
    <xf numFmtId="0" fontId="8" fillId="0" borderId="60" xfId="0" applyFont="1" applyBorder="1" applyAlignment="1"/>
    <xf numFmtId="0" fontId="8" fillId="0" borderId="3" xfId="0" applyFont="1" applyBorder="1" applyAlignment="1"/>
    <xf numFmtId="0" fontId="8" fillId="0" borderId="63" xfId="0" applyFont="1" applyBorder="1" applyAlignment="1"/>
    <xf numFmtId="16" fontId="25" fillId="31" borderId="1" xfId="0" applyNumberFormat="1" applyFont="1" applyFill="1" applyBorder="1" applyAlignment="1">
      <alignment vertical="center"/>
    </xf>
    <xf numFmtId="173" fontId="25" fillId="31" borderId="1" xfId="3" applyFont="1" applyFill="1" applyBorder="1" applyAlignment="1">
      <alignment vertical="center"/>
    </xf>
    <xf numFmtId="168" fontId="25" fillId="31" borderId="1" xfId="3" applyNumberFormat="1" applyFont="1" applyFill="1" applyBorder="1"/>
    <xf numFmtId="168" fontId="25" fillId="31" borderId="1" xfId="3" applyNumberFormat="1" applyFont="1" applyFill="1" applyBorder="1" applyAlignment="1">
      <alignment vertical="center"/>
    </xf>
    <xf numFmtId="168" fontId="23" fillId="31" borderId="1" xfId="3" applyNumberFormat="1" applyFont="1" applyFill="1" applyBorder="1" applyAlignment="1">
      <alignment vertical="center"/>
    </xf>
    <xf numFmtId="164" fontId="23" fillId="31" borderId="1" xfId="3" applyNumberFormat="1" applyFont="1" applyFill="1" applyBorder="1" applyAlignment="1">
      <alignment horizontal="center" vertical="center"/>
    </xf>
    <xf numFmtId="0" fontId="97" fillId="0" borderId="49" xfId="0" applyFont="1" applyFill="1" applyBorder="1" applyAlignment="1">
      <alignment horizontal="center"/>
    </xf>
    <xf numFmtId="14" fontId="98" fillId="32" borderId="1" xfId="0" applyNumberFormat="1" applyFont="1" applyFill="1" applyBorder="1"/>
    <xf numFmtId="0" fontId="97" fillId="33" borderId="1" xfId="0" applyFont="1" applyFill="1" applyBorder="1" applyAlignment="1">
      <alignment horizontal="center"/>
    </xf>
    <xf numFmtId="0" fontId="97" fillId="34" borderId="1" xfId="0" applyFont="1" applyFill="1" applyBorder="1" applyAlignment="1">
      <alignment horizontal="center"/>
    </xf>
    <xf numFmtId="0" fontId="97" fillId="32" borderId="1" xfId="0" applyFont="1" applyFill="1" applyBorder="1" applyAlignment="1">
      <alignment horizontal="center"/>
    </xf>
    <xf numFmtId="0" fontId="97" fillId="32" borderId="68" xfId="0" applyFont="1" applyFill="1" applyBorder="1" applyAlignment="1">
      <alignment horizontal="center"/>
    </xf>
    <xf numFmtId="0" fontId="98" fillId="0" borderId="49" xfId="0" applyFont="1" applyFill="1" applyBorder="1"/>
    <xf numFmtId="0" fontId="98" fillId="0" borderId="6" xfId="0" applyFont="1" applyFill="1" applyBorder="1"/>
    <xf numFmtId="167" fontId="98" fillId="0" borderId="1" xfId="1" applyNumberFormat="1" applyFont="1" applyFill="1" applyBorder="1"/>
    <xf numFmtId="167" fontId="98" fillId="33" borderId="1" xfId="1" applyNumberFormat="1" applyFont="1" applyFill="1" applyBorder="1"/>
    <xf numFmtId="167" fontId="98" fillId="34" borderId="1" xfId="1" applyNumberFormat="1" applyFont="1" applyFill="1" applyBorder="1"/>
    <xf numFmtId="167" fontId="98" fillId="32" borderId="1" xfId="1" applyNumberFormat="1" applyFont="1" applyFill="1" applyBorder="1"/>
    <xf numFmtId="3" fontId="98" fillId="32" borderId="1" xfId="0" applyNumberFormat="1" applyFont="1" applyFill="1" applyBorder="1" applyAlignment="1">
      <alignment horizontal="center" vertical="center"/>
    </xf>
    <xf numFmtId="164" fontId="98" fillId="32" borderId="68" xfId="1" applyNumberFormat="1" applyFont="1" applyFill="1" applyBorder="1"/>
    <xf numFmtId="0" fontId="98" fillId="0" borderId="6" xfId="0" applyFont="1" applyFill="1" applyBorder="1" applyAlignment="1">
      <alignment horizontal="center" vertical="center"/>
    </xf>
    <xf numFmtId="3" fontId="98" fillId="0" borderId="1" xfId="0" applyNumberFormat="1" applyFont="1" applyFill="1" applyBorder="1" applyAlignment="1">
      <alignment horizontal="center" vertical="center"/>
    </xf>
    <xf numFmtId="167" fontId="99" fillId="35" borderId="1" xfId="1" applyNumberFormat="1" applyFont="1" applyFill="1" applyBorder="1"/>
    <xf numFmtId="0" fontId="100" fillId="0" borderId="49" xfId="0" applyFont="1" applyFill="1" applyBorder="1"/>
    <xf numFmtId="0" fontId="100" fillId="0" borderId="6" xfId="0" applyFont="1" applyFill="1" applyBorder="1"/>
    <xf numFmtId="0" fontId="101" fillId="32" borderId="8" xfId="0" applyFont="1" applyFill="1" applyBorder="1" applyAlignment="1"/>
    <xf numFmtId="164" fontId="102" fillId="32" borderId="17" xfId="1" applyNumberFormat="1" applyFont="1" applyFill="1" applyBorder="1" applyAlignment="1"/>
    <xf numFmtId="0" fontId="101" fillId="32" borderId="10" xfId="0" applyFont="1" applyFill="1" applyBorder="1" applyAlignment="1"/>
    <xf numFmtId="164" fontId="103" fillId="33" borderId="7" xfId="1" applyNumberFormat="1" applyFont="1" applyFill="1" applyBorder="1"/>
    <xf numFmtId="0" fontId="104" fillId="0" borderId="0" xfId="0" applyFont="1" applyFill="1" applyBorder="1"/>
    <xf numFmtId="0" fontId="97" fillId="32" borderId="65" xfId="0" applyFont="1" applyFill="1" applyBorder="1" applyAlignment="1">
      <alignment horizontal="center"/>
    </xf>
    <xf numFmtId="0" fontId="97" fillId="32" borderId="66" xfId="0" applyFont="1" applyFill="1" applyBorder="1" applyAlignment="1">
      <alignment horizontal="center"/>
    </xf>
    <xf numFmtId="0" fontId="105" fillId="32" borderId="66" xfId="0" applyFont="1" applyFill="1" applyBorder="1"/>
    <xf numFmtId="0" fontId="105" fillId="32" borderId="66" xfId="0" applyFont="1" applyFill="1" applyBorder="1" applyAlignment="1">
      <alignment horizontal="center" vertical="center"/>
    </xf>
    <xf numFmtId="0" fontId="105" fillId="32" borderId="67" xfId="0" applyFont="1" applyFill="1" applyBorder="1"/>
    <xf numFmtId="0" fontId="98" fillId="0" borderId="1" xfId="0" applyFont="1" applyFill="1" applyBorder="1" applyAlignment="1">
      <alignment horizontal="center"/>
    </xf>
    <xf numFmtId="0" fontId="99" fillId="0" borderId="6" xfId="0" applyFont="1" applyFill="1" applyBorder="1" applyAlignment="1">
      <alignment horizontal="center"/>
    </xf>
    <xf numFmtId="0" fontId="98" fillId="0" borderId="6" xfId="0" applyFont="1" applyFill="1" applyBorder="1" applyAlignment="1">
      <alignment horizontal="center"/>
    </xf>
    <xf numFmtId="3" fontId="98" fillId="0" borderId="68" xfId="0" applyNumberFormat="1" applyFont="1" applyFill="1" applyBorder="1" applyAlignment="1">
      <alignment horizontal="center"/>
    </xf>
    <xf numFmtId="0" fontId="97" fillId="0" borderId="39" xfId="0" applyFont="1" applyFill="1" applyBorder="1" applyAlignment="1"/>
    <xf numFmtId="0" fontId="97" fillId="0" borderId="70" xfId="0" applyFont="1" applyFill="1" applyBorder="1" applyAlignment="1">
      <alignment horizontal="center"/>
    </xf>
    <xf numFmtId="0" fontId="106" fillId="0" borderId="70" xfId="0" applyFont="1" applyFill="1" applyBorder="1" applyAlignment="1">
      <alignment horizontal="center"/>
    </xf>
    <xf numFmtId="0" fontId="97" fillId="0" borderId="55" xfId="0" applyFont="1" applyFill="1" applyBorder="1" applyAlignment="1">
      <alignment horizontal="center"/>
    </xf>
    <xf numFmtId="3" fontId="97" fillId="0" borderId="77" xfId="0" applyNumberFormat="1" applyFont="1" applyFill="1" applyBorder="1" applyAlignment="1">
      <alignment horizontal="center"/>
    </xf>
    <xf numFmtId="3" fontId="97" fillId="33" borderId="71" xfId="0" applyNumberFormat="1" applyFont="1" applyFill="1" applyBorder="1" applyAlignment="1">
      <alignment horizontal="center"/>
    </xf>
    <xf numFmtId="0" fontId="104" fillId="0" borderId="0" xfId="0" applyFont="1" applyFill="1" applyBorder="1" applyAlignment="1">
      <alignment horizontal="center"/>
    </xf>
    <xf numFmtId="0" fontId="107" fillId="9" borderId="1" xfId="0" applyFont="1" applyFill="1" applyBorder="1"/>
    <xf numFmtId="164" fontId="107" fillId="9" borderId="1" xfId="0" applyNumberFormat="1" applyFont="1" applyFill="1" applyBorder="1"/>
    <xf numFmtId="0" fontId="24" fillId="2" borderId="1" xfId="0" applyFont="1" applyFill="1" applyBorder="1"/>
    <xf numFmtId="3" fontId="24" fillId="2" borderId="1" xfId="0" applyNumberFormat="1" applyFont="1" applyFill="1" applyBorder="1"/>
    <xf numFmtId="0" fontId="24" fillId="0" borderId="1" xfId="0" applyFont="1" applyFill="1" applyBorder="1"/>
    <xf numFmtId="3" fontId="24" fillId="0" borderId="1" xfId="0" applyNumberFormat="1" applyFont="1" applyFill="1" applyBorder="1"/>
    <xf numFmtId="0" fontId="107" fillId="2" borderId="1" xfId="0" applyFont="1" applyFill="1" applyBorder="1"/>
    <xf numFmtId="0" fontId="107" fillId="0" borderId="1" xfId="0" applyFont="1" applyFill="1" applyBorder="1" applyAlignment="1">
      <alignment horizontal="right"/>
    </xf>
    <xf numFmtId="164" fontId="107" fillId="9" borderId="1" xfId="0" applyNumberFormat="1" applyFont="1" applyFill="1" applyBorder="1" applyAlignment="1">
      <alignment horizontal="right"/>
    </xf>
    <xf numFmtId="1" fontId="25" fillId="0" borderId="1" xfId="0" applyNumberFormat="1" applyFont="1" applyBorder="1"/>
    <xf numFmtId="164" fontId="31" fillId="10" borderId="3" xfId="1" applyNumberFormat="1" applyFont="1" applyFill="1" applyBorder="1"/>
    <xf numFmtId="164" fontId="0" fillId="2" borderId="3" xfId="1" applyNumberFormat="1" applyFont="1" applyFill="1" applyBorder="1"/>
    <xf numFmtId="164" fontId="31" fillId="2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17" fillId="0" borderId="4" xfId="0" applyFont="1" applyFill="1" applyBorder="1"/>
    <xf numFmtId="0" fontId="23" fillId="0" borderId="4" xfId="0" applyFont="1" applyFill="1" applyBorder="1" applyAlignment="1">
      <alignment horizontal="center"/>
    </xf>
    <xf numFmtId="168" fontId="23" fillId="2" borderId="4" xfId="3" applyNumberFormat="1" applyFont="1" applyFill="1" applyBorder="1" applyProtection="1">
      <protection locked="0"/>
    </xf>
    <xf numFmtId="168" fontId="25" fillId="2" borderId="4" xfId="3" applyNumberFormat="1" applyFont="1" applyFill="1" applyBorder="1" applyProtection="1">
      <protection locked="0"/>
    </xf>
    <xf numFmtId="168" fontId="25" fillId="0" borderId="4" xfId="3" applyNumberFormat="1" applyFont="1" applyFill="1" applyBorder="1" applyProtection="1">
      <protection locked="0"/>
    </xf>
    <xf numFmtId="168" fontId="25" fillId="0" borderId="4" xfId="3" applyNumberFormat="1" applyFont="1" applyFill="1" applyBorder="1" applyAlignment="1">
      <alignment horizontal="center"/>
    </xf>
    <xf numFmtId="0" fontId="0" fillId="0" borderId="0" xfId="0" applyFill="1" applyBorder="1"/>
    <xf numFmtId="0" fontId="0" fillId="2" borderId="0" xfId="0" applyFill="1" applyBorder="1"/>
    <xf numFmtId="0" fontId="0" fillId="0" borderId="43" xfId="0" applyFill="1" applyBorder="1"/>
    <xf numFmtId="0" fontId="0" fillId="2" borderId="43" xfId="0" applyFill="1" applyBorder="1"/>
    <xf numFmtId="0" fontId="24" fillId="0" borderId="43" xfId="0" applyFont="1" applyFill="1" applyBorder="1"/>
    <xf numFmtId="0" fontId="0" fillId="0" borderId="53" xfId="0" applyFill="1" applyBorder="1"/>
    <xf numFmtId="0" fontId="0" fillId="2" borderId="53" xfId="0" applyFill="1" applyBorder="1"/>
    <xf numFmtId="0" fontId="27" fillId="0" borderId="1" xfId="0" applyFont="1" applyFill="1" applyBorder="1"/>
    <xf numFmtId="0" fontId="0" fillId="0" borderId="42" xfId="0" applyFill="1" applyBorder="1"/>
    <xf numFmtId="0" fontId="0" fillId="0" borderId="44" xfId="0" applyFill="1" applyBorder="1"/>
    <xf numFmtId="0" fontId="0" fillId="0" borderId="63" xfId="0" applyFill="1" applyBorder="1"/>
    <xf numFmtId="0" fontId="0" fillId="0" borderId="40" xfId="0" applyFill="1" applyBorder="1"/>
    <xf numFmtId="0" fontId="17" fillId="0" borderId="0" xfId="0" applyFont="1" applyFill="1" applyBorder="1"/>
    <xf numFmtId="0" fontId="15" fillId="0" borderId="0" xfId="0" applyFont="1" applyFill="1" applyBorder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Protection="1">
      <protection locked="0"/>
    </xf>
    <xf numFmtId="3" fontId="15" fillId="0" borderId="0" xfId="0" applyNumberFormat="1" applyFont="1" applyFill="1" applyBorder="1" applyProtection="1">
      <protection locked="0"/>
    </xf>
    <xf numFmtId="0" fontId="0" fillId="0" borderId="34" xfId="0" applyFill="1" applyBorder="1"/>
    <xf numFmtId="0" fontId="27" fillId="0" borderId="6" xfId="0" applyFont="1" applyFill="1" applyBorder="1"/>
    <xf numFmtId="0" fontId="27" fillId="0" borderId="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7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6" xfId="0" applyFont="1" applyFill="1" applyBorder="1" applyAlignment="1">
      <alignment horizontal="center"/>
    </xf>
    <xf numFmtId="3" fontId="38" fillId="0" borderId="0" xfId="0" applyNumberFormat="1" applyFont="1" applyBorder="1"/>
    <xf numFmtId="3" fontId="38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6" xfId="0" applyFont="1" applyFill="1" applyBorder="1" applyAlignment="1">
      <alignment horizontal="center"/>
    </xf>
    <xf numFmtId="0" fontId="23" fillId="37" borderId="4" xfId="0" applyFont="1" applyFill="1" applyBorder="1" applyAlignment="1">
      <alignment horizontal="center" vertical="center"/>
    </xf>
    <xf numFmtId="0" fontId="23" fillId="37" borderId="6" xfId="0" applyFont="1" applyFill="1" applyBorder="1" applyAlignment="1">
      <alignment horizontal="center" vertical="center"/>
    </xf>
    <xf numFmtId="0" fontId="23" fillId="19" borderId="4" xfId="0" applyFont="1" applyFill="1" applyBorder="1" applyAlignment="1">
      <alignment horizontal="center" vertical="center"/>
    </xf>
    <xf numFmtId="0" fontId="23" fillId="19" borderId="6" xfId="0" applyFont="1" applyFill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6" xfId="0" applyFont="1" applyFill="1" applyBorder="1" applyAlignment="1">
      <alignment horizontal="center" vertical="center"/>
    </xf>
    <xf numFmtId="168" fontId="25" fillId="37" borderId="1" xfId="3" applyNumberFormat="1" applyFont="1" applyFill="1" applyBorder="1" applyAlignment="1">
      <alignment horizontal="center" vertical="center"/>
    </xf>
    <xf numFmtId="173" fontId="25" fillId="19" borderId="1" xfId="3" applyFont="1" applyFill="1" applyBorder="1" applyAlignment="1">
      <alignment horizontal="center" vertical="center"/>
    </xf>
    <xf numFmtId="168" fontId="25" fillId="19" borderId="1" xfId="3" applyNumberFormat="1" applyFont="1" applyFill="1" applyBorder="1" applyAlignment="1">
      <alignment horizontal="center" vertical="center"/>
    </xf>
    <xf numFmtId="168" fontId="25" fillId="16" borderId="1" xfId="3" applyNumberFormat="1" applyFont="1" applyFill="1" applyBorder="1" applyAlignment="1">
      <alignment horizontal="center" vertical="center"/>
    </xf>
    <xf numFmtId="173" fontId="25" fillId="37" borderId="1" xfId="3" applyFont="1" applyFill="1" applyBorder="1" applyAlignment="1">
      <alignment vertical="center"/>
    </xf>
    <xf numFmtId="168" fontId="25" fillId="37" borderId="1" xfId="3" applyNumberFormat="1" applyFont="1" applyFill="1" applyBorder="1"/>
    <xf numFmtId="0" fontId="0" fillId="19" borderId="0" xfId="0" applyFill="1"/>
    <xf numFmtId="168" fontId="25" fillId="19" borderId="1" xfId="3" applyNumberFormat="1" applyFont="1" applyFill="1" applyBorder="1"/>
    <xf numFmtId="173" fontId="25" fillId="16" borderId="1" xfId="3" applyFont="1" applyFill="1" applyBorder="1" applyAlignment="1">
      <alignment vertical="center"/>
    </xf>
    <xf numFmtId="168" fontId="25" fillId="16" borderId="1" xfId="3" applyNumberFormat="1" applyFont="1" applyFill="1" applyBorder="1" applyAlignment="1">
      <alignment vertical="center"/>
    </xf>
    <xf numFmtId="173" fontId="25" fillId="19" borderId="1" xfId="3" applyFont="1" applyFill="1" applyBorder="1" applyAlignment="1">
      <alignment vertical="center"/>
    </xf>
    <xf numFmtId="168" fontId="23" fillId="37" borderId="1" xfId="3" applyNumberFormat="1" applyFont="1" applyFill="1" applyBorder="1" applyAlignment="1">
      <alignment vertical="center"/>
    </xf>
    <xf numFmtId="173" fontId="23" fillId="19" borderId="1" xfId="3" applyFont="1" applyFill="1" applyBorder="1" applyAlignment="1">
      <alignment vertical="center"/>
    </xf>
    <xf numFmtId="168" fontId="23" fillId="19" borderId="1" xfId="3" applyNumberFormat="1" applyFont="1" applyFill="1" applyBorder="1" applyAlignment="1">
      <alignment vertical="center"/>
    </xf>
    <xf numFmtId="168" fontId="23" fillId="16" borderId="1" xfId="3" applyNumberFormat="1" applyFont="1" applyFill="1" applyBorder="1" applyAlignment="1">
      <alignment vertical="center"/>
    </xf>
    <xf numFmtId="0" fontId="23" fillId="0" borderId="42" xfId="0" applyFont="1" applyBorder="1" applyAlignment="1">
      <alignment horizontal="center" vertical="center"/>
    </xf>
    <xf numFmtId="0" fontId="23" fillId="17" borderId="63" xfId="0" applyFont="1" applyFill="1" applyBorder="1" applyAlignment="1">
      <alignment horizontal="center" vertical="center"/>
    </xf>
    <xf numFmtId="0" fontId="109" fillId="19" borderId="0" xfId="0" applyFont="1" applyFill="1"/>
    <xf numFmtId="173" fontId="110" fillId="19" borderId="1" xfId="3" applyFont="1" applyFill="1" applyBorder="1" applyAlignment="1">
      <alignment vertical="center"/>
    </xf>
    <xf numFmtId="3" fontId="0" fillId="0" borderId="0" xfId="0" applyNumberFormat="1"/>
    <xf numFmtId="3" fontId="0" fillId="0" borderId="0" xfId="0" applyNumberFormat="1" applyFill="1"/>
    <xf numFmtId="0" fontId="58" fillId="0" borderId="60" xfId="0" applyFont="1" applyFill="1" applyBorder="1" applyAlignment="1">
      <alignment horizontal="right"/>
    </xf>
    <xf numFmtId="0" fontId="126" fillId="0" borderId="43" xfId="0" applyFont="1" applyFill="1" applyBorder="1" applyAlignment="1">
      <alignment horizontal="left"/>
    </xf>
    <xf numFmtId="0" fontId="58" fillId="0" borderId="2" xfId="0" applyFont="1" applyFill="1" applyBorder="1" applyAlignment="1">
      <alignment horizontal="center"/>
    </xf>
    <xf numFmtId="0" fontId="127" fillId="0" borderId="0" xfId="0" applyFont="1" applyFill="1" applyBorder="1" applyAlignment="1">
      <alignment horizontal="center"/>
    </xf>
    <xf numFmtId="0" fontId="58" fillId="0" borderId="3" xfId="0" applyFont="1" applyFill="1" applyBorder="1" applyAlignment="1">
      <alignment horizontal="center"/>
    </xf>
    <xf numFmtId="0" fontId="58" fillId="0" borderId="43" xfId="0" applyFont="1" applyFill="1" applyBorder="1" applyAlignment="1">
      <alignment horizontal="right"/>
    </xf>
    <xf numFmtId="0" fontId="126" fillId="0" borderId="0" xfId="0" applyFont="1" applyFill="1" applyBorder="1" applyAlignment="1">
      <alignment horizontal="right"/>
    </xf>
    <xf numFmtId="0" fontId="58" fillId="0" borderId="41" xfId="0" applyFont="1" applyFill="1" applyBorder="1" applyAlignment="1">
      <alignment horizontal="right"/>
    </xf>
    <xf numFmtId="0" fontId="0" fillId="0" borderId="0" xfId="0"/>
    <xf numFmtId="0" fontId="0" fillId="0" borderId="0" xfId="0" applyFill="1"/>
    <xf numFmtId="0" fontId="104" fillId="0" borderId="0" xfId="0" applyFont="1" applyFill="1" applyBorder="1"/>
    <xf numFmtId="0" fontId="104" fillId="0" borderId="0" xfId="0" applyFont="1" applyFill="1" applyBorder="1" applyAlignment="1">
      <alignment horizontal="center"/>
    </xf>
    <xf numFmtId="0" fontId="115" fillId="38" borderId="0" xfId="0" applyFont="1" applyFill="1" applyBorder="1" applyAlignment="1"/>
    <xf numFmtId="0" fontId="104" fillId="38" borderId="0" xfId="0" applyFont="1" applyFill="1" applyBorder="1"/>
    <xf numFmtId="175" fontId="116" fillId="39" borderId="3" xfId="0" applyNumberFormat="1" applyFont="1" applyFill="1" applyBorder="1"/>
    <xf numFmtId="0" fontId="117" fillId="40" borderId="1" xfId="0" applyFont="1" applyFill="1" applyBorder="1" applyAlignment="1">
      <alignment wrapText="1"/>
    </xf>
    <xf numFmtId="0" fontId="118" fillId="40" borderId="1" xfId="0" applyFont="1" applyFill="1" applyBorder="1" applyAlignment="1">
      <alignment horizontal="right" wrapText="1"/>
    </xf>
    <xf numFmtId="0" fontId="120" fillId="0" borderId="0" xfId="0" applyFont="1" applyFill="1" applyBorder="1" applyAlignment="1">
      <alignment horizontal="center"/>
    </xf>
    <xf numFmtId="0" fontId="104" fillId="0" borderId="0" xfId="0" applyFont="1" applyFill="1" applyBorder="1" applyAlignment="1">
      <alignment horizontal="center" wrapText="1"/>
    </xf>
    <xf numFmtId="0" fontId="121" fillId="40" borderId="1" xfId="0" applyFont="1" applyFill="1" applyBorder="1" applyAlignment="1">
      <alignment horizontal="center"/>
    </xf>
    <xf numFmtId="0" fontId="122" fillId="0" borderId="0" xfId="0" applyFont="1" applyFill="1" applyBorder="1" applyAlignment="1"/>
    <xf numFmtId="0" fontId="122" fillId="41" borderId="44" xfId="0" applyFont="1" applyFill="1" applyBorder="1" applyAlignment="1">
      <alignment horizontal="left"/>
    </xf>
    <xf numFmtId="0" fontId="104" fillId="0" borderId="0" xfId="0" applyNumberFormat="1" applyFont="1" applyFill="1" applyBorder="1" applyAlignment="1">
      <alignment horizontal="center"/>
    </xf>
    <xf numFmtId="0" fontId="104" fillId="0" borderId="0" xfId="0" applyFont="1" applyFill="1" applyBorder="1" applyAlignment="1">
      <alignment vertical="center"/>
    </xf>
    <xf numFmtId="0" fontId="123" fillId="0" borderId="0" xfId="0" applyFont="1" applyFill="1" applyBorder="1"/>
    <xf numFmtId="176" fontId="104" fillId="0" borderId="0" xfId="1" applyNumberFormat="1" applyFont="1" applyFill="1" applyBorder="1"/>
    <xf numFmtId="0" fontId="58" fillId="0" borderId="0" xfId="0" applyFont="1" applyFill="1" applyBorder="1" applyAlignment="1">
      <alignment horizontal="right"/>
    </xf>
    <xf numFmtId="0" fontId="58" fillId="0" borderId="0" xfId="0" applyFont="1" applyFill="1" applyBorder="1" applyAlignment="1">
      <alignment horizontal="center"/>
    </xf>
    <xf numFmtId="0" fontId="58" fillId="0" borderId="42" xfId="0" applyFont="1" applyFill="1" applyBorder="1" applyAlignment="1">
      <alignment horizontal="center"/>
    </xf>
    <xf numFmtId="0" fontId="58" fillId="35" borderId="0" xfId="0" applyFont="1" applyFill="1" applyBorder="1" applyAlignment="1">
      <alignment horizontal="center"/>
    </xf>
    <xf numFmtId="0" fontId="58" fillId="0" borderId="44" xfId="0" applyFont="1" applyFill="1" applyBorder="1" applyAlignment="1">
      <alignment horizontal="center"/>
    </xf>
    <xf numFmtId="0" fontId="124" fillId="35" borderId="44" xfId="0" applyFont="1" applyFill="1" applyBorder="1" applyAlignment="1">
      <alignment horizontal="center"/>
    </xf>
    <xf numFmtId="0" fontId="58" fillId="35" borderId="44" xfId="0" applyFont="1" applyFill="1" applyBorder="1" applyAlignment="1">
      <alignment horizontal="center"/>
    </xf>
    <xf numFmtId="0" fontId="58" fillId="0" borderId="3" xfId="0" applyFont="1" applyFill="1" applyBorder="1"/>
    <xf numFmtId="0" fontId="58" fillId="0" borderId="63" xfId="0" applyFont="1" applyFill="1" applyBorder="1" applyAlignment="1">
      <alignment horizontal="center"/>
    </xf>
    <xf numFmtId="0" fontId="125" fillId="40" borderId="1" xfId="0" applyFont="1" applyFill="1" applyBorder="1" applyAlignment="1">
      <alignment horizontal="center" wrapText="1"/>
    </xf>
    <xf numFmtId="0" fontId="0" fillId="0" borderId="0" xfId="0" applyFill="1" applyBorder="1"/>
    <xf numFmtId="0" fontId="125" fillId="40" borderId="34" xfId="0" applyFont="1" applyFill="1" applyBorder="1" applyAlignment="1">
      <alignment horizontal="center" wrapText="1"/>
    </xf>
    <xf numFmtId="0" fontId="0" fillId="0" borderId="43" xfId="0" applyBorder="1"/>
    <xf numFmtId="0" fontId="124" fillId="0" borderId="44" xfId="0" applyFont="1" applyFill="1" applyBorder="1" applyAlignment="1">
      <alignment horizontal="center"/>
    </xf>
    <xf numFmtId="0" fontId="126" fillId="0" borderId="43" xfId="0" applyFont="1" applyFill="1" applyBorder="1" applyAlignment="1">
      <alignment horizontal="center"/>
    </xf>
    <xf numFmtId="0" fontId="0" fillId="0" borderId="44" xfId="0" applyBorder="1"/>
    <xf numFmtId="0" fontId="126" fillId="0" borderId="0" xfId="0" applyFont="1" applyFill="1" applyBorder="1" applyAlignment="1">
      <alignment horizontal="center"/>
    </xf>
    <xf numFmtId="0" fontId="58" fillId="0" borderId="60" xfId="0" applyFont="1" applyFill="1" applyBorder="1" applyAlignment="1">
      <alignment horizontal="center"/>
    </xf>
    <xf numFmtId="0" fontId="0" fillId="0" borderId="3" xfId="0" applyBorder="1"/>
    <xf numFmtId="0" fontId="121" fillId="0" borderId="2" xfId="0" applyFont="1" applyFill="1" applyBorder="1" applyAlignment="1">
      <alignment horizontal="center"/>
    </xf>
    <xf numFmtId="0" fontId="121" fillId="0" borderId="0" xfId="0" applyFont="1" applyFill="1" applyBorder="1" applyAlignment="1">
      <alignment horizontal="center"/>
    </xf>
    <xf numFmtId="0" fontId="129" fillId="42" borderId="0" xfId="12" applyNumberFormat="1" applyFont="1" applyFill="1" applyBorder="1" applyAlignment="1" applyProtection="1">
      <alignment vertical="center"/>
      <protection locked="0"/>
    </xf>
    <xf numFmtId="0" fontId="0" fillId="42" borderId="0" xfId="0" applyFill="1" applyBorder="1" applyAlignment="1" applyProtection="1">
      <alignment vertical="center"/>
      <protection locked="0"/>
    </xf>
    <xf numFmtId="0" fontId="130" fillId="42" borderId="0" xfId="0" applyFont="1" applyFill="1" applyBorder="1" applyAlignment="1" applyProtection="1">
      <alignment vertical="center"/>
      <protection locked="0"/>
    </xf>
    <xf numFmtId="0" fontId="130" fillId="42" borderId="0" xfId="0" applyFont="1" applyFill="1" applyBorder="1" applyAlignment="1" applyProtection="1">
      <alignment horizontal="right" vertical="center"/>
      <protection locked="0"/>
    </xf>
    <xf numFmtId="177" fontId="130" fillId="42" borderId="0" xfId="0" applyNumberFormat="1" applyFont="1" applyFill="1" applyBorder="1" applyAlignment="1" applyProtection="1">
      <alignment vertical="center"/>
      <protection locked="0"/>
    </xf>
    <xf numFmtId="0" fontId="131" fillId="42" borderId="0" xfId="0" applyFont="1" applyFill="1" applyAlignment="1" applyProtection="1">
      <alignment vertical="center"/>
      <protection locked="0"/>
    </xf>
    <xf numFmtId="0" fontId="130" fillId="42" borderId="0" xfId="0" applyFont="1" applyFill="1" applyBorder="1" applyAlignment="1" applyProtection="1">
      <alignment horizontal="center" vertical="center"/>
      <protection locked="0"/>
    </xf>
    <xf numFmtId="0" fontId="133" fillId="42" borderId="0" xfId="0" applyFont="1" applyFill="1" applyBorder="1" applyAlignment="1" applyProtection="1">
      <alignment vertical="center"/>
      <protection locked="0"/>
    </xf>
    <xf numFmtId="0" fontId="131" fillId="42" borderId="0" xfId="0" applyFont="1" applyFill="1" applyAlignment="1" applyProtection="1">
      <alignment horizontal="center" vertical="center"/>
      <protection locked="0"/>
    </xf>
    <xf numFmtId="0" fontId="134" fillId="42" borderId="0" xfId="0" applyFont="1" applyFill="1" applyBorder="1" applyAlignment="1" applyProtection="1">
      <alignment horizontal="right" vertical="center"/>
      <protection locked="0"/>
    </xf>
    <xf numFmtId="0" fontId="134" fillId="42" borderId="0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0" fillId="0" borderId="0" xfId="0" applyFont="1" applyFill="1" applyAlignment="1" applyProtection="1">
      <alignment vertical="center"/>
      <protection locked="0"/>
    </xf>
    <xf numFmtId="0" fontId="136" fillId="0" borderId="0" xfId="0" applyFont="1" applyFill="1" applyAlignment="1" applyProtection="1">
      <alignment horizontal="center" vertical="center"/>
      <protection locked="0"/>
    </xf>
    <xf numFmtId="0" fontId="30" fillId="0" borderId="0" xfId="0" applyFont="1" applyFill="1" applyAlignment="1" applyProtection="1">
      <alignment horizontal="right" vertical="center"/>
      <protection locked="0"/>
    </xf>
    <xf numFmtId="178" fontId="0" fillId="0" borderId="78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178" fontId="0" fillId="44" borderId="78" xfId="0" applyNumberFormat="1" applyFont="1" applyFill="1" applyBorder="1" applyAlignment="1" applyProtection="1">
      <alignment horizontal="center" vertical="center"/>
      <protection locked="0"/>
    </xf>
    <xf numFmtId="0" fontId="137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178" fontId="0" fillId="23" borderId="78" xfId="0" applyNumberFormat="1" applyFont="1" applyFill="1" applyBorder="1" applyAlignment="1" applyProtection="1">
      <alignment horizontal="center" vertical="center"/>
      <protection locked="0"/>
    </xf>
    <xf numFmtId="0" fontId="138" fillId="11" borderId="0" xfId="0" applyFont="1" applyFill="1" applyBorder="1" applyAlignment="1" applyProtection="1">
      <alignment horizontal="center" vertical="center"/>
      <protection locked="0"/>
    </xf>
    <xf numFmtId="0" fontId="128" fillId="37" borderId="0" xfId="0" applyFont="1" applyFill="1" applyAlignment="1" applyProtection="1">
      <alignment vertical="center"/>
      <protection locked="0"/>
    </xf>
    <xf numFmtId="0" fontId="139" fillId="45" borderId="0" xfId="0" applyFont="1" applyFill="1" applyBorder="1" applyAlignment="1" applyProtection="1">
      <alignment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32" fillId="0" borderId="0" xfId="0" applyFont="1" applyBorder="1" applyAlignment="1" applyProtection="1">
      <alignment horizontal="right" vertical="center"/>
      <protection locked="0"/>
    </xf>
    <xf numFmtId="0" fontId="20" fillId="0" borderId="0" xfId="0" applyFont="1" applyFill="1" applyAlignment="1" applyProtection="1">
      <alignment horizontal="center" vertical="center"/>
      <protection locked="0"/>
    </xf>
    <xf numFmtId="0" fontId="140" fillId="0" borderId="0" xfId="0" applyFont="1" applyProtection="1">
      <protection locked="0"/>
    </xf>
    <xf numFmtId="0" fontId="141" fillId="0" borderId="79" xfId="0" applyFont="1" applyBorder="1" applyAlignment="1" applyProtection="1">
      <alignment horizontal="center" vertical="center"/>
      <protection locked="0"/>
    </xf>
    <xf numFmtId="175" fontId="142" fillId="46" borderId="82" xfId="0" applyNumberFormat="1" applyFont="1" applyFill="1" applyBorder="1" applyAlignment="1" applyProtection="1">
      <alignment horizontal="center"/>
      <protection locked="0"/>
    </xf>
    <xf numFmtId="0" fontId="141" fillId="0" borderId="0" xfId="0" applyFont="1" applyAlignment="1" applyProtection="1">
      <alignment horizontal="center" vertical="center"/>
      <protection locked="0"/>
    </xf>
    <xf numFmtId="0" fontId="141" fillId="0" borderId="0" xfId="0" applyFont="1" applyAlignment="1" applyProtection="1">
      <alignment vertical="center"/>
      <protection locked="0"/>
    </xf>
    <xf numFmtId="0" fontId="141" fillId="0" borderId="85" xfId="0" applyFont="1" applyBorder="1" applyAlignment="1" applyProtection="1">
      <alignment horizontal="center" vertical="center"/>
      <protection locked="0"/>
    </xf>
    <xf numFmtId="0" fontId="141" fillId="15" borderId="86" xfId="0" applyFont="1" applyFill="1" applyBorder="1" applyAlignment="1" applyProtection="1">
      <alignment horizontal="center" vertical="center"/>
      <protection locked="0"/>
    </xf>
    <xf numFmtId="0" fontId="141" fillId="15" borderId="87" xfId="0" applyFont="1" applyFill="1" applyBorder="1" applyAlignment="1" applyProtection="1">
      <alignment horizontal="center" vertical="center"/>
      <protection locked="0"/>
    </xf>
    <xf numFmtId="0" fontId="27" fillId="0" borderId="0" xfId="0" applyFont="1" applyFill="1" applyBorder="1" applyAlignment="1" applyProtection="1">
      <alignment horizontal="center" vertical="center"/>
      <protection locked="0"/>
    </xf>
    <xf numFmtId="0" fontId="144" fillId="12" borderId="0" xfId="8" applyFont="1" applyFill="1" applyBorder="1" applyAlignment="1" applyProtection="1">
      <alignment horizontal="center" vertical="center"/>
      <protection locked="0"/>
    </xf>
    <xf numFmtId="0" fontId="144" fillId="12" borderId="0" xfId="8" applyFont="1" applyFill="1" applyBorder="1" applyAlignment="1" applyProtection="1">
      <alignment horizontal="left" vertical="center"/>
      <protection locked="0"/>
    </xf>
    <xf numFmtId="0" fontId="140" fillId="0" borderId="0" xfId="0" applyFont="1" applyAlignment="1" applyProtection="1">
      <alignment vertical="center"/>
      <protection locked="0"/>
    </xf>
    <xf numFmtId="0" fontId="27" fillId="0" borderId="85" xfId="0" applyFont="1" applyBorder="1" applyAlignment="1" applyProtection="1">
      <alignment horizontal="center" vertical="center"/>
      <protection locked="0"/>
    </xf>
    <xf numFmtId="0" fontId="27" fillId="0" borderId="0" xfId="0" applyFont="1" applyBorder="1" applyAlignment="1" applyProtection="1">
      <alignment horizontal="center" vertical="center"/>
      <protection locked="0"/>
    </xf>
    <xf numFmtId="178" fontId="0" fillId="0" borderId="0" xfId="0" applyNumberFormat="1" applyFont="1" applyFill="1" applyBorder="1" applyAlignment="1" applyProtection="1">
      <alignment horizontal="center" vertical="center"/>
      <protection locked="0"/>
    </xf>
    <xf numFmtId="178" fontId="144" fillId="22" borderId="1" xfId="0" applyNumberFormat="1" applyFont="1" applyFill="1" applyBorder="1" applyAlignment="1" applyProtection="1">
      <alignment horizontal="center"/>
      <protection locked="0"/>
    </xf>
    <xf numFmtId="178" fontId="144" fillId="22" borderId="1" xfId="0" applyNumberFormat="1" applyFont="1" applyFill="1" applyBorder="1" applyAlignment="1" applyProtection="1">
      <alignment horizontal="center" vertical="center"/>
      <protection locked="0"/>
    </xf>
    <xf numFmtId="0" fontId="140" fillId="0" borderId="0" xfId="0" applyFont="1" applyAlignment="1" applyProtection="1">
      <alignment horizontal="center" vertical="center"/>
      <protection locked="0"/>
    </xf>
    <xf numFmtId="0" fontId="131" fillId="0" borderId="0" xfId="0" applyFont="1" applyAlignment="1" applyProtection="1">
      <alignment vertical="center"/>
      <protection locked="0"/>
    </xf>
    <xf numFmtId="0" fontId="131" fillId="0" borderId="0" xfId="0" applyFont="1" applyAlignment="1" applyProtection="1">
      <alignment horizontal="center" vertical="center"/>
      <protection locked="0"/>
    </xf>
    <xf numFmtId="0" fontId="131" fillId="0" borderId="0" xfId="0" applyFont="1" applyProtection="1">
      <protection locked="0"/>
    </xf>
    <xf numFmtId="0" fontId="131" fillId="0" borderId="0" xfId="0" applyFont="1" applyAlignment="1" applyProtection="1">
      <alignment horizontal="center"/>
      <protection locked="0"/>
    </xf>
    <xf numFmtId="0" fontId="145" fillId="0" borderId="79" xfId="0" applyFont="1" applyBorder="1" applyAlignment="1" applyProtection="1">
      <alignment horizontal="center" vertical="center"/>
      <protection locked="0"/>
    </xf>
    <xf numFmtId="0" fontId="145" fillId="0" borderId="0" xfId="0" applyFont="1" applyBorder="1" applyAlignment="1" applyProtection="1">
      <alignment horizontal="center" vertical="center"/>
      <protection locked="0"/>
    </xf>
    <xf numFmtId="178" fontId="146" fillId="0" borderId="0" xfId="0" applyNumberFormat="1" applyFont="1" applyFill="1" applyBorder="1" applyAlignment="1" applyProtection="1">
      <alignment horizontal="center" vertical="center"/>
      <protection locked="0"/>
    </xf>
    <xf numFmtId="0" fontId="145" fillId="0" borderId="0" xfId="0" applyFont="1" applyAlignment="1" applyProtection="1">
      <alignment horizontal="center" vertical="center"/>
      <protection locked="0"/>
    </xf>
    <xf numFmtId="49" fontId="148" fillId="47" borderId="1" xfId="0" applyNumberFormat="1" applyFont="1" applyFill="1" applyBorder="1" applyAlignment="1" applyProtection="1">
      <alignment horizontal="center"/>
      <protection locked="0"/>
    </xf>
    <xf numFmtId="0" fontId="148" fillId="47" borderId="1" xfId="0" applyFont="1" applyFill="1" applyBorder="1" applyAlignment="1" applyProtection="1">
      <alignment horizontal="center"/>
      <protection locked="0"/>
    </xf>
    <xf numFmtId="0" fontId="149" fillId="4" borderId="1" xfId="0" applyFont="1" applyFill="1" applyBorder="1" applyAlignment="1" applyProtection="1">
      <alignment horizontal="center"/>
      <protection locked="0"/>
    </xf>
    <xf numFmtId="1" fontId="150" fillId="47" borderId="1" xfId="0" applyNumberFormat="1" applyFont="1" applyFill="1" applyBorder="1" applyAlignment="1" applyProtection="1">
      <alignment horizontal="center"/>
      <protection locked="0"/>
    </xf>
    <xf numFmtId="1" fontId="151" fillId="4" borderId="1" xfId="0" applyNumberFormat="1" applyFont="1" applyFill="1" applyBorder="1" applyAlignment="1" applyProtection="1">
      <alignment horizontal="center"/>
      <protection locked="0"/>
    </xf>
    <xf numFmtId="49" fontId="131" fillId="0" borderId="0" xfId="0" applyNumberFormat="1" applyFont="1" applyProtection="1">
      <protection locked="0"/>
    </xf>
    <xf numFmtId="0" fontId="131" fillId="0" borderId="0" xfId="0" applyFont="1" applyAlignment="1" applyProtection="1">
      <alignment horizontal="right" indent="2"/>
      <protection locked="0"/>
    </xf>
    <xf numFmtId="0" fontId="129" fillId="48" borderId="0" xfId="12" applyNumberFormat="1" applyFont="1" applyFill="1" applyBorder="1" applyAlignment="1">
      <alignment vertical="center"/>
    </xf>
    <xf numFmtId="0" fontId="130" fillId="48" borderId="0" xfId="0" applyFont="1" applyFill="1" applyBorder="1" applyAlignment="1">
      <alignment vertical="center"/>
    </xf>
    <xf numFmtId="0" fontId="130" fillId="48" borderId="0" xfId="0" applyFont="1" applyFill="1" applyBorder="1" applyAlignment="1">
      <alignment horizontal="right" vertical="center"/>
    </xf>
    <xf numFmtId="177" fontId="130" fillId="48" borderId="0" xfId="0" applyNumberFormat="1" applyFont="1" applyFill="1" applyBorder="1" applyAlignment="1">
      <alignment vertical="center"/>
    </xf>
    <xf numFmtId="0" fontId="131" fillId="48" borderId="0" xfId="0" applyFont="1" applyFill="1" applyAlignment="1">
      <alignment vertical="center"/>
    </xf>
    <xf numFmtId="0" fontId="130" fillId="48" borderId="0" xfId="0" applyFont="1" applyFill="1" applyBorder="1" applyAlignment="1">
      <alignment horizontal="center" vertical="center"/>
    </xf>
    <xf numFmtId="0" fontId="133" fillId="48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152" fillId="43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28" fillId="0" borderId="0" xfId="0" applyFont="1" applyFill="1" applyAlignment="1">
      <alignment vertical="center"/>
    </xf>
    <xf numFmtId="0" fontId="137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32" fillId="0" borderId="0" xfId="0" applyFont="1" applyBorder="1" applyAlignment="1">
      <alignment horizontal="right" vertical="center"/>
    </xf>
    <xf numFmtId="175" fontId="140" fillId="0" borderId="0" xfId="0" applyNumberFormat="1" applyFont="1"/>
    <xf numFmtId="175" fontId="142" fillId="46" borderId="82" xfId="0" applyNumberFormat="1" applyFont="1" applyFill="1" applyBorder="1" applyAlignment="1">
      <alignment horizontal="center"/>
    </xf>
    <xf numFmtId="175" fontId="153" fillId="46" borderId="83" xfId="0" applyNumberFormat="1" applyFont="1" applyFill="1" applyBorder="1" applyAlignment="1">
      <alignment horizontal="center"/>
    </xf>
    <xf numFmtId="0" fontId="141" fillId="0" borderId="0" xfId="0" applyFont="1" applyAlignment="1">
      <alignment vertical="center"/>
    </xf>
    <xf numFmtId="49" fontId="27" fillId="0" borderId="0" xfId="0" applyNumberFormat="1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49" fontId="144" fillId="12" borderId="0" xfId="8" applyNumberFormat="1" applyFont="1" applyFill="1" applyBorder="1" applyAlignment="1">
      <alignment horizontal="center"/>
    </xf>
    <xf numFmtId="0" fontId="141" fillId="0" borderId="0" xfId="0" applyFont="1" applyAlignment="1">
      <alignment horizontal="center" vertical="center"/>
    </xf>
    <xf numFmtId="0" fontId="140" fillId="0" borderId="0" xfId="0" applyFont="1" applyAlignment="1">
      <alignment vertical="center"/>
    </xf>
    <xf numFmtId="0" fontId="0" fillId="0" borderId="81" xfId="0" applyFill="1" applyBorder="1" applyAlignment="1">
      <alignment horizontal="left"/>
    </xf>
    <xf numFmtId="1" fontId="0" fillId="0" borderId="0" xfId="0" applyNumberFormat="1" applyFont="1" applyFill="1" applyBorder="1" applyAlignment="1" applyProtection="1">
      <alignment horizontal="center" vertical="center"/>
      <protection locked="0"/>
    </xf>
    <xf numFmtId="1" fontId="154" fillId="22" borderId="1" xfId="0" applyNumberFormat="1" applyFont="1" applyFill="1" applyBorder="1" applyAlignment="1">
      <alignment horizontal="center" vertical="center"/>
    </xf>
    <xf numFmtId="0" fontId="140" fillId="0" borderId="0" xfId="0" applyFont="1" applyAlignment="1">
      <alignment horizontal="center" vertical="center"/>
    </xf>
    <xf numFmtId="0" fontId="131" fillId="0" borderId="0" xfId="0" applyFont="1" applyAlignment="1">
      <alignment vertical="center"/>
    </xf>
    <xf numFmtId="0" fontId="131" fillId="0" borderId="0" xfId="0" applyFont="1" applyAlignment="1">
      <alignment horizontal="center" vertical="center"/>
    </xf>
    <xf numFmtId="0" fontId="131" fillId="0" borderId="0" xfId="0" applyFont="1"/>
    <xf numFmtId="0" fontId="131" fillId="0" borderId="0" xfId="0" applyFont="1" applyAlignment="1">
      <alignment horizontal="center"/>
    </xf>
    <xf numFmtId="1" fontId="31" fillId="0" borderId="0" xfId="0" applyNumberFormat="1" applyFont="1" applyFill="1" applyBorder="1" applyAlignment="1" applyProtection="1">
      <alignment horizontal="center" vertical="center"/>
      <protection locked="0"/>
    </xf>
    <xf numFmtId="0" fontId="146" fillId="0" borderId="0" xfId="0" applyFont="1" applyFill="1" applyBorder="1" applyAlignment="1">
      <alignment horizontal="left" vertical="center"/>
    </xf>
    <xf numFmtId="178" fontId="146" fillId="0" borderId="0" xfId="0" applyNumberFormat="1" applyFont="1" applyFill="1" applyBorder="1" applyAlignment="1">
      <alignment horizontal="center" vertical="center"/>
    </xf>
    <xf numFmtId="1" fontId="155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178" fontId="0" fillId="0" borderId="0" xfId="0" applyNumberFormat="1" applyFont="1" applyFill="1" applyBorder="1" applyAlignment="1">
      <alignment horizontal="center" vertical="center"/>
    </xf>
    <xf numFmtId="49" fontId="131" fillId="0" borderId="0" xfId="0" applyNumberFormat="1" applyFont="1"/>
    <xf numFmtId="0" fontId="131" fillId="0" borderId="0" xfId="0" applyFont="1" applyAlignment="1">
      <alignment horizontal="right" indent="2"/>
    </xf>
    <xf numFmtId="0" fontId="156" fillId="2" borderId="0" xfId="12" applyNumberFormat="1" applyFont="1" applyFill="1" applyBorder="1" applyAlignment="1">
      <alignment vertical="center"/>
    </xf>
    <xf numFmtId="0" fontId="157" fillId="2" borderId="0" xfId="12" applyNumberFormat="1" applyFont="1" applyFill="1" applyBorder="1" applyAlignment="1">
      <alignment vertical="center"/>
    </xf>
    <xf numFmtId="0" fontId="158" fillId="2" borderId="0" xfId="0" applyFont="1" applyFill="1" applyBorder="1" applyAlignment="1">
      <alignment vertical="center"/>
    </xf>
    <xf numFmtId="0" fontId="159" fillId="2" borderId="0" xfId="0" applyFont="1" applyFill="1" applyAlignment="1">
      <alignment vertical="center"/>
    </xf>
    <xf numFmtId="0" fontId="160" fillId="2" borderId="0" xfId="0" applyFont="1" applyFill="1" applyAlignment="1">
      <alignment vertical="center"/>
    </xf>
    <xf numFmtId="0" fontId="160" fillId="0" borderId="0" xfId="0" applyFont="1" applyFill="1" applyAlignment="1">
      <alignment vertical="center"/>
    </xf>
    <xf numFmtId="0" fontId="158" fillId="0" borderId="0" xfId="0" applyFont="1" applyFill="1" applyBorder="1" applyAlignment="1">
      <alignment horizontal="center" vertical="center"/>
    </xf>
    <xf numFmtId="0" fontId="158" fillId="0" borderId="0" xfId="0" applyFont="1" applyFill="1" applyBorder="1" applyAlignment="1">
      <alignment vertical="center"/>
    </xf>
    <xf numFmtId="0" fontId="161" fillId="0" borderId="0" xfId="0" applyFont="1" applyFill="1" applyBorder="1" applyAlignment="1">
      <alignment vertical="center"/>
    </xf>
    <xf numFmtId="0" fontId="160" fillId="0" borderId="0" xfId="0" applyFont="1" applyFill="1" applyAlignment="1">
      <alignment horizontal="center" vertical="center"/>
    </xf>
    <xf numFmtId="0" fontId="162" fillId="0" borderId="0" xfId="0" applyFont="1" applyFill="1" applyBorder="1" applyAlignment="1">
      <alignment horizontal="right" vertical="center"/>
    </xf>
    <xf numFmtId="0" fontId="162" fillId="0" borderId="0" xfId="0" applyFont="1" applyFill="1" applyBorder="1" applyAlignment="1">
      <alignment horizontal="center" vertical="center"/>
    </xf>
    <xf numFmtId="0" fontId="163" fillId="2" borderId="0" xfId="0" applyFont="1" applyFill="1" applyBorder="1" applyAlignment="1">
      <alignment vertical="center"/>
    </xf>
    <xf numFmtId="0" fontId="164" fillId="2" borderId="0" xfId="0" applyFont="1" applyFill="1" applyBorder="1" applyAlignment="1">
      <alignment horizontal="right" vertical="top"/>
    </xf>
    <xf numFmtId="179" fontId="164" fillId="2" borderId="0" xfId="0" applyNumberFormat="1" applyFont="1" applyFill="1" applyBorder="1" applyAlignment="1">
      <alignment horizontal="center" vertical="top"/>
    </xf>
    <xf numFmtId="0" fontId="164" fillId="2" borderId="0" xfId="0" applyFont="1" applyFill="1" applyBorder="1" applyAlignment="1">
      <alignment horizontal="center" vertical="top"/>
    </xf>
    <xf numFmtId="179" fontId="164" fillId="2" borderId="0" xfId="0" applyNumberFormat="1" applyFont="1" applyFill="1" applyBorder="1" applyAlignment="1">
      <alignment horizontal="left" vertical="top"/>
    </xf>
    <xf numFmtId="0" fontId="160" fillId="2" borderId="0" xfId="0" applyFont="1" applyFill="1" applyAlignment="1">
      <alignment vertical="top"/>
    </xf>
    <xf numFmtId="177" fontId="158" fillId="0" borderId="0" xfId="0" applyNumberFormat="1" applyFont="1" applyFill="1" applyBorder="1" applyAlignment="1">
      <alignment vertical="center"/>
    </xf>
    <xf numFmtId="0" fontId="165" fillId="0" borderId="0" xfId="0" applyFont="1" applyFill="1"/>
    <xf numFmtId="0" fontId="0" fillId="0" borderId="0" xfId="0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textRotation="45" wrapText="1"/>
    </xf>
    <xf numFmtId="0" fontId="4" fillId="0" borderId="0" xfId="0" applyFont="1" applyAlignment="1">
      <alignment textRotation="45" wrapText="1"/>
    </xf>
    <xf numFmtId="0" fontId="4" fillId="0" borderId="0" xfId="0" applyFont="1" applyAlignment="1">
      <alignment horizontal="center" wrapText="1"/>
    </xf>
    <xf numFmtId="165" fontId="0" fillId="0" borderId="0" xfId="0" applyNumberFormat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/>
    <xf numFmtId="1" fontId="4" fillId="0" borderId="0" xfId="0" applyNumberFormat="1" applyFont="1"/>
    <xf numFmtId="0" fontId="4" fillId="0" borderId="0" xfId="0" applyNumberFormat="1" applyFont="1"/>
    <xf numFmtId="165" fontId="0" fillId="0" borderId="0" xfId="0" applyNumberFormat="1"/>
    <xf numFmtId="0" fontId="0" fillId="0" borderId="0" xfId="0" applyNumberFormat="1" applyAlignment="1">
      <alignment horizontal="left"/>
    </xf>
    <xf numFmtId="0" fontId="166" fillId="49" borderId="1" xfId="0" applyNumberFormat="1" applyFont="1" applyFill="1" applyBorder="1" applyAlignment="1">
      <alignment horizontal="left"/>
    </xf>
    <xf numFmtId="1" fontId="166" fillId="49" borderId="1" xfId="0" applyNumberFormat="1" applyFont="1" applyFill="1" applyBorder="1"/>
    <xf numFmtId="0" fontId="0" fillId="0" borderId="0" xfId="0" applyAlignment="1">
      <alignment horizontal="left"/>
    </xf>
    <xf numFmtId="0" fontId="0" fillId="2" borderId="4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10" fontId="0" fillId="2" borderId="2" xfId="0" applyNumberFormat="1" applyFill="1" applyBorder="1" applyAlignment="1">
      <alignment horizontal="center"/>
    </xf>
    <xf numFmtId="0" fontId="0" fillId="2" borderId="42" xfId="0" applyFill="1" applyBorder="1"/>
    <xf numFmtId="0" fontId="0" fillId="2" borderId="60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right"/>
    </xf>
    <xf numFmtId="10" fontId="0" fillId="2" borderId="63" xfId="0" applyNumberFormat="1" applyFill="1" applyBorder="1" applyAlignment="1">
      <alignment horizontal="left"/>
    </xf>
    <xf numFmtId="3" fontId="122" fillId="41" borderId="0" xfId="1" applyNumberFormat="1" applyFont="1" applyFill="1" applyBorder="1" applyAlignment="1">
      <alignment horizontal="center"/>
    </xf>
    <xf numFmtId="164" fontId="24" fillId="0" borderId="0" xfId="0" applyNumberFormat="1" applyFont="1"/>
    <xf numFmtId="0" fontId="25" fillId="0" borderId="4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6" xfId="0" applyFont="1" applyFill="1" applyBorder="1" applyAlignment="1">
      <alignment horizontal="center"/>
    </xf>
    <xf numFmtId="0" fontId="74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164" fontId="33" fillId="10" borderId="7" xfId="1" applyNumberFormat="1" applyFont="1" applyFill="1" applyBorder="1" applyAlignment="1">
      <alignment horizontal="center"/>
    </xf>
    <xf numFmtId="164" fontId="33" fillId="10" borderId="22" xfId="1" applyNumberFormat="1" applyFont="1" applyFill="1" applyBorder="1" applyAlignment="1">
      <alignment horizontal="center"/>
    </xf>
    <xf numFmtId="164" fontId="4" fillId="10" borderId="1" xfId="1" applyNumberFormat="1" applyFont="1" applyFill="1" applyBorder="1"/>
    <xf numFmtId="164" fontId="27" fillId="4" borderId="19" xfId="1" applyNumberFormat="1" applyFont="1" applyFill="1" applyBorder="1" applyAlignment="1"/>
    <xf numFmtId="164" fontId="33" fillId="4" borderId="1" xfId="1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144" fillId="12" borderId="0" xfId="13" applyFont="1" applyFill="1" applyBorder="1" applyAlignment="1" applyProtection="1">
      <alignment horizontal="center" vertical="center"/>
      <protection locked="0"/>
    </xf>
    <xf numFmtId="0" fontId="144" fillId="12" borderId="0" xfId="13" applyFont="1" applyFill="1" applyBorder="1" applyAlignment="1" applyProtection="1">
      <alignment horizontal="left" vertical="center"/>
      <protection locked="0"/>
    </xf>
    <xf numFmtId="49" fontId="144" fillId="12" borderId="0" xfId="13" applyNumberFormat="1" applyFont="1" applyFill="1" applyBorder="1" applyAlignment="1">
      <alignment horizontal="center"/>
    </xf>
    <xf numFmtId="3" fontId="32" fillId="51" borderId="14" xfId="0" applyNumberFormat="1" applyFont="1" applyFill="1" applyBorder="1"/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3" fontId="32" fillId="2" borderId="14" xfId="0" applyNumberFormat="1" applyFont="1" applyFill="1" applyBorder="1"/>
    <xf numFmtId="3" fontId="32" fillId="52" borderId="14" xfId="0" applyNumberFormat="1" applyFont="1" applyFill="1" applyBorder="1"/>
    <xf numFmtId="0" fontId="58" fillId="53" borderId="42" xfId="0" applyFont="1" applyFill="1" applyBorder="1" applyAlignment="1">
      <alignment horizontal="center"/>
    </xf>
    <xf numFmtId="0" fontId="58" fillId="53" borderId="44" xfId="0" applyFont="1" applyFill="1" applyBorder="1" applyAlignment="1">
      <alignment horizontal="center"/>
    </xf>
    <xf numFmtId="0" fontId="58" fillId="54" borderId="44" xfId="0" applyFont="1" applyFill="1" applyBorder="1" applyAlignment="1">
      <alignment horizontal="center"/>
    </xf>
    <xf numFmtId="0" fontId="122" fillId="41" borderId="0" xfId="0" applyFont="1" applyFill="1" applyBorder="1" applyAlignment="1">
      <alignment horizontal="center"/>
    </xf>
    <xf numFmtId="1" fontId="104" fillId="0" borderId="0" xfId="0" applyNumberFormat="1" applyFont="1" applyFill="1" applyBorder="1"/>
    <xf numFmtId="164" fontId="95" fillId="2" borderId="0" xfId="0" applyNumberFormat="1" applyFont="1" applyFill="1" applyBorder="1"/>
    <xf numFmtId="0" fontId="104" fillId="0" borderId="0" xfId="0" applyFont="1" applyFill="1" applyBorder="1" applyAlignment="1">
      <alignment wrapText="1"/>
    </xf>
    <xf numFmtId="0" fontId="104" fillId="0" borderId="0" xfId="0" applyFont="1" applyFill="1" applyBorder="1" applyAlignment="1"/>
    <xf numFmtId="0" fontId="0" fillId="0" borderId="2" xfId="0" applyFill="1" applyBorder="1"/>
    <xf numFmtId="0" fontId="0" fillId="0" borderId="3" xfId="0" applyFill="1" applyBorder="1"/>
    <xf numFmtId="0" fontId="104" fillId="0" borderId="41" xfId="0" applyFont="1" applyFill="1" applyBorder="1" applyAlignment="1">
      <alignment wrapText="1"/>
    </xf>
    <xf numFmtId="0" fontId="104" fillId="0" borderId="2" xfId="0" applyFont="1" applyFill="1" applyBorder="1" applyAlignment="1">
      <alignment wrapText="1"/>
    </xf>
    <xf numFmtId="0" fontId="104" fillId="0" borderId="2" xfId="0" applyFont="1" applyFill="1" applyBorder="1" applyAlignment="1"/>
    <xf numFmtId="0" fontId="104" fillId="0" borderId="42" xfId="0" applyFont="1" applyFill="1" applyBorder="1" applyAlignment="1">
      <alignment wrapText="1"/>
    </xf>
    <xf numFmtId="0" fontId="104" fillId="0" borderId="43" xfId="0" applyFont="1" applyFill="1" applyBorder="1" applyAlignment="1">
      <alignment wrapText="1"/>
    </xf>
    <xf numFmtId="0" fontId="104" fillId="0" borderId="44" xfId="0" applyFont="1" applyFill="1" applyBorder="1" applyAlignment="1">
      <alignment wrapText="1"/>
    </xf>
    <xf numFmtId="0" fontId="104" fillId="0" borderId="60" xfId="0" applyFont="1" applyFill="1" applyBorder="1" applyAlignment="1">
      <alignment wrapText="1"/>
    </xf>
    <xf numFmtId="0" fontId="104" fillId="0" borderId="3" xfId="0" applyFont="1" applyFill="1" applyBorder="1" applyAlignment="1">
      <alignment wrapText="1"/>
    </xf>
    <xf numFmtId="0" fontId="104" fillId="0" borderId="3" xfId="0" applyFont="1" applyFill="1" applyBorder="1" applyAlignment="1"/>
    <xf numFmtId="0" fontId="104" fillId="0" borderId="63" xfId="0" applyFont="1" applyFill="1" applyBorder="1" applyAlignment="1">
      <alignment wrapText="1"/>
    </xf>
    <xf numFmtId="0" fontId="0" fillId="0" borderId="42" xfId="0" applyBorder="1"/>
    <xf numFmtId="0" fontId="0" fillId="0" borderId="63" xfId="0" applyBorder="1"/>
    <xf numFmtId="179" fontId="167" fillId="2" borderId="0" xfId="0" applyNumberFormat="1" applyFont="1" applyFill="1" applyBorder="1" applyAlignment="1">
      <alignment horizontal="center" vertical="top"/>
    </xf>
    <xf numFmtId="1" fontId="168" fillId="49" borderId="1" xfId="0" applyNumberFormat="1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4" fontId="33" fillId="2" borderId="22" xfId="1" applyNumberFormat="1" applyFont="1" applyFill="1" applyBorder="1" applyAlignment="1">
      <alignment horizontal="center"/>
    </xf>
    <xf numFmtId="164" fontId="3" fillId="4" borderId="22" xfId="1" applyNumberFormat="1" applyFont="1" applyFill="1" applyBorder="1" applyAlignment="1">
      <alignment horizontal="center"/>
    </xf>
    <xf numFmtId="164" fontId="3" fillId="2" borderId="22" xfId="1" applyNumberFormat="1" applyFont="1" applyFill="1" applyBorder="1" applyAlignment="1">
      <alignment horizontal="center"/>
    </xf>
    <xf numFmtId="0" fontId="58" fillId="2" borderId="44" xfId="0" applyFont="1" applyFill="1" applyBorder="1" applyAlignment="1">
      <alignment horizontal="center"/>
    </xf>
    <xf numFmtId="0" fontId="58" fillId="37" borderId="44" xfId="0" applyFont="1" applyFill="1" applyBorder="1" applyAlignment="1">
      <alignment horizontal="center"/>
    </xf>
    <xf numFmtId="0" fontId="58" fillId="9" borderId="44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left"/>
    </xf>
    <xf numFmtId="0" fontId="1" fillId="0" borderId="32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24" fillId="2" borderId="44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16" fillId="0" borderId="1" xfId="14" applyFont="1" applyBorder="1" applyAlignment="1">
      <alignment horizontal="left" vertical="center"/>
    </xf>
    <xf numFmtId="0" fontId="66" fillId="2" borderId="22" xfId="0" applyFont="1" applyFill="1" applyBorder="1"/>
    <xf numFmtId="0" fontId="169" fillId="2" borderId="22" xfId="0" applyFont="1" applyFill="1" applyBorder="1"/>
    <xf numFmtId="0" fontId="38" fillId="2" borderId="22" xfId="0" applyFont="1" applyFill="1" applyBorder="1"/>
    <xf numFmtId="0" fontId="170" fillId="0" borderId="1" xfId="14" applyFont="1" applyBorder="1" applyAlignment="1">
      <alignment horizontal="left" vertical="center"/>
    </xf>
    <xf numFmtId="0" fontId="171" fillId="2" borderId="33" xfId="0" applyFont="1" applyFill="1" applyBorder="1"/>
    <xf numFmtId="0" fontId="66" fillId="2" borderId="23" xfId="0" applyFont="1" applyFill="1" applyBorder="1"/>
    <xf numFmtId="3" fontId="74" fillId="0" borderId="4" xfId="0" applyNumberFormat="1" applyFont="1" applyBorder="1" applyAlignment="1">
      <alignment horizontal="center" vertical="center"/>
    </xf>
    <xf numFmtId="3" fontId="74" fillId="0" borderId="5" xfId="0" applyNumberFormat="1" applyFont="1" applyBorder="1" applyAlignment="1">
      <alignment horizontal="center" vertical="center"/>
    </xf>
    <xf numFmtId="3" fontId="74" fillId="0" borderId="24" xfId="0" applyNumberFormat="1" applyFont="1" applyBorder="1" applyAlignment="1">
      <alignment horizontal="center" vertical="center"/>
    </xf>
    <xf numFmtId="0" fontId="3" fillId="0" borderId="32" xfId="0" applyFont="1" applyFill="1" applyBorder="1" applyAlignment="1">
      <alignment horizontal="left"/>
    </xf>
    <xf numFmtId="0" fontId="3" fillId="0" borderId="32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5" fillId="9" borderId="5" xfId="0" applyFont="1" applyFill="1" applyBorder="1" applyAlignment="1">
      <alignment horizontal="center"/>
    </xf>
    <xf numFmtId="164" fontId="33" fillId="4" borderId="24" xfId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left"/>
    </xf>
    <xf numFmtId="0" fontId="4" fillId="50" borderId="11" xfId="0" applyFont="1" applyFill="1" applyBorder="1" applyAlignment="1"/>
    <xf numFmtId="0" fontId="4" fillId="50" borderId="15" xfId="0" applyFont="1" applyFill="1" applyBorder="1" applyAlignment="1"/>
    <xf numFmtId="0" fontId="4" fillId="50" borderId="30" xfId="0" applyFont="1" applyFill="1" applyBorder="1" applyAlignment="1"/>
    <xf numFmtId="0" fontId="4" fillId="50" borderId="3" xfId="0" applyFont="1" applyFill="1" applyBorder="1" applyAlignment="1"/>
    <xf numFmtId="0" fontId="5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3" fontId="32" fillId="10" borderId="13" xfId="0" applyNumberFormat="1" applyFont="1" applyFill="1" applyBorder="1"/>
    <xf numFmtId="0" fontId="4" fillId="10" borderId="1" xfId="0" applyFont="1" applyFill="1" applyBorder="1" applyAlignment="1">
      <alignment horizontal="center"/>
    </xf>
    <xf numFmtId="3" fontId="32" fillId="10" borderId="1" xfId="0" applyNumberFormat="1" applyFont="1" applyFill="1" applyBorder="1"/>
    <xf numFmtId="0" fontId="4" fillId="9" borderId="1" xfId="0" applyFont="1" applyFill="1" applyBorder="1" applyAlignment="1">
      <alignment horizontal="center"/>
    </xf>
    <xf numFmtId="3" fontId="32" fillId="9" borderId="1" xfId="0" applyNumberFormat="1" applyFont="1" applyFill="1" applyBorder="1"/>
    <xf numFmtId="0" fontId="3" fillId="9" borderId="32" xfId="0" applyFont="1" applyFill="1" applyBorder="1" applyAlignment="1">
      <alignment horizontal="left"/>
    </xf>
    <xf numFmtId="0" fontId="3" fillId="9" borderId="5" xfId="0" applyFont="1" applyFill="1" applyBorder="1" applyAlignment="1">
      <alignment horizontal="left"/>
    </xf>
    <xf numFmtId="0" fontId="3" fillId="0" borderId="32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32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32" xfId="0" applyFont="1" applyFill="1" applyBorder="1" applyAlignment="1">
      <alignment horizontal="left"/>
    </xf>
    <xf numFmtId="0" fontId="131" fillId="0" borderId="0" xfId="0" applyFont="1" applyFill="1" applyAlignment="1" applyProtection="1">
      <alignment horizontal="center"/>
      <protection locked="0"/>
    </xf>
    <xf numFmtId="0" fontId="3" fillId="0" borderId="32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1" fontId="0" fillId="0" borderId="0" xfId="0" applyNumberFormat="1" applyFill="1" applyBorder="1" applyAlignment="1" applyProtection="1">
      <alignment horizontal="center" vertical="center"/>
      <protection locked="0"/>
    </xf>
    <xf numFmtId="3" fontId="66" fillId="0" borderId="0" xfId="0" applyNumberFormat="1" applyFont="1"/>
    <xf numFmtId="14" fontId="5" fillId="2" borderId="1" xfId="0" applyNumberFormat="1" applyFont="1" applyFill="1" applyBorder="1" applyAlignment="1">
      <alignment horizontal="center"/>
    </xf>
    <xf numFmtId="0" fontId="159" fillId="0" borderId="0" xfId="0" applyFont="1" applyProtection="1">
      <protection locked="0"/>
    </xf>
    <xf numFmtId="178" fontId="27" fillId="22" borderId="1" xfId="0" applyNumberFormat="1" applyFont="1" applyFill="1" applyBorder="1" applyAlignment="1" applyProtection="1">
      <alignment horizontal="center"/>
      <protection locked="0"/>
    </xf>
    <xf numFmtId="178" fontId="27" fillId="22" borderId="1" xfId="0" applyNumberFormat="1" applyFont="1" applyFill="1" applyBorder="1" applyAlignment="1" applyProtection="1">
      <alignment horizontal="center" vertical="center"/>
      <protection locked="0"/>
    </xf>
    <xf numFmtId="0" fontId="159" fillId="0" borderId="0" xfId="0" applyFont="1" applyAlignment="1" applyProtection="1">
      <alignment horizontal="center"/>
      <protection locked="0"/>
    </xf>
    <xf numFmtId="178" fontId="172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32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1" fontId="0" fillId="0" borderId="0" xfId="0" applyNumberFormat="1" applyFont="1" applyFill="1" applyAlignment="1" applyProtection="1">
      <alignment horizontal="center" vertical="center"/>
      <protection locked="0"/>
    </xf>
    <xf numFmtId="0" fontId="3" fillId="0" borderId="32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115" fillId="38" borderId="0" xfId="0" applyFont="1" applyFill="1"/>
    <xf numFmtId="0" fontId="104" fillId="38" borderId="0" xfId="0" applyFont="1" applyFill="1"/>
    <xf numFmtId="0" fontId="58" fillId="0" borderId="41" xfId="0" applyFont="1" applyBorder="1" applyAlignment="1">
      <alignment horizontal="right"/>
    </xf>
    <xf numFmtId="0" fontId="58" fillId="0" borderId="0" xfId="0" applyFont="1" applyAlignment="1">
      <alignment horizontal="center"/>
    </xf>
    <xf numFmtId="0" fontId="58" fillId="0" borderId="42" xfId="0" applyFont="1" applyBorder="1" applyAlignment="1">
      <alignment horizontal="center"/>
    </xf>
    <xf numFmtId="0" fontId="58" fillId="35" borderId="0" xfId="0" applyFont="1" applyFill="1" applyAlignment="1">
      <alignment horizontal="center"/>
    </xf>
    <xf numFmtId="0" fontId="58" fillId="0" borderId="43" xfId="0" applyFont="1" applyBorder="1" applyAlignment="1">
      <alignment horizontal="right"/>
    </xf>
    <xf numFmtId="0" fontId="58" fillId="0" borderId="44" xfId="0" applyFont="1" applyBorder="1" applyAlignment="1">
      <alignment horizontal="center"/>
    </xf>
    <xf numFmtId="0" fontId="58" fillId="0" borderId="60" xfId="0" applyFont="1" applyBorder="1" applyAlignment="1">
      <alignment horizontal="right"/>
    </xf>
    <xf numFmtId="0" fontId="58" fillId="0" borderId="3" xfId="0" applyFont="1" applyBorder="1" applyAlignment="1">
      <alignment horizontal="center"/>
    </xf>
    <xf numFmtId="0" fontId="127" fillId="0" borderId="0" xfId="0" applyFont="1" applyAlignment="1">
      <alignment horizontal="center"/>
    </xf>
    <xf numFmtId="0" fontId="126" fillId="0" borderId="43" xfId="0" applyFont="1" applyBorder="1" applyAlignment="1">
      <alignment horizontal="left"/>
    </xf>
    <xf numFmtId="0" fontId="58" fillId="0" borderId="0" xfId="0" applyFont="1" applyAlignment="1">
      <alignment horizontal="right"/>
    </xf>
    <xf numFmtId="0" fontId="126" fillId="0" borderId="0" xfId="0" applyFont="1" applyAlignment="1">
      <alignment horizontal="right"/>
    </xf>
    <xf numFmtId="0" fontId="124" fillId="0" borderId="44" xfId="0" applyFont="1" applyBorder="1" applyAlignment="1">
      <alignment horizontal="center"/>
    </xf>
    <xf numFmtId="0" fontId="126" fillId="0" borderId="43" xfId="0" applyFont="1" applyBorder="1" applyAlignment="1">
      <alignment horizontal="center"/>
    </xf>
    <xf numFmtId="0" fontId="126" fillId="0" borderId="0" xfId="0" applyFont="1" applyAlignment="1">
      <alignment horizontal="center"/>
    </xf>
    <xf numFmtId="0" fontId="58" fillId="0" borderId="3" xfId="0" applyFont="1" applyBorder="1"/>
    <xf numFmtId="0" fontId="58" fillId="0" borderId="63" xfId="0" applyFont="1" applyBorder="1" applyAlignment="1">
      <alignment horizontal="center"/>
    </xf>
    <xf numFmtId="0" fontId="58" fillId="0" borderId="60" xfId="0" applyFont="1" applyBorder="1" applyAlignment="1">
      <alignment horizontal="center"/>
    </xf>
    <xf numFmtId="0" fontId="175" fillId="0" borderId="0" xfId="0" applyFont="1" applyFill="1" applyBorder="1" applyAlignment="1">
      <alignment horizontal="left" vertical="center"/>
    </xf>
    <xf numFmtId="178" fontId="175" fillId="0" borderId="0" xfId="0" applyNumberFormat="1" applyFont="1" applyFill="1" applyBorder="1" applyAlignment="1">
      <alignment horizontal="center" vertical="center"/>
    </xf>
    <xf numFmtId="1" fontId="176" fillId="0" borderId="0" xfId="0" applyNumberFormat="1" applyFont="1" applyFill="1" applyBorder="1" applyAlignment="1">
      <alignment horizontal="center" vertical="center"/>
    </xf>
    <xf numFmtId="0" fontId="177" fillId="0" borderId="38" xfId="0" applyFont="1" applyBorder="1" applyAlignment="1">
      <alignment horizontal="center" vertical="center"/>
    </xf>
    <xf numFmtId="164" fontId="178" fillId="0" borderId="0" xfId="1" applyNumberFormat="1" applyFont="1" applyFill="1" applyBorder="1"/>
    <xf numFmtId="164" fontId="178" fillId="0" borderId="0" xfId="1" applyNumberFormat="1" applyFont="1" applyBorder="1"/>
    <xf numFmtId="0" fontId="178" fillId="0" borderId="0" xfId="0" applyFont="1"/>
    <xf numFmtId="0" fontId="177" fillId="4" borderId="7" xfId="0" applyFont="1" applyFill="1" applyBorder="1" applyAlignment="1">
      <alignment horizontal="left"/>
    </xf>
    <xf numFmtId="0" fontId="177" fillId="4" borderId="45" xfId="0" applyFont="1" applyFill="1" applyBorder="1" applyAlignment="1">
      <alignment horizontal="center"/>
    </xf>
    <xf numFmtId="0" fontId="177" fillId="4" borderId="51" xfId="0" applyFont="1" applyFill="1" applyBorder="1" applyAlignment="1">
      <alignment horizontal="center"/>
    </xf>
    <xf numFmtId="0" fontId="177" fillId="4" borderId="8" xfId="0" applyFont="1" applyFill="1" applyBorder="1" applyAlignment="1">
      <alignment horizontal="right"/>
    </xf>
    <xf numFmtId="0" fontId="177" fillId="0" borderId="1" xfId="0" applyFont="1" applyBorder="1" applyAlignment="1">
      <alignment horizontal="center"/>
    </xf>
    <xf numFmtId="169" fontId="24" fillId="0" borderId="1" xfId="0" applyNumberFormat="1" applyFont="1" applyBorder="1" applyAlignment="1">
      <alignment horizontal="center"/>
    </xf>
    <xf numFmtId="0" fontId="178" fillId="0" borderId="30" xfId="0" applyFont="1" applyBorder="1" applyAlignment="1">
      <alignment horizontal="left"/>
    </xf>
    <xf numFmtId="164" fontId="179" fillId="4" borderId="59" xfId="1" applyNumberFormat="1" applyFont="1" applyFill="1" applyBorder="1" applyAlignment="1">
      <alignment horizontal="right"/>
    </xf>
    <xf numFmtId="3" fontId="178" fillId="4" borderId="60" xfId="0" applyNumberFormat="1" applyFont="1" applyFill="1" applyBorder="1" applyAlignment="1">
      <alignment horizontal="center"/>
    </xf>
    <xf numFmtId="164" fontId="178" fillId="4" borderId="8" xfId="1" applyNumberFormat="1" applyFont="1" applyFill="1" applyBorder="1" applyAlignment="1">
      <alignment horizontal="right"/>
    </xf>
    <xf numFmtId="3" fontId="178" fillId="0" borderId="1" xfId="0" applyNumberFormat="1" applyFont="1" applyBorder="1" applyAlignment="1">
      <alignment horizontal="center"/>
    </xf>
    <xf numFmtId="164" fontId="178" fillId="0" borderId="1" xfId="1" applyNumberFormat="1" applyFont="1" applyFill="1" applyBorder="1" applyAlignment="1">
      <alignment horizontal="center"/>
    </xf>
    <xf numFmtId="169" fontId="180" fillId="0" borderId="0" xfId="0" applyNumberFormat="1" applyFont="1" applyProtection="1">
      <protection locked="0"/>
    </xf>
    <xf numFmtId="169" fontId="180" fillId="0" borderId="88" xfId="0" applyNumberFormat="1" applyFont="1" applyBorder="1" applyProtection="1">
      <protection locked="0"/>
    </xf>
    <xf numFmtId="169" fontId="180" fillId="0" borderId="89" xfId="0" applyNumberFormat="1" applyFont="1" applyBorder="1" applyProtection="1">
      <protection locked="0"/>
    </xf>
    <xf numFmtId="164" fontId="180" fillId="0" borderId="90" xfId="1" applyNumberFormat="1" applyFont="1" applyBorder="1" applyProtection="1">
      <protection locked="0"/>
    </xf>
    <xf numFmtId="0" fontId="178" fillId="0" borderId="32" xfId="0" applyFont="1" applyBorder="1" applyAlignment="1">
      <alignment horizontal="left"/>
    </xf>
    <xf numFmtId="164" fontId="179" fillId="4" borderId="49" xfId="1" applyNumberFormat="1" applyFont="1" applyFill="1" applyBorder="1" applyAlignment="1" applyProtection="1">
      <alignment horizontal="right"/>
      <protection locked="0"/>
    </xf>
    <xf numFmtId="3" fontId="178" fillId="4" borderId="4" xfId="0" applyNumberFormat="1" applyFont="1" applyFill="1" applyBorder="1" applyAlignment="1">
      <alignment horizontal="center"/>
    </xf>
    <xf numFmtId="0" fontId="178" fillId="0" borderId="33" xfId="0" applyFont="1" applyBorder="1" applyAlignment="1">
      <alignment horizontal="left"/>
    </xf>
    <xf numFmtId="164" fontId="179" fillId="4" borderId="50" xfId="1" applyNumberFormat="1" applyFont="1" applyFill="1" applyBorder="1" applyAlignment="1">
      <alignment horizontal="right"/>
    </xf>
    <xf numFmtId="3" fontId="178" fillId="4" borderId="41" xfId="0" applyNumberFormat="1" applyFont="1" applyFill="1" applyBorder="1" applyAlignment="1">
      <alignment horizontal="center"/>
    </xf>
    <xf numFmtId="164" fontId="178" fillId="0" borderId="0" xfId="0" applyNumberFormat="1" applyFont="1"/>
    <xf numFmtId="164" fontId="179" fillId="4" borderId="8" xfId="1" applyNumberFormat="1" applyFont="1" applyFill="1" applyBorder="1" applyAlignment="1">
      <alignment horizontal="right"/>
    </xf>
    <xf numFmtId="164" fontId="177" fillId="14" borderId="8" xfId="1" applyNumberFormat="1" applyFont="1" applyFill="1" applyBorder="1" applyAlignment="1">
      <alignment horizontal="right"/>
    </xf>
    <xf numFmtId="3" fontId="177" fillId="0" borderId="1" xfId="0" applyNumberFormat="1" applyFont="1" applyBorder="1" applyAlignment="1">
      <alignment horizontal="center"/>
    </xf>
    <xf numFmtId="164" fontId="183" fillId="0" borderId="0" xfId="1" applyNumberFormat="1" applyFont="1" applyBorder="1"/>
    <xf numFmtId="164" fontId="183" fillId="0" borderId="1" xfId="1" applyNumberFormat="1" applyFont="1" applyFill="1" applyBorder="1" applyAlignment="1">
      <alignment horizontal="left"/>
    </xf>
    <xf numFmtId="14" fontId="184" fillId="0" borderId="1" xfId="0" applyNumberFormat="1" applyFont="1" applyBorder="1" applyAlignment="1">
      <alignment horizontal="left"/>
    </xf>
    <xf numFmtId="0" fontId="185" fillId="0" borderId="1" xfId="0" applyFont="1" applyBorder="1" applyAlignment="1">
      <alignment horizontal="right" vertical="center"/>
    </xf>
    <xf numFmtId="164" fontId="183" fillId="0" borderId="1" xfId="1" applyNumberFormat="1" applyFont="1" applyFill="1" applyBorder="1" applyAlignment="1">
      <alignment horizontal="right"/>
    </xf>
    <xf numFmtId="0" fontId="182" fillId="0" borderId="1" xfId="0" applyFont="1" applyBorder="1" applyAlignment="1">
      <alignment horizontal="center"/>
    </xf>
    <xf numFmtId="164" fontId="183" fillId="0" borderId="1" xfId="1" applyNumberFormat="1" applyFont="1" applyBorder="1"/>
    <xf numFmtId="0" fontId="31" fillId="0" borderId="0" xfId="0" applyFont="1"/>
    <xf numFmtId="164" fontId="177" fillId="14" borderId="19" xfId="1" applyNumberFormat="1" applyFont="1" applyFill="1" applyBorder="1" applyAlignment="1">
      <alignment horizontal="right"/>
    </xf>
    <xf numFmtId="164" fontId="183" fillId="0" borderId="6" xfId="1" applyNumberFormat="1" applyFont="1" applyFill="1" applyBorder="1"/>
    <xf numFmtId="164" fontId="186" fillId="0" borderId="1" xfId="1" applyNumberFormat="1" applyFont="1" applyFill="1" applyBorder="1"/>
    <xf numFmtId="164" fontId="183" fillId="0" borderId="0" xfId="1" applyNumberFormat="1" applyFont="1" applyFill="1" applyBorder="1"/>
    <xf numFmtId="164" fontId="186" fillId="0" borderId="0" xfId="1" applyNumberFormat="1" applyFont="1" applyFill="1" applyBorder="1"/>
    <xf numFmtId="164" fontId="187" fillId="0" borderId="1" xfId="1" applyNumberFormat="1" applyFont="1" applyFill="1" applyBorder="1" applyAlignment="1">
      <alignment horizontal="center"/>
    </xf>
    <xf numFmtId="164" fontId="187" fillId="0" borderId="1" xfId="1" applyNumberFormat="1" applyFont="1" applyBorder="1"/>
    <xf numFmtId="164" fontId="188" fillId="0" borderId="1" xfId="1" applyNumberFormat="1" applyFont="1" applyBorder="1"/>
    <xf numFmtId="0" fontId="178" fillId="0" borderId="8" xfId="0" applyFont="1" applyBorder="1" applyAlignment="1">
      <alignment horizontal="left"/>
    </xf>
    <xf numFmtId="0" fontId="177" fillId="0" borderId="9" xfId="0" applyFont="1" applyBorder="1" applyAlignment="1">
      <alignment horizontal="left"/>
    </xf>
    <xf numFmtId="3" fontId="182" fillId="0" borderId="0" xfId="0" applyNumberFormat="1" applyFont="1" applyAlignment="1">
      <alignment horizontal="center"/>
    </xf>
    <xf numFmtId="164" fontId="31" fillId="0" borderId="1" xfId="1" applyNumberFormat="1" applyFont="1" applyBorder="1"/>
    <xf numFmtId="164" fontId="182" fillId="0" borderId="0" xfId="1" applyNumberFormat="1" applyFont="1" applyFill="1" applyBorder="1" applyAlignment="1">
      <alignment horizontal="center"/>
    </xf>
    <xf numFmtId="164" fontId="177" fillId="0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vertical="center"/>
    </xf>
    <xf numFmtId="164" fontId="182" fillId="0" borderId="1" xfId="1" applyNumberFormat="1" applyFont="1" applyFill="1" applyBorder="1" applyAlignment="1">
      <alignment horizontal="right"/>
    </xf>
    <xf numFmtId="0" fontId="177" fillId="9" borderId="1" xfId="0" applyFont="1" applyFill="1" applyBorder="1"/>
    <xf numFmtId="0" fontId="177" fillId="9" borderId="1" xfId="0" applyFont="1" applyFill="1" applyBorder="1" applyAlignment="1">
      <alignment horizontal="center"/>
    </xf>
    <xf numFmtId="164" fontId="177" fillId="2" borderId="1" xfId="1" applyNumberFormat="1" applyFont="1" applyFill="1" applyBorder="1" applyAlignment="1">
      <alignment horizontal="right"/>
    </xf>
    <xf numFmtId="164" fontId="178" fillId="0" borderId="0" xfId="1" applyNumberFormat="1" applyFont="1" applyFill="1" applyBorder="1" applyAlignment="1">
      <alignment horizontal="center"/>
    </xf>
    <xf numFmtId="164" fontId="177" fillId="14" borderId="7" xfId="1" applyNumberFormat="1" applyFont="1" applyFill="1" applyBorder="1" applyAlignment="1">
      <alignment horizontal="right"/>
    </xf>
    <xf numFmtId="0" fontId="181" fillId="0" borderId="1" xfId="0" applyFont="1" applyBorder="1"/>
    <xf numFmtId="164" fontId="177" fillId="0" borderId="65" xfId="1" applyNumberFormat="1" applyFont="1" applyFill="1" applyBorder="1" applyAlignment="1">
      <alignment horizontal="left"/>
    </xf>
    <xf numFmtId="164" fontId="173" fillId="0" borderId="1" xfId="1" applyNumberFormat="1" applyFont="1" applyFill="1" applyBorder="1" applyAlignment="1">
      <alignment horizontal="center"/>
    </xf>
    <xf numFmtId="164" fontId="178" fillId="0" borderId="1" xfId="1" applyNumberFormat="1" applyFont="1" applyFill="1" applyBorder="1" applyAlignment="1">
      <alignment horizontal="right"/>
    </xf>
    <xf numFmtId="167" fontId="178" fillId="0" borderId="1" xfId="1" applyNumberFormat="1" applyFont="1" applyFill="1" applyBorder="1" applyAlignment="1">
      <alignment horizontal="left"/>
    </xf>
    <xf numFmtId="164" fontId="178" fillId="0" borderId="1" xfId="1" applyNumberFormat="1" applyFont="1" applyFill="1" applyBorder="1"/>
    <xf numFmtId="164" fontId="177" fillId="0" borderId="49" xfId="1" applyNumberFormat="1" applyFont="1" applyFill="1" applyBorder="1" applyAlignment="1">
      <alignment horizontal="left"/>
    </xf>
    <xf numFmtId="164" fontId="177" fillId="0" borderId="50" xfId="1" applyNumberFormat="1" applyFont="1" applyFill="1" applyBorder="1" applyAlignment="1">
      <alignment horizontal="left"/>
    </xf>
    <xf numFmtId="164" fontId="173" fillId="0" borderId="34" xfId="1" applyNumberFormat="1" applyFont="1" applyFill="1" applyBorder="1" applyAlignment="1">
      <alignment horizontal="center"/>
    </xf>
    <xf numFmtId="164" fontId="178" fillId="0" borderId="34" xfId="1" applyNumberFormat="1" applyFont="1" applyFill="1" applyBorder="1" applyAlignment="1">
      <alignment horizontal="right"/>
    </xf>
    <xf numFmtId="164" fontId="177" fillId="55" borderId="7" xfId="1" applyNumberFormat="1" applyFont="1" applyFill="1" applyBorder="1" applyAlignment="1">
      <alignment horizontal="right" vertical="center"/>
    </xf>
    <xf numFmtId="164" fontId="181" fillId="55" borderId="15" xfId="1" applyNumberFormat="1" applyFont="1" applyFill="1" applyBorder="1" applyAlignment="1">
      <alignment horizontal="center" vertical="center"/>
    </xf>
    <xf numFmtId="164" fontId="181" fillId="55" borderId="14" xfId="1" applyNumberFormat="1" applyFont="1" applyFill="1" applyBorder="1" applyAlignment="1">
      <alignment horizontal="center" vertical="center"/>
    </xf>
    <xf numFmtId="164" fontId="177" fillId="55" borderId="19" xfId="1" applyNumberFormat="1" applyFont="1" applyFill="1" applyBorder="1" applyAlignment="1">
      <alignment horizontal="right" vertical="center"/>
    </xf>
    <xf numFmtId="164" fontId="177" fillId="4" borderId="19" xfId="1" applyNumberFormat="1" applyFont="1" applyFill="1" applyBorder="1" applyAlignment="1">
      <alignment horizontal="right"/>
    </xf>
    <xf numFmtId="167" fontId="178" fillId="0" borderId="0" xfId="1" applyNumberFormat="1" applyFont="1" applyFill="1" applyBorder="1" applyAlignment="1">
      <alignment horizontal="left"/>
    </xf>
    <xf numFmtId="164" fontId="177" fillId="0" borderId="7" xfId="1" applyNumberFormat="1" applyFont="1" applyFill="1" applyBorder="1" applyAlignment="1">
      <alignment horizontal="right" vertical="center"/>
    </xf>
    <xf numFmtId="164" fontId="177" fillId="53" borderId="7" xfId="1" applyNumberFormat="1" applyFont="1" applyFill="1" applyBorder="1" applyAlignment="1">
      <alignment horizontal="right"/>
    </xf>
    <xf numFmtId="164" fontId="177" fillId="55" borderId="27" xfId="1" applyNumberFormat="1" applyFont="1" applyFill="1" applyBorder="1" applyAlignment="1">
      <alignment horizontal="right" vertical="center"/>
    </xf>
    <xf numFmtId="164" fontId="190" fillId="55" borderId="7" xfId="1" applyNumberFormat="1" applyFont="1" applyFill="1" applyBorder="1" applyAlignment="1">
      <alignment horizontal="right" vertical="center"/>
    </xf>
    <xf numFmtId="164" fontId="182" fillId="2" borderId="1" xfId="1" applyNumberFormat="1" applyFont="1" applyFill="1" applyBorder="1" applyAlignment="1">
      <alignment horizontal="right"/>
    </xf>
    <xf numFmtId="0" fontId="68" fillId="0" borderId="0" xfId="0" applyFont="1"/>
    <xf numFmtId="164" fontId="177" fillId="14" borderId="16" xfId="1" applyNumberFormat="1" applyFont="1" applyFill="1" applyBorder="1" applyAlignment="1">
      <alignment horizontal="right"/>
    </xf>
    <xf numFmtId="0" fontId="177" fillId="0" borderId="0" xfId="0" applyFont="1" applyBorder="1" applyAlignment="1">
      <alignment horizontal="center"/>
    </xf>
    <xf numFmtId="3" fontId="178" fillId="0" borderId="0" xfId="0" applyNumberFormat="1" applyFont="1" applyBorder="1" applyAlignment="1">
      <alignment horizontal="center"/>
    </xf>
    <xf numFmtId="3" fontId="177" fillId="0" borderId="0" xfId="0" applyNumberFormat="1" applyFont="1" applyBorder="1" applyAlignment="1">
      <alignment horizontal="center"/>
    </xf>
    <xf numFmtId="0" fontId="182" fillId="0" borderId="0" xfId="0" applyFont="1" applyBorder="1" applyAlignment="1">
      <alignment horizontal="center"/>
    </xf>
    <xf numFmtId="164" fontId="181" fillId="55" borderId="1" xfId="1" applyNumberFormat="1" applyFont="1" applyFill="1" applyBorder="1" applyAlignment="1">
      <alignment horizontal="center" vertical="center"/>
    </xf>
    <xf numFmtId="175" fontId="183" fillId="0" borderId="49" xfId="1" applyNumberFormat="1" applyFont="1" applyFill="1" applyBorder="1" applyAlignment="1">
      <alignment horizontal="left"/>
    </xf>
    <xf numFmtId="0" fontId="182" fillId="2" borderId="1" xfId="0" applyFont="1" applyFill="1" applyBorder="1"/>
    <xf numFmtId="0" fontId="182" fillId="2" borderId="1" xfId="0" applyFont="1" applyFill="1" applyBorder="1" applyAlignment="1">
      <alignment horizontal="center"/>
    </xf>
    <xf numFmtId="0" fontId="177" fillId="55" borderId="1" xfId="0" applyFont="1" applyFill="1" applyBorder="1"/>
    <xf numFmtId="0" fontId="177" fillId="55" borderId="1" xfId="0" applyFont="1" applyFill="1" applyBorder="1" applyAlignment="1">
      <alignment horizontal="center"/>
    </xf>
    <xf numFmtId="164" fontId="177" fillId="55" borderId="1" xfId="1" applyNumberFormat="1" applyFont="1" applyFill="1" applyBorder="1" applyAlignment="1">
      <alignment horizontal="right"/>
    </xf>
    <xf numFmtId="43" fontId="66" fillId="22" borderId="15" xfId="1" applyFont="1" applyFill="1" applyBorder="1"/>
    <xf numFmtId="164" fontId="0" fillId="0" borderId="1" xfId="0" applyNumberFormat="1" applyBorder="1" applyAlignment="1">
      <alignment vertical="center"/>
    </xf>
    <xf numFmtId="43" fontId="66" fillId="0" borderId="31" xfId="1" applyFont="1" applyBorder="1"/>
    <xf numFmtId="0" fontId="0" fillId="0" borderId="0" xfId="0"/>
    <xf numFmtId="0" fontId="0" fillId="0" borderId="9" xfId="0" applyBorder="1"/>
    <xf numFmtId="165" fontId="65" fillId="4" borderId="9" xfId="6" applyFont="1" applyFill="1" applyBorder="1" applyAlignment="1"/>
    <xf numFmtId="0" fontId="66" fillId="0" borderId="0" xfId="0" applyFont="1"/>
    <xf numFmtId="3" fontId="65" fillId="4" borderId="31" xfId="6" applyNumberFormat="1" applyFont="1" applyFill="1" applyBorder="1"/>
    <xf numFmtId="3" fontId="65" fillId="22" borderId="7" xfId="6" applyNumberFormat="1" applyFont="1" applyFill="1" applyBorder="1"/>
    <xf numFmtId="3" fontId="65" fillId="22" borderId="0" xfId="6" applyNumberFormat="1" applyFont="1" applyFill="1" applyBorder="1"/>
    <xf numFmtId="3" fontId="37" fillId="0" borderId="0" xfId="6" applyNumberFormat="1" applyFont="1" applyFill="1" applyBorder="1"/>
    <xf numFmtId="3" fontId="38" fillId="0" borderId="0" xfId="6" applyNumberFormat="1" applyFont="1" applyFill="1" applyBorder="1"/>
    <xf numFmtId="164" fontId="66" fillId="0" borderId="0" xfId="1" applyNumberFormat="1" applyFont="1"/>
    <xf numFmtId="164" fontId="181" fillId="55" borderId="1" xfId="1" applyNumberFormat="1" applyFont="1" applyFill="1" applyBorder="1" applyAlignment="1">
      <alignment horizontal="center" vertical="center"/>
    </xf>
    <xf numFmtId="164" fontId="181" fillId="55" borderId="1" xfId="1" applyNumberFormat="1" applyFont="1" applyFill="1" applyBorder="1" applyAlignment="1">
      <alignment horizontal="center" vertical="center"/>
    </xf>
    <xf numFmtId="3" fontId="38" fillId="9" borderId="22" xfId="0" applyNumberFormat="1" applyFont="1" applyFill="1" applyBorder="1" applyAlignment="1">
      <alignment horizontal="center"/>
    </xf>
    <xf numFmtId="0" fontId="38" fillId="2" borderId="1" xfId="0" applyFont="1" applyFill="1" applyBorder="1"/>
    <xf numFmtId="164" fontId="38" fillId="2" borderId="1" xfId="0" applyNumberFormat="1" applyFont="1" applyFill="1" applyBorder="1"/>
    <xf numFmtId="0" fontId="38" fillId="2" borderId="1" xfId="0" applyFont="1" applyFill="1" applyBorder="1" applyAlignment="1">
      <alignment horizontal="center"/>
    </xf>
    <xf numFmtId="164" fontId="38" fillId="2" borderId="1" xfId="0" applyNumberFormat="1" applyFont="1" applyFill="1" applyBorder="1" applyAlignment="1">
      <alignment horizontal="center"/>
    </xf>
    <xf numFmtId="171" fontId="38" fillId="2" borderId="1" xfId="0" applyNumberFormat="1" applyFont="1" applyFill="1" applyBorder="1" applyAlignment="1">
      <alignment horizontal="center"/>
    </xf>
    <xf numFmtId="164" fontId="181" fillId="55" borderId="40" xfId="1" applyNumberFormat="1" applyFont="1" applyFill="1" applyBorder="1" applyAlignment="1">
      <alignment horizontal="center" vertical="center"/>
    </xf>
    <xf numFmtId="164" fontId="181" fillId="55" borderId="0" xfId="1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64" fontId="0" fillId="8" borderId="1" xfId="1" applyNumberFormat="1" applyFont="1" applyFill="1" applyBorder="1"/>
    <xf numFmtId="164" fontId="0" fillId="0" borderId="0" xfId="0" applyNumberFormat="1"/>
    <xf numFmtId="0" fontId="0" fillId="0" borderId="0" xfId="0"/>
    <xf numFmtId="0" fontId="0" fillId="0" borderId="0" xfId="0" applyFont="1"/>
    <xf numFmtId="169" fontId="25" fillId="9" borderId="1" xfId="0" applyNumberFormat="1" applyFont="1" applyFill="1" applyBorder="1"/>
    <xf numFmtId="3" fontId="63" fillId="0" borderId="22" xfId="0" applyNumberFormat="1" applyFont="1" applyBorder="1"/>
    <xf numFmtId="3" fontId="63" fillId="2" borderId="22" xfId="0" applyNumberFormat="1" applyFont="1" applyFill="1" applyBorder="1"/>
    <xf numFmtId="0" fontId="66" fillId="0" borderId="1" xfId="0" applyFont="1" applyBorder="1"/>
    <xf numFmtId="3" fontId="66" fillId="0" borderId="30" xfId="6" applyNumberFormat="1" applyFont="1" applyBorder="1"/>
    <xf numFmtId="3" fontId="68" fillId="5" borderId="22" xfId="6" applyNumberFormat="1" applyFont="1" applyFill="1" applyBorder="1"/>
    <xf numFmtId="3" fontId="66" fillId="0" borderId="1" xfId="0" applyNumberFormat="1" applyFont="1" applyBorder="1"/>
    <xf numFmtId="0" fontId="66" fillId="0" borderId="1" xfId="0" applyFont="1" applyFill="1" applyBorder="1"/>
    <xf numFmtId="0" fontId="66" fillId="0" borderId="68" xfId="0" applyFont="1" applyBorder="1"/>
    <xf numFmtId="3" fontId="66" fillId="0" borderId="49" xfId="0" applyNumberFormat="1" applyFont="1" applyBorder="1"/>
    <xf numFmtId="3" fontId="66" fillId="0" borderId="68" xfId="0" applyNumberFormat="1" applyFont="1" applyBorder="1"/>
    <xf numFmtId="0" fontId="66" fillId="0" borderId="68" xfId="0" applyFont="1" applyFill="1" applyBorder="1"/>
    <xf numFmtId="0" fontId="66" fillId="0" borderId="71" xfId="0" applyFont="1" applyFill="1" applyBorder="1"/>
    <xf numFmtId="43" fontId="66" fillId="0" borderId="21" xfId="1" applyFont="1" applyBorder="1"/>
    <xf numFmtId="3" fontId="173" fillId="4" borderId="0" xfId="6" applyNumberFormat="1" applyFont="1" applyFill="1" applyBorder="1" applyAlignment="1">
      <alignment wrapText="1"/>
    </xf>
    <xf numFmtId="169" fontId="178" fillId="0" borderId="88" xfId="0" applyNumberFormat="1" applyFont="1" applyBorder="1" applyProtection="1">
      <protection locked="0"/>
    </xf>
    <xf numFmtId="169" fontId="178" fillId="0" borderId="89" xfId="0" applyNumberFormat="1" applyFont="1" applyBorder="1" applyProtection="1">
      <protection locked="0"/>
    </xf>
    <xf numFmtId="164" fontId="178" fillId="0" borderId="90" xfId="1" applyNumberFormat="1" applyFont="1" applyBorder="1" applyProtection="1">
      <protection locked="0"/>
    </xf>
    <xf numFmtId="3" fontId="182" fillId="0" borderId="0" xfId="0" applyNumberFormat="1" applyFont="1" applyBorder="1" applyAlignment="1">
      <alignment horizontal="center"/>
    </xf>
    <xf numFmtId="0" fontId="183" fillId="0" borderId="0" xfId="0" applyFont="1"/>
    <xf numFmtId="164" fontId="182" fillId="0" borderId="0" xfId="1" applyNumberFormat="1" applyFont="1" applyBorder="1" applyAlignment="1">
      <alignment horizontal="center"/>
    </xf>
    <xf numFmtId="164" fontId="177" fillId="11" borderId="27" xfId="1" applyNumberFormat="1" applyFont="1" applyFill="1" applyBorder="1" applyAlignment="1">
      <alignment horizontal="right" vertical="center"/>
    </xf>
    <xf numFmtId="164" fontId="177" fillId="55" borderId="72" xfId="1" applyNumberFormat="1" applyFont="1" applyFill="1" applyBorder="1" applyAlignment="1">
      <alignment horizontal="right" vertical="center"/>
    </xf>
    <xf numFmtId="3" fontId="66" fillId="0" borderId="69" xfId="0" applyNumberFormat="1" applyFont="1" applyBorder="1"/>
    <xf numFmtId="3" fontId="66" fillId="0" borderId="1" xfId="0" applyNumberFormat="1" applyFont="1" applyFill="1" applyBorder="1"/>
    <xf numFmtId="3" fontId="66" fillId="0" borderId="70" xfId="0" applyNumberFormat="1" applyFont="1" applyFill="1" applyBorder="1"/>
    <xf numFmtId="4" fontId="38" fillId="9" borderId="22" xfId="0" applyNumberFormat="1" applyFont="1" applyFill="1" applyBorder="1" applyAlignment="1">
      <alignment horizontal="center"/>
    </xf>
    <xf numFmtId="14" fontId="184" fillId="0" borderId="17" xfId="0" applyNumberFormat="1" applyFont="1" applyBorder="1" applyAlignment="1">
      <alignment horizontal="left"/>
    </xf>
    <xf numFmtId="0" fontId="185" fillId="0" borderId="17" xfId="0" applyFont="1" applyBorder="1" applyAlignment="1">
      <alignment horizontal="right" vertical="center"/>
    </xf>
    <xf numFmtId="3" fontId="65" fillId="9" borderId="7" xfId="6" applyNumberFormat="1" applyFont="1" applyFill="1" applyBorder="1"/>
    <xf numFmtId="3" fontId="38" fillId="2" borderId="0" xfId="0" applyNumberFormat="1" applyFont="1" applyFill="1" applyBorder="1"/>
    <xf numFmtId="3" fontId="66" fillId="0" borderId="70" xfId="0" applyNumberFormat="1" applyFont="1" applyBorder="1"/>
    <xf numFmtId="0" fontId="23" fillId="16" borderId="1" xfId="0" applyFont="1" applyFill="1" applyBorder="1" applyAlignment="1">
      <alignment horizontal="center"/>
    </xf>
    <xf numFmtId="164" fontId="0" fillId="0" borderId="0" xfId="1" applyNumberFormat="1" applyFont="1" applyFill="1"/>
    <xf numFmtId="164" fontId="183" fillId="8" borderId="1" xfId="1" applyNumberFormat="1" applyFont="1" applyFill="1" applyBorder="1" applyAlignment="1">
      <alignment horizontal="right"/>
    </xf>
    <xf numFmtId="0" fontId="42" fillId="2" borderId="1" xfId="0" applyFont="1" applyFill="1" applyBorder="1" applyAlignment="1">
      <alignment horizontal="center" vertical="top"/>
    </xf>
    <xf numFmtId="3" fontId="25" fillId="2" borderId="1" xfId="0" applyNumberFormat="1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/>
    </xf>
    <xf numFmtId="3" fontId="23" fillId="2" borderId="1" xfId="0" applyNumberFormat="1" applyFont="1" applyFill="1" applyBorder="1" applyAlignment="1">
      <alignment horizontal="center"/>
    </xf>
    <xf numFmtId="168" fontId="25" fillId="2" borderId="1" xfId="3" applyNumberFormat="1" applyFont="1" applyFill="1" applyBorder="1" applyAlignment="1" applyProtection="1">
      <alignment horizontal="center" vertical="top"/>
      <protection locked="0"/>
    </xf>
    <xf numFmtId="1" fontId="25" fillId="2" borderId="1" xfId="3" applyNumberFormat="1" applyFont="1" applyFill="1" applyBorder="1" applyAlignment="1" applyProtection="1">
      <alignment horizontal="center" vertical="top"/>
      <protection locked="0"/>
    </xf>
    <xf numFmtId="168" fontId="25" fillId="2" borderId="1" xfId="3" applyNumberFormat="1" applyFont="1" applyFill="1" applyBorder="1" applyAlignment="1" applyProtection="1">
      <alignment horizontal="center" vertical="center"/>
      <protection locked="0"/>
    </xf>
    <xf numFmtId="168" fontId="47" fillId="2" borderId="1" xfId="3" applyNumberFormat="1" applyFont="1" applyFill="1" applyBorder="1" applyAlignment="1" applyProtection="1">
      <alignment horizontal="center" vertical="center"/>
      <protection locked="0"/>
    </xf>
    <xf numFmtId="0" fontId="47" fillId="2" borderId="1" xfId="3" applyNumberFormat="1" applyFont="1" applyFill="1" applyBorder="1" applyAlignment="1" applyProtection="1">
      <alignment horizontal="center"/>
      <protection locked="0"/>
    </xf>
    <xf numFmtId="168" fontId="25" fillId="2" borderId="1" xfId="3" applyNumberFormat="1" applyFont="1" applyFill="1" applyBorder="1" applyAlignment="1" applyProtection="1">
      <alignment horizontal="center"/>
      <protection locked="0"/>
    </xf>
    <xf numFmtId="173" fontId="47" fillId="2" borderId="1" xfId="3" applyFont="1" applyFill="1" applyBorder="1" applyAlignment="1" applyProtection="1">
      <alignment horizontal="center" vertical="center"/>
      <protection locked="0"/>
    </xf>
    <xf numFmtId="0" fontId="47" fillId="2" borderId="1" xfId="0" applyFont="1" applyFill="1" applyBorder="1" applyAlignment="1" applyProtection="1">
      <alignment horizontal="center" vertical="center"/>
      <protection locked="0"/>
    </xf>
    <xf numFmtId="0" fontId="42" fillId="2" borderId="1" xfId="0" applyFont="1" applyFill="1" applyBorder="1" applyAlignment="1" applyProtection="1">
      <alignment horizontal="center" vertical="top"/>
      <protection locked="0"/>
    </xf>
    <xf numFmtId="0" fontId="47" fillId="2" borderId="1" xfId="0" applyNumberFormat="1" applyFont="1" applyFill="1" applyBorder="1" applyAlignment="1" applyProtection="1">
      <alignment horizontal="center" vertical="center"/>
      <protection locked="0"/>
    </xf>
    <xf numFmtId="0" fontId="47" fillId="2" borderId="1" xfId="3" applyNumberFormat="1" applyFont="1" applyFill="1" applyBorder="1" applyAlignment="1" applyProtection="1">
      <alignment horizontal="center" vertical="center"/>
      <protection locked="0"/>
    </xf>
    <xf numFmtId="3" fontId="25" fillId="2" borderId="1" xfId="0" applyNumberFormat="1" applyFont="1" applyFill="1" applyBorder="1" applyAlignment="1" applyProtection="1">
      <alignment horizontal="center" vertical="top"/>
      <protection locked="0"/>
    </xf>
    <xf numFmtId="3" fontId="25" fillId="2" borderId="1" xfId="0" applyNumberFormat="1" applyFont="1" applyFill="1" applyBorder="1" applyAlignment="1" applyProtection="1">
      <alignment horizontal="center" vertical="center"/>
      <protection locked="0"/>
    </xf>
    <xf numFmtId="3" fontId="17" fillId="2" borderId="1" xfId="0" applyNumberFormat="1" applyFont="1" applyFill="1" applyBorder="1" applyProtection="1">
      <protection locked="0"/>
    </xf>
    <xf numFmtId="0" fontId="40" fillId="2" borderId="1" xfId="0" applyFont="1" applyFill="1" applyBorder="1" applyAlignment="1" applyProtection="1">
      <alignment horizontal="center" vertical="center"/>
      <protection locked="0"/>
    </xf>
    <xf numFmtId="3" fontId="47" fillId="2" borderId="1" xfId="0" applyNumberFormat="1" applyFont="1" applyFill="1" applyBorder="1" applyAlignment="1" applyProtection="1">
      <alignment horizontal="center" vertical="center"/>
      <protection locked="0"/>
    </xf>
    <xf numFmtId="43" fontId="0" fillId="15" borderId="1" xfId="1" applyFont="1" applyFill="1" applyBorder="1"/>
    <xf numFmtId="43" fontId="0" fillId="0" borderId="1" xfId="1" applyNumberFormat="1" applyFont="1" applyFill="1" applyBorder="1"/>
    <xf numFmtId="43" fontId="0" fillId="8" borderId="1" xfId="1" applyNumberFormat="1" applyFont="1" applyFill="1" applyBorder="1"/>
    <xf numFmtId="43" fontId="0" fillId="15" borderId="1" xfId="1" applyNumberFormat="1" applyFont="1" applyFill="1" applyBorder="1"/>
    <xf numFmtId="164" fontId="38" fillId="8" borderId="1" xfId="1" applyNumberFormat="1" applyFont="1" applyFill="1" applyBorder="1"/>
    <xf numFmtId="164" fontId="182" fillId="14" borderId="19" xfId="1" applyNumberFormat="1" applyFont="1" applyFill="1" applyBorder="1" applyAlignment="1">
      <alignment horizontal="right"/>
    </xf>
    <xf numFmtId="168" fontId="42" fillId="2" borderId="1" xfId="3" applyNumberFormat="1" applyFont="1" applyFill="1" applyBorder="1" applyAlignment="1" applyProtection="1">
      <alignment horizontal="center" vertical="top"/>
      <protection locked="0"/>
    </xf>
    <xf numFmtId="43" fontId="38" fillId="9" borderId="22" xfId="1" applyFont="1" applyFill="1" applyBorder="1" applyAlignment="1">
      <alignment horizontal="center"/>
    </xf>
    <xf numFmtId="164" fontId="66" fillId="0" borderId="0" xfId="0" applyNumberFormat="1" applyFont="1" applyFill="1" applyBorder="1"/>
    <xf numFmtId="3" fontId="25" fillId="16" borderId="1" xfId="0" applyNumberFormat="1" applyFont="1" applyFill="1" applyBorder="1" applyAlignment="1" applyProtection="1">
      <alignment horizontal="center" vertical="center"/>
      <protection locked="0"/>
    </xf>
    <xf numFmtId="164" fontId="183" fillId="2" borderId="1" xfId="1" applyNumberFormat="1" applyFont="1" applyFill="1" applyBorder="1"/>
    <xf numFmtId="164" fontId="187" fillId="0" borderId="65" xfId="1" applyNumberFormat="1" applyFont="1" applyFill="1" applyBorder="1" applyAlignment="1">
      <alignment horizontal="center"/>
    </xf>
    <xf numFmtId="164" fontId="187" fillId="0" borderId="66" xfId="1" applyNumberFormat="1" applyFont="1" applyBorder="1"/>
    <xf numFmtId="164" fontId="188" fillId="0" borderId="66" xfId="1" applyNumberFormat="1" applyFont="1" applyBorder="1"/>
    <xf numFmtId="164" fontId="188" fillId="0" borderId="67" xfId="1" applyNumberFormat="1" applyFont="1" applyBorder="1"/>
    <xf numFmtId="164" fontId="183" fillId="0" borderId="49" xfId="1" applyNumberFormat="1" applyFont="1" applyFill="1" applyBorder="1" applyAlignment="1">
      <alignment horizontal="right"/>
    </xf>
    <xf numFmtId="164" fontId="31" fillId="0" borderId="68" xfId="1" applyNumberFormat="1" applyFont="1" applyBorder="1"/>
    <xf numFmtId="164" fontId="182" fillId="0" borderId="69" xfId="1" applyNumberFormat="1" applyFont="1" applyFill="1" applyBorder="1" applyAlignment="1">
      <alignment horizontal="right"/>
    </xf>
    <xf numFmtId="164" fontId="182" fillId="0" borderId="70" xfId="1" applyNumberFormat="1" applyFont="1" applyFill="1" applyBorder="1" applyAlignment="1">
      <alignment horizontal="right"/>
    </xf>
    <xf numFmtId="164" fontId="182" fillId="0" borderId="71" xfId="1" applyNumberFormat="1" applyFont="1" applyFill="1" applyBorder="1" applyAlignment="1">
      <alignment horizontal="right"/>
    </xf>
    <xf numFmtId="164" fontId="193" fillId="0" borderId="0" xfId="1" applyNumberFormat="1" applyFont="1" applyFill="1" applyBorder="1" applyAlignment="1">
      <alignment horizontal="center"/>
    </xf>
    <xf numFmtId="164" fontId="194" fillId="0" borderId="0" xfId="1" applyNumberFormat="1" applyFont="1"/>
    <xf numFmtId="164" fontId="34" fillId="0" borderId="0" xfId="1" applyNumberFormat="1" applyFont="1"/>
    <xf numFmtId="164" fontId="194" fillId="0" borderId="0" xfId="1" applyNumberFormat="1" applyFont="1" applyFill="1" applyBorder="1" applyAlignment="1">
      <alignment horizontal="center"/>
    </xf>
    <xf numFmtId="164" fontId="195" fillId="0" borderId="0" xfId="1" applyNumberFormat="1" applyFont="1" applyBorder="1"/>
    <xf numFmtId="164" fontId="194" fillId="0" borderId="0" xfId="1" applyNumberFormat="1" applyFont="1" applyFill="1" applyBorder="1"/>
    <xf numFmtId="0" fontId="194" fillId="0" borderId="0" xfId="0" applyFont="1"/>
    <xf numFmtId="0" fontId="34" fillId="0" borderId="0" xfId="0" applyFont="1"/>
    <xf numFmtId="164" fontId="194" fillId="0" borderId="0" xfId="0" applyNumberFormat="1" applyFont="1"/>
    <xf numFmtId="164" fontId="34" fillId="0" borderId="0" xfId="0" applyNumberFormat="1" applyFont="1"/>
    <xf numFmtId="0" fontId="186" fillId="0" borderId="0" xfId="0" applyFont="1"/>
    <xf numFmtId="0" fontId="66" fillId="2" borderId="33" xfId="0" applyFont="1" applyFill="1" applyBorder="1"/>
    <xf numFmtId="0" fontId="196" fillId="48" borderId="0" xfId="12" applyNumberFormat="1" applyFont="1" applyFill="1" applyBorder="1" applyAlignment="1">
      <alignment vertical="center"/>
    </xf>
    <xf numFmtId="0" fontId="197" fillId="0" borderId="0" xfId="0" applyFont="1"/>
    <xf numFmtId="0" fontId="198" fillId="48" borderId="0" xfId="0" applyFont="1" applyFill="1" applyBorder="1" applyAlignment="1">
      <alignment vertical="center"/>
    </xf>
    <xf numFmtId="0" fontId="198" fillId="48" borderId="0" xfId="0" applyFont="1" applyFill="1" applyBorder="1" applyAlignment="1">
      <alignment horizontal="right" vertical="center"/>
    </xf>
    <xf numFmtId="177" fontId="198" fillId="48" borderId="0" xfId="0" applyNumberFormat="1" applyFont="1" applyFill="1" applyBorder="1" applyAlignment="1">
      <alignment vertical="center"/>
    </xf>
    <xf numFmtId="0" fontId="199" fillId="48" borderId="0" xfId="0" applyFont="1" applyFill="1" applyAlignment="1">
      <alignment vertical="center"/>
    </xf>
    <xf numFmtId="0" fontId="198" fillId="48" borderId="0" xfId="0" applyFont="1" applyFill="1" applyBorder="1" applyAlignment="1">
      <alignment horizontal="center" vertical="center"/>
    </xf>
    <xf numFmtId="0" fontId="200" fillId="48" borderId="0" xfId="0" applyFont="1" applyFill="1" applyBorder="1" applyAlignment="1">
      <alignment vertical="center"/>
    </xf>
    <xf numFmtId="0" fontId="201" fillId="0" borderId="0" xfId="0" applyFont="1" applyFill="1" applyAlignment="1">
      <alignment vertical="center"/>
    </xf>
    <xf numFmtId="0" fontId="198" fillId="43" borderId="0" xfId="0" applyFont="1" applyFill="1" applyAlignment="1">
      <alignment vertical="center"/>
    </xf>
    <xf numFmtId="0" fontId="197" fillId="0" borderId="0" xfId="0" applyFont="1" applyFill="1" applyBorder="1" applyAlignment="1">
      <alignment vertical="center"/>
    </xf>
    <xf numFmtId="0" fontId="198" fillId="0" borderId="0" xfId="0" applyFont="1" applyFill="1" applyAlignment="1">
      <alignment vertical="center"/>
    </xf>
    <xf numFmtId="0" fontId="197" fillId="0" borderId="0" xfId="0" applyFont="1" applyBorder="1" applyAlignment="1">
      <alignment vertical="center"/>
    </xf>
    <xf numFmtId="0" fontId="202" fillId="0" borderId="0" xfId="0" applyFont="1" applyBorder="1" applyAlignment="1">
      <alignment vertical="center"/>
    </xf>
    <xf numFmtId="0" fontId="202" fillId="0" borderId="0" xfId="0" applyFont="1" applyBorder="1" applyAlignment="1">
      <alignment horizontal="right" vertical="center"/>
    </xf>
    <xf numFmtId="175" fontId="199" fillId="0" borderId="0" xfId="0" applyNumberFormat="1" applyFont="1"/>
    <xf numFmtId="175" fontId="203" fillId="46" borderId="82" xfId="0" applyNumberFormat="1" applyFont="1" applyFill="1" applyBorder="1" applyAlignment="1">
      <alignment horizontal="center"/>
    </xf>
    <xf numFmtId="175" fontId="204" fillId="46" borderId="83" xfId="0" applyNumberFormat="1" applyFont="1" applyFill="1" applyBorder="1" applyAlignment="1">
      <alignment horizontal="center"/>
    </xf>
    <xf numFmtId="0" fontId="205" fillId="0" borderId="7" xfId="0" applyFont="1" applyBorder="1" applyAlignment="1">
      <alignment vertical="center"/>
    </xf>
    <xf numFmtId="49" fontId="206" fillId="0" borderId="0" xfId="0" applyNumberFormat="1" applyFont="1" applyFill="1" applyBorder="1" applyAlignment="1">
      <alignment horizontal="left" vertical="center"/>
    </xf>
    <xf numFmtId="0" fontId="206" fillId="0" borderId="0" xfId="0" applyFont="1" applyFill="1" applyBorder="1" applyAlignment="1">
      <alignment horizontal="center" vertical="center"/>
    </xf>
    <xf numFmtId="49" fontId="198" fillId="12" borderId="0" xfId="13" applyNumberFormat="1" applyFont="1" applyFill="1" applyBorder="1" applyAlignment="1">
      <alignment horizontal="center"/>
    </xf>
    <xf numFmtId="0" fontId="205" fillId="0" borderId="7" xfId="0" applyFont="1" applyBorder="1" applyAlignment="1">
      <alignment horizontal="center" vertical="center"/>
    </xf>
    <xf numFmtId="0" fontId="206" fillId="0" borderId="0" xfId="0" applyFont="1" applyFill="1" applyBorder="1" applyAlignment="1" applyProtection="1">
      <alignment horizontal="center" vertical="center"/>
      <protection locked="0"/>
    </xf>
    <xf numFmtId="1" fontId="197" fillId="0" borderId="0" xfId="0" applyNumberFormat="1" applyFont="1" applyFill="1" applyBorder="1" applyAlignment="1" applyProtection="1">
      <alignment horizontal="center" vertical="center"/>
      <protection locked="0"/>
    </xf>
    <xf numFmtId="1" fontId="198" fillId="22" borderId="1" xfId="0" applyNumberFormat="1" applyFont="1" applyFill="1" applyBorder="1" applyAlignment="1">
      <alignment horizontal="center" vertical="center"/>
    </xf>
    <xf numFmtId="1" fontId="131" fillId="0" borderId="0" xfId="0" applyNumberFormat="1" applyFont="1"/>
    <xf numFmtId="0" fontId="206" fillId="0" borderId="81" xfId="0" applyFont="1" applyFill="1" applyBorder="1" applyAlignment="1">
      <alignment horizontal="left"/>
    </xf>
    <xf numFmtId="0" fontId="197" fillId="0" borderId="81" xfId="0" applyFont="1" applyFill="1" applyBorder="1" applyAlignment="1">
      <alignment horizontal="left"/>
    </xf>
    <xf numFmtId="1" fontId="201" fillId="0" borderId="0" xfId="0" applyNumberFormat="1" applyFont="1" applyFill="1" applyBorder="1" applyAlignment="1" applyProtection="1">
      <alignment horizontal="center" vertical="center"/>
      <protection locked="0"/>
    </xf>
    <xf numFmtId="0" fontId="199" fillId="0" borderId="7" xfId="0" applyFont="1" applyBorder="1"/>
    <xf numFmtId="0" fontId="207" fillId="0" borderId="0" xfId="0" applyFont="1" applyFill="1" applyBorder="1" applyAlignment="1">
      <alignment horizontal="left" vertical="center"/>
    </xf>
    <xf numFmtId="1" fontId="208" fillId="0" borderId="0" xfId="0" applyNumberFormat="1" applyFont="1" applyFill="1" applyBorder="1" applyAlignment="1">
      <alignment horizontal="center" vertical="center"/>
    </xf>
    <xf numFmtId="0" fontId="197" fillId="0" borderId="0" xfId="0" applyFont="1" applyFill="1" applyBorder="1" applyAlignment="1">
      <alignment horizontal="left" vertical="center"/>
    </xf>
    <xf numFmtId="178" fontId="197" fillId="0" borderId="0" xfId="0" applyNumberFormat="1" applyFont="1" applyFill="1" applyBorder="1" applyAlignment="1">
      <alignment horizontal="center" vertical="center"/>
    </xf>
    <xf numFmtId="0" fontId="4" fillId="0" borderId="92" xfId="0" applyFont="1" applyBorder="1" applyAlignment="1">
      <alignment horizontal="left" wrapText="1"/>
    </xf>
    <xf numFmtId="0" fontId="4" fillId="56" borderId="93" xfId="0" applyFont="1" applyFill="1" applyBorder="1" applyAlignment="1">
      <alignment horizontal="left"/>
    </xf>
    <xf numFmtId="0" fontId="4" fillId="0" borderId="92" xfId="0" applyFont="1" applyBorder="1" applyAlignment="1">
      <alignment horizontal="center" textRotation="45" wrapText="1"/>
    </xf>
    <xf numFmtId="0" fontId="4" fillId="0" borderId="92" xfId="0" applyFont="1" applyBorder="1" applyAlignment="1">
      <alignment textRotation="45" wrapText="1"/>
    </xf>
    <xf numFmtId="0" fontId="4" fillId="0" borderId="92" xfId="0" applyFont="1" applyBorder="1" applyAlignment="1">
      <alignment horizontal="center" wrapText="1"/>
    </xf>
    <xf numFmtId="0" fontId="17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center"/>
    </xf>
    <xf numFmtId="0" fontId="209" fillId="0" borderId="0" xfId="0" applyFont="1" applyAlignment="1">
      <alignment horizontal="left"/>
    </xf>
    <xf numFmtId="0" fontId="210" fillId="0" borderId="0" xfId="0" applyFont="1"/>
    <xf numFmtId="0" fontId="47" fillId="0" borderId="0" xfId="0" applyFont="1" applyBorder="1" applyAlignment="1">
      <alignment vertical="center"/>
    </xf>
    <xf numFmtId="0" fontId="47" fillId="0" borderId="0" xfId="0" applyFont="1" applyAlignment="1">
      <alignment horizontal="center"/>
    </xf>
    <xf numFmtId="0" fontId="47" fillId="0" borderId="0" xfId="0" applyFont="1"/>
    <xf numFmtId="0" fontId="47" fillId="0" borderId="17" xfId="0" applyFont="1" applyBorder="1" applyAlignment="1">
      <alignment horizontal="center" vertical="center"/>
    </xf>
    <xf numFmtId="0" fontId="211" fillId="0" borderId="8" xfId="0" applyFont="1" applyBorder="1" applyAlignment="1">
      <alignment horizontal="left" vertical="center"/>
    </xf>
    <xf numFmtId="0" fontId="211" fillId="0" borderId="7" xfId="0" applyFont="1" applyBorder="1" applyAlignment="1">
      <alignment horizontal="center" vertical="center"/>
    </xf>
    <xf numFmtId="0" fontId="211" fillId="0" borderId="10" xfId="0" applyFont="1" applyBorder="1" applyAlignment="1">
      <alignment horizontal="center" vertical="center"/>
    </xf>
    <xf numFmtId="0" fontId="212" fillId="0" borderId="0" xfId="0" applyFont="1"/>
    <xf numFmtId="0" fontId="213" fillId="0" borderId="0" xfId="0" applyFont="1"/>
    <xf numFmtId="0" fontId="15" fillId="0" borderId="0" xfId="0" applyFont="1"/>
    <xf numFmtId="0" fontId="214" fillId="0" borderId="16" xfId="0" applyFont="1" applyBorder="1" applyAlignment="1">
      <alignment horizontal="left" vertical="center"/>
    </xf>
    <xf numFmtId="0" fontId="47" fillId="0" borderId="19" xfId="0" applyFont="1" applyBorder="1" applyAlignment="1">
      <alignment horizontal="center" vertical="center"/>
    </xf>
    <xf numFmtId="0" fontId="214" fillId="0" borderId="27" xfId="0" applyFont="1" applyBorder="1" applyAlignment="1">
      <alignment horizontal="center" vertical="center"/>
    </xf>
    <xf numFmtId="168" fontId="215" fillId="0" borderId="74" xfId="19" applyNumberFormat="1" applyFont="1" applyBorder="1" applyAlignment="1">
      <alignment horizontal="center"/>
    </xf>
    <xf numFmtId="0" fontId="216" fillId="0" borderId="0" xfId="0" applyFont="1"/>
    <xf numFmtId="0" fontId="217" fillId="0" borderId="0" xfId="0" applyFont="1"/>
    <xf numFmtId="0" fontId="214" fillId="0" borderId="19" xfId="0" applyFont="1" applyBorder="1" applyAlignment="1">
      <alignment horizontal="left" vertical="center"/>
    </xf>
    <xf numFmtId="3" fontId="47" fillId="0" borderId="27" xfId="0" applyNumberFormat="1" applyFont="1" applyBorder="1" applyAlignment="1">
      <alignment horizontal="center" vertical="center"/>
    </xf>
    <xf numFmtId="0" fontId="47" fillId="0" borderId="27" xfId="0" applyFont="1" applyBorder="1" applyAlignment="1">
      <alignment horizontal="center" vertical="center"/>
    </xf>
    <xf numFmtId="0" fontId="214" fillId="57" borderId="19" xfId="0" applyFont="1" applyFill="1" applyBorder="1" applyAlignment="1">
      <alignment horizontal="left" vertical="center"/>
    </xf>
    <xf numFmtId="180" fontId="218" fillId="58" borderId="27" xfId="20" applyNumberFormat="1" applyFont="1" applyFill="1" applyBorder="1" applyAlignment="1">
      <alignment horizontal="center" vertical="center"/>
    </xf>
    <xf numFmtId="180" fontId="216" fillId="58" borderId="27" xfId="20" applyNumberFormat="1" applyFont="1" applyFill="1" applyBorder="1" applyAlignment="1">
      <alignment horizontal="center" vertical="center"/>
    </xf>
    <xf numFmtId="0" fontId="211" fillId="0" borderId="72" xfId="0" applyFont="1" applyBorder="1" applyAlignment="1">
      <alignment horizontal="center" vertical="center"/>
    </xf>
    <xf numFmtId="0" fontId="214" fillId="0" borderId="72" xfId="0" applyFont="1" applyBorder="1" applyAlignment="1">
      <alignment vertical="center"/>
    </xf>
    <xf numFmtId="168" fontId="219" fillId="0" borderId="68" xfId="20" applyNumberFormat="1" applyFont="1" applyBorder="1" applyAlignment="1">
      <alignment horizontal="center"/>
    </xf>
    <xf numFmtId="0" fontId="214" fillId="0" borderId="13" xfId="0" applyFont="1" applyBorder="1" applyAlignment="1">
      <alignment horizontal="left" vertical="center"/>
    </xf>
    <xf numFmtId="168" fontId="216" fillId="58" borderId="11" xfId="20" applyNumberFormat="1" applyFont="1" applyFill="1" applyBorder="1" applyAlignment="1">
      <alignment vertical="center"/>
    </xf>
    <xf numFmtId="168" fontId="216" fillId="58" borderId="15" xfId="20" applyNumberFormat="1" applyFont="1" applyFill="1" applyBorder="1" applyAlignment="1">
      <alignment vertical="center"/>
    </xf>
    <xf numFmtId="168" fontId="216" fillId="58" borderId="94" xfId="20" applyNumberFormat="1" applyFont="1" applyFill="1" applyBorder="1" applyAlignment="1">
      <alignment vertical="center"/>
    </xf>
    <xf numFmtId="0" fontId="214" fillId="0" borderId="95" xfId="0" applyFont="1" applyBorder="1" applyAlignment="1">
      <alignment horizontal="left" vertical="center"/>
    </xf>
    <xf numFmtId="168" fontId="216" fillId="58" borderId="96" xfId="20" applyNumberFormat="1" applyFont="1" applyFill="1" applyBorder="1" applyAlignment="1">
      <alignment vertical="center"/>
    </xf>
    <xf numFmtId="168" fontId="216" fillId="58" borderId="97" xfId="20" applyNumberFormat="1" applyFont="1" applyFill="1" applyBorder="1" applyAlignment="1">
      <alignment vertical="center"/>
    </xf>
    <xf numFmtId="168" fontId="216" fillId="58" borderId="98" xfId="20" applyNumberFormat="1" applyFont="1" applyFill="1" applyBorder="1" applyAlignment="1">
      <alignment vertical="center"/>
    </xf>
    <xf numFmtId="168" fontId="220" fillId="0" borderId="0" xfId="0" applyNumberFormat="1" applyFont="1"/>
    <xf numFmtId="0" fontId="221" fillId="59" borderId="99" xfId="0" applyFont="1" applyFill="1" applyBorder="1" applyAlignment="1">
      <alignment horizontal="center" vertical="center"/>
    </xf>
    <xf numFmtId="0" fontId="221" fillId="59" borderId="100" xfId="0" applyFont="1" applyFill="1" applyBorder="1" applyAlignment="1">
      <alignment horizontal="center" vertical="center"/>
    </xf>
    <xf numFmtId="0" fontId="221" fillId="59" borderId="101" xfId="0" applyFont="1" applyFill="1" applyBorder="1" applyAlignment="1">
      <alignment horizontal="center" vertical="center"/>
    </xf>
    <xf numFmtId="0" fontId="221" fillId="59" borderId="16" xfId="0" applyFont="1" applyFill="1" applyBorder="1" applyAlignment="1">
      <alignment horizontal="center" vertical="center"/>
    </xf>
    <xf numFmtId="0" fontId="221" fillId="59" borderId="17" xfId="0" applyFont="1" applyFill="1" applyBorder="1" applyAlignment="1">
      <alignment horizontal="center" vertical="center"/>
    </xf>
    <xf numFmtId="0" fontId="221" fillId="59" borderId="102" xfId="0" applyFont="1" applyFill="1" applyBorder="1" applyAlignment="1">
      <alignment horizontal="center" vertical="center"/>
    </xf>
    <xf numFmtId="9" fontId="222" fillId="0" borderId="0" xfId="5" applyFont="1"/>
    <xf numFmtId="0" fontId="223" fillId="0" borderId="59" xfId="0" applyFont="1" applyBorder="1"/>
    <xf numFmtId="0" fontId="95" fillId="0" borderId="66" xfId="0" applyFont="1" applyBorder="1" applyAlignment="1">
      <alignment horizontal="center" vertical="center"/>
    </xf>
    <xf numFmtId="0" fontId="95" fillId="0" borderId="67" xfId="0" applyFont="1" applyBorder="1" applyAlignment="1">
      <alignment horizontal="center" vertical="center"/>
    </xf>
    <xf numFmtId="0" fontId="216" fillId="0" borderId="0" xfId="0" applyFont="1" applyBorder="1"/>
    <xf numFmtId="0" fontId="215" fillId="0" borderId="59" xfId="0" applyFont="1" applyBorder="1"/>
    <xf numFmtId="3" fontId="214" fillId="0" borderId="1" xfId="20" applyNumberFormat="1" applyFont="1" applyBorder="1" applyAlignment="1">
      <alignment horizontal="center" vertical="top"/>
    </xf>
    <xf numFmtId="0" fontId="214" fillId="0" borderId="1" xfId="0" applyFont="1" applyBorder="1" applyAlignment="1">
      <alignment horizontal="center" vertical="center"/>
    </xf>
    <xf numFmtId="168" fontId="44" fillId="0" borderId="40" xfId="19" applyNumberFormat="1" applyFont="1" applyFill="1" applyBorder="1" applyAlignment="1">
      <alignment horizontal="center" vertical="top"/>
    </xf>
    <xf numFmtId="0" fontId="215" fillId="0" borderId="1" xfId="0" applyFont="1" applyBorder="1"/>
    <xf numFmtId="168" fontId="224" fillId="0" borderId="24" xfId="20" applyNumberFormat="1" applyFont="1" applyBorder="1" applyAlignment="1">
      <alignment horizontal="center" vertical="top"/>
    </xf>
    <xf numFmtId="168" fontId="216" fillId="0" borderId="0" xfId="0" applyNumberFormat="1" applyFont="1" applyBorder="1"/>
    <xf numFmtId="168" fontId="211" fillId="0" borderId="24" xfId="20" applyNumberFormat="1" applyFont="1" applyBorder="1" applyAlignment="1">
      <alignment horizontal="center" vertical="top"/>
    </xf>
    <xf numFmtId="3" fontId="214" fillId="0" borderId="6" xfId="20" applyNumberFormat="1" applyFont="1" applyBorder="1" applyAlignment="1">
      <alignment horizontal="center" vertical="top"/>
    </xf>
    <xf numFmtId="168" fontId="211" fillId="0" borderId="62" xfId="20" applyNumberFormat="1" applyFont="1" applyBorder="1" applyAlignment="1">
      <alignment horizontal="center" vertical="top"/>
    </xf>
    <xf numFmtId="0" fontId="215" fillId="0" borderId="49" xfId="0" applyFont="1" applyBorder="1"/>
    <xf numFmtId="168" fontId="211" fillId="0" borderId="62" xfId="20" applyNumberFormat="1" applyFont="1" applyBorder="1" applyAlignment="1">
      <alignment horizontal="center" vertical="center"/>
    </xf>
    <xf numFmtId="9" fontId="216" fillId="0" borderId="0" xfId="5" applyFont="1" applyBorder="1"/>
    <xf numFmtId="168" fontId="211" fillId="0" borderId="1" xfId="20" applyNumberFormat="1" applyFont="1" applyBorder="1" applyAlignment="1">
      <alignment horizontal="center" vertical="center"/>
    </xf>
    <xf numFmtId="0" fontId="225" fillId="0" borderId="0" xfId="0" applyFont="1"/>
    <xf numFmtId="0" fontId="214" fillId="0" borderId="1" xfId="0" applyFont="1" applyBorder="1" applyAlignment="1">
      <alignment horizontal="left" vertical="center"/>
    </xf>
    <xf numFmtId="0" fontId="96" fillId="0" borderId="0" xfId="0" applyFont="1" applyBorder="1"/>
    <xf numFmtId="0" fontId="23" fillId="0" borderId="0" xfId="0" applyFont="1" applyBorder="1"/>
    <xf numFmtId="168" fontId="216" fillId="58" borderId="39" xfId="20" applyNumberFormat="1" applyFont="1" applyFill="1" applyBorder="1" applyAlignment="1">
      <alignment horizontal="center" vertical="center"/>
    </xf>
    <xf numFmtId="168" fontId="216" fillId="58" borderId="55" xfId="20" applyNumberFormat="1" applyFont="1" applyFill="1" applyBorder="1" applyAlignment="1">
      <alignment horizontal="center" vertical="center"/>
    </xf>
    <xf numFmtId="168" fontId="216" fillId="58" borderId="25" xfId="20" applyNumberFormat="1" applyFont="1" applyFill="1" applyBorder="1" applyAlignment="1">
      <alignment horizontal="center" vertical="center"/>
    </xf>
    <xf numFmtId="0" fontId="221" fillId="59" borderId="11" xfId="0" applyFont="1" applyFill="1" applyBorder="1" applyAlignment="1">
      <alignment horizontal="center" vertical="center"/>
    </xf>
    <xf numFmtId="0" fontId="221" fillId="59" borderId="15" xfId="0" applyFont="1" applyFill="1" applyBorder="1" applyAlignment="1">
      <alignment horizontal="center" vertical="center"/>
    </xf>
    <xf numFmtId="0" fontId="225" fillId="0" borderId="0" xfId="0" applyFont="1" applyBorder="1"/>
    <xf numFmtId="0" fontId="221" fillId="59" borderId="96" xfId="0" applyFont="1" applyFill="1" applyBorder="1" applyAlignment="1">
      <alignment horizontal="center" vertical="center"/>
    </xf>
    <xf numFmtId="0" fontId="221" fillId="59" borderId="97" xfId="0" applyFont="1" applyFill="1" applyBorder="1" applyAlignment="1">
      <alignment horizontal="center" vertical="center"/>
    </xf>
    <xf numFmtId="0" fontId="225" fillId="0" borderId="0" xfId="0" applyFont="1" applyBorder="1" applyAlignment="1">
      <alignment wrapText="1"/>
    </xf>
    <xf numFmtId="0" fontId="211" fillId="0" borderId="18" xfId="0" applyFont="1" applyBorder="1" applyAlignment="1">
      <alignment horizontal="left" vertical="center"/>
    </xf>
    <xf numFmtId="0" fontId="211" fillId="0" borderId="72" xfId="0" applyFont="1" applyBorder="1" applyAlignment="1">
      <alignment horizontal="center" vertical="center" wrapText="1"/>
    </xf>
    <xf numFmtId="0" fontId="211" fillId="0" borderId="0" xfId="0" applyFont="1" applyAlignment="1">
      <alignment horizontal="center" vertical="center"/>
    </xf>
    <xf numFmtId="0" fontId="211" fillId="0" borderId="18" xfId="0" applyFont="1" applyBorder="1" applyAlignment="1">
      <alignment horizontal="center" vertical="center"/>
    </xf>
    <xf numFmtId="0" fontId="95" fillId="0" borderId="1" xfId="0" applyFont="1" applyBorder="1" applyAlignment="1">
      <alignment horizontal="left"/>
    </xf>
    <xf numFmtId="169" fontId="214" fillId="0" borderId="1" xfId="0" applyNumberFormat="1" applyFont="1" applyBorder="1" applyAlignment="1">
      <alignment horizontal="left" vertical="center"/>
    </xf>
    <xf numFmtId="169" fontId="95" fillId="0" borderId="1" xfId="0" applyNumberFormat="1" applyFont="1" applyBorder="1"/>
    <xf numFmtId="169" fontId="215" fillId="0" borderId="1" xfId="0" applyNumberFormat="1" applyFont="1" applyBorder="1" applyAlignment="1">
      <alignment horizontal="center"/>
    </xf>
    <xf numFmtId="169" fontId="47" fillId="0" borderId="1" xfId="0" applyNumberFormat="1" applyFont="1" applyBorder="1"/>
    <xf numFmtId="169" fontId="44" fillId="0" borderId="1" xfId="0" applyNumberFormat="1" applyFont="1" applyBorder="1" applyAlignment="1">
      <alignment horizontal="center" vertical="center"/>
    </xf>
    <xf numFmtId="169" fontId="214" fillId="0" borderId="1" xfId="0" applyNumberFormat="1" applyFont="1" applyBorder="1" applyAlignment="1">
      <alignment horizontal="center" vertical="center"/>
    </xf>
    <xf numFmtId="169" fontId="212" fillId="0" borderId="0" xfId="0" applyNumberFormat="1" applyFont="1"/>
    <xf numFmtId="169" fontId="222" fillId="0" borderId="0" xfId="0" applyNumberFormat="1" applyFont="1" applyBorder="1"/>
    <xf numFmtId="0" fontId="222" fillId="0" borderId="0" xfId="0" applyFont="1" applyBorder="1"/>
    <xf numFmtId="0" fontId="19" fillId="0" borderId="0" xfId="0" applyFont="1" applyBorder="1"/>
    <xf numFmtId="169" fontId="214" fillId="0" borderId="1" xfId="0" applyNumberFormat="1" applyFont="1" applyBorder="1" applyAlignment="1">
      <alignment vertical="center"/>
    </xf>
    <xf numFmtId="0" fontId="211" fillId="0" borderId="0" xfId="0" applyFont="1" applyBorder="1" applyAlignment="1">
      <alignment horizontal="left" vertical="center"/>
    </xf>
    <xf numFmtId="169" fontId="211" fillId="0" borderId="0" xfId="0" applyNumberFormat="1" applyFont="1" applyBorder="1" applyAlignment="1">
      <alignment vertical="center"/>
    </xf>
    <xf numFmtId="169" fontId="211" fillId="9" borderId="0" xfId="0" applyNumberFormat="1" applyFont="1" applyFill="1" applyBorder="1" applyAlignment="1">
      <alignment horizontal="center" vertical="center"/>
    </xf>
    <xf numFmtId="0" fontId="221" fillId="59" borderId="38" xfId="0" applyFont="1" applyFill="1" applyBorder="1" applyAlignment="1">
      <alignment horizontal="center" vertical="center"/>
    </xf>
    <xf numFmtId="0" fontId="221" fillId="59" borderId="0" xfId="0" applyFont="1" applyFill="1" applyBorder="1" applyAlignment="1">
      <alignment horizontal="center" vertical="center"/>
    </xf>
    <xf numFmtId="3" fontId="221" fillId="59" borderId="103" xfId="0" applyNumberFormat="1" applyFont="1" applyFill="1" applyBorder="1" applyAlignment="1">
      <alignment horizontal="center" vertical="center"/>
    </xf>
    <xf numFmtId="0" fontId="221" fillId="2" borderId="38" xfId="0" applyFont="1" applyFill="1" applyBorder="1" applyAlignment="1">
      <alignment horizontal="center" vertical="center"/>
    </xf>
    <xf numFmtId="0" fontId="221" fillId="2" borderId="0" xfId="0" applyFont="1" applyFill="1" applyBorder="1" applyAlignment="1">
      <alignment horizontal="center" vertical="center"/>
    </xf>
    <xf numFmtId="168" fontId="214" fillId="0" borderId="10" xfId="20" applyNumberFormat="1" applyFont="1" applyBorder="1" applyAlignment="1">
      <alignment horizontal="center" vertical="center"/>
    </xf>
    <xf numFmtId="168" fontId="214" fillId="0" borderId="0" xfId="20" applyNumberFormat="1" applyFont="1" applyBorder="1" applyAlignment="1">
      <alignment horizontal="center" vertical="center"/>
    </xf>
    <xf numFmtId="0" fontId="221" fillId="59" borderId="103" xfId="0" applyFont="1" applyFill="1" applyBorder="1" applyAlignment="1">
      <alignment horizontal="center" vertical="center"/>
    </xf>
    <xf numFmtId="0" fontId="222" fillId="0" borderId="0" xfId="0" applyFont="1"/>
    <xf numFmtId="0" fontId="19" fillId="0" borderId="0" xfId="0" applyFont="1"/>
    <xf numFmtId="0" fontId="214" fillId="0" borderId="16" xfId="0" applyFont="1" applyBorder="1" applyAlignment="1">
      <alignment vertical="center"/>
    </xf>
    <xf numFmtId="0" fontId="214" fillId="0" borderId="17" xfId="0" applyFont="1" applyBorder="1" applyAlignment="1">
      <alignment vertical="center"/>
    </xf>
    <xf numFmtId="168" fontId="214" fillId="0" borderId="72" xfId="20" applyNumberFormat="1" applyFont="1" applyBorder="1" applyAlignment="1">
      <alignment horizontal="center" vertical="center"/>
    </xf>
    <xf numFmtId="0" fontId="214" fillId="0" borderId="16" xfId="0" applyFont="1" applyBorder="1" applyAlignment="1">
      <alignment horizontal="center" vertical="center"/>
    </xf>
    <xf numFmtId="0" fontId="214" fillId="0" borderId="17" xfId="0" applyFont="1" applyBorder="1" applyAlignment="1">
      <alignment horizontal="center" vertical="center"/>
    </xf>
    <xf numFmtId="168" fontId="44" fillId="0" borderId="68" xfId="20" applyNumberFormat="1" applyFont="1" applyBorder="1" applyAlignment="1">
      <alignment horizontal="center"/>
    </xf>
    <xf numFmtId="0" fontId="215" fillId="0" borderId="56" xfId="0" applyFont="1" applyBorder="1" applyAlignment="1">
      <alignment horizontal="left"/>
    </xf>
    <xf numFmtId="0" fontId="215" fillId="0" borderId="104" xfId="0" applyFont="1" applyBorder="1" applyAlignment="1">
      <alignment horizontal="left"/>
    </xf>
    <xf numFmtId="168" fontId="47" fillId="0" borderId="1" xfId="20" applyNumberFormat="1" applyFont="1" applyFill="1" applyBorder="1" applyAlignment="1">
      <alignment horizontal="center"/>
    </xf>
    <xf numFmtId="3" fontId="225" fillId="0" borderId="0" xfId="0" applyNumberFormat="1" applyFont="1"/>
    <xf numFmtId="0" fontId="211" fillId="0" borderId="19" xfId="0" applyFont="1" applyBorder="1" applyAlignment="1">
      <alignment horizontal="left" vertical="center" wrapText="1"/>
    </xf>
    <xf numFmtId="168" fontId="47" fillId="0" borderId="68" xfId="20" applyNumberFormat="1" applyFont="1" applyFill="1" applyBorder="1" applyAlignment="1">
      <alignment horizontal="center"/>
    </xf>
    <xf numFmtId="0" fontId="211" fillId="0" borderId="13" xfId="0" applyFont="1" applyBorder="1" applyAlignment="1">
      <alignment horizontal="left" vertical="center"/>
    </xf>
    <xf numFmtId="3" fontId="25" fillId="0" borderId="0" xfId="0" applyNumberFormat="1" applyFont="1" applyAlignment="1"/>
    <xf numFmtId="0" fontId="25" fillId="0" borderId="0" xfId="0" applyFont="1" applyAlignment="1"/>
    <xf numFmtId="0" fontId="211" fillId="0" borderId="95" xfId="0" applyFont="1" applyBorder="1" applyAlignment="1">
      <alignment horizontal="left" vertical="center"/>
    </xf>
    <xf numFmtId="168" fontId="212" fillId="58" borderId="96" xfId="0" applyNumberFormat="1" applyFont="1" applyFill="1" applyBorder="1" applyAlignment="1">
      <alignment vertical="center"/>
    </xf>
    <xf numFmtId="168" fontId="212" fillId="58" borderId="97" xfId="0" applyNumberFormat="1" applyFont="1" applyFill="1" applyBorder="1" applyAlignment="1">
      <alignment vertical="center"/>
    </xf>
    <xf numFmtId="168" fontId="212" fillId="58" borderId="98" xfId="0" applyNumberFormat="1" applyFont="1" applyFill="1" applyBorder="1" applyAlignment="1">
      <alignment horizontal="center" vertical="center"/>
    </xf>
    <xf numFmtId="3" fontId="216" fillId="0" borderId="0" xfId="0" applyNumberFormat="1" applyFont="1"/>
    <xf numFmtId="0" fontId="47" fillId="0" borderId="105" xfId="0" applyFont="1" applyBorder="1" applyAlignment="1">
      <alignment horizontal="center" vertical="center"/>
    </xf>
    <xf numFmtId="0" fontId="47" fillId="0" borderId="106" xfId="0" applyFont="1" applyBorder="1" applyAlignment="1">
      <alignment horizontal="center" vertical="center"/>
    </xf>
    <xf numFmtId="168" fontId="216" fillId="0" borderId="0" xfId="5" applyNumberFormat="1" applyFont="1"/>
    <xf numFmtId="0" fontId="47" fillId="0" borderId="105" xfId="0" applyFont="1" applyBorder="1" applyAlignment="1">
      <alignment horizontal="left" vertical="center"/>
    </xf>
    <xf numFmtId="0" fontId="47" fillId="0" borderId="106" xfId="0" applyFont="1" applyFill="1" applyBorder="1" applyAlignment="1">
      <alignment horizontal="center" vertical="center"/>
    </xf>
    <xf numFmtId="3" fontId="216" fillId="0" borderId="106" xfId="0" applyNumberFormat="1" applyFont="1" applyFill="1" applyBorder="1" applyAlignment="1">
      <alignment horizontal="center" vertical="center"/>
    </xf>
    <xf numFmtId="3" fontId="216" fillId="0" borderId="107" xfId="0" applyNumberFormat="1" applyFont="1" applyFill="1" applyBorder="1" applyAlignment="1">
      <alignment horizontal="center" vertical="center"/>
    </xf>
    <xf numFmtId="3" fontId="47" fillId="0" borderId="0" xfId="0" applyNumberFormat="1" applyFont="1" applyAlignment="1"/>
    <xf numFmtId="3" fontId="216" fillId="60" borderId="106" xfId="0" applyNumberFormat="1" applyFont="1" applyFill="1" applyBorder="1" applyAlignment="1">
      <alignment vertical="center"/>
    </xf>
    <xf numFmtId="3" fontId="216" fillId="60" borderId="107" xfId="0" applyNumberFormat="1" applyFont="1" applyFill="1" applyBorder="1" applyAlignment="1">
      <alignment horizontal="center" vertical="center"/>
    </xf>
    <xf numFmtId="3" fontId="47" fillId="0" borderId="0" xfId="0" applyNumberFormat="1" applyFont="1"/>
    <xf numFmtId="0" fontId="47" fillId="0" borderId="99" xfId="0" applyFont="1" applyFill="1" applyBorder="1" applyAlignment="1">
      <alignment horizontal="left" vertical="center"/>
    </xf>
    <xf numFmtId="0" fontId="47" fillId="0" borderId="100" xfId="0" applyFont="1" applyFill="1" applyBorder="1" applyAlignment="1">
      <alignment horizontal="center" vertical="center"/>
    </xf>
    <xf numFmtId="3" fontId="47" fillId="0" borderId="106" xfId="0" applyNumberFormat="1" applyFont="1" applyFill="1" applyBorder="1" applyAlignment="1">
      <alignment horizontal="center" vertical="center"/>
    </xf>
    <xf numFmtId="3" fontId="47" fillId="0" borderId="107" xfId="0" applyNumberFormat="1" applyFont="1" applyFill="1" applyBorder="1" applyAlignment="1">
      <alignment horizontal="center" vertical="center"/>
    </xf>
    <xf numFmtId="0" fontId="221" fillId="61" borderId="99" xfId="0" applyFont="1" applyFill="1" applyBorder="1" applyAlignment="1">
      <alignment horizontal="center" vertical="center"/>
    </xf>
    <xf numFmtId="0" fontId="221" fillId="61" borderId="100" xfId="0" applyFont="1" applyFill="1" applyBorder="1" applyAlignment="1">
      <alignment horizontal="center" vertical="center"/>
    </xf>
    <xf numFmtId="0" fontId="221" fillId="61" borderId="101" xfId="0" applyFont="1" applyFill="1" applyBorder="1" applyAlignment="1">
      <alignment horizontal="center" vertical="center"/>
    </xf>
    <xf numFmtId="0" fontId="214" fillId="59" borderId="105" xfId="0" applyFont="1" applyFill="1" applyBorder="1" applyAlignment="1">
      <alignment horizontal="center" vertical="center"/>
    </xf>
    <xf numFmtId="0" fontId="214" fillId="59" borderId="106" xfId="0" applyFont="1" applyFill="1" applyBorder="1" applyAlignment="1">
      <alignment horizontal="center" vertical="center"/>
    </xf>
    <xf numFmtId="0" fontId="214" fillId="59" borderId="107" xfId="0" applyFont="1" applyFill="1" applyBorder="1" applyAlignment="1">
      <alignment horizontal="center" vertical="center"/>
    </xf>
    <xf numFmtId="0" fontId="211" fillId="23" borderId="19" xfId="0" applyFont="1" applyFill="1" applyBorder="1" applyAlignment="1">
      <alignment horizontal="left" vertical="center"/>
    </xf>
    <xf numFmtId="0" fontId="214" fillId="0" borderId="72" xfId="0" applyFont="1" applyBorder="1" applyAlignment="1">
      <alignment horizontal="center" vertical="center"/>
    </xf>
    <xf numFmtId="0" fontId="214" fillId="0" borderId="10" xfId="0" applyFont="1" applyBorder="1" applyAlignment="1">
      <alignment horizontal="center" vertical="center"/>
    </xf>
    <xf numFmtId="3" fontId="25" fillId="0" borderId="0" xfId="0" applyNumberFormat="1" applyFont="1"/>
    <xf numFmtId="0" fontId="214" fillId="27" borderId="19" xfId="0" applyFont="1" applyFill="1" applyBorder="1" applyAlignment="1">
      <alignment horizontal="left" vertical="center"/>
    </xf>
    <xf numFmtId="169" fontId="214" fillId="0" borderId="10" xfId="0" applyNumberFormat="1" applyFont="1" applyBorder="1" applyAlignment="1">
      <alignment horizontal="center" vertical="center"/>
    </xf>
    <xf numFmtId="169" fontId="214" fillId="0" borderId="27" xfId="0" applyNumberFormat="1" applyFont="1" applyBorder="1" applyAlignment="1">
      <alignment horizontal="center" vertical="center"/>
    </xf>
    <xf numFmtId="3" fontId="25" fillId="0" borderId="0" xfId="0" applyNumberFormat="1" applyFont="1" applyBorder="1"/>
    <xf numFmtId="0" fontId="214" fillId="27" borderId="7" xfId="0" applyFont="1" applyFill="1" applyBorder="1" applyAlignment="1">
      <alignment horizontal="left" vertical="center"/>
    </xf>
    <xf numFmtId="169" fontId="25" fillId="0" borderId="0" xfId="0" applyNumberFormat="1" applyFont="1" applyBorder="1"/>
    <xf numFmtId="0" fontId="211" fillId="23" borderId="0" xfId="0" applyFont="1" applyFill="1" applyBorder="1" applyAlignment="1">
      <alignment horizontal="left" vertical="center"/>
    </xf>
    <xf numFmtId="169" fontId="214" fillId="0" borderId="0" xfId="0" applyNumberFormat="1" applyFont="1" applyBorder="1" applyAlignment="1">
      <alignment horizontal="center" vertical="center"/>
    </xf>
    <xf numFmtId="0" fontId="211" fillId="27" borderId="7" xfId="0" applyFont="1" applyFill="1" applyBorder="1" applyAlignment="1">
      <alignment horizontal="left" vertical="center"/>
    </xf>
    <xf numFmtId="169" fontId="211" fillId="0" borderId="10" xfId="0" applyNumberFormat="1" applyFont="1" applyBorder="1" applyAlignment="1">
      <alignment horizontal="center" vertical="center"/>
    </xf>
    <xf numFmtId="0" fontId="211" fillId="27" borderId="19" xfId="0" applyFont="1" applyFill="1" applyBorder="1" applyAlignment="1">
      <alignment horizontal="left" vertical="center"/>
    </xf>
    <xf numFmtId="169" fontId="211" fillId="0" borderId="27" xfId="0" applyNumberFormat="1" applyFont="1" applyBorder="1" applyAlignment="1">
      <alignment horizontal="center" vertical="center"/>
    </xf>
    <xf numFmtId="0" fontId="226" fillId="0" borderId="7" xfId="0" applyFont="1" applyBorder="1" applyAlignment="1">
      <alignment horizontal="left" vertical="center"/>
    </xf>
    <xf numFmtId="0" fontId="227" fillId="2" borderId="15" xfId="0" applyFont="1" applyFill="1" applyBorder="1" applyAlignment="1">
      <alignment vertical="center"/>
    </xf>
    <xf numFmtId="0" fontId="227" fillId="2" borderId="15" xfId="0" applyFont="1" applyFill="1" applyBorder="1" applyAlignment="1">
      <alignment horizontal="center" vertical="center"/>
    </xf>
    <xf numFmtId="0" fontId="226" fillId="0" borderId="38" xfId="0" applyFont="1" applyBorder="1" applyAlignment="1">
      <alignment horizontal="left" vertical="center"/>
    </xf>
    <xf numFmtId="0" fontId="227" fillId="2" borderId="0" xfId="0" applyFont="1" applyFill="1" applyBorder="1" applyAlignment="1">
      <alignment vertical="center"/>
    </xf>
    <xf numFmtId="0" fontId="227" fillId="2" borderId="0" xfId="0" applyFont="1" applyFill="1" applyBorder="1" applyAlignment="1">
      <alignment horizontal="center" vertical="center"/>
    </xf>
    <xf numFmtId="0" fontId="228" fillId="0" borderId="38" xfId="0" applyFont="1" applyBorder="1" applyAlignment="1">
      <alignment horizontal="left"/>
    </xf>
    <xf numFmtId="0" fontId="226" fillId="0" borderId="0" xfId="0" applyFont="1" applyBorder="1" applyAlignment="1">
      <alignment horizontal="left" wrapText="1"/>
    </xf>
    <xf numFmtId="0" fontId="226" fillId="0" borderId="38" xfId="0" applyFont="1" applyBorder="1" applyAlignment="1">
      <alignment horizontal="left" vertical="center" wrapText="1"/>
    </xf>
    <xf numFmtId="0" fontId="226" fillId="0" borderId="0" xfId="0" applyFont="1" applyBorder="1" applyAlignment="1">
      <alignment horizontal="left" vertical="center" wrapText="1"/>
    </xf>
    <xf numFmtId="0" fontId="226" fillId="0" borderId="0" xfId="0" applyFont="1" applyBorder="1" applyAlignment="1">
      <alignment horizontal="center" vertical="center" wrapText="1"/>
    </xf>
    <xf numFmtId="0" fontId="226" fillId="0" borderId="72" xfId="0" applyFont="1" applyBorder="1" applyAlignment="1">
      <alignment horizontal="left" vertical="center" wrapText="1"/>
    </xf>
    <xf numFmtId="0" fontId="214" fillId="59" borderId="8" xfId="0" applyFont="1" applyFill="1" applyBorder="1" applyAlignment="1">
      <alignment horizontal="center" vertical="center"/>
    </xf>
    <xf numFmtId="0" fontId="214" fillId="59" borderId="9" xfId="0" applyFont="1" applyFill="1" applyBorder="1" applyAlignment="1">
      <alignment horizontal="center" vertical="center"/>
    </xf>
    <xf numFmtId="0" fontId="214" fillId="59" borderId="10" xfId="0" applyFont="1" applyFill="1" applyBorder="1" applyAlignment="1">
      <alignment horizontal="center" vertical="center"/>
    </xf>
    <xf numFmtId="0" fontId="214" fillId="0" borderId="13" xfId="0" applyFont="1" applyBorder="1" applyAlignment="1">
      <alignment horizontal="center" vertical="center"/>
    </xf>
    <xf numFmtId="0" fontId="17" fillId="0" borderId="0" xfId="0" applyNumberFormat="1" applyFont="1"/>
    <xf numFmtId="0" fontId="214" fillId="62" borderId="13" xfId="0" applyFont="1" applyFill="1" applyBorder="1" applyAlignment="1">
      <alignment horizontal="left" vertical="center"/>
    </xf>
    <xf numFmtId="0" fontId="214" fillId="0" borderId="19" xfId="0" applyFont="1" applyBorder="1" applyAlignment="1">
      <alignment horizontal="center" vertical="center"/>
    </xf>
    <xf numFmtId="0" fontId="214" fillId="62" borderId="95" xfId="0" applyFont="1" applyFill="1" applyBorder="1" applyAlignment="1">
      <alignment horizontal="left" vertical="center"/>
    </xf>
    <xf numFmtId="169" fontId="214" fillId="0" borderId="19" xfId="0" applyNumberFormat="1" applyFont="1" applyBorder="1" applyAlignment="1">
      <alignment horizontal="right" vertical="center"/>
    </xf>
    <xf numFmtId="0" fontId="17" fillId="0" borderId="0" xfId="0" applyNumberFormat="1" applyFont="1" applyFill="1" applyBorder="1"/>
    <xf numFmtId="0" fontId="17" fillId="0" borderId="0" xfId="0" applyNumberFormat="1" applyFont="1" applyFill="1"/>
    <xf numFmtId="0" fontId="214" fillId="28" borderId="19" xfId="0" applyFont="1" applyFill="1" applyBorder="1" applyAlignment="1">
      <alignment horizontal="left" vertical="center"/>
    </xf>
    <xf numFmtId="169" fontId="216" fillId="0" borderId="27" xfId="0" applyNumberFormat="1" applyFont="1" applyBorder="1" applyAlignment="1">
      <alignment horizontal="center" vertical="center"/>
    </xf>
    <xf numFmtId="0" fontId="214" fillId="28" borderId="18" xfId="0" applyFont="1" applyFill="1" applyBorder="1" applyAlignment="1">
      <alignment horizontal="left" vertical="center"/>
    </xf>
    <xf numFmtId="169" fontId="214" fillId="0" borderId="72" xfId="0" applyNumberFormat="1" applyFont="1" applyBorder="1" applyAlignment="1">
      <alignment horizontal="center" vertical="center"/>
    </xf>
    <xf numFmtId="0" fontId="214" fillId="28" borderId="7" xfId="0" applyFont="1" applyFill="1" applyBorder="1" applyAlignment="1">
      <alignment horizontal="left" vertical="center"/>
    </xf>
    <xf numFmtId="169" fontId="214" fillId="9" borderId="10" xfId="0" applyNumberFormat="1" applyFont="1" applyFill="1" applyBorder="1" applyAlignment="1">
      <alignment horizontal="center" vertical="center"/>
    </xf>
    <xf numFmtId="0" fontId="214" fillId="37" borderId="19" xfId="0" applyFont="1" applyFill="1" applyBorder="1" applyAlignment="1">
      <alignment horizontal="left" vertical="center"/>
    </xf>
    <xf numFmtId="169" fontId="216" fillId="61" borderId="27" xfId="0" applyNumberFormat="1" applyFont="1" applyFill="1" applyBorder="1" applyAlignment="1">
      <alignment horizontal="center" vertical="center"/>
    </xf>
    <xf numFmtId="0" fontId="229" fillId="61" borderId="11" xfId="0" applyFont="1" applyFill="1" applyBorder="1" applyAlignment="1">
      <alignment horizontal="left" vertical="center"/>
    </xf>
    <xf numFmtId="0" fontId="227" fillId="61" borderId="15" xfId="0" applyFont="1" applyFill="1" applyBorder="1" applyAlignment="1">
      <alignment vertical="center"/>
    </xf>
    <xf numFmtId="0" fontId="227" fillId="61" borderId="15" xfId="0" applyFont="1" applyFill="1" applyBorder="1" applyAlignment="1">
      <alignment horizontal="center" vertical="center"/>
    </xf>
    <xf numFmtId="0" fontId="47" fillId="0" borderId="0" xfId="0" applyNumberFormat="1" applyFont="1" applyFill="1"/>
    <xf numFmtId="169" fontId="216" fillId="0" borderId="10" xfId="0" applyNumberFormat="1" applyFont="1" applyBorder="1" applyAlignment="1">
      <alignment horizontal="center" vertical="center"/>
    </xf>
    <xf numFmtId="169" fontId="214" fillId="0" borderId="7" xfId="0" applyNumberFormat="1" applyFont="1" applyBorder="1" applyAlignment="1">
      <alignment horizontal="right" vertical="center"/>
    </xf>
    <xf numFmtId="0" fontId="214" fillId="61" borderId="38" xfId="0" applyFont="1" applyFill="1" applyBorder="1" applyAlignment="1">
      <alignment horizontal="left" vertical="center" wrapText="1"/>
    </xf>
    <xf numFmtId="0" fontId="214" fillId="61" borderId="0" xfId="0" applyFont="1" applyFill="1" applyBorder="1" applyAlignment="1">
      <alignment horizontal="left" vertical="center" wrapText="1"/>
    </xf>
    <xf numFmtId="0" fontId="214" fillId="61" borderId="0" xfId="0" applyFont="1" applyFill="1" applyBorder="1" applyAlignment="1">
      <alignment horizontal="center" vertical="center" wrapText="1"/>
    </xf>
    <xf numFmtId="0" fontId="17" fillId="0" borderId="0" xfId="0" applyFont="1" applyBorder="1"/>
    <xf numFmtId="0" fontId="214" fillId="61" borderId="16" xfId="0" applyFont="1" applyFill="1" applyBorder="1" applyAlignment="1">
      <alignment horizontal="left" vertical="center" wrapText="1"/>
    </xf>
    <xf numFmtId="0" fontId="214" fillId="61" borderId="17" xfId="0" applyFont="1" applyFill="1" applyBorder="1" applyAlignment="1">
      <alignment horizontal="left" vertical="center" wrapText="1"/>
    </xf>
    <xf numFmtId="0" fontId="214" fillId="61" borderId="17" xfId="0" applyFont="1" applyFill="1" applyBorder="1" applyAlignment="1">
      <alignment horizontal="center" vertical="center" wrapText="1"/>
    </xf>
    <xf numFmtId="0" fontId="214" fillId="61" borderId="72" xfId="0" applyFont="1" applyFill="1" applyBorder="1" applyAlignment="1">
      <alignment horizontal="left" vertical="center" wrapText="1"/>
    </xf>
    <xf numFmtId="168" fontId="17" fillId="0" borderId="0" xfId="20" applyNumberFormat="1" applyFont="1" applyBorder="1"/>
    <xf numFmtId="0" fontId="214" fillId="59" borderId="8" xfId="0" applyFont="1" applyFill="1" applyBorder="1" applyAlignment="1">
      <alignment horizontal="left" vertical="center"/>
    </xf>
    <xf numFmtId="0" fontId="214" fillId="61" borderId="27" xfId="0" applyFont="1" applyFill="1" applyBorder="1" applyAlignment="1">
      <alignment horizontal="left" vertical="center" wrapText="1"/>
    </xf>
    <xf numFmtId="9" fontId="217" fillId="0" borderId="0" xfId="5" applyFont="1" applyBorder="1"/>
    <xf numFmtId="0" fontId="214" fillId="29" borderId="16" xfId="0" applyFont="1" applyFill="1" applyBorder="1" applyAlignment="1">
      <alignment horizontal="left" vertical="center"/>
    </xf>
    <xf numFmtId="169" fontId="214" fillId="0" borderId="8" xfId="0" applyNumberFormat="1" applyFont="1" applyBorder="1" applyAlignment="1">
      <alignment horizontal="center" vertical="center"/>
    </xf>
    <xf numFmtId="169" fontId="214" fillId="0" borderId="108" xfId="0" applyNumberFormat="1" applyFont="1" applyBorder="1" applyAlignment="1">
      <alignment horizontal="center" vertical="center"/>
    </xf>
    <xf numFmtId="0" fontId="217" fillId="0" borderId="0" xfId="0" applyFont="1" applyBorder="1"/>
    <xf numFmtId="181" fontId="214" fillId="0" borderId="8" xfId="0" applyNumberFormat="1" applyFont="1" applyBorder="1" applyAlignment="1">
      <alignment horizontal="center" vertical="center"/>
    </xf>
    <xf numFmtId="181" fontId="214" fillId="0" borderId="108" xfId="0" applyNumberFormat="1" applyFont="1" applyBorder="1" applyAlignment="1">
      <alignment horizontal="center" vertical="center"/>
    </xf>
    <xf numFmtId="0" fontId="214" fillId="29" borderId="38" xfId="0" applyFont="1" applyFill="1" applyBorder="1" applyAlignment="1">
      <alignment horizontal="left" vertical="center"/>
    </xf>
    <xf numFmtId="182" fontId="214" fillId="0" borderId="8" xfId="0" applyNumberFormat="1" applyFont="1" applyBorder="1" applyAlignment="1">
      <alignment horizontal="center" vertical="center"/>
    </xf>
    <xf numFmtId="182" fontId="214" fillId="0" borderId="108" xfId="0" applyNumberFormat="1" applyFont="1" applyBorder="1" applyAlignment="1">
      <alignment horizontal="center" vertical="center"/>
    </xf>
    <xf numFmtId="0" fontId="213" fillId="0" borderId="0" xfId="0" applyFont="1" applyBorder="1"/>
    <xf numFmtId="0" fontId="231" fillId="0" borderId="11" xfId="0" applyFont="1" applyBorder="1" applyAlignment="1">
      <alignment horizontal="left" vertical="center"/>
    </xf>
    <xf numFmtId="0" fontId="214" fillId="0" borderId="15" xfId="0" applyFont="1" applyBorder="1" applyAlignment="1">
      <alignment vertical="center"/>
    </xf>
    <xf numFmtId="0" fontId="214" fillId="0" borderId="15" xfId="0" applyFont="1" applyBorder="1" applyAlignment="1">
      <alignment horizontal="center" vertical="center"/>
    </xf>
    <xf numFmtId="0" fontId="231" fillId="0" borderId="38" xfId="0" applyFont="1" applyBorder="1" applyAlignment="1">
      <alignment horizontal="left" vertical="center"/>
    </xf>
    <xf numFmtId="0" fontId="214" fillId="0" borderId="0" xfId="0" applyFont="1" applyBorder="1" applyAlignment="1">
      <alignment vertical="center"/>
    </xf>
    <xf numFmtId="0" fontId="214" fillId="0" borderId="0" xfId="0" applyFont="1" applyBorder="1" applyAlignment="1">
      <alignment horizontal="center" vertical="center"/>
    </xf>
    <xf numFmtId="169" fontId="214" fillId="0" borderId="14" xfId="0" applyNumberFormat="1" applyFont="1" applyBorder="1" applyAlignment="1">
      <alignment horizontal="center" vertical="center"/>
    </xf>
    <xf numFmtId="0" fontId="216" fillId="0" borderId="0" xfId="0" applyFont="1" applyBorder="1" applyAlignment="1">
      <alignment vertical="center"/>
    </xf>
    <xf numFmtId="0" fontId="212" fillId="0" borderId="38" xfId="0" applyFont="1" applyBorder="1" applyAlignment="1">
      <alignment horizontal="left" vertical="center"/>
    </xf>
    <xf numFmtId="0" fontId="95" fillId="0" borderId="38" xfId="0" applyFont="1" applyBorder="1" applyAlignment="1">
      <alignment horizontal="left" vertical="center"/>
    </xf>
    <xf numFmtId="0" fontId="95" fillId="0" borderId="0" xfId="0" applyFont="1" applyBorder="1" applyAlignment="1">
      <alignment horizontal="left" vertical="center" wrapText="1"/>
    </xf>
    <xf numFmtId="0" fontId="224" fillId="0" borderId="0" xfId="0" applyFont="1" applyAlignment="1">
      <alignment horizontal="left"/>
    </xf>
    <xf numFmtId="0" fontId="95" fillId="0" borderId="0" xfId="0" applyFont="1" applyBorder="1" applyAlignment="1">
      <alignment horizontal="center" vertical="center" wrapText="1"/>
    </xf>
    <xf numFmtId="0" fontId="95" fillId="0" borderId="72" xfId="0" applyFont="1" applyBorder="1" applyAlignment="1">
      <alignment horizontal="left" vertical="center" wrapText="1"/>
    </xf>
    <xf numFmtId="0" fontId="212" fillId="0" borderId="0" xfId="0" applyFont="1" applyBorder="1" applyAlignment="1">
      <alignment horizontal="center" vertical="center"/>
    </xf>
    <xf numFmtId="0" fontId="212" fillId="0" borderId="0" xfId="0" applyFont="1" applyBorder="1" applyAlignment="1">
      <alignment horizontal="left" vertical="center" wrapText="1"/>
    </xf>
    <xf numFmtId="0" fontId="212" fillId="0" borderId="0" xfId="0" applyFont="1" applyBorder="1" applyAlignment="1">
      <alignment horizontal="center" vertical="center" wrapText="1"/>
    </xf>
    <xf numFmtId="0" fontId="232" fillId="0" borderId="0" xfId="0" applyFont="1" applyBorder="1"/>
    <xf numFmtId="0" fontId="232" fillId="0" borderId="0" xfId="0" applyFont="1"/>
    <xf numFmtId="0" fontId="233" fillId="0" borderId="11" xfId="0" applyFont="1" applyBorder="1" applyAlignment="1">
      <alignment horizontal="left" vertical="center"/>
    </xf>
    <xf numFmtId="0" fontId="233" fillId="0" borderId="15" xfId="0" applyFont="1" applyBorder="1" applyAlignment="1">
      <alignment vertical="center"/>
    </xf>
    <xf numFmtId="0" fontId="234" fillId="0" borderId="15" xfId="0" applyFont="1" applyBorder="1" applyAlignment="1">
      <alignment horizontal="center" vertical="center"/>
    </xf>
    <xf numFmtId="0" fontId="231" fillId="0" borderId="0" xfId="0" applyFont="1" applyBorder="1" applyAlignment="1">
      <alignment vertical="center"/>
    </xf>
    <xf numFmtId="0" fontId="226" fillId="0" borderId="0" xfId="0" applyFont="1" applyBorder="1" applyAlignment="1">
      <alignment vertical="center"/>
    </xf>
    <xf numFmtId="0" fontId="212" fillId="0" borderId="72" xfId="0" applyFont="1" applyBorder="1" applyAlignment="1">
      <alignment horizontal="left" vertical="center" wrapText="1"/>
    </xf>
    <xf numFmtId="0" fontId="214" fillId="0" borderId="38" xfId="0" applyFont="1" applyBorder="1" applyAlignment="1">
      <alignment horizontal="left" vertical="center"/>
    </xf>
    <xf numFmtId="0" fontId="214" fillId="0" borderId="0" xfId="0" applyFont="1" applyAlignment="1">
      <alignment vertical="center"/>
    </xf>
    <xf numFmtId="0" fontId="214" fillId="0" borderId="0" xfId="0" applyFont="1" applyAlignment="1">
      <alignment horizontal="left" vertical="center"/>
    </xf>
    <xf numFmtId="0" fontId="95" fillId="0" borderId="0" xfId="0" applyFont="1" applyAlignment="1">
      <alignment horizontal="left" vertical="center"/>
    </xf>
    <xf numFmtId="0" fontId="216" fillId="59" borderId="16" xfId="0" applyFont="1" applyFill="1" applyBorder="1" applyAlignment="1">
      <alignment horizontal="left" vertical="center"/>
    </xf>
    <xf numFmtId="0" fontId="216" fillId="59" borderId="17" xfId="0" applyFont="1" applyFill="1" applyBorder="1" applyAlignment="1">
      <alignment horizontal="left" vertical="center"/>
    </xf>
    <xf numFmtId="0" fontId="216" fillId="59" borderId="17" xfId="0" applyFont="1" applyFill="1" applyBorder="1" applyAlignment="1">
      <alignment horizontal="center" vertical="center"/>
    </xf>
    <xf numFmtId="0" fontId="214" fillId="0" borderId="8" xfId="0" applyFont="1" applyBorder="1" applyAlignment="1">
      <alignment horizontal="center" vertical="center"/>
    </xf>
    <xf numFmtId="0" fontId="214" fillId="0" borderId="9" xfId="0" applyFont="1" applyBorder="1" applyAlignment="1">
      <alignment horizontal="center" vertical="center"/>
    </xf>
    <xf numFmtId="0" fontId="216" fillId="59" borderId="102" xfId="0" applyFont="1" applyFill="1" applyBorder="1" applyAlignment="1">
      <alignment horizontal="left" vertical="center"/>
    </xf>
    <xf numFmtId="3" fontId="214" fillId="0" borderId="8" xfId="0" applyNumberFormat="1" applyFont="1" applyBorder="1" applyAlignment="1">
      <alignment horizontal="center" vertical="center"/>
    </xf>
    <xf numFmtId="3" fontId="214" fillId="0" borderId="9" xfId="0" applyNumberFormat="1" applyFont="1" applyBorder="1" applyAlignment="1">
      <alignment horizontal="center" vertical="center"/>
    </xf>
    <xf numFmtId="0" fontId="214" fillId="0" borderId="108" xfId="0" applyFont="1" applyBorder="1" applyAlignment="1">
      <alignment horizontal="center" vertical="center"/>
    </xf>
    <xf numFmtId="0" fontId="229" fillId="0" borderId="11" xfId="0" applyFont="1" applyBorder="1" applyAlignment="1">
      <alignment horizontal="left" vertical="center"/>
    </xf>
    <xf numFmtId="0" fontId="229" fillId="0" borderId="15" xfId="0" applyFont="1" applyBorder="1" applyAlignment="1">
      <alignment vertical="center"/>
    </xf>
    <xf numFmtId="0" fontId="229" fillId="0" borderId="15" xfId="0" applyFont="1" applyBorder="1" applyAlignment="1">
      <alignment horizontal="center" vertical="center"/>
    </xf>
    <xf numFmtId="3" fontId="214" fillId="0" borderId="108" xfId="0" applyNumberFormat="1" applyFont="1" applyBorder="1" applyAlignment="1">
      <alignment horizontal="center" vertical="center"/>
    </xf>
    <xf numFmtId="0" fontId="229" fillId="0" borderId="94" xfId="0" applyFont="1" applyBorder="1" applyAlignment="1">
      <alignment vertical="center"/>
    </xf>
    <xf numFmtId="0" fontId="235" fillId="0" borderId="0" xfId="0" applyFont="1" applyBorder="1"/>
    <xf numFmtId="0" fontId="235" fillId="0" borderId="0" xfId="0" applyFont="1"/>
    <xf numFmtId="0" fontId="95" fillId="0" borderId="96" xfId="0" applyFont="1" applyBorder="1" applyAlignment="1">
      <alignment horizontal="left" vertical="center" wrapText="1"/>
    </xf>
    <xf numFmtId="0" fontId="95" fillId="0" borderId="97" xfId="0" applyFont="1" applyBorder="1" applyAlignment="1">
      <alignment horizontal="left" vertical="center" wrapText="1"/>
    </xf>
    <xf numFmtId="0" fontId="95" fillId="0" borderId="97" xfId="0" applyFont="1" applyBorder="1" applyAlignment="1">
      <alignment horizontal="center" vertical="center" wrapText="1"/>
    </xf>
    <xf numFmtId="0" fontId="95" fillId="0" borderId="103" xfId="0" applyFont="1" applyBorder="1" applyAlignment="1">
      <alignment horizontal="left" vertical="center" wrapText="1"/>
    </xf>
    <xf numFmtId="0" fontId="214" fillId="59" borderId="109" xfId="0" applyFont="1" applyFill="1" applyBorder="1" applyAlignment="1">
      <alignment horizontal="left" vertical="center"/>
    </xf>
    <xf numFmtId="0" fontId="214" fillId="59" borderId="110" xfId="0" applyFont="1" applyFill="1" applyBorder="1" applyAlignment="1">
      <alignment horizontal="center" vertical="center"/>
    </xf>
    <xf numFmtId="0" fontId="95" fillId="0" borderId="98" xfId="0" applyFont="1" applyBorder="1" applyAlignment="1">
      <alignment horizontal="left" vertical="center" wrapText="1"/>
    </xf>
    <xf numFmtId="0" fontId="226" fillId="0" borderId="11" xfId="0" applyFont="1" applyBorder="1" applyAlignment="1">
      <alignment horizontal="left" vertical="center"/>
    </xf>
    <xf numFmtId="0" fontId="226" fillId="0" borderId="15" xfId="0" applyFont="1" applyBorder="1" applyAlignment="1">
      <alignment vertical="center"/>
    </xf>
    <xf numFmtId="0" fontId="226" fillId="0" borderId="15" xfId="0" applyFont="1" applyBorder="1" applyAlignment="1">
      <alignment horizontal="center" vertical="center"/>
    </xf>
    <xf numFmtId="0" fontId="214" fillId="59" borderId="111" xfId="0" applyFont="1" applyFill="1" applyBorder="1" applyAlignment="1">
      <alignment horizontal="center" vertical="center"/>
    </xf>
    <xf numFmtId="0" fontId="231" fillId="0" borderId="38" xfId="0" applyFont="1" applyBorder="1" applyAlignment="1">
      <alignment horizontal="left" vertical="center" wrapText="1"/>
    </xf>
    <xf numFmtId="0" fontId="231" fillId="0" borderId="0" xfId="0" applyFont="1" applyBorder="1" applyAlignment="1">
      <alignment horizontal="left" vertical="center" wrapText="1"/>
    </xf>
    <xf numFmtId="0" fontId="231" fillId="0" borderId="0" xfId="0" applyFont="1" applyBorder="1" applyAlignment="1">
      <alignment horizontal="center" vertical="center" wrapText="1"/>
    </xf>
    <xf numFmtId="0" fontId="226" fillId="0" borderId="94" xfId="0" applyFont="1" applyBorder="1" applyAlignment="1">
      <alignment vertical="center"/>
    </xf>
    <xf numFmtId="0" fontId="214" fillId="0" borderId="0" xfId="0" applyFont="1" applyBorder="1" applyAlignment="1">
      <alignment horizontal="center"/>
    </xf>
    <xf numFmtId="0" fontId="231" fillId="0" borderId="96" xfId="0" applyFont="1" applyBorder="1" applyAlignment="1">
      <alignment horizontal="left" vertical="center" wrapText="1"/>
    </xf>
    <xf numFmtId="0" fontId="231" fillId="0" borderId="97" xfId="0" applyFont="1" applyBorder="1" applyAlignment="1">
      <alignment horizontal="left" vertical="center" wrapText="1"/>
    </xf>
    <xf numFmtId="0" fontId="231" fillId="0" borderId="97" xfId="0" applyFont="1" applyBorder="1" applyAlignment="1">
      <alignment horizontal="center" vertical="center" wrapText="1"/>
    </xf>
    <xf numFmtId="0" fontId="231" fillId="0" borderId="103" xfId="0" applyFont="1" applyBorder="1" applyAlignment="1">
      <alignment horizontal="left" vertical="center" wrapText="1"/>
    </xf>
    <xf numFmtId="0" fontId="46" fillId="0" borderId="0" xfId="0" applyFont="1" applyBorder="1" applyAlignment="1">
      <alignment horizontal="left"/>
    </xf>
    <xf numFmtId="180" fontId="95" fillId="0" borderId="0" xfId="20" applyNumberFormat="1" applyFont="1" applyBorder="1" applyAlignment="1">
      <alignment horizontal="left"/>
    </xf>
    <xf numFmtId="0" fontId="216" fillId="2" borderId="0" xfId="0" applyFont="1" applyFill="1" applyBorder="1"/>
    <xf numFmtId="0" fontId="47" fillId="0" borderId="0" xfId="0" applyFont="1" applyBorder="1" applyAlignment="1">
      <alignment horizontal="center"/>
    </xf>
    <xf numFmtId="0" fontId="231" fillId="0" borderId="98" xfId="0" applyFont="1" applyBorder="1" applyAlignment="1">
      <alignment horizontal="left" vertical="center" wrapText="1"/>
    </xf>
    <xf numFmtId="0" fontId="236" fillId="0" borderId="0" xfId="0" applyFont="1" applyBorder="1" applyAlignment="1">
      <alignment horizontal="left"/>
    </xf>
    <xf numFmtId="0" fontId="217" fillId="2" borderId="0" xfId="0" applyFont="1" applyFill="1" applyBorder="1" applyAlignment="1">
      <alignment horizontal="center"/>
    </xf>
    <xf numFmtId="0" fontId="17" fillId="0" borderId="0" xfId="0" applyFont="1" applyBorder="1" applyAlignment="1">
      <alignment horizontal="left"/>
    </xf>
    <xf numFmtId="173" fontId="17" fillId="0" borderId="0" xfId="20" applyFont="1" applyBorder="1" applyAlignment="1">
      <alignment horizontal="left"/>
    </xf>
    <xf numFmtId="0" fontId="217" fillId="2" borderId="0" xfId="0" applyFont="1" applyFill="1" applyBorder="1"/>
    <xf numFmtId="0" fontId="17" fillId="0" borderId="0" xfId="0" applyFon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7" fillId="0" borderId="0" xfId="0" applyFont="1" applyBorder="1"/>
    <xf numFmtId="0" fontId="236" fillId="0" borderId="0" xfId="0" applyFont="1" applyBorder="1"/>
    <xf numFmtId="0" fontId="236" fillId="0" borderId="0" xfId="0" applyFont="1" applyBorder="1" applyAlignment="1">
      <alignment horizontal="center"/>
    </xf>
    <xf numFmtId="0" fontId="220" fillId="0" borderId="0" xfId="0" applyFont="1" applyBorder="1" applyAlignment="1">
      <alignment horizontal="center"/>
    </xf>
    <xf numFmtId="0" fontId="217" fillId="0" borderId="0" xfId="0" applyFont="1" applyBorder="1" applyAlignment="1">
      <alignment horizontal="left"/>
    </xf>
    <xf numFmtId="168" fontId="174" fillId="9" borderId="1" xfId="1" applyNumberFormat="1" applyFont="1" applyFill="1" applyBorder="1"/>
    <xf numFmtId="168" fontId="174" fillId="9" borderId="68" xfId="1" applyNumberFormat="1" applyFont="1" applyFill="1" applyBorder="1"/>
    <xf numFmtId="0" fontId="148" fillId="42" borderId="0" xfId="12" applyNumberFormat="1" applyFont="1" applyFill="1" applyBorder="1" applyAlignment="1" applyProtection="1">
      <alignment vertical="center"/>
      <protection locked="0"/>
    </xf>
    <xf numFmtId="0" fontId="128" fillId="42" borderId="0" xfId="0" applyFont="1" applyFill="1" applyBorder="1" applyAlignment="1" applyProtection="1">
      <alignment vertical="center"/>
      <protection locked="0"/>
    </xf>
    <xf numFmtId="177" fontId="128" fillId="42" borderId="0" xfId="0" applyNumberFormat="1" applyFont="1" applyFill="1" applyBorder="1" applyAlignment="1" applyProtection="1">
      <alignment vertical="center"/>
      <protection locked="0"/>
    </xf>
    <xf numFmtId="0" fontId="128" fillId="42" borderId="0" xfId="0" applyFont="1" applyFill="1" applyBorder="1" applyAlignment="1" applyProtection="1">
      <alignment horizontal="center" vertical="center"/>
      <protection locked="0"/>
    </xf>
    <xf numFmtId="0" fontId="48" fillId="42" borderId="0" xfId="0" applyFont="1" applyFill="1" applyBorder="1" applyAlignment="1" applyProtection="1">
      <alignment vertical="center"/>
      <protection locked="0"/>
    </xf>
    <xf numFmtId="0" fontId="128" fillId="42" borderId="0" xfId="0" applyFont="1" applyFill="1" applyBorder="1" applyAlignment="1" applyProtection="1">
      <alignment horizontal="right" vertical="center"/>
      <protection locked="0"/>
    </xf>
    <xf numFmtId="0" fontId="1" fillId="0" borderId="0" xfId="0" applyFont="1" applyProtection="1">
      <protection locked="0"/>
    </xf>
    <xf numFmtId="0" fontId="167" fillId="0" borderId="0" xfId="0" applyFont="1" applyAlignment="1" applyProtection="1">
      <alignment horizontal="center" vertical="center"/>
      <protection locked="0"/>
    </xf>
    <xf numFmtId="0" fontId="136" fillId="0" borderId="0" xfId="0" applyFont="1" applyFill="1" applyAlignment="1" applyProtection="1">
      <alignment horizontal="right" vertical="center"/>
      <protection locked="0"/>
    </xf>
    <xf numFmtId="178" fontId="1" fillId="0" borderId="78" xfId="0" applyNumberFormat="1" applyFont="1" applyFill="1" applyBorder="1" applyAlignment="1" applyProtection="1">
      <alignment horizontal="center" vertical="center"/>
      <protection locked="0"/>
    </xf>
    <xf numFmtId="178" fontId="1" fillId="44" borderId="78" xfId="0" applyNumberFormat="1" applyFont="1" applyFill="1" applyBorder="1" applyAlignment="1" applyProtection="1">
      <alignment horizontal="center" vertical="center"/>
      <protection locked="0"/>
    </xf>
    <xf numFmtId="178" fontId="1" fillId="23" borderId="78" xfId="0" applyNumberFormat="1" applyFont="1" applyFill="1" applyBorder="1" applyAlignment="1" applyProtection="1">
      <alignment horizontal="center" vertical="center"/>
      <protection locked="0"/>
    </xf>
    <xf numFmtId="0" fontId="167" fillId="11" borderId="0" xfId="0" applyFont="1" applyFill="1" applyBorder="1" applyAlignment="1" applyProtection="1">
      <alignment horizontal="center" vertical="center"/>
      <protection locked="0"/>
    </xf>
    <xf numFmtId="0" fontId="128" fillId="45" borderId="0" xfId="0" applyFont="1" applyFill="1" applyBorder="1" applyAlignment="1" applyProtection="1">
      <alignment vertical="center"/>
      <protection locked="0"/>
    </xf>
    <xf numFmtId="0" fontId="136" fillId="0" borderId="0" xfId="0" applyFont="1" applyBorder="1" applyAlignment="1" applyProtection="1">
      <alignment horizontal="right" vertical="center"/>
      <protection locked="0"/>
    </xf>
    <xf numFmtId="175" fontId="237" fillId="46" borderId="82" xfId="0" applyNumberFormat="1" applyFont="1" applyFill="1" applyBorder="1" applyAlignment="1" applyProtection="1">
      <alignment horizontal="center"/>
      <protection locked="0"/>
    </xf>
    <xf numFmtId="0" fontId="145" fillId="0" borderId="0" xfId="0" applyFont="1" applyAlignment="1" applyProtection="1">
      <alignment vertical="center"/>
      <protection locked="0"/>
    </xf>
    <xf numFmtId="0" fontId="145" fillId="0" borderId="85" xfId="0" applyFont="1" applyBorder="1" applyAlignment="1" applyProtection="1">
      <alignment horizontal="center" vertical="center"/>
      <protection locked="0"/>
    </xf>
    <xf numFmtId="0" fontId="145" fillId="15" borderId="86" xfId="0" applyFont="1" applyFill="1" applyBorder="1" applyAlignment="1" applyProtection="1">
      <alignment horizontal="center" vertical="center"/>
      <protection locked="0"/>
    </xf>
    <xf numFmtId="0" fontId="145" fillId="15" borderId="87" xfId="0" applyFont="1" applyFill="1" applyBorder="1" applyAlignment="1" applyProtection="1">
      <alignment horizontal="center" vertical="center"/>
      <protection locked="0"/>
    </xf>
    <xf numFmtId="0" fontId="167" fillId="0" borderId="0" xfId="0" applyFont="1" applyFill="1" applyBorder="1" applyAlignment="1" applyProtection="1">
      <alignment horizontal="center" vertical="center"/>
      <protection locked="0"/>
    </xf>
    <xf numFmtId="0" fontId="128" fillId="12" borderId="0" xfId="13" applyFont="1" applyFill="1" applyBorder="1" applyAlignment="1" applyProtection="1">
      <alignment horizontal="center" vertical="center"/>
      <protection locked="0"/>
    </xf>
    <xf numFmtId="0" fontId="128" fillId="12" borderId="0" xfId="13" applyFont="1" applyFill="1" applyBorder="1" applyAlignment="1" applyProtection="1">
      <alignment horizontal="left" vertical="center"/>
      <protection locked="0"/>
    </xf>
    <xf numFmtId="0" fontId="145" fillId="0" borderId="0" xfId="0" applyFont="1" applyFill="1" applyAlignment="1" applyProtection="1">
      <alignment horizontal="center" vertical="center"/>
      <protection locked="0"/>
    </xf>
    <xf numFmtId="0" fontId="167" fillId="0" borderId="85" xfId="0" applyFont="1" applyBorder="1" applyAlignment="1" applyProtection="1">
      <alignment horizontal="center" vertical="center"/>
      <protection locked="0"/>
    </xf>
    <xf numFmtId="0" fontId="167" fillId="0" borderId="0" xfId="0" applyFont="1" applyBorder="1" applyAlignment="1" applyProtection="1">
      <alignment horizontal="center" vertical="center"/>
      <protection locked="0"/>
    </xf>
    <xf numFmtId="178" fontId="1" fillId="0" borderId="0" xfId="0" applyNumberFormat="1" applyFont="1" applyFill="1" applyBorder="1" applyAlignment="1" applyProtection="1">
      <alignment horizontal="center" vertical="center"/>
      <protection locked="0"/>
    </xf>
    <xf numFmtId="178" fontId="128" fillId="22" borderId="1" xfId="0" applyNumberFormat="1" applyFont="1" applyFill="1" applyBorder="1" applyAlignment="1" applyProtection="1">
      <alignment horizontal="center"/>
      <protection locked="0"/>
    </xf>
    <xf numFmtId="178" fontId="128" fillId="22" borderId="1" xfId="0" applyNumberFormat="1" applyFont="1" applyFill="1" applyBorder="1" applyAlignment="1" applyProtection="1">
      <alignment horizontal="center" vertical="center"/>
      <protection locked="0"/>
    </xf>
    <xf numFmtId="0" fontId="131" fillId="0" borderId="0" xfId="0" applyFont="1" applyFill="1" applyAlignment="1" applyProtection="1">
      <alignment horizontal="center" vertical="center"/>
      <protection locked="0"/>
    </xf>
    <xf numFmtId="178" fontId="128" fillId="0" borderId="1" xfId="0" applyNumberFormat="1" applyFont="1" applyFill="1" applyBorder="1" applyAlignment="1" applyProtection="1">
      <alignment horizontal="center"/>
      <protection locked="0"/>
    </xf>
    <xf numFmtId="178" fontId="1" fillId="0" borderId="3" xfId="0" applyNumberFormat="1" applyFont="1" applyFill="1" applyBorder="1" applyAlignment="1" applyProtection="1">
      <alignment horizontal="center" vertical="center"/>
      <protection locked="0"/>
    </xf>
    <xf numFmtId="0" fontId="167" fillId="0" borderId="0" xfId="0" applyFont="1" applyFill="1" applyAlignment="1" applyProtection="1">
      <alignment horizontal="center" vertical="center"/>
      <protection locked="0"/>
    </xf>
    <xf numFmtId="0" fontId="146" fillId="0" borderId="0" xfId="0" applyFont="1" applyFill="1" applyBorder="1" applyAlignment="1" applyProtection="1">
      <alignment horizontal="center" vertical="center"/>
      <protection locked="0"/>
    </xf>
    <xf numFmtId="1" fontId="148" fillId="47" borderId="1" xfId="0" applyNumberFormat="1" applyFont="1" applyFill="1" applyBorder="1" applyAlignment="1" applyProtection="1">
      <alignment horizontal="center"/>
      <protection locked="0"/>
    </xf>
    <xf numFmtId="1" fontId="149" fillId="4" borderId="1" xfId="0" applyNumberFormat="1" applyFont="1" applyFill="1" applyBorder="1" applyAlignment="1" applyProtection="1">
      <alignment horizontal="center"/>
      <protection locked="0"/>
    </xf>
    <xf numFmtId="165" fontId="65" fillId="4" borderId="65" xfId="6" applyFont="1" applyFill="1" applyBorder="1" applyAlignment="1">
      <alignment horizontal="center"/>
    </xf>
    <xf numFmtId="165" fontId="65" fillId="4" borderId="66" xfId="6" applyFont="1" applyFill="1" applyBorder="1" applyAlignment="1">
      <alignment horizontal="center"/>
    </xf>
    <xf numFmtId="165" fontId="65" fillId="4" borderId="67" xfId="6" applyFont="1" applyFill="1" applyBorder="1" applyAlignment="1">
      <alignment horizontal="center"/>
    </xf>
    <xf numFmtId="165" fontId="9" fillId="8" borderId="8" xfId="0" applyNumberFormat="1" applyFont="1" applyFill="1" applyBorder="1" applyAlignment="1">
      <alignment horizontal="right"/>
    </xf>
    <xf numFmtId="165" fontId="9" fillId="8" borderId="9" xfId="0" applyNumberFormat="1" applyFont="1" applyFill="1" applyBorder="1" applyAlignment="1">
      <alignment horizontal="right"/>
    </xf>
    <xf numFmtId="165" fontId="65" fillId="4" borderId="8" xfId="6" applyFont="1" applyFill="1" applyBorder="1" applyAlignment="1">
      <alignment horizontal="center"/>
    </xf>
    <xf numFmtId="165" fontId="65" fillId="4" borderId="9" xfId="6" applyFont="1" applyFill="1" applyBorder="1" applyAlignment="1">
      <alignment horizontal="center"/>
    </xf>
    <xf numFmtId="165" fontId="65" fillId="4" borderId="10" xfId="6" applyFont="1" applyFill="1" applyBorder="1" applyAlignment="1">
      <alignment horizontal="center"/>
    </xf>
    <xf numFmtId="165" fontId="65" fillId="4" borderId="11" xfId="6" applyFont="1" applyFill="1" applyBorder="1" applyAlignment="1">
      <alignment horizontal="center" vertical="center"/>
    </xf>
    <xf numFmtId="165" fontId="65" fillId="4" borderId="15" xfId="6" applyFont="1" applyFill="1" applyBorder="1" applyAlignment="1">
      <alignment horizontal="center" vertical="center"/>
    </xf>
    <xf numFmtId="165" fontId="65" fillId="4" borderId="14" xfId="6" applyFont="1" applyFill="1" applyBorder="1" applyAlignment="1">
      <alignment horizontal="center" vertical="center"/>
    </xf>
    <xf numFmtId="165" fontId="65" fillId="4" borderId="16" xfId="6" applyFont="1" applyFill="1" applyBorder="1" applyAlignment="1">
      <alignment horizontal="center" vertical="center"/>
    </xf>
    <xf numFmtId="165" fontId="65" fillId="4" borderId="17" xfId="6" applyFont="1" applyFill="1" applyBorder="1" applyAlignment="1">
      <alignment horizontal="center" vertical="center"/>
    </xf>
    <xf numFmtId="165" fontId="65" fillId="4" borderId="27" xfId="6" applyFont="1" applyFill="1" applyBorder="1" applyAlignment="1">
      <alignment horizontal="center" vertical="center"/>
    </xf>
    <xf numFmtId="165" fontId="65" fillId="4" borderId="39" xfId="6" applyFont="1" applyFill="1" applyBorder="1" applyAlignment="1">
      <alignment horizontal="center"/>
    </xf>
    <xf numFmtId="165" fontId="65" fillId="4" borderId="55" xfId="6" applyFont="1" applyFill="1" applyBorder="1" applyAlignment="1">
      <alignment horizontal="center"/>
    </xf>
    <xf numFmtId="165" fontId="65" fillId="4" borderId="25" xfId="6" applyFont="1" applyFill="1" applyBorder="1" applyAlignment="1">
      <alignment horizontal="center"/>
    </xf>
    <xf numFmtId="165" fontId="65" fillId="4" borderId="13" xfId="6" applyFont="1" applyFill="1" applyBorder="1" applyAlignment="1">
      <alignment horizontal="center" wrapText="1"/>
    </xf>
    <xf numFmtId="165" fontId="65" fillId="4" borderId="18" xfId="6" applyFont="1" applyFill="1" applyBorder="1" applyAlignment="1">
      <alignment horizontal="center" wrapText="1"/>
    </xf>
    <xf numFmtId="165" fontId="65" fillId="4" borderId="19" xfId="6" applyFont="1" applyFill="1" applyBorder="1" applyAlignment="1">
      <alignment horizontal="center" wrapText="1"/>
    </xf>
    <xf numFmtId="0" fontId="79" fillId="0" borderId="38" xfId="0" applyFont="1" applyBorder="1" applyAlignment="1">
      <alignment horizontal="center" vertical="center"/>
    </xf>
    <xf numFmtId="0" fontId="79" fillId="0" borderId="0" xfId="0" applyFont="1" applyBorder="1" applyAlignment="1">
      <alignment horizontal="center" vertical="center"/>
    </xf>
    <xf numFmtId="0" fontId="79" fillId="0" borderId="72" xfId="0" applyFont="1" applyBorder="1" applyAlignment="1">
      <alignment horizontal="center" vertical="center"/>
    </xf>
    <xf numFmtId="0" fontId="79" fillId="0" borderId="16" xfId="0" applyFont="1" applyBorder="1" applyAlignment="1">
      <alignment horizontal="center" vertical="center"/>
    </xf>
    <xf numFmtId="0" fontId="79" fillId="0" borderId="17" xfId="0" applyFont="1" applyBorder="1" applyAlignment="1">
      <alignment horizontal="center" vertical="center"/>
    </xf>
    <xf numFmtId="0" fontId="79" fillId="0" borderId="27" xfId="0" applyFont="1" applyBorder="1" applyAlignment="1">
      <alignment horizontal="center" vertical="center"/>
    </xf>
    <xf numFmtId="0" fontId="70" fillId="0" borderId="60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31" xfId="0" applyFont="1" applyBorder="1" applyAlignment="1">
      <alignment horizontal="center" vertical="center"/>
    </xf>
    <xf numFmtId="3" fontId="70" fillId="0" borderId="4" xfId="0" applyNumberFormat="1" applyFont="1" applyBorder="1" applyAlignment="1">
      <alignment horizontal="center" vertical="center"/>
    </xf>
    <xf numFmtId="3" fontId="70" fillId="0" borderId="5" xfId="0" applyNumberFormat="1" applyFont="1" applyBorder="1" applyAlignment="1">
      <alignment horizontal="center" vertical="center"/>
    </xf>
    <xf numFmtId="3" fontId="70" fillId="0" borderId="24" xfId="0" applyNumberFormat="1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0" fontId="70" fillId="0" borderId="24" xfId="0" applyFont="1" applyBorder="1" applyAlignment="1">
      <alignment horizontal="center" vertical="center"/>
    </xf>
    <xf numFmtId="0" fontId="79" fillId="21" borderId="50" xfId="0" applyFont="1" applyFill="1" applyBorder="1" applyAlignment="1">
      <alignment horizontal="left" vertical="center"/>
    </xf>
    <xf numFmtId="0" fontId="79" fillId="21" borderId="59" xfId="0" applyFont="1" applyFill="1" applyBorder="1" applyAlignment="1">
      <alignment horizontal="left" vertical="center"/>
    </xf>
    <xf numFmtId="0" fontId="93" fillId="26" borderId="8" xfId="0" applyFont="1" applyFill="1" applyBorder="1" applyAlignment="1">
      <alignment horizontal="center"/>
    </xf>
    <xf numFmtId="0" fontId="93" fillId="26" borderId="9" xfId="0" applyFont="1" applyFill="1" applyBorder="1" applyAlignment="1">
      <alignment horizontal="center"/>
    </xf>
    <xf numFmtId="0" fontId="93" fillId="26" borderId="10" xfId="0" applyFont="1" applyFill="1" applyBorder="1" applyAlignment="1">
      <alignment horizontal="center"/>
    </xf>
    <xf numFmtId="0" fontId="27" fillId="0" borderId="58" xfId="0" applyFont="1" applyBorder="1" applyAlignment="1">
      <alignment horizontal="left" vertical="top"/>
    </xf>
    <xf numFmtId="0" fontId="27" fillId="0" borderId="54" xfId="0" applyFont="1" applyBorder="1" applyAlignment="1">
      <alignment horizontal="left" vertical="top"/>
    </xf>
    <xf numFmtId="0" fontId="27" fillId="0" borderId="74" xfId="0" applyFont="1" applyBorder="1" applyAlignment="1">
      <alignment horizontal="left" vertical="top"/>
    </xf>
    <xf numFmtId="0" fontId="80" fillId="26" borderId="11" xfId="0" applyFont="1" applyFill="1" applyBorder="1" applyAlignment="1">
      <alignment horizontal="center"/>
    </xf>
    <xf numFmtId="0" fontId="80" fillId="26" borderId="15" xfId="0" applyFont="1" applyFill="1" applyBorder="1" applyAlignment="1">
      <alignment horizontal="center"/>
    </xf>
    <xf numFmtId="0" fontId="80" fillId="26" borderId="14" xfId="0" applyFont="1" applyFill="1" applyBorder="1" applyAlignment="1">
      <alignment horizontal="center"/>
    </xf>
    <xf numFmtId="1" fontId="75" fillId="25" borderId="1" xfId="1" applyNumberFormat="1" applyFont="1" applyFill="1" applyBorder="1" applyAlignment="1">
      <alignment horizontal="center" vertical="top"/>
    </xf>
    <xf numFmtId="1" fontId="75" fillId="25" borderId="68" xfId="1" applyNumberFormat="1" applyFont="1" applyFill="1" applyBorder="1" applyAlignment="1">
      <alignment horizontal="center" vertical="top"/>
    </xf>
    <xf numFmtId="1" fontId="75" fillId="25" borderId="70" xfId="1" applyNumberFormat="1" applyFont="1" applyFill="1" applyBorder="1" applyAlignment="1">
      <alignment horizontal="center" vertical="top"/>
    </xf>
    <xf numFmtId="1" fontId="75" fillId="25" borderId="71" xfId="1" applyNumberFormat="1" applyFont="1" applyFill="1" applyBorder="1" applyAlignment="1">
      <alignment horizontal="center" vertical="top"/>
    </xf>
    <xf numFmtId="3" fontId="74" fillId="0" borderId="4" xfId="0" applyNumberFormat="1" applyFont="1" applyBorder="1" applyAlignment="1">
      <alignment horizontal="center" vertical="center"/>
    </xf>
    <xf numFmtId="3" fontId="74" fillId="0" borderId="5" xfId="0" applyNumberFormat="1" applyFont="1" applyBorder="1" applyAlignment="1">
      <alignment horizontal="center" vertical="center"/>
    </xf>
    <xf numFmtId="3" fontId="74" fillId="0" borderId="24" xfId="0" applyNumberFormat="1" applyFont="1" applyBorder="1" applyAlignment="1">
      <alignment horizontal="center" vertical="center"/>
    </xf>
    <xf numFmtId="3" fontId="74" fillId="0" borderId="1" xfId="0" applyNumberFormat="1" applyFont="1" applyBorder="1" applyAlignment="1">
      <alignment horizontal="center" vertical="center"/>
    </xf>
    <xf numFmtId="0" fontId="70" fillId="0" borderId="1" xfId="0" applyFont="1" applyBorder="1" applyAlignment="1">
      <alignment horizontal="center" vertical="center"/>
    </xf>
    <xf numFmtId="0" fontId="70" fillId="0" borderId="68" xfId="0" applyFont="1" applyBorder="1" applyAlignment="1">
      <alignment horizontal="center" vertical="center"/>
    </xf>
    <xf numFmtId="164" fontId="75" fillId="25" borderId="70" xfId="1" applyNumberFormat="1" applyFont="1" applyFill="1" applyBorder="1" applyAlignment="1">
      <alignment horizontal="center"/>
    </xf>
    <xf numFmtId="164" fontId="75" fillId="25" borderId="71" xfId="1" applyNumberFormat="1" applyFont="1" applyFill="1" applyBorder="1" applyAlignment="1">
      <alignment horizontal="center"/>
    </xf>
    <xf numFmtId="0" fontId="76" fillId="26" borderId="65" xfId="0" applyFont="1" applyFill="1" applyBorder="1" applyAlignment="1">
      <alignment horizontal="center" vertical="center"/>
    </xf>
    <xf numFmtId="0" fontId="76" fillId="26" borderId="66" xfId="0" applyFont="1" applyFill="1" applyBorder="1" applyAlignment="1">
      <alignment horizontal="center" vertical="center"/>
    </xf>
    <xf numFmtId="0" fontId="76" fillId="26" borderId="67" xfId="0" applyFont="1" applyFill="1" applyBorder="1" applyAlignment="1">
      <alignment horizontal="center" vertical="center"/>
    </xf>
    <xf numFmtId="0" fontId="76" fillId="26" borderId="49" xfId="0" applyFont="1" applyFill="1" applyBorder="1" applyAlignment="1">
      <alignment horizontal="center" vertical="center"/>
    </xf>
    <xf numFmtId="0" fontId="76" fillId="26" borderId="1" xfId="0" applyFont="1" applyFill="1" applyBorder="1" applyAlignment="1">
      <alignment horizontal="center" vertical="center"/>
    </xf>
    <xf numFmtId="0" fontId="76" fillId="26" borderId="68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0" fontId="27" fillId="0" borderId="68" xfId="0" applyFont="1" applyFill="1" applyBorder="1" applyAlignment="1">
      <alignment horizontal="center"/>
    </xf>
    <xf numFmtId="0" fontId="27" fillId="0" borderId="49" xfId="0" applyFont="1" applyFill="1" applyBorder="1" applyAlignment="1">
      <alignment horizontal="center"/>
    </xf>
    <xf numFmtId="164" fontId="72" fillId="25" borderId="12" xfId="1" applyNumberFormat="1" applyFont="1" applyFill="1" applyBorder="1" applyAlignment="1">
      <alignment horizontal="center" vertical="center"/>
    </xf>
    <xf numFmtId="164" fontId="72" fillId="25" borderId="15" xfId="1" applyNumberFormat="1" applyFont="1" applyFill="1" applyBorder="1" applyAlignment="1">
      <alignment horizontal="center" vertical="center"/>
    </xf>
    <xf numFmtId="164" fontId="72" fillId="25" borderId="14" xfId="1" applyNumberFormat="1" applyFont="1" applyFill="1" applyBorder="1" applyAlignment="1">
      <alignment horizontal="center" vertical="center"/>
    </xf>
    <xf numFmtId="164" fontId="72" fillId="25" borderId="64" xfId="1" applyNumberFormat="1" applyFont="1" applyFill="1" applyBorder="1" applyAlignment="1">
      <alignment horizontal="center" vertical="center"/>
    </xf>
    <xf numFmtId="164" fontId="72" fillId="25" borderId="17" xfId="1" applyNumberFormat="1" applyFont="1" applyFill="1" applyBorder="1" applyAlignment="1">
      <alignment horizontal="center" vertical="center"/>
    </xf>
    <xf numFmtId="164" fontId="72" fillId="25" borderId="27" xfId="1" applyNumberFormat="1" applyFont="1" applyFill="1" applyBorder="1" applyAlignment="1">
      <alignment horizontal="center" vertical="center"/>
    </xf>
    <xf numFmtId="0" fontId="73" fillId="26" borderId="65" xfId="0" applyFont="1" applyFill="1" applyBorder="1" applyAlignment="1">
      <alignment horizontal="center" vertical="center"/>
    </xf>
    <xf numFmtId="0" fontId="73" fillId="26" borderId="66" xfId="0" applyFont="1" applyFill="1" applyBorder="1" applyAlignment="1">
      <alignment horizontal="center" vertical="center"/>
    </xf>
    <xf numFmtId="0" fontId="73" fillId="26" borderId="67" xfId="0" applyFont="1" applyFill="1" applyBorder="1" applyAlignment="1">
      <alignment horizontal="center" vertical="center"/>
    </xf>
    <xf numFmtId="0" fontId="73" fillId="26" borderId="49" xfId="0" applyFont="1" applyFill="1" applyBorder="1" applyAlignment="1">
      <alignment horizontal="center" vertical="center"/>
    </xf>
    <xf numFmtId="0" fontId="73" fillId="26" borderId="1" xfId="0" applyFont="1" applyFill="1" applyBorder="1" applyAlignment="1">
      <alignment horizontal="center" vertical="center"/>
    </xf>
    <xf numFmtId="0" fontId="73" fillId="26" borderId="68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27" fillId="0" borderId="68" xfId="0" applyFont="1" applyBorder="1" applyAlignment="1">
      <alignment horizontal="center"/>
    </xf>
    <xf numFmtId="0" fontId="27" fillId="0" borderId="49" xfId="0" applyFont="1" applyFill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70" fillId="0" borderId="34" xfId="0" applyFont="1" applyBorder="1" applyAlignment="1">
      <alignment horizontal="center" vertical="center"/>
    </xf>
    <xf numFmtId="0" fontId="27" fillId="0" borderId="65" xfId="0" applyFont="1" applyBorder="1" applyAlignment="1">
      <alignment horizontal="left" vertical="center"/>
    </xf>
    <xf numFmtId="0" fontId="27" fillId="0" borderId="69" xfId="0" applyFont="1" applyBorder="1" applyAlignment="1">
      <alignment horizontal="left" vertical="center"/>
    </xf>
    <xf numFmtId="0" fontId="70" fillId="0" borderId="34" xfId="0" applyFont="1" applyBorder="1" applyAlignment="1">
      <alignment horizontal="center" vertical="center" wrapText="1"/>
    </xf>
    <xf numFmtId="0" fontId="70" fillId="0" borderId="40" xfId="0" applyFont="1" applyBorder="1" applyAlignment="1">
      <alignment horizontal="center" vertical="center" wrapText="1"/>
    </xf>
    <xf numFmtId="0" fontId="94" fillId="0" borderId="11" xfId="0" applyFont="1" applyBorder="1" applyAlignment="1">
      <alignment horizontal="center" vertical="center"/>
    </xf>
    <xf numFmtId="0" fontId="94" fillId="0" borderId="15" xfId="0" applyFont="1" applyBorder="1" applyAlignment="1">
      <alignment horizontal="center" vertical="center"/>
    </xf>
    <xf numFmtId="0" fontId="94" fillId="0" borderId="14" xfId="0" applyFont="1" applyBorder="1" applyAlignment="1">
      <alignment horizontal="center" vertical="center"/>
    </xf>
    <xf numFmtId="0" fontId="94" fillId="0" borderId="38" xfId="0" applyFont="1" applyBorder="1" applyAlignment="1">
      <alignment horizontal="center" vertical="center"/>
    </xf>
    <xf numFmtId="0" fontId="94" fillId="0" borderId="0" xfId="0" applyFont="1" applyBorder="1" applyAlignment="1">
      <alignment horizontal="center" vertical="center"/>
    </xf>
    <xf numFmtId="0" fontId="94" fillId="0" borderId="72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/>
    </xf>
    <xf numFmtId="0" fontId="27" fillId="0" borderId="67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1" fillId="26" borderId="32" xfId="0" applyFont="1" applyFill="1" applyBorder="1" applyAlignment="1">
      <alignment horizontal="center"/>
    </xf>
    <xf numFmtId="0" fontId="91" fillId="26" borderId="5" xfId="0" applyFont="1" applyFill="1" applyBorder="1" applyAlignment="1">
      <alignment horizontal="center"/>
    </xf>
    <xf numFmtId="0" fontId="91" fillId="26" borderId="24" xfId="0" applyFont="1" applyFill="1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27" fillId="24" borderId="4" xfId="0" applyFont="1" applyFill="1" applyBorder="1" applyAlignment="1">
      <alignment horizontal="center" vertical="center"/>
    </xf>
    <xf numFmtId="0" fontId="27" fillId="24" borderId="5" xfId="0" applyFont="1" applyFill="1" applyBorder="1" applyAlignment="1">
      <alignment horizontal="center" vertical="center"/>
    </xf>
    <xf numFmtId="0" fontId="27" fillId="24" borderId="24" xfId="0" applyFont="1" applyFill="1" applyBorder="1" applyAlignment="1">
      <alignment horizontal="center" vertical="center"/>
    </xf>
    <xf numFmtId="0" fontId="92" fillId="9" borderId="11" xfId="0" applyFont="1" applyFill="1" applyBorder="1" applyAlignment="1">
      <alignment horizontal="center" vertical="center"/>
    </xf>
    <xf numFmtId="0" fontId="92" fillId="9" borderId="15" xfId="0" applyFont="1" applyFill="1" applyBorder="1" applyAlignment="1">
      <alignment horizontal="center" vertical="center"/>
    </xf>
    <xf numFmtId="0" fontId="92" fillId="9" borderId="14" xfId="0" applyFont="1" applyFill="1" applyBorder="1" applyAlignment="1">
      <alignment horizontal="center" vertical="center"/>
    </xf>
    <xf numFmtId="0" fontId="92" fillId="9" borderId="16" xfId="0" applyFont="1" applyFill="1" applyBorder="1" applyAlignment="1">
      <alignment horizontal="center" vertical="center"/>
    </xf>
    <xf numFmtId="0" fontId="92" fillId="9" borderId="17" xfId="0" applyFont="1" applyFill="1" applyBorder="1" applyAlignment="1">
      <alignment horizontal="center" vertical="center"/>
    </xf>
    <xf numFmtId="0" fontId="92" fillId="9" borderId="27" xfId="0" applyFont="1" applyFill="1" applyBorder="1" applyAlignment="1">
      <alignment horizontal="center" vertical="center"/>
    </xf>
    <xf numFmtId="0" fontId="83" fillId="0" borderId="15" xfId="0" applyFont="1" applyBorder="1" applyAlignment="1">
      <alignment horizontal="center" wrapText="1"/>
    </xf>
    <xf numFmtId="0" fontId="83" fillId="0" borderId="14" xfId="0" applyFont="1" applyBorder="1" applyAlignment="1">
      <alignment horizontal="center" wrapText="1"/>
    </xf>
    <xf numFmtId="0" fontId="83" fillId="0" borderId="0" xfId="0" applyFont="1" applyBorder="1" applyAlignment="1">
      <alignment horizontal="center" wrapText="1"/>
    </xf>
    <xf numFmtId="0" fontId="83" fillId="0" borderId="72" xfId="0" applyFont="1" applyBorder="1" applyAlignment="1">
      <alignment horizontal="center" wrapText="1"/>
    </xf>
    <xf numFmtId="0" fontId="83" fillId="0" borderId="17" xfId="0" applyFont="1" applyBorder="1" applyAlignment="1">
      <alignment horizontal="center" wrapText="1"/>
    </xf>
    <xf numFmtId="0" fontId="83" fillId="0" borderId="27" xfId="0" applyFont="1" applyBorder="1" applyAlignment="1">
      <alignment horizontal="center" wrapText="1"/>
    </xf>
    <xf numFmtId="0" fontId="74" fillId="0" borderId="1" xfId="0" applyFont="1" applyBorder="1" applyAlignment="1">
      <alignment horizontal="center" vertical="center"/>
    </xf>
    <xf numFmtId="0" fontId="78" fillId="26" borderId="65" xfId="0" applyFont="1" applyFill="1" applyBorder="1" applyAlignment="1">
      <alignment horizontal="center" vertical="center"/>
    </xf>
    <xf numFmtId="0" fontId="78" fillId="26" borderId="66" xfId="0" applyFont="1" applyFill="1" applyBorder="1" applyAlignment="1">
      <alignment horizontal="center" vertical="center"/>
    </xf>
    <xf numFmtId="0" fontId="78" fillId="26" borderId="67" xfId="0" applyFont="1" applyFill="1" applyBorder="1" applyAlignment="1">
      <alignment horizontal="center" vertical="center"/>
    </xf>
    <xf numFmtId="0" fontId="78" fillId="26" borderId="49" xfId="0" applyFont="1" applyFill="1" applyBorder="1" applyAlignment="1">
      <alignment horizontal="center" vertical="center"/>
    </xf>
    <xf numFmtId="0" fontId="78" fillId="26" borderId="1" xfId="0" applyFont="1" applyFill="1" applyBorder="1" applyAlignment="1">
      <alignment horizontal="center" vertical="center"/>
    </xf>
    <xf numFmtId="0" fontId="78" fillId="26" borderId="68" xfId="0" applyFont="1" applyFill="1" applyBorder="1" applyAlignment="1">
      <alignment horizontal="center" vertical="center"/>
    </xf>
    <xf numFmtId="3" fontId="74" fillId="0" borderId="68" xfId="0" applyNumberFormat="1" applyFont="1" applyBorder="1" applyAlignment="1">
      <alignment horizontal="center" vertical="center"/>
    </xf>
    <xf numFmtId="2" fontId="70" fillId="0" borderId="76" xfId="0" applyNumberFormat="1" applyFont="1" applyBorder="1" applyAlignment="1">
      <alignment horizontal="center" vertical="center"/>
    </xf>
    <xf numFmtId="2" fontId="70" fillId="0" borderId="55" xfId="0" applyNumberFormat="1" applyFont="1" applyBorder="1" applyAlignment="1">
      <alignment horizontal="center" vertical="center"/>
    </xf>
    <xf numFmtId="2" fontId="70" fillId="0" borderId="25" xfId="0" applyNumberFormat="1" applyFont="1" applyBorder="1" applyAlignment="1">
      <alignment horizontal="center" vertical="center"/>
    </xf>
    <xf numFmtId="0" fontId="87" fillId="26" borderId="56" xfId="0" applyFont="1" applyFill="1" applyBorder="1" applyAlignment="1">
      <alignment horizontal="center"/>
    </xf>
    <xf numFmtId="0" fontId="87" fillId="26" borderId="57" xfId="0" applyFont="1" applyFill="1" applyBorder="1" applyAlignment="1">
      <alignment horizontal="center"/>
    </xf>
    <xf numFmtId="0" fontId="87" fillId="26" borderId="75" xfId="0" applyFont="1" applyFill="1" applyBorder="1" applyAlignment="1">
      <alignment horizontal="center"/>
    </xf>
    <xf numFmtId="0" fontId="79" fillId="0" borderId="49" xfId="0" applyFont="1" applyBorder="1" applyAlignment="1">
      <alignment horizontal="left" vertical="center"/>
    </xf>
    <xf numFmtId="0" fontId="79" fillId="0" borderId="69" xfId="0" applyFont="1" applyBorder="1" applyAlignment="1">
      <alignment horizontal="left" vertical="center"/>
    </xf>
    <xf numFmtId="0" fontId="80" fillId="26" borderId="8" xfId="0" applyFont="1" applyFill="1" applyBorder="1" applyAlignment="1">
      <alignment horizontal="center"/>
    </xf>
    <xf numFmtId="0" fontId="80" fillId="26" borderId="9" xfId="0" applyFont="1" applyFill="1" applyBorder="1" applyAlignment="1">
      <alignment horizontal="center"/>
    </xf>
    <xf numFmtId="0" fontId="80" fillId="26" borderId="10" xfId="0" applyFont="1" applyFill="1" applyBorder="1" applyAlignment="1">
      <alignment horizontal="center"/>
    </xf>
    <xf numFmtId="0" fontId="84" fillId="0" borderId="12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0" fontId="84" fillId="0" borderId="14" xfId="0" applyFont="1" applyBorder="1" applyAlignment="1">
      <alignment horizontal="center" vertical="center" wrapText="1"/>
    </xf>
    <xf numFmtId="0" fontId="84" fillId="0" borderId="43" xfId="0" applyFont="1" applyBorder="1" applyAlignment="1">
      <alignment horizontal="center" vertical="center" wrapText="1"/>
    </xf>
    <xf numFmtId="0" fontId="84" fillId="0" borderId="0" xfId="0" applyFont="1" applyBorder="1" applyAlignment="1">
      <alignment horizontal="center" vertical="center" wrapText="1"/>
    </xf>
    <xf numFmtId="0" fontId="84" fillId="0" borderId="72" xfId="0" applyFont="1" applyBorder="1" applyAlignment="1">
      <alignment horizontal="center" vertical="center" wrapText="1"/>
    </xf>
    <xf numFmtId="0" fontId="84" fillId="0" borderId="64" xfId="0" applyFont="1" applyBorder="1" applyAlignment="1">
      <alignment horizontal="center" vertical="center" wrapText="1"/>
    </xf>
    <xf numFmtId="0" fontId="84" fillId="0" borderId="17" xfId="0" applyFont="1" applyBorder="1" applyAlignment="1">
      <alignment horizontal="center" vertical="center" wrapText="1"/>
    </xf>
    <xf numFmtId="0" fontId="84" fillId="0" borderId="27" xfId="0" applyFont="1" applyBorder="1" applyAlignment="1">
      <alignment horizontal="center" vertical="center" wrapText="1"/>
    </xf>
    <xf numFmtId="0" fontId="58" fillId="2" borderId="15" xfId="0" applyFont="1" applyFill="1" applyBorder="1" applyAlignment="1">
      <alignment horizontal="center" vertical="center" wrapText="1"/>
    </xf>
    <xf numFmtId="0" fontId="58" fillId="2" borderId="14" xfId="0" applyFont="1" applyFill="1" applyBorder="1" applyAlignment="1">
      <alignment horizontal="center" vertical="center" wrapText="1"/>
    </xf>
    <xf numFmtId="0" fontId="58" fillId="2" borderId="0" xfId="0" applyFont="1" applyFill="1" applyBorder="1" applyAlignment="1">
      <alignment horizontal="center" vertical="center" wrapText="1"/>
    </xf>
    <xf numFmtId="0" fontId="58" fillId="2" borderId="72" xfId="0" applyFont="1" applyFill="1" applyBorder="1" applyAlignment="1">
      <alignment horizontal="center" vertical="center" wrapText="1"/>
    </xf>
    <xf numFmtId="0" fontId="58" fillId="2" borderId="17" xfId="0" applyFont="1" applyFill="1" applyBorder="1" applyAlignment="1">
      <alignment horizontal="center" vertical="center" wrapText="1"/>
    </xf>
    <xf numFmtId="0" fontId="58" fillId="2" borderId="27" xfId="0" applyFont="1" applyFill="1" applyBorder="1" applyAlignment="1">
      <alignment horizontal="center" vertical="center" wrapText="1"/>
    </xf>
    <xf numFmtId="3" fontId="27" fillId="24" borderId="4" xfId="0" applyNumberFormat="1" applyFont="1" applyFill="1" applyBorder="1" applyAlignment="1">
      <alignment horizontal="center" vertical="center"/>
    </xf>
    <xf numFmtId="3" fontId="27" fillId="0" borderId="4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74" fillId="0" borderId="68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70" fillId="0" borderId="4" xfId="0" applyFont="1" applyBorder="1" applyAlignment="1">
      <alignment horizontal="center"/>
    </xf>
    <xf numFmtId="0" fontId="70" fillId="0" borderId="5" xfId="0" applyFont="1" applyBorder="1" applyAlignment="1">
      <alignment horizontal="center"/>
    </xf>
    <xf numFmtId="0" fontId="70" fillId="0" borderId="24" xfId="0" applyFont="1" applyBorder="1" applyAlignment="1">
      <alignment horizontal="center"/>
    </xf>
    <xf numFmtId="3" fontId="27" fillId="0" borderId="70" xfId="0" applyNumberFormat="1" applyFont="1" applyBorder="1" applyAlignment="1">
      <alignment horizontal="center" vertical="center"/>
    </xf>
    <xf numFmtId="0" fontId="27" fillId="0" borderId="70" xfId="0" applyFont="1" applyBorder="1" applyAlignment="1">
      <alignment horizontal="center" vertical="center"/>
    </xf>
    <xf numFmtId="0" fontId="27" fillId="0" borderId="71" xfId="0" applyFont="1" applyBorder="1" applyAlignment="1">
      <alignment horizontal="center" vertical="center"/>
    </xf>
    <xf numFmtId="0" fontId="87" fillId="26" borderId="30" xfId="0" applyFont="1" applyFill="1" applyBorder="1" applyAlignment="1">
      <alignment horizontal="center"/>
    </xf>
    <xf numFmtId="0" fontId="87" fillId="26" borderId="3" xfId="0" applyFont="1" applyFill="1" applyBorder="1" applyAlignment="1">
      <alignment horizontal="center"/>
    </xf>
    <xf numFmtId="0" fontId="87" fillId="26" borderId="31" xfId="0" applyFont="1" applyFill="1" applyBorder="1" applyAlignment="1">
      <alignment horizontal="center"/>
    </xf>
    <xf numFmtId="0" fontId="27" fillId="0" borderId="43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89" fillId="0" borderId="43" xfId="0" applyFont="1" applyBorder="1" applyAlignment="1">
      <alignment horizontal="left" vertical="top" wrapText="1"/>
    </xf>
    <xf numFmtId="0" fontId="89" fillId="0" borderId="0" xfId="0" applyFont="1" applyBorder="1" applyAlignment="1">
      <alignment horizontal="left" vertical="top" wrapText="1"/>
    </xf>
    <xf numFmtId="0" fontId="89" fillId="0" borderId="44" xfId="0" applyFont="1" applyBorder="1" applyAlignment="1">
      <alignment horizontal="left" vertical="top" wrapText="1"/>
    </xf>
    <xf numFmtId="0" fontId="89" fillId="0" borderId="60" xfId="0" applyFont="1" applyBorder="1" applyAlignment="1">
      <alignment horizontal="left" vertical="top" wrapText="1"/>
    </xf>
    <xf numFmtId="0" fontId="89" fillId="0" borderId="3" xfId="0" applyFont="1" applyBorder="1" applyAlignment="1">
      <alignment horizontal="left" vertical="top" wrapText="1"/>
    </xf>
    <xf numFmtId="0" fontId="89" fillId="0" borderId="63" xfId="0" applyFont="1" applyBorder="1" applyAlignment="1">
      <alignment horizontal="left" vertical="top" wrapText="1"/>
    </xf>
    <xf numFmtId="0" fontId="90" fillId="26" borderId="60" xfId="0" applyFont="1" applyFill="1" applyBorder="1" applyAlignment="1">
      <alignment horizontal="center"/>
    </xf>
    <xf numFmtId="0" fontId="90" fillId="26" borderId="3" xfId="0" applyFont="1" applyFill="1" applyBorder="1" applyAlignment="1">
      <alignment horizontal="center"/>
    </xf>
    <xf numFmtId="0" fontId="90" fillId="26" borderId="63" xfId="0" applyFont="1" applyFill="1" applyBorder="1" applyAlignment="1">
      <alignment horizontal="center"/>
    </xf>
    <xf numFmtId="0" fontId="87" fillId="26" borderId="32" xfId="0" applyFont="1" applyFill="1" applyBorder="1" applyAlignment="1">
      <alignment horizontal="center"/>
    </xf>
    <xf numFmtId="0" fontId="87" fillId="26" borderId="5" xfId="0" applyFont="1" applyFill="1" applyBorder="1" applyAlignment="1">
      <alignment horizontal="center"/>
    </xf>
    <xf numFmtId="0" fontId="87" fillId="26" borderId="24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27" fillId="0" borderId="49" xfId="0" applyFont="1" applyBorder="1" applyAlignment="1">
      <alignment horizontal="left" vertical="top"/>
    </xf>
    <xf numFmtId="0" fontId="27" fillId="0" borderId="1" xfId="0" applyFont="1" applyBorder="1" applyAlignment="1">
      <alignment horizontal="left" vertical="top"/>
    </xf>
    <xf numFmtId="0" fontId="12" fillId="0" borderId="49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69" xfId="0" applyFont="1" applyFill="1" applyBorder="1" applyAlignment="1">
      <alignment horizontal="left" vertical="center"/>
    </xf>
    <xf numFmtId="0" fontId="12" fillId="0" borderId="70" xfId="0" applyFont="1" applyFill="1" applyBorder="1" applyAlignment="1">
      <alignment horizontal="left" vertical="center"/>
    </xf>
    <xf numFmtId="0" fontId="64" fillId="0" borderId="32" xfId="0" applyFont="1" applyFill="1" applyBorder="1" applyAlignment="1">
      <alignment horizontal="center" vertical="center"/>
    </xf>
    <xf numFmtId="0" fontId="64" fillId="0" borderId="6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3" fontId="5" fillId="0" borderId="68" xfId="0" applyNumberFormat="1" applyFont="1" applyFill="1" applyBorder="1" applyAlignment="1">
      <alignment horizontal="center" vertical="center"/>
    </xf>
    <xf numFmtId="3" fontId="74" fillId="0" borderId="70" xfId="0" applyNumberFormat="1" applyFont="1" applyFill="1" applyBorder="1" applyAlignment="1">
      <alignment horizontal="center" vertical="center"/>
    </xf>
    <xf numFmtId="3" fontId="74" fillId="0" borderId="71" xfId="0" applyNumberFormat="1" applyFont="1" applyFill="1" applyBorder="1" applyAlignment="1">
      <alignment horizontal="center" vertical="center"/>
    </xf>
    <xf numFmtId="0" fontId="77" fillId="0" borderId="65" xfId="0" applyFont="1" applyFill="1" applyBorder="1" applyAlignment="1">
      <alignment horizontal="center" vertical="center"/>
    </xf>
    <xf numFmtId="0" fontId="77" fillId="0" borderId="66" xfId="0" applyFont="1" applyFill="1" applyBorder="1" applyAlignment="1">
      <alignment horizontal="center" vertical="center"/>
    </xf>
    <xf numFmtId="0" fontId="77" fillId="0" borderId="67" xfId="0" applyFont="1" applyFill="1" applyBorder="1" applyAlignment="1">
      <alignment horizontal="center" vertical="center"/>
    </xf>
    <xf numFmtId="0" fontId="64" fillId="0" borderId="49" xfId="0" applyFont="1" applyFill="1" applyBorder="1" applyAlignment="1">
      <alignment horizontal="left" vertical="center"/>
    </xf>
    <xf numFmtId="0" fontId="64" fillId="0" borderId="1" xfId="0" applyFont="1" applyFill="1" applyBorder="1" applyAlignment="1">
      <alignment horizontal="left" vertical="center"/>
    </xf>
    <xf numFmtId="0" fontId="122" fillId="41" borderId="0" xfId="0" applyFont="1" applyFill="1" applyBorder="1" applyAlignment="1">
      <alignment horizontal="center"/>
    </xf>
    <xf numFmtId="0" fontId="121" fillId="41" borderId="0" xfId="0" applyFont="1" applyFill="1" applyBorder="1" applyAlignment="1">
      <alignment horizontal="center"/>
    </xf>
    <xf numFmtId="175" fontId="116" fillId="39" borderId="3" xfId="0" applyNumberFormat="1" applyFont="1" applyFill="1" applyBorder="1" applyAlignment="1">
      <alignment horizontal="center"/>
    </xf>
    <xf numFmtId="175" fontId="116" fillId="39" borderId="63" xfId="0" applyNumberFormat="1" applyFont="1" applyFill="1" applyBorder="1" applyAlignment="1">
      <alignment horizontal="center"/>
    </xf>
    <xf numFmtId="0" fontId="119" fillId="0" borderId="2" xfId="0" applyFont="1" applyFill="1" applyBorder="1" applyAlignment="1">
      <alignment horizontal="center" vertical="top" textRotation="90"/>
    </xf>
    <xf numFmtId="0" fontId="119" fillId="0" borderId="0" xfId="0" applyFont="1" applyFill="1" applyBorder="1" applyAlignment="1">
      <alignment horizontal="center" vertical="top" textRotation="90"/>
    </xf>
    <xf numFmtId="0" fontId="119" fillId="0" borderId="3" xfId="0" applyFont="1" applyFill="1" applyBorder="1" applyAlignment="1">
      <alignment horizontal="center" vertical="top" textRotation="90"/>
    </xf>
    <xf numFmtId="0" fontId="126" fillId="0" borderId="43" xfId="0" applyFont="1" applyFill="1" applyBorder="1" applyAlignment="1">
      <alignment horizontal="left" textRotation="91"/>
    </xf>
    <xf numFmtId="0" fontId="126" fillId="0" borderId="0" xfId="0" applyFont="1" applyFill="1" applyBorder="1" applyAlignment="1">
      <alignment horizontal="left" textRotation="91"/>
    </xf>
    <xf numFmtId="0" fontId="122" fillId="41" borderId="0" xfId="0" applyFont="1" applyFill="1" applyBorder="1" applyAlignment="1">
      <alignment horizontal="right"/>
    </xf>
    <xf numFmtId="0" fontId="122" fillId="0" borderId="43" xfId="0" applyFont="1" applyFill="1" applyBorder="1" applyAlignment="1">
      <alignment horizontal="center"/>
    </xf>
    <xf numFmtId="0" fontId="122" fillId="0" borderId="0" xfId="0" applyFont="1" applyFill="1" applyBorder="1" applyAlignment="1">
      <alignment horizontal="center"/>
    </xf>
    <xf numFmtId="175" fontId="116" fillId="39" borderId="60" xfId="0" applyNumberFormat="1" applyFont="1" applyFill="1" applyBorder="1" applyAlignment="1">
      <alignment horizontal="center"/>
    </xf>
    <xf numFmtId="0" fontId="104" fillId="0" borderId="43" xfId="0" applyFont="1" applyFill="1" applyBorder="1" applyAlignment="1">
      <alignment horizontal="center" wrapText="1"/>
    </xf>
    <xf numFmtId="0" fontId="104" fillId="31" borderId="41" xfId="0" applyFont="1" applyFill="1" applyBorder="1" applyAlignment="1">
      <alignment horizontal="center" wrapText="1"/>
    </xf>
    <xf numFmtId="0" fontId="104" fillId="31" borderId="42" xfId="0" applyFont="1" applyFill="1" applyBorder="1" applyAlignment="1">
      <alignment horizontal="center" wrapText="1"/>
    </xf>
    <xf numFmtId="0" fontId="104" fillId="31" borderId="43" xfId="0" applyFont="1" applyFill="1" applyBorder="1" applyAlignment="1">
      <alignment horizontal="center" wrapText="1"/>
    </xf>
    <xf numFmtId="0" fontId="104" fillId="31" borderId="44" xfId="0" applyFont="1" applyFill="1" applyBorder="1" applyAlignment="1">
      <alignment horizontal="center" wrapText="1"/>
    </xf>
    <xf numFmtId="0" fontId="104" fillId="31" borderId="60" xfId="0" applyFont="1" applyFill="1" applyBorder="1" applyAlignment="1">
      <alignment horizontal="center" wrapText="1"/>
    </xf>
    <xf numFmtId="0" fontId="104" fillId="31" borderId="63" xfId="0" applyFont="1" applyFill="1" applyBorder="1" applyAlignment="1">
      <alignment horizontal="center" wrapText="1"/>
    </xf>
    <xf numFmtId="0" fontId="104" fillId="0" borderId="41" xfId="0" applyFont="1" applyFill="1" applyBorder="1" applyAlignment="1">
      <alignment horizontal="center" wrapText="1"/>
    </xf>
    <xf numFmtId="0" fontId="104" fillId="0" borderId="42" xfId="0" applyFont="1" applyFill="1" applyBorder="1" applyAlignment="1">
      <alignment horizontal="center" wrapText="1"/>
    </xf>
    <xf numFmtId="0" fontId="104" fillId="0" borderId="44" xfId="0" applyFont="1" applyFill="1" applyBorder="1" applyAlignment="1">
      <alignment horizontal="center" wrapText="1"/>
    </xf>
    <xf numFmtId="0" fontId="104" fillId="0" borderId="60" xfId="0" applyFont="1" applyFill="1" applyBorder="1" applyAlignment="1">
      <alignment horizontal="center" wrapText="1"/>
    </xf>
    <xf numFmtId="0" fontId="104" fillId="0" borderId="63" xfId="0" applyFont="1" applyFill="1" applyBorder="1" applyAlignment="1">
      <alignment horizontal="center" wrapText="1"/>
    </xf>
    <xf numFmtId="0" fontId="104" fillId="0" borderId="0" xfId="0" applyFont="1" applyFill="1" applyBorder="1" applyAlignment="1">
      <alignment horizontal="center" wrapText="1"/>
    </xf>
    <xf numFmtId="0" fontId="104" fillId="0" borderId="0" xfId="0" applyFont="1" applyFill="1" applyBorder="1" applyAlignment="1">
      <alignment horizontal="center"/>
    </xf>
    <xf numFmtId="0" fontId="104" fillId="0" borderId="1" xfId="0" applyFont="1" applyFill="1" applyBorder="1" applyAlignment="1">
      <alignment horizontal="center" wrapText="1"/>
    </xf>
    <xf numFmtId="0" fontId="104" fillId="0" borderId="2" xfId="0" applyFont="1" applyFill="1" applyBorder="1" applyAlignment="1">
      <alignment horizontal="center" wrapText="1"/>
    </xf>
    <xf numFmtId="0" fontId="104" fillId="0" borderId="3" xfId="0" applyFont="1" applyFill="1" applyBorder="1" applyAlignment="1">
      <alignment horizontal="center" wrapText="1"/>
    </xf>
    <xf numFmtId="0" fontId="104" fillId="31" borderId="1" xfId="0" applyFont="1" applyFill="1" applyBorder="1" applyAlignment="1">
      <alignment horizontal="center"/>
    </xf>
    <xf numFmtId="0" fontId="104" fillId="0" borderId="2" xfId="0" applyFont="1" applyFill="1" applyBorder="1" applyAlignment="1">
      <alignment horizontal="center"/>
    </xf>
    <xf numFmtId="0" fontId="104" fillId="0" borderId="3" xfId="0" applyFont="1" applyFill="1" applyBorder="1" applyAlignment="1">
      <alignment horizontal="center"/>
    </xf>
    <xf numFmtId="0" fontId="104" fillId="31" borderId="41" xfId="0" applyFont="1" applyFill="1" applyBorder="1" applyAlignment="1">
      <alignment horizontal="center"/>
    </xf>
    <xf numFmtId="0" fontId="104" fillId="31" borderId="42" xfId="0" applyFont="1" applyFill="1" applyBorder="1" applyAlignment="1">
      <alignment horizontal="center"/>
    </xf>
    <xf numFmtId="0" fontId="104" fillId="31" borderId="43" xfId="0" applyFont="1" applyFill="1" applyBorder="1" applyAlignment="1">
      <alignment horizontal="center"/>
    </xf>
    <xf numFmtId="0" fontId="104" fillId="31" borderId="44" xfId="0" applyFont="1" applyFill="1" applyBorder="1" applyAlignment="1">
      <alignment horizontal="center"/>
    </xf>
    <xf numFmtId="0" fontId="104" fillId="31" borderId="60" xfId="0" applyFont="1" applyFill="1" applyBorder="1" applyAlignment="1">
      <alignment horizontal="center"/>
    </xf>
    <xf numFmtId="0" fontId="104" fillId="31" borderId="63" xfId="0" applyFont="1" applyFill="1" applyBorder="1" applyAlignment="1">
      <alignment horizontal="center"/>
    </xf>
    <xf numFmtId="0" fontId="0" fillId="31" borderId="0" xfId="0" applyFill="1" applyAlignment="1">
      <alignment horizontal="center"/>
    </xf>
    <xf numFmtId="0" fontId="0" fillId="31" borderId="44" xfId="0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3" fillId="0" borderId="34" xfId="0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191" fillId="0" borderId="8" xfId="0" applyFont="1" applyBorder="1" applyAlignment="1">
      <alignment horizontal="center"/>
    </xf>
    <xf numFmtId="0" fontId="191" fillId="0" borderId="9" xfId="0" applyFont="1" applyBorder="1" applyAlignment="1">
      <alignment horizontal="center"/>
    </xf>
    <xf numFmtId="0" fontId="191" fillId="0" borderId="10" xfId="0" applyFont="1" applyBorder="1" applyAlignment="1">
      <alignment horizontal="center"/>
    </xf>
    <xf numFmtId="0" fontId="177" fillId="4" borderId="39" xfId="0" applyFont="1" applyFill="1" applyBorder="1" applyAlignment="1">
      <alignment horizontal="center"/>
    </xf>
    <xf numFmtId="0" fontId="177" fillId="4" borderId="55" xfId="0" applyFont="1" applyFill="1" applyBorder="1" applyAlignment="1">
      <alignment horizontal="center"/>
    </xf>
    <xf numFmtId="0" fontId="177" fillId="4" borderId="25" xfId="0" applyFont="1" applyFill="1" applyBorder="1" applyAlignment="1">
      <alignment horizontal="center"/>
    </xf>
    <xf numFmtId="0" fontId="177" fillId="53" borderId="8" xfId="0" applyFont="1" applyFill="1" applyBorder="1" applyAlignment="1">
      <alignment horizontal="center"/>
    </xf>
    <xf numFmtId="0" fontId="177" fillId="53" borderId="9" xfId="0" applyFont="1" applyFill="1" applyBorder="1" applyAlignment="1">
      <alignment horizontal="center"/>
    </xf>
    <xf numFmtId="0" fontId="177" fillId="53" borderId="10" xfId="0" applyFont="1" applyFill="1" applyBorder="1" applyAlignment="1">
      <alignment horizontal="center"/>
    </xf>
    <xf numFmtId="0" fontId="177" fillId="0" borderId="8" xfId="0" applyFont="1" applyBorder="1" applyAlignment="1">
      <alignment horizontal="center"/>
    </xf>
    <xf numFmtId="0" fontId="177" fillId="0" borderId="9" xfId="0" applyFont="1" applyBorder="1" applyAlignment="1">
      <alignment horizontal="center"/>
    </xf>
    <xf numFmtId="0" fontId="177" fillId="0" borderId="10" xfId="0" applyFont="1" applyBorder="1" applyAlignment="1">
      <alignment horizontal="center"/>
    </xf>
    <xf numFmtId="0" fontId="177" fillId="9" borderId="8" xfId="0" applyFont="1" applyFill="1" applyBorder="1" applyAlignment="1">
      <alignment horizontal="center"/>
    </xf>
    <xf numFmtId="0" fontId="177" fillId="9" borderId="9" xfId="0" applyFont="1" applyFill="1" applyBorder="1" applyAlignment="1">
      <alignment horizontal="center"/>
    </xf>
    <xf numFmtId="0" fontId="177" fillId="9" borderId="10" xfId="0" applyFont="1" applyFill="1" applyBorder="1" applyAlignment="1">
      <alignment horizontal="center"/>
    </xf>
    <xf numFmtId="0" fontId="182" fillId="0" borderId="16" xfId="0" applyFont="1" applyBorder="1" applyAlignment="1">
      <alignment horizontal="center"/>
    </xf>
    <xf numFmtId="0" fontId="182" fillId="0" borderId="17" xfId="0" applyFont="1" applyBorder="1" applyAlignment="1">
      <alignment horizontal="center"/>
    </xf>
    <xf numFmtId="0" fontId="182" fillId="0" borderId="27" xfId="0" applyFont="1" applyBorder="1" applyAlignment="1">
      <alignment horizontal="center"/>
    </xf>
    <xf numFmtId="164" fontId="181" fillId="55" borderId="8" xfId="1" applyNumberFormat="1" applyFont="1" applyFill="1" applyBorder="1" applyAlignment="1">
      <alignment horizontal="center" vertical="center"/>
    </xf>
    <xf numFmtId="164" fontId="181" fillId="55" borderId="9" xfId="1" applyNumberFormat="1" applyFont="1" applyFill="1" applyBorder="1" applyAlignment="1">
      <alignment horizontal="center" vertical="center"/>
    </xf>
    <xf numFmtId="164" fontId="181" fillId="55" borderId="10" xfId="1" applyNumberFormat="1" applyFont="1" applyFill="1" applyBorder="1" applyAlignment="1">
      <alignment horizontal="center" vertical="center"/>
    </xf>
    <xf numFmtId="0" fontId="177" fillId="4" borderId="91" xfId="0" applyFont="1" applyFill="1" applyBorder="1" applyAlignment="1">
      <alignment horizontal="center"/>
    </xf>
    <xf numFmtId="0" fontId="177" fillId="4" borderId="3" xfId="0" applyFont="1" applyFill="1" applyBorder="1" applyAlignment="1">
      <alignment horizontal="center"/>
    </xf>
    <xf numFmtId="0" fontId="177" fillId="4" borderId="31" xfId="0" applyFont="1" applyFill="1" applyBorder="1" applyAlignment="1">
      <alignment horizontal="center"/>
    </xf>
    <xf numFmtId="164" fontId="181" fillId="55" borderId="43" xfId="1" applyNumberFormat="1" applyFont="1" applyFill="1" applyBorder="1" applyAlignment="1">
      <alignment horizontal="center"/>
    </xf>
    <xf numFmtId="164" fontId="181" fillId="55" borderId="0" xfId="1" applyNumberFormat="1" applyFont="1" applyFill="1" applyBorder="1" applyAlignment="1">
      <alignment horizontal="center"/>
    </xf>
    <xf numFmtId="164" fontId="181" fillId="55" borderId="44" xfId="1" applyNumberFormat="1" applyFont="1" applyFill="1" applyBorder="1" applyAlignment="1">
      <alignment horizontal="center"/>
    </xf>
    <xf numFmtId="164" fontId="189" fillId="55" borderId="8" xfId="1" applyNumberFormat="1" applyFont="1" applyFill="1" applyBorder="1" applyAlignment="1">
      <alignment horizontal="center" vertical="center"/>
    </xf>
    <xf numFmtId="164" fontId="189" fillId="55" borderId="9" xfId="1" applyNumberFormat="1" applyFont="1" applyFill="1" applyBorder="1" applyAlignment="1">
      <alignment horizontal="center" vertical="center"/>
    </xf>
    <xf numFmtId="164" fontId="189" fillId="55" borderId="10" xfId="1" applyNumberFormat="1" applyFont="1" applyFill="1" applyBorder="1" applyAlignment="1">
      <alignment horizontal="center" vertical="center"/>
    </xf>
    <xf numFmtId="164" fontId="181" fillId="55" borderId="16" xfId="1" applyNumberFormat="1" applyFont="1" applyFill="1" applyBorder="1" applyAlignment="1">
      <alignment horizontal="center" vertical="center"/>
    </xf>
    <xf numFmtId="164" fontId="181" fillId="55" borderId="17" xfId="1" applyNumberFormat="1" applyFont="1" applyFill="1" applyBorder="1" applyAlignment="1">
      <alignment horizontal="center" vertical="center"/>
    </xf>
    <xf numFmtId="164" fontId="181" fillId="55" borderId="27" xfId="1" applyNumberFormat="1" applyFont="1" applyFill="1" applyBorder="1" applyAlignment="1">
      <alignment horizontal="center" vertical="center"/>
    </xf>
    <xf numFmtId="164" fontId="181" fillId="55" borderId="49" xfId="1" applyNumberFormat="1" applyFont="1" applyFill="1" applyBorder="1" applyAlignment="1">
      <alignment horizontal="center" vertical="center"/>
    </xf>
    <xf numFmtId="164" fontId="181" fillId="55" borderId="1" xfId="1" applyNumberFormat="1" applyFont="1" applyFill="1" applyBorder="1" applyAlignment="1">
      <alignment horizontal="center" vertical="center"/>
    </xf>
    <xf numFmtId="0" fontId="181" fillId="9" borderId="11" xfId="0" applyFont="1" applyFill="1" applyBorder="1" applyAlignment="1">
      <alignment horizontal="center"/>
    </xf>
    <xf numFmtId="0" fontId="181" fillId="9" borderId="15" xfId="0" applyFont="1" applyFill="1" applyBorder="1" applyAlignment="1">
      <alignment horizontal="center"/>
    </xf>
    <xf numFmtId="0" fontId="181" fillId="9" borderId="14" xfId="0" applyFont="1" applyFill="1" applyBorder="1" applyAlignment="1">
      <alignment horizontal="center"/>
    </xf>
    <xf numFmtId="0" fontId="177" fillId="4" borderId="8" xfId="0" applyFont="1" applyFill="1" applyBorder="1" applyAlignment="1">
      <alignment horizontal="center" vertical="center"/>
    </xf>
    <xf numFmtId="0" fontId="177" fillId="4" borderId="9" xfId="0" applyFont="1" applyFill="1" applyBorder="1" applyAlignment="1">
      <alignment horizontal="center" vertical="center"/>
    </xf>
    <xf numFmtId="0" fontId="177" fillId="4" borderId="10" xfId="0" applyFont="1" applyFill="1" applyBorder="1" applyAlignment="1">
      <alignment horizontal="center" vertical="center"/>
    </xf>
    <xf numFmtId="0" fontId="178" fillId="4" borderId="8" xfId="0" applyFont="1" applyFill="1" applyBorder="1" applyAlignment="1">
      <alignment horizontal="left"/>
    </xf>
    <xf numFmtId="0" fontId="178" fillId="4" borderId="9" xfId="0" applyFont="1" applyFill="1" applyBorder="1" applyAlignment="1">
      <alignment horizontal="left"/>
    </xf>
    <xf numFmtId="0" fontId="178" fillId="4" borderId="10" xfId="0" applyFont="1" applyFill="1" applyBorder="1" applyAlignment="1">
      <alignment horizontal="left"/>
    </xf>
    <xf numFmtId="0" fontId="181" fillId="4" borderId="8" xfId="0" applyFont="1" applyFill="1" applyBorder="1" applyAlignment="1">
      <alignment horizontal="center"/>
    </xf>
    <xf numFmtId="0" fontId="181" fillId="4" borderId="9" xfId="0" applyFont="1" applyFill="1" applyBorder="1" applyAlignment="1">
      <alignment horizontal="center"/>
    </xf>
    <xf numFmtId="0" fontId="181" fillId="4" borderId="10" xfId="0" applyFont="1" applyFill="1" applyBorder="1" applyAlignment="1">
      <alignment horizontal="center"/>
    </xf>
    <xf numFmtId="14" fontId="182" fillId="31" borderId="11" xfId="0" applyNumberFormat="1" applyFont="1" applyFill="1" applyBorder="1" applyAlignment="1">
      <alignment horizontal="center"/>
    </xf>
    <xf numFmtId="14" fontId="182" fillId="31" borderId="15" xfId="0" applyNumberFormat="1" applyFont="1" applyFill="1" applyBorder="1" applyAlignment="1">
      <alignment horizontal="center"/>
    </xf>
    <xf numFmtId="0" fontId="181" fillId="4" borderId="16" xfId="0" applyFont="1" applyFill="1" applyBorder="1" applyAlignment="1">
      <alignment horizontal="center"/>
    </xf>
    <xf numFmtId="0" fontId="181" fillId="4" borderId="17" xfId="0" applyFont="1" applyFill="1" applyBorder="1" applyAlignment="1">
      <alignment horizontal="center"/>
    </xf>
    <xf numFmtId="0" fontId="181" fillId="4" borderId="27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0" fontId="133" fillId="0" borderId="0" xfId="0" applyFont="1" applyAlignment="1">
      <alignment horizontal="center"/>
    </xf>
    <xf numFmtId="168" fontId="17" fillId="0" borderId="2" xfId="3" applyNumberFormat="1" applyFont="1" applyFill="1" applyBorder="1" applyAlignment="1">
      <alignment horizontal="center"/>
    </xf>
    <xf numFmtId="168" fontId="17" fillId="0" borderId="42" xfId="3" applyNumberFormat="1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6" xfId="0" applyFont="1" applyFill="1" applyBorder="1" applyAlignment="1">
      <alignment horizontal="center"/>
    </xf>
    <xf numFmtId="0" fontId="23" fillId="9" borderId="4" xfId="0" applyFont="1" applyFill="1" applyBorder="1" applyAlignment="1">
      <alignment horizontal="center"/>
    </xf>
    <xf numFmtId="0" fontId="23" fillId="9" borderId="5" xfId="0" applyFont="1" applyFill="1" applyBorder="1" applyAlignment="1">
      <alignment horizontal="center"/>
    </xf>
    <xf numFmtId="0" fontId="23" fillId="9" borderId="6" xfId="0" applyFont="1" applyFill="1" applyBorder="1" applyAlignment="1">
      <alignment horizontal="center"/>
    </xf>
    <xf numFmtId="0" fontId="27" fillId="0" borderId="5" xfId="0" applyFont="1" applyFill="1" applyBorder="1" applyAlignment="1">
      <alignment horizontal="center"/>
    </xf>
    <xf numFmtId="0" fontId="46" fillId="0" borderId="8" xfId="0" applyFont="1" applyFill="1" applyBorder="1" applyAlignment="1">
      <alignment horizontal="center" vertical="center"/>
    </xf>
    <xf numFmtId="0" fontId="46" fillId="0" borderId="9" xfId="0" applyFont="1" applyFill="1" applyBorder="1" applyAlignment="1">
      <alignment horizontal="center" vertical="center"/>
    </xf>
    <xf numFmtId="0" fontId="46" fillId="0" borderId="10" xfId="0" applyFont="1" applyFill="1" applyBorder="1" applyAlignment="1">
      <alignment horizontal="center" vertical="center"/>
    </xf>
    <xf numFmtId="3" fontId="15" fillId="0" borderId="34" xfId="3" applyNumberFormat="1" applyFont="1" applyFill="1" applyBorder="1" applyAlignment="1">
      <alignment horizontal="center"/>
    </xf>
    <xf numFmtId="3" fontId="15" fillId="0" borderId="53" xfId="3" applyNumberFormat="1" applyFont="1" applyFill="1" applyBorder="1" applyAlignment="1">
      <alignment horizontal="center"/>
    </xf>
    <xf numFmtId="3" fontId="15" fillId="0" borderId="40" xfId="3" applyNumberFormat="1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7" fillId="4" borderId="11" xfId="0" applyFont="1" applyFill="1" applyBorder="1" applyAlignment="1">
      <alignment horizontal="center"/>
    </xf>
    <xf numFmtId="0" fontId="37" fillId="4" borderId="15" xfId="0" applyFont="1" applyFill="1" applyBorder="1" applyAlignment="1">
      <alignment horizontal="center"/>
    </xf>
    <xf numFmtId="0" fontId="37" fillId="4" borderId="14" xfId="0" applyFont="1" applyFill="1" applyBorder="1" applyAlignment="1">
      <alignment horizontal="center"/>
    </xf>
    <xf numFmtId="0" fontId="37" fillId="4" borderId="16" xfId="0" applyFont="1" applyFill="1" applyBorder="1" applyAlignment="1">
      <alignment horizontal="center"/>
    </xf>
    <xf numFmtId="0" fontId="37" fillId="4" borderId="9" xfId="0" applyFont="1" applyFill="1" applyBorder="1" applyAlignment="1">
      <alignment horizontal="center"/>
    </xf>
    <xf numFmtId="0" fontId="37" fillId="4" borderId="61" xfId="0" applyFont="1" applyFill="1" applyBorder="1" applyAlignment="1">
      <alignment horizontal="center"/>
    </xf>
    <xf numFmtId="14" fontId="182" fillId="31" borderId="56" xfId="0" applyNumberFormat="1" applyFont="1" applyFill="1" applyBorder="1" applyAlignment="1">
      <alignment horizontal="center"/>
    </xf>
    <xf numFmtId="14" fontId="182" fillId="31" borderId="57" xfId="0" applyNumberFormat="1" applyFont="1" applyFill="1" applyBorder="1" applyAlignment="1">
      <alignment horizontal="center"/>
    </xf>
    <xf numFmtId="14" fontId="182" fillId="31" borderId="75" xfId="0" applyNumberFormat="1" applyFont="1" applyFill="1" applyBorder="1" applyAlignment="1">
      <alignment horizontal="center"/>
    </xf>
    <xf numFmtId="0" fontId="181" fillId="4" borderId="39" xfId="0" applyFont="1" applyFill="1" applyBorder="1" applyAlignment="1">
      <alignment horizontal="center"/>
    </xf>
    <xf numFmtId="0" fontId="181" fillId="4" borderId="55" xfId="0" applyFont="1" applyFill="1" applyBorder="1" applyAlignment="1">
      <alignment horizontal="center"/>
    </xf>
    <xf numFmtId="0" fontId="181" fillId="4" borderId="25" xfId="0" applyFont="1" applyFill="1" applyBorder="1" applyAlignment="1">
      <alignment horizontal="center"/>
    </xf>
    <xf numFmtId="164" fontId="181" fillId="55" borderId="12" xfId="1" applyNumberFormat="1" applyFont="1" applyFill="1" applyBorder="1" applyAlignment="1">
      <alignment horizontal="center"/>
    </xf>
    <xf numFmtId="164" fontId="181" fillId="55" borderId="15" xfId="1" applyNumberFormat="1" applyFont="1" applyFill="1" applyBorder="1" applyAlignment="1">
      <alignment horizontal="center"/>
    </xf>
    <xf numFmtId="164" fontId="181" fillId="55" borderId="28" xfId="1" applyNumberFormat="1" applyFont="1" applyFill="1" applyBorder="1" applyAlignment="1">
      <alignment horizontal="center"/>
    </xf>
    <xf numFmtId="0" fontId="177" fillId="4" borderId="57" xfId="0" applyFont="1" applyFill="1" applyBorder="1" applyAlignment="1">
      <alignment horizontal="center"/>
    </xf>
    <xf numFmtId="0" fontId="177" fillId="4" borderId="75" xfId="0" applyFont="1" applyFill="1" applyBorder="1" applyAlignment="1">
      <alignment horizontal="center"/>
    </xf>
    <xf numFmtId="0" fontId="3" fillId="9" borderId="32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left"/>
    </xf>
    <xf numFmtId="0" fontId="0" fillId="0" borderId="17" xfId="0" applyBorder="1"/>
    <xf numFmtId="0" fontId="4" fillId="10" borderId="4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27" fillId="0" borderId="16" xfId="0" applyFont="1" applyFill="1" applyBorder="1" applyAlignment="1">
      <alignment horizontal="center"/>
    </xf>
    <xf numFmtId="0" fontId="27" fillId="0" borderId="17" xfId="0" applyFont="1" applyFill="1" applyBorder="1" applyAlignment="1">
      <alignment horizontal="center"/>
    </xf>
    <xf numFmtId="0" fontId="27" fillId="0" borderId="27" xfId="0" applyFont="1" applyFill="1" applyBorder="1" applyAlignment="1">
      <alignment horizontal="center"/>
    </xf>
    <xf numFmtId="0" fontId="4" fillId="9" borderId="35" xfId="0" applyFont="1" applyFill="1" applyBorder="1" applyAlignment="1">
      <alignment horizontal="center"/>
    </xf>
    <xf numFmtId="0" fontId="4" fillId="9" borderId="36" xfId="0" applyFont="1" applyFill="1" applyBorder="1" applyAlignment="1">
      <alignment horizontal="center"/>
    </xf>
    <xf numFmtId="0" fontId="4" fillId="9" borderId="37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3" fontId="4" fillId="50" borderId="14" xfId="0" applyNumberFormat="1" applyFont="1" applyFill="1" applyBorder="1" applyAlignment="1">
      <alignment horizontal="center"/>
    </xf>
    <xf numFmtId="3" fontId="4" fillId="50" borderId="31" xfId="0" applyNumberFormat="1" applyFont="1" applyFill="1" applyBorder="1" applyAlignment="1">
      <alignment horizontal="center"/>
    </xf>
    <xf numFmtId="0" fontId="4" fillId="51" borderId="8" xfId="0" applyFont="1" applyFill="1" applyBorder="1" applyAlignment="1">
      <alignment horizontal="center"/>
    </xf>
    <xf numFmtId="0" fontId="4" fillId="51" borderId="15" xfId="0" applyFont="1" applyFill="1" applyBorder="1" applyAlignment="1">
      <alignment horizontal="center"/>
    </xf>
    <xf numFmtId="0" fontId="4" fillId="51" borderId="9" xfId="0" applyFont="1" applyFill="1" applyBorder="1" applyAlignment="1">
      <alignment horizontal="center"/>
    </xf>
    <xf numFmtId="0" fontId="4" fillId="52" borderId="8" xfId="0" applyFont="1" applyFill="1" applyBorder="1" applyAlignment="1">
      <alignment horizontal="center"/>
    </xf>
    <xf numFmtId="0" fontId="4" fillId="52" borderId="17" xfId="0" applyFont="1" applyFill="1" applyBorder="1" applyAlignment="1">
      <alignment horizontal="center"/>
    </xf>
    <xf numFmtId="0" fontId="4" fillId="52" borderId="9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0" borderId="56" xfId="0" applyFont="1" applyFill="1" applyBorder="1" applyAlignment="1">
      <alignment horizontal="left"/>
    </xf>
    <xf numFmtId="0" fontId="3" fillId="0" borderId="57" xfId="0" applyFont="1" applyFill="1" applyBorder="1" applyAlignment="1">
      <alignment horizontal="left"/>
    </xf>
    <xf numFmtId="0" fontId="3" fillId="0" borderId="75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27" fillId="9" borderId="16" xfId="0" applyFont="1" applyFill="1" applyBorder="1" applyAlignment="1">
      <alignment horizontal="center"/>
    </xf>
    <xf numFmtId="0" fontId="27" fillId="9" borderId="17" xfId="0" applyFont="1" applyFill="1" applyBorder="1" applyAlignment="1">
      <alignment horizontal="center"/>
    </xf>
    <xf numFmtId="0" fontId="0" fillId="9" borderId="32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3" fillId="0" borderId="32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0" fontId="3" fillId="0" borderId="3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164" fontId="18" fillId="4" borderId="11" xfId="1" applyNumberFormat="1" applyFont="1" applyFill="1" applyBorder="1" applyAlignment="1">
      <alignment horizontal="center" vertical="center"/>
    </xf>
    <xf numFmtId="164" fontId="18" fillId="4" borderId="15" xfId="1" applyNumberFormat="1" applyFont="1" applyFill="1" applyBorder="1" applyAlignment="1">
      <alignment horizontal="center" vertical="center"/>
    </xf>
    <xf numFmtId="164" fontId="18" fillId="4" borderId="14" xfId="1" applyNumberFormat="1" applyFont="1" applyFill="1" applyBorder="1" applyAlignment="1">
      <alignment horizontal="center" vertical="center"/>
    </xf>
    <xf numFmtId="164" fontId="18" fillId="4" borderId="16" xfId="1" applyNumberFormat="1" applyFont="1" applyFill="1" applyBorder="1" applyAlignment="1">
      <alignment horizontal="center" vertical="center"/>
    </xf>
    <xf numFmtId="164" fontId="18" fillId="4" borderId="17" xfId="1" applyNumberFormat="1" applyFont="1" applyFill="1" applyBorder="1" applyAlignment="1">
      <alignment horizontal="center" vertical="center"/>
    </xf>
    <xf numFmtId="164" fontId="18" fillId="4" borderId="27" xfId="1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/>
    </xf>
    <xf numFmtId="0" fontId="4" fillId="4" borderId="36" xfId="0" applyFont="1" applyFill="1" applyBorder="1" applyAlignment="1">
      <alignment horizontal="center"/>
    </xf>
    <xf numFmtId="0" fontId="4" fillId="4" borderId="64" xfId="0" applyFont="1" applyFill="1" applyBorder="1" applyAlignment="1">
      <alignment horizontal="center"/>
    </xf>
    <xf numFmtId="0" fontId="27" fillId="0" borderId="52" xfId="0" applyFont="1" applyFill="1" applyBorder="1" applyAlignment="1">
      <alignment horizontal="left"/>
    </xf>
    <xf numFmtId="0" fontId="27" fillId="0" borderId="53" xfId="0" applyFont="1" applyFill="1" applyBorder="1" applyAlignment="1">
      <alignment horizontal="left"/>
    </xf>
    <xf numFmtId="0" fontId="27" fillId="0" borderId="54" xfId="0" applyFont="1" applyFill="1" applyBorder="1" applyAlignment="1">
      <alignment horizontal="left"/>
    </xf>
    <xf numFmtId="0" fontId="29" fillId="4" borderId="45" xfId="0" applyFont="1" applyFill="1" applyBorder="1" applyAlignment="1">
      <alignment horizontal="center" vertical="center"/>
    </xf>
    <xf numFmtId="0" fontId="29" fillId="4" borderId="46" xfId="0" applyFont="1" applyFill="1" applyBorder="1" applyAlignment="1">
      <alignment horizontal="center" vertical="center"/>
    </xf>
    <xf numFmtId="0" fontId="29" fillId="4" borderId="47" xfId="0" applyFont="1" applyFill="1" applyBorder="1" applyAlignment="1">
      <alignment horizontal="center" vertical="center"/>
    </xf>
    <xf numFmtId="0" fontId="0" fillId="4" borderId="4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58" xfId="0" applyFill="1" applyBorder="1" applyAlignment="1">
      <alignment horizontal="left"/>
    </xf>
    <xf numFmtId="0" fontId="5" fillId="14" borderId="48" xfId="0" applyFont="1" applyFill="1" applyBorder="1" applyAlignment="1">
      <alignment horizontal="center"/>
    </xf>
    <xf numFmtId="0" fontId="5" fillId="14" borderId="29" xfId="0" applyFont="1" applyFill="1" applyBorder="1" applyAlignment="1">
      <alignment horizontal="center"/>
    </xf>
    <xf numFmtId="0" fontId="5" fillId="14" borderId="58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0" fillId="9" borderId="49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4" fillId="4" borderId="47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10" borderId="45" xfId="0" applyFont="1" applyFill="1" applyBorder="1" applyAlignment="1">
      <alignment horizontal="center"/>
    </xf>
    <xf numFmtId="0" fontId="4" fillId="10" borderId="46" xfId="0" applyFont="1" applyFill="1" applyBorder="1" applyAlignment="1">
      <alignment horizontal="center"/>
    </xf>
    <xf numFmtId="0" fontId="4" fillId="10" borderId="51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51" fillId="0" borderId="1" xfId="0" applyFont="1" applyBorder="1" applyAlignment="1">
      <alignment horizontal="center" vertical="center"/>
    </xf>
    <xf numFmtId="164" fontId="0" fillId="2" borderId="51" xfId="1" applyNumberFormat="1" applyFont="1" applyFill="1" applyBorder="1" applyAlignment="1">
      <alignment horizontal="center"/>
    </xf>
    <xf numFmtId="164" fontId="0" fillId="2" borderId="10" xfId="1" applyNumberFormat="1" applyFont="1" applyFill="1" applyBorder="1" applyAlignment="1">
      <alignment horizont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21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 wrapText="1"/>
    </xf>
    <xf numFmtId="165" fontId="4" fillId="6" borderId="0" xfId="0" applyNumberFormat="1" applyFont="1" applyFill="1" applyBorder="1" applyAlignment="1">
      <alignment horizontal="center" vertical="center" wrapText="1"/>
    </xf>
    <xf numFmtId="165" fontId="4" fillId="2" borderId="41" xfId="0" applyNumberFormat="1" applyFont="1" applyFill="1" applyBorder="1" applyAlignment="1">
      <alignment horizontal="center" vertical="center" wrapText="1"/>
    </xf>
    <xf numFmtId="165" fontId="4" fillId="2" borderId="6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  <xf numFmtId="0" fontId="22" fillId="0" borderId="0" xfId="0" applyNumberFormat="1" applyFont="1" applyAlignment="1">
      <alignment horizontal="center"/>
    </xf>
    <xf numFmtId="165" fontId="5" fillId="4" borderId="28" xfId="0" applyNumberFormat="1" applyFont="1" applyFill="1" applyBorder="1" applyAlignment="1">
      <alignment horizontal="center" wrapText="1"/>
    </xf>
    <xf numFmtId="165" fontId="5" fillId="4" borderId="29" xfId="0" applyNumberFormat="1" applyFont="1" applyFill="1" applyBorder="1" applyAlignment="1">
      <alignment horizontal="center" wrapText="1"/>
    </xf>
    <xf numFmtId="165" fontId="5" fillId="4" borderId="12" xfId="0" applyNumberFormat="1" applyFont="1" applyFill="1" applyBorder="1" applyAlignment="1">
      <alignment horizontal="center" wrapText="1"/>
    </xf>
    <xf numFmtId="165" fontId="5" fillId="4" borderId="34" xfId="0" applyNumberFormat="1" applyFont="1" applyFill="1" applyBorder="1" applyAlignment="1">
      <alignment horizontal="center" vertical="center" wrapText="1"/>
    </xf>
    <xf numFmtId="165" fontId="5" fillId="4" borderId="40" xfId="0" applyNumberFormat="1" applyFont="1" applyFill="1" applyBorder="1" applyAlignment="1">
      <alignment horizontal="center" vertical="center" wrapText="1"/>
    </xf>
    <xf numFmtId="0" fontId="61" fillId="4" borderId="16" xfId="0" applyFont="1" applyFill="1" applyBorder="1" applyAlignment="1">
      <alignment horizontal="center"/>
    </xf>
    <xf numFmtId="0" fontId="61" fillId="4" borderId="9" xfId="0" applyFont="1" applyFill="1" applyBorder="1" applyAlignment="1">
      <alignment horizontal="center"/>
    </xf>
    <xf numFmtId="0" fontId="61" fillId="4" borderId="61" xfId="0" applyFont="1" applyFill="1" applyBorder="1" applyAlignment="1">
      <alignment horizontal="center"/>
    </xf>
    <xf numFmtId="0" fontId="59" fillId="4" borderId="11" xfId="0" applyFont="1" applyFill="1" applyBorder="1" applyAlignment="1">
      <alignment horizontal="center"/>
    </xf>
    <xf numFmtId="0" fontId="59" fillId="4" borderId="15" xfId="0" applyFont="1" applyFill="1" applyBorder="1" applyAlignment="1">
      <alignment horizontal="center"/>
    </xf>
    <xf numFmtId="0" fontId="59" fillId="4" borderId="14" xfId="0" applyFont="1" applyFill="1" applyBorder="1" applyAlignment="1">
      <alignment horizontal="center"/>
    </xf>
    <xf numFmtId="0" fontId="108" fillId="0" borderId="0" xfId="0" applyFont="1" applyAlignment="1">
      <alignment horizontal="center"/>
    </xf>
    <xf numFmtId="168" fontId="25" fillId="16" borderId="34" xfId="3" applyNumberFormat="1" applyFont="1" applyFill="1" applyBorder="1" applyAlignment="1">
      <alignment horizontal="center" vertical="center"/>
    </xf>
    <xf numFmtId="168" fontId="25" fillId="16" borderId="40" xfId="3" applyNumberFormat="1" applyFont="1" applyFill="1" applyBorder="1" applyAlignment="1">
      <alignment horizontal="center" vertical="center"/>
    </xf>
    <xf numFmtId="0" fontId="132" fillId="42" borderId="0" xfId="0" applyFont="1" applyFill="1" applyAlignment="1" applyProtection="1">
      <alignment horizontal="center" vertical="center"/>
      <protection locked="0"/>
    </xf>
    <xf numFmtId="0" fontId="135" fillId="43" borderId="44" xfId="0" applyFont="1" applyFill="1" applyBorder="1" applyAlignment="1" applyProtection="1">
      <alignment horizontal="left" vertical="center" wrapText="1"/>
      <protection locked="0"/>
    </xf>
    <xf numFmtId="0" fontId="135" fillId="43" borderId="80" xfId="0" applyFont="1" applyFill="1" applyBorder="1" applyAlignment="1" applyProtection="1">
      <alignment horizontal="left" vertical="center" wrapText="1"/>
      <protection locked="0"/>
    </xf>
    <xf numFmtId="0" fontId="135" fillId="43" borderId="0" xfId="0" applyFont="1" applyFill="1" applyBorder="1" applyAlignment="1" applyProtection="1">
      <alignment horizontal="center" vertical="center" wrapText="1"/>
      <protection locked="0"/>
    </xf>
    <xf numFmtId="0" fontId="135" fillId="43" borderId="81" xfId="0" applyFont="1" applyFill="1" applyBorder="1" applyAlignment="1" applyProtection="1">
      <alignment horizontal="center" vertical="center" wrapText="1"/>
      <protection locked="0"/>
    </xf>
    <xf numFmtId="0" fontId="143" fillId="46" borderId="83" xfId="0" applyFont="1" applyFill="1" applyBorder="1" applyAlignment="1" applyProtection="1">
      <alignment horizontal="center"/>
      <protection locked="0"/>
    </xf>
    <xf numFmtId="0" fontId="143" fillId="46" borderId="84" xfId="0" applyFont="1" applyFill="1" applyBorder="1" applyAlignment="1" applyProtection="1">
      <alignment horizontal="center"/>
      <protection locked="0"/>
    </xf>
    <xf numFmtId="0" fontId="147" fillId="43" borderId="0" xfId="0" applyFont="1" applyFill="1" applyAlignment="1" applyProtection="1">
      <alignment horizontal="center" vertical="center" wrapText="1"/>
      <protection locked="0"/>
    </xf>
    <xf numFmtId="49" fontId="147" fillId="43" borderId="43" xfId="0" applyNumberFormat="1" applyFont="1" applyFill="1" applyBorder="1" applyAlignment="1" applyProtection="1">
      <alignment horizontal="center" wrapText="1"/>
      <protection locked="0"/>
    </xf>
    <xf numFmtId="49" fontId="148" fillId="47" borderId="60" xfId="0" applyNumberFormat="1" applyFont="1" applyFill="1" applyBorder="1" applyAlignment="1" applyProtection="1">
      <alignment horizontal="center"/>
      <protection locked="0"/>
    </xf>
    <xf numFmtId="49" fontId="148" fillId="47" borderId="3" xfId="0" applyNumberFormat="1" applyFont="1" applyFill="1" applyBorder="1" applyAlignment="1" applyProtection="1">
      <alignment horizontal="center"/>
      <protection locked="0"/>
    </xf>
    <xf numFmtId="165" fontId="130" fillId="42" borderId="0" xfId="0" applyNumberFormat="1" applyFont="1" applyFill="1" applyBorder="1" applyAlignment="1" applyProtection="1">
      <alignment horizontal="center" vertical="center"/>
      <protection locked="0"/>
    </xf>
    <xf numFmtId="165" fontId="130" fillId="42" borderId="0" xfId="0" applyNumberFormat="1" applyFont="1" applyFill="1" applyBorder="1" applyAlignment="1" applyProtection="1">
      <alignment horizontal="center" vertical="center"/>
    </xf>
    <xf numFmtId="177" fontId="130" fillId="48" borderId="0" xfId="0" applyNumberFormat="1" applyFont="1" applyFill="1" applyBorder="1" applyAlignment="1">
      <alignment horizontal="center" vertical="center"/>
    </xf>
    <xf numFmtId="0" fontId="132" fillId="48" borderId="0" xfId="0" applyFont="1" applyFill="1" applyAlignment="1">
      <alignment horizontal="center" vertical="center"/>
    </xf>
    <xf numFmtId="0" fontId="144" fillId="43" borderId="0" xfId="0" applyFont="1" applyFill="1" applyAlignment="1">
      <alignment horizontal="center" vertical="center" wrapText="1"/>
    </xf>
    <xf numFmtId="0" fontId="166" fillId="12" borderId="0" xfId="0" applyFont="1" applyFill="1" applyAlignment="1">
      <alignment horizontal="center"/>
    </xf>
    <xf numFmtId="0" fontId="119" fillId="0" borderId="2" xfId="0" applyFont="1" applyBorder="1" applyAlignment="1">
      <alignment horizontal="center" vertical="top" textRotation="90"/>
    </xf>
    <xf numFmtId="0" fontId="119" fillId="0" borderId="0" xfId="0" applyFont="1" applyAlignment="1">
      <alignment horizontal="center" vertical="top" textRotation="90"/>
    </xf>
    <xf numFmtId="0" fontId="119" fillId="0" borderId="3" xfId="0" applyFont="1" applyBorder="1" applyAlignment="1">
      <alignment horizontal="center" vertical="top" textRotation="90"/>
    </xf>
    <xf numFmtId="0" fontId="126" fillId="0" borderId="43" xfId="0" applyFont="1" applyBorder="1" applyAlignment="1">
      <alignment horizontal="left" textRotation="91"/>
    </xf>
    <xf numFmtId="0" fontId="126" fillId="0" borderId="0" xfId="0" applyFont="1" applyAlignment="1">
      <alignment horizontal="left" textRotation="91"/>
    </xf>
    <xf numFmtId="0" fontId="148" fillId="42" borderId="0" xfId="0" applyFont="1" applyFill="1" applyAlignment="1" applyProtection="1">
      <alignment horizontal="center" vertical="center"/>
      <protection locked="0"/>
    </xf>
    <xf numFmtId="0" fontId="147" fillId="43" borderId="44" xfId="0" applyFont="1" applyFill="1" applyBorder="1" applyAlignment="1" applyProtection="1">
      <alignment horizontal="left" vertical="center" wrapText="1"/>
      <protection locked="0"/>
    </xf>
    <xf numFmtId="0" fontId="147" fillId="43" borderId="80" xfId="0" applyFont="1" applyFill="1" applyBorder="1" applyAlignment="1" applyProtection="1">
      <alignment horizontal="left" vertical="center" wrapText="1"/>
      <protection locked="0"/>
    </xf>
    <xf numFmtId="0" fontId="147" fillId="43" borderId="0" xfId="0" applyFont="1" applyFill="1" applyBorder="1" applyAlignment="1" applyProtection="1">
      <alignment horizontal="center" vertical="center" wrapText="1"/>
      <protection locked="0"/>
    </xf>
    <xf numFmtId="0" fontId="147" fillId="43" borderId="81" xfId="0" applyFont="1" applyFill="1" applyBorder="1" applyAlignment="1" applyProtection="1">
      <alignment horizontal="center" vertical="center" wrapText="1"/>
      <protection locked="0"/>
    </xf>
    <xf numFmtId="0" fontId="238" fillId="46" borderId="83" xfId="0" applyFont="1" applyFill="1" applyBorder="1" applyAlignment="1" applyProtection="1">
      <alignment horizontal="center"/>
      <protection locked="0"/>
    </xf>
    <xf numFmtId="0" fontId="238" fillId="46" borderId="84" xfId="0" applyFont="1" applyFill="1" applyBorder="1" applyAlignment="1" applyProtection="1">
      <alignment horizontal="center"/>
      <protection locked="0"/>
    </xf>
    <xf numFmtId="177" fontId="198" fillId="48" borderId="0" xfId="0" applyNumberFormat="1" applyFont="1" applyFill="1" applyBorder="1" applyAlignment="1">
      <alignment horizontal="center" vertical="center"/>
    </xf>
    <xf numFmtId="0" fontId="196" fillId="48" borderId="0" xfId="0" applyFont="1" applyFill="1" applyAlignment="1">
      <alignment horizontal="center" vertical="center"/>
    </xf>
    <xf numFmtId="0" fontId="198" fillId="43" borderId="0" xfId="0" applyFont="1" applyFill="1" applyAlignment="1">
      <alignment horizontal="center" vertical="center" wrapText="1"/>
    </xf>
    <xf numFmtId="3" fontId="218" fillId="9" borderId="106" xfId="0" applyNumberFormat="1" applyFont="1" applyFill="1" applyBorder="1" applyAlignment="1">
      <alignment horizontal="center" wrapText="1"/>
    </xf>
    <xf numFmtId="168" fontId="212" fillId="58" borderId="11" xfId="0" applyNumberFormat="1" applyFont="1" applyFill="1" applyBorder="1" applyAlignment="1">
      <alignment horizontal="center" vertical="center"/>
    </xf>
    <xf numFmtId="168" fontId="212" fillId="58" borderId="15" xfId="0" applyNumberFormat="1" applyFont="1" applyFill="1" applyBorder="1" applyAlignment="1">
      <alignment horizontal="center" vertical="center"/>
    </xf>
    <xf numFmtId="168" fontId="212" fillId="58" borderId="94" xfId="0" applyNumberFormat="1" applyFont="1" applyFill="1" applyBorder="1" applyAlignment="1">
      <alignment horizontal="center" vertical="center"/>
    </xf>
    <xf numFmtId="168" fontId="214" fillId="0" borderId="8" xfId="20" applyNumberFormat="1" applyFont="1" applyBorder="1" applyAlignment="1">
      <alignment horizontal="center" vertical="center"/>
    </xf>
    <xf numFmtId="168" fontId="214" fillId="0" borderId="9" xfId="20" applyNumberFormat="1" applyFont="1" applyBorder="1" applyAlignment="1">
      <alignment horizontal="center" vertical="center"/>
    </xf>
    <xf numFmtId="168" fontId="214" fillId="0" borderId="10" xfId="20" applyNumberFormat="1" applyFont="1" applyBorder="1" applyAlignment="1">
      <alignment horizontal="center" vertical="center"/>
    </xf>
  </cellXfs>
  <cellStyles count="21">
    <cellStyle name="Accent3" xfId="13" builtinId="37"/>
    <cellStyle name="Accent3 2" xfId="8"/>
    <cellStyle name="Milliers" xfId="1"/>
    <cellStyle name="Milliers 10 2" xfId="20"/>
    <cellStyle name="Milliers 16" xfId="19"/>
    <cellStyle name="Milliers 2" xfId="3"/>
    <cellStyle name="Milliers 2 2 3" xfId="4"/>
    <cellStyle name="Milliers 2 2 3 5" xfId="18"/>
    <cellStyle name="Milliers 3" xfId="16"/>
    <cellStyle name="Milliers 4" xfId="15"/>
    <cellStyle name="Milliers 4 2 2 2 2 2 2" xfId="17"/>
    <cellStyle name="Normal" xfId="0" builtinId="0"/>
    <cellStyle name="Normal 12" xfId="6"/>
    <cellStyle name="Normal 13" xfId="7"/>
    <cellStyle name="Normal 2" xfId="2"/>
    <cellStyle name="Normal 28" xfId="9"/>
    <cellStyle name="Normal 3" xfId="10"/>
    <cellStyle name="Normal 3 10" xfId="14"/>
    <cellStyle name="Normal 4" xfId="11"/>
    <cellStyle name="Pourcentage" xfId="5" builtinId="5"/>
    <cellStyle name="Titre 2" xfId="12"/>
  </cellStyles>
  <dxfs count="784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24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/>
        <shadow/>
        <u val="none"/>
        <vertAlign val="baseline"/>
        <sz val="24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2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u val="none"/>
        <vertAlign val="baseline"/>
        <sz val="24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u val="none"/>
        <vertAlign val="baseline"/>
        <sz val="24"/>
        <name val="Century Gothic"/>
      </font>
      <fill>
        <patternFill patternType="none">
          <fgColor indexed="64"/>
          <bgColor auto="1"/>
        </patternFill>
      </fill>
    </dxf>
    <dxf>
      <font>
        <strike val="0"/>
        <u val="none"/>
        <vertAlign val="baseline"/>
        <sz val="24"/>
      </font>
      <fill>
        <patternFill patternType="none">
          <fgColor indexed="64"/>
          <bgColor auto="1"/>
        </patternFill>
      </fill>
    </dxf>
    <dxf>
      <font>
        <b/>
        <strike val="0"/>
        <u val="none"/>
        <vertAlign val="baseline"/>
        <sz val="24"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fgColor rgb="FFFF0000"/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outline="0">
        <right style="thin">
          <color indexed="64"/>
        </right>
      </border>
      <protection locked="0" hidden="0"/>
    </dxf>
    <dxf>
      <border outline="0">
        <left style="thin">
          <color theme="0" tint="-0.249977111117893"/>
        </left>
        <top style="thin">
          <color theme="0" tint="-0.249977111117893"/>
        </top>
      </border>
    </dxf>
    <dxf>
      <font>
        <strike val="0"/>
        <u val="none"/>
        <vertAlign val="baseline"/>
        <sz val="10"/>
      </font>
      <protection locked="0" hidden="0"/>
    </dxf>
    <dxf>
      <font>
        <strike val="0"/>
        <u val="none"/>
        <vertAlign val="baseline"/>
        <sz val="10"/>
      </font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u val="none"/>
        <vertAlign val="baseline"/>
        <sz val="10"/>
        <name val="Century Gothic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ont>
        <b/>
        <strike val="0"/>
        <u val="none"/>
        <vertAlign val="baseline"/>
        <sz val="10"/>
      </font>
      <fill>
        <patternFill patternType="none">
          <fgColor indexed="64"/>
          <bgColor auto="1"/>
        </patternFill>
      </fill>
      <protection locked="0" hidden="0"/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C755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C755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C755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C755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C755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C755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/>
        <shadow/>
        <u val="none"/>
        <vertAlign val="baseline"/>
        <sz val="12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u val="none"/>
        <vertAlign val="baseline"/>
        <sz val="10"/>
        <name val="Century Gothic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fgColor rgb="FFFF0000"/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>
        <right style="thin">
          <color indexed="64"/>
        </right>
      </border>
      <protection locked="0" hidden="0"/>
    </dxf>
    <dxf>
      <border outline="0">
        <left style="thin">
          <color theme="0" tint="-0.249977111117893"/>
        </left>
        <top style="thin">
          <color theme="0" tint="-0.249977111117893"/>
        </top>
      </border>
    </dxf>
    <dxf>
      <protection locked="0" hidden="0"/>
    </dxf>
    <dxf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b val="0"/>
        <i val="0"/>
        <strike val="0"/>
        <u val="none"/>
        <vertAlign val="baseline"/>
        <sz val="10"/>
        <name val="Century Gothic"/>
      </font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/>
      </font>
      <fill>
        <patternFill patternType="none">
          <fgColor indexed="64"/>
          <bgColor auto="1"/>
        </patternFill>
      </fill>
      <protection locked="0" hidden="0"/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C755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C755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rgb="FFFC755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/>
        <shadow/>
        <u val="none"/>
        <vertAlign val="baseline"/>
        <sz val="15"/>
        <color rgb="FFFF00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u val="none"/>
        <vertAlign val="baseline"/>
        <sz val="10"/>
        <name val="Century Gothic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/>
        <i val="0"/>
        <color theme="0"/>
      </font>
      <fill>
        <patternFill>
          <fgColor rgb="FFFF0000"/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>
        <right style="thin">
          <color indexed="64"/>
        </right>
      </border>
      <protection locked="0" hidden="0"/>
    </dxf>
    <dxf>
      <border outline="0">
        <left style="thin">
          <color theme="0" tint="-0.249977111117893"/>
        </left>
        <top style="thin">
          <color theme="0" tint="-0.249977111117893"/>
        </top>
      </border>
    </dxf>
    <dxf>
      <protection locked="0" hidden="0"/>
    </dxf>
    <dxf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78" formatCode="0;0;"/>
      <fill>
        <patternFill patternType="solid">
          <fgColor indexed="64"/>
          <bgColor theme="0" tint="-0.34998626667073579"/>
        </patternFill>
      </fill>
      <alignment horizont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/>
        <extend/>
        <outline/>
        <shadow/>
        <u val="none"/>
        <vertAlign val="baseline"/>
        <sz val="10"/>
        <color theme="1"/>
        <name val="Calibri"/>
        <scheme val="minor"/>
      </font>
      <numFmt numFmtId="178" formatCode="0;0;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u val="none"/>
        <vertAlign val="baseline"/>
        <sz val="10"/>
        <name val="Century Gothic"/>
      </font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/>
      </font>
      <fill>
        <patternFill patternType="none">
          <fgColor indexed="64"/>
          <bgColor auto="1"/>
        </patternFill>
      </fill>
      <protection locked="0" hidden="0"/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 patternType="solid">
          <fgColor rgb="FFF2DCDB"/>
          <bgColor rgb="FFF2DCDB"/>
        </patternFill>
      </fill>
    </dxf>
    <dxf>
      <fill>
        <patternFill patternType="solid">
          <fgColor rgb="FFF2DCDB"/>
          <bgColor rgb="FFF2DCDB"/>
        </patternFill>
      </fill>
    </dxf>
    <dxf>
      <font>
        <b/>
        <color rgb="FF963634"/>
      </font>
    </dxf>
    <dxf>
      <font>
        <b/>
        <color rgb="FF963634"/>
      </font>
    </dxf>
    <dxf>
      <font>
        <b/>
        <color rgb="FF963634"/>
      </font>
      <border>
        <top style="thin">
          <color rgb="FFC0504D"/>
        </top>
      </border>
    </dxf>
    <dxf>
      <font>
        <b/>
        <color rgb="FF963634"/>
      </font>
      <border>
        <bottom style="thin">
          <color rgb="FFC0504D"/>
        </bottom>
      </border>
    </dxf>
    <dxf>
      <font>
        <color rgb="FF963634"/>
      </font>
      <border>
        <top style="thin">
          <color rgb="FFC0504D"/>
        </top>
        <bottom style="thin">
          <color rgb="FFC0504D"/>
        </bottom>
      </border>
    </dxf>
    <dxf>
      <fill>
        <patternFill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</font>
      <border>
        <top style="double">
          <color theme="1"/>
        </top>
      </border>
    </dxf>
    <dxf>
      <font>
        <color theme="1"/>
      </font>
      <fill>
        <patternFill>
          <bgColor theme="4" tint="0.79998168889431442"/>
        </patternFill>
      </fill>
      <border>
        <left style="thin">
          <color theme="3"/>
        </left>
        <right style="thin">
          <color theme="3"/>
        </right>
        <top style="medium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color theme="1"/>
      </font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fill>
        <patternFill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</font>
      <border>
        <top style="double">
          <color theme="1"/>
        </top>
      </border>
    </dxf>
    <dxf>
      <font>
        <color theme="1"/>
      </font>
      <fill>
        <patternFill>
          <bgColor theme="4" tint="0.79998168889431442"/>
        </patternFill>
      </fill>
      <border>
        <left style="thin">
          <color theme="3"/>
        </left>
        <right style="thin">
          <color theme="3"/>
        </right>
        <top style="medium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color theme="1"/>
      </font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fill>
        <patternFill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</font>
      <border>
        <top style="double">
          <color theme="1"/>
        </top>
      </border>
    </dxf>
    <dxf>
      <font>
        <color theme="1"/>
      </font>
      <fill>
        <patternFill>
          <bgColor theme="4" tint="0.79998168889431442"/>
        </patternFill>
      </fill>
      <border>
        <left style="thin">
          <color theme="3"/>
        </left>
        <right style="thin">
          <color theme="3"/>
        </right>
        <top style="medium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color theme="1"/>
      </font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fill>
        <patternFill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</font>
      <border>
        <top style="double">
          <color theme="1"/>
        </top>
      </border>
    </dxf>
    <dxf>
      <font>
        <color theme="1"/>
      </font>
      <fill>
        <patternFill>
          <bgColor theme="4" tint="0.79998168889431442"/>
        </patternFill>
      </fill>
      <border>
        <left style="thin">
          <color theme="3"/>
        </left>
        <right style="thin">
          <color theme="3"/>
        </right>
        <top style="medium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color theme="1"/>
      </font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fill>
        <patternFill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</font>
      <border>
        <top style="double">
          <color theme="1"/>
        </top>
      </border>
    </dxf>
    <dxf>
      <font>
        <color theme="1"/>
      </font>
      <fill>
        <patternFill>
          <bgColor theme="4" tint="0.79998168889431442"/>
        </patternFill>
      </fill>
      <border>
        <left style="thin">
          <color theme="3"/>
        </left>
        <right style="thin">
          <color theme="3"/>
        </right>
        <top style="medium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color theme="1"/>
      </font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fill>
        <patternFill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</font>
      <border>
        <top style="double">
          <color theme="1"/>
        </top>
      </border>
    </dxf>
    <dxf>
      <font>
        <color theme="1"/>
      </font>
      <fill>
        <patternFill>
          <bgColor theme="4" tint="0.79998168889431442"/>
        </patternFill>
      </fill>
      <border>
        <left style="thin">
          <color theme="3"/>
        </left>
        <right style="thin">
          <color theme="3"/>
        </right>
        <top style="medium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color theme="1"/>
      </font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fill>
        <patternFill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</font>
      <border>
        <top style="double">
          <color theme="1"/>
        </top>
      </border>
    </dxf>
    <dxf>
      <font>
        <color theme="1"/>
      </font>
      <fill>
        <patternFill>
          <bgColor theme="4" tint="0.79998168889431442"/>
        </patternFill>
      </fill>
      <border>
        <left style="thin">
          <color theme="3"/>
        </left>
        <right style="thin">
          <color theme="3"/>
        </right>
        <top style="medium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color theme="1"/>
      </font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  <dxf>
      <fill>
        <patternFill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</font>
      <border>
        <top style="double">
          <color theme="1"/>
        </top>
      </border>
    </dxf>
    <dxf>
      <font>
        <color theme="1"/>
      </font>
      <fill>
        <patternFill>
          <bgColor theme="4" tint="0.79998168889431442"/>
        </patternFill>
      </fill>
      <border>
        <left style="thin">
          <color theme="3"/>
        </left>
        <right style="thin">
          <color theme="3"/>
        </right>
        <top style="medium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color theme="1"/>
      </font>
      <border>
        <left style="thin">
          <color theme="3" tint="0.59996337778862885"/>
        </left>
        <right style="thin">
          <color theme="3" tint="0.59996337778862885"/>
        </right>
        <top style="thin">
          <color theme="3" tint="0.59996337778862885"/>
        </top>
        <bottom style="thin">
          <color theme="3" tint="0.59996337778862885"/>
        </bottom>
        <vertical style="thin">
          <color theme="3" tint="0.59996337778862885"/>
        </vertical>
        <horizontal style="thin">
          <color theme="3" tint="0.59996337778862885"/>
        </horizontal>
      </border>
    </dxf>
  </dxfs>
  <tableStyles count="9" defaultTableStyle="TableStyleMedium9" defaultPivotStyle="PivotStyleLight16">
    <tableStyle name="Employee Absence Table" pivot="0" count="5">
      <tableStyleElement type="wholeTable" dxfId="783"/>
      <tableStyleElement type="headerRow" dxfId="782"/>
      <tableStyleElement type="totalRow" dxfId="781"/>
      <tableStyleElement type="firstRowStripe" dxfId="780"/>
      <tableStyleElement type="secondRowStripe" dxfId="779"/>
    </tableStyle>
    <tableStyle name="Employee Absence Table 2" pivot="0" count="5">
      <tableStyleElement type="wholeTable" dxfId="778"/>
      <tableStyleElement type="headerRow" dxfId="777"/>
      <tableStyleElement type="totalRow" dxfId="776"/>
      <tableStyleElement type="firstRowStripe" dxfId="775"/>
      <tableStyleElement type="secondRowStripe" dxfId="774"/>
    </tableStyle>
    <tableStyle name="Employee Absence Table 3" pivot="0" count="5">
      <tableStyleElement type="wholeTable" dxfId="773"/>
      <tableStyleElement type="headerRow" dxfId="772"/>
      <tableStyleElement type="totalRow" dxfId="771"/>
      <tableStyleElement type="firstRowStripe" dxfId="770"/>
      <tableStyleElement type="secondRowStripe" dxfId="769"/>
    </tableStyle>
    <tableStyle name="Employee Absence Table 4" pivot="0" count="5">
      <tableStyleElement type="wholeTable" dxfId="768"/>
      <tableStyleElement type="headerRow" dxfId="767"/>
      <tableStyleElement type="totalRow" dxfId="766"/>
      <tableStyleElement type="firstRowStripe" dxfId="765"/>
      <tableStyleElement type="secondRowStripe" dxfId="764"/>
    </tableStyle>
    <tableStyle name="Employee Absence Table 5" pivot="0" count="5">
      <tableStyleElement type="wholeTable" dxfId="763"/>
      <tableStyleElement type="headerRow" dxfId="762"/>
      <tableStyleElement type="totalRow" dxfId="761"/>
      <tableStyleElement type="firstRowStripe" dxfId="760"/>
      <tableStyleElement type="secondRowStripe" dxfId="759"/>
    </tableStyle>
    <tableStyle name="Employee Absence Table 6" pivot="0" count="5">
      <tableStyleElement type="wholeTable" dxfId="758"/>
      <tableStyleElement type="headerRow" dxfId="757"/>
      <tableStyleElement type="totalRow" dxfId="756"/>
      <tableStyleElement type="firstRowStripe" dxfId="755"/>
      <tableStyleElement type="secondRowStripe" dxfId="754"/>
    </tableStyle>
    <tableStyle name="Employee Absence Table 7" pivot="0" count="5">
      <tableStyleElement type="wholeTable" dxfId="753"/>
      <tableStyleElement type="headerRow" dxfId="752"/>
      <tableStyleElement type="totalRow" dxfId="751"/>
      <tableStyleElement type="firstRowStripe" dxfId="750"/>
      <tableStyleElement type="secondRowStripe" dxfId="749"/>
    </tableStyle>
    <tableStyle name="Employee Absence Table 8" pivot="0" count="5">
      <tableStyleElement type="wholeTable" dxfId="748"/>
      <tableStyleElement type="headerRow" dxfId="747"/>
      <tableStyleElement type="totalRow" dxfId="746"/>
      <tableStyleElement type="firstRowStripe" dxfId="745"/>
      <tableStyleElement type="secondRowStripe" dxfId="744"/>
    </tableStyle>
    <tableStyle name="TableStyleLight3 2" pivot="0" count="7">
      <tableStyleElement type="wholeTable" dxfId="743"/>
      <tableStyleElement type="headerRow" dxfId="742"/>
      <tableStyleElement type="totalRow" dxfId="741"/>
      <tableStyleElement type="firstColumn" dxfId="740"/>
      <tableStyleElement type="lastColumn" dxfId="739"/>
      <tableStyleElement type="firstRowStripe" dxfId="738"/>
      <tableStyleElement type="firstColumnStripe" dxfId="7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externalLink" Target="externalLinks/externalLink7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externalLink" Target="externalLinks/externalLink6.xml"/><Relationship Id="rId40" Type="http://schemas.openxmlformats.org/officeDocument/2006/relationships/externalLink" Target="externalLinks/externalLink9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fr-FR"/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PETROLE</c:v>
          </c:tx>
          <c:marker>
            <c:symbol val="none"/>
          </c:marker>
          <c:cat>
            <c:numLit>
              <c:formatCode>General</c:formatCode>
              <c:ptCount val="21"/>
              <c:pt idx="0">
                <c:v>41671</c:v>
              </c:pt>
              <c:pt idx="1">
                <c:v>41672</c:v>
              </c:pt>
              <c:pt idx="2">
                <c:v>41673</c:v>
              </c:pt>
              <c:pt idx="3">
                <c:v>41674</c:v>
              </c:pt>
              <c:pt idx="4">
                <c:v>41675</c:v>
              </c:pt>
              <c:pt idx="5">
                <c:v>41676</c:v>
              </c:pt>
              <c:pt idx="6">
                <c:v>41677</c:v>
              </c:pt>
              <c:pt idx="7">
                <c:v>41678</c:v>
              </c:pt>
              <c:pt idx="8">
                <c:v>41679</c:v>
              </c:pt>
              <c:pt idx="9">
                <c:v>41680</c:v>
              </c:pt>
              <c:pt idx="10">
                <c:v>41681</c:v>
              </c:pt>
              <c:pt idx="11">
                <c:v>41682</c:v>
              </c:pt>
              <c:pt idx="12">
                <c:v>41683</c:v>
              </c:pt>
              <c:pt idx="13">
                <c:v>41684</c:v>
              </c:pt>
              <c:pt idx="14">
                <c:v>41685</c:v>
              </c:pt>
              <c:pt idx="15">
                <c:v>41686</c:v>
              </c:pt>
              <c:pt idx="16">
                <c:v>41687</c:v>
              </c:pt>
              <c:pt idx="17">
                <c:v>41688</c:v>
              </c:pt>
              <c:pt idx="18">
                <c:v>41689</c:v>
              </c:pt>
              <c:pt idx="19">
                <c:v>41690</c:v>
              </c:pt>
              <c:pt idx="20">
                <c:v>41691</c:v>
              </c:pt>
            </c:numLit>
          </c:cat>
          <c:val>
            <c:numLit>
              <c:formatCode>General</c:formatCode>
              <c:ptCount val="21"/>
              <c:pt idx="0">
                <c:v>156</c:v>
              </c:pt>
              <c:pt idx="1">
                <c:v>90</c:v>
              </c:pt>
              <c:pt idx="2">
                <c:v>137</c:v>
              </c:pt>
              <c:pt idx="3">
                <c:v>177</c:v>
              </c:pt>
              <c:pt idx="4">
                <c:v>98</c:v>
              </c:pt>
              <c:pt idx="5">
                <c:v>82</c:v>
              </c:pt>
              <c:pt idx="6">
                <c:v>105</c:v>
              </c:pt>
              <c:pt idx="7">
                <c:v>68</c:v>
              </c:pt>
              <c:pt idx="8">
                <c:v>27</c:v>
              </c:pt>
              <c:pt idx="9">
                <c:v>125</c:v>
              </c:pt>
              <c:pt idx="10">
                <c:v>68</c:v>
              </c:pt>
              <c:pt idx="11">
                <c:v>111</c:v>
              </c:pt>
              <c:pt idx="12">
                <c:v>176</c:v>
              </c:pt>
              <c:pt idx="13">
                <c:v>173</c:v>
              </c:pt>
              <c:pt idx="14">
                <c:v>45</c:v>
              </c:pt>
              <c:pt idx="15">
                <c:v>182</c:v>
              </c:pt>
              <c:pt idx="16">
                <c:v>89</c:v>
              </c:pt>
              <c:pt idx="17">
                <c:v>223</c:v>
              </c:pt>
              <c:pt idx="18">
                <c:v>141</c:v>
              </c:pt>
              <c:pt idx="19">
                <c:v>66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38-4A8C-8DAC-023DE2215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4720"/>
        <c:axId val="42180608"/>
      </c:lineChart>
      <c:catAx>
        <c:axId val="4217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fr-FR"/>
          </a:p>
        </c:txPr>
        <c:crossAx val="42180608"/>
        <c:crosses val="autoZero"/>
        <c:auto val="1"/>
        <c:lblAlgn val="ctr"/>
        <c:lblOffset val="100"/>
        <c:noMultiLvlLbl val="0"/>
      </c:catAx>
      <c:valAx>
        <c:axId val="4218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fr-FR"/>
            </a:pPr>
            <a:endParaRPr lang="fr-FR"/>
          </a:p>
        </c:txPr>
        <c:crossAx val="421747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fr-FR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873917</xdr:colOff>
      <xdr:row>43</xdr:row>
      <xdr:rowOff>185736</xdr:rowOff>
    </xdr:from>
    <xdr:to>
      <xdr:col>37</xdr:col>
      <xdr:colOff>35718</xdr:colOff>
      <xdr:row>63</xdr:row>
      <xdr:rowOff>154781</xdr:rowOff>
    </xdr:to>
    <xdr:graphicFrame macro="">
      <xdr:nvGraphicFramePr>
        <xdr:cNvPr id="4" name="Graphiqu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673938</xdr:colOff>
      <xdr:row>30</xdr:row>
      <xdr:rowOff>53915</xdr:rowOff>
    </xdr:from>
    <xdr:to>
      <xdr:col>4</xdr:col>
      <xdr:colOff>862641</xdr:colOff>
      <xdr:row>30</xdr:row>
      <xdr:rowOff>170731</xdr:rowOff>
    </xdr:to>
    <xdr:sp macro="" textlink="">
      <xdr:nvSpPr>
        <xdr:cNvPr id="2" name="Flèche droite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SpPr/>
      </xdr:nvSpPr>
      <xdr:spPr>
        <a:xfrm>
          <a:off x="3721938" y="6588065"/>
          <a:ext cx="188703" cy="116816"/>
        </a:xfrm>
        <a:prstGeom prst="rightArrow">
          <a:avLst/>
        </a:prstGeom>
        <a:solidFill>
          <a:srgbClr val="FF818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1195120</xdr:colOff>
      <xdr:row>30</xdr:row>
      <xdr:rowOff>26597</xdr:rowOff>
    </xdr:from>
    <xdr:to>
      <xdr:col>3</xdr:col>
      <xdr:colOff>44572</xdr:colOff>
      <xdr:row>31</xdr:row>
      <xdr:rowOff>35943</xdr:rowOff>
    </xdr:to>
    <xdr:sp macro="" textlink="">
      <xdr:nvSpPr>
        <xdr:cNvPr id="3" name="Flèche droite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SpPr/>
      </xdr:nvSpPr>
      <xdr:spPr>
        <a:xfrm rot="16200000">
          <a:off x="1481948" y="6616819"/>
          <a:ext cx="218896" cy="106752"/>
        </a:xfrm>
        <a:prstGeom prst="rightArrow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1023638</xdr:colOff>
      <xdr:row>3</xdr:row>
      <xdr:rowOff>197965</xdr:rowOff>
    </xdr:from>
    <xdr:to>
      <xdr:col>2</xdr:col>
      <xdr:colOff>1119288</xdr:colOff>
      <xdr:row>4</xdr:row>
      <xdr:rowOff>172920</xdr:rowOff>
    </xdr:to>
    <xdr:sp macro="" textlink="">
      <xdr:nvSpPr>
        <xdr:cNvPr id="4" name="Flèche droite 3">
          <a:extLst>
            <a:ext uri="{FF2B5EF4-FFF2-40B4-BE49-F238E27FC236}">
              <a16:creationId xmlns="" xmlns:a16="http://schemas.microsoft.com/office/drawing/2014/main" id="{00000000-0008-0000-1400-000004000000}"/>
            </a:ext>
          </a:extLst>
        </xdr:cNvPr>
        <xdr:cNvSpPr/>
      </xdr:nvSpPr>
      <xdr:spPr>
        <a:xfrm rot="5248944">
          <a:off x="1322110" y="1128218"/>
          <a:ext cx="184505" cy="95650"/>
        </a:xfrm>
        <a:prstGeom prst="rightArrow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700535</xdr:colOff>
      <xdr:row>3</xdr:row>
      <xdr:rowOff>161386</xdr:rowOff>
    </xdr:from>
    <xdr:to>
      <xdr:col>3</xdr:col>
      <xdr:colOff>808006</xdr:colOff>
      <xdr:row>4</xdr:row>
      <xdr:rowOff>170731</xdr:rowOff>
    </xdr:to>
    <xdr:sp macro="" textlink="">
      <xdr:nvSpPr>
        <xdr:cNvPr id="5" name="Flèche droite 4">
          <a:extLst>
            <a:ext uri="{FF2B5EF4-FFF2-40B4-BE49-F238E27FC236}">
              <a16:creationId xmlns="" xmlns:a16="http://schemas.microsoft.com/office/drawing/2014/main" id="{00000000-0008-0000-1400-000005000000}"/>
            </a:ext>
          </a:extLst>
        </xdr:cNvPr>
        <xdr:cNvSpPr/>
      </xdr:nvSpPr>
      <xdr:spPr>
        <a:xfrm rot="5248944">
          <a:off x="2245023" y="1102923"/>
          <a:ext cx="218895" cy="107471"/>
        </a:xfrm>
        <a:prstGeom prst="rightArrow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386390</xdr:colOff>
      <xdr:row>30</xdr:row>
      <xdr:rowOff>17971</xdr:rowOff>
    </xdr:from>
    <xdr:to>
      <xdr:col>4</xdr:col>
      <xdr:colOff>584439</xdr:colOff>
      <xdr:row>30</xdr:row>
      <xdr:rowOff>200743</xdr:rowOff>
    </xdr:to>
    <xdr:sp macro="" textlink="">
      <xdr:nvSpPr>
        <xdr:cNvPr id="6" name="Interdiction 5">
          <a:extLst>
            <a:ext uri="{FF2B5EF4-FFF2-40B4-BE49-F238E27FC236}">
              <a16:creationId xmlns="" xmlns:a16="http://schemas.microsoft.com/office/drawing/2014/main" id="{00000000-0008-0000-1400-000006000000}"/>
            </a:ext>
          </a:extLst>
        </xdr:cNvPr>
        <xdr:cNvSpPr/>
      </xdr:nvSpPr>
      <xdr:spPr>
        <a:xfrm>
          <a:off x="3434390" y="6552121"/>
          <a:ext cx="198049" cy="182772"/>
        </a:xfrm>
        <a:prstGeom prst="noSmoking">
          <a:avLst/>
        </a:prstGeom>
        <a:solidFill>
          <a:srgbClr val="FF090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</xdr:row>
      <xdr:rowOff>114301</xdr:rowOff>
    </xdr:from>
    <xdr:to>
      <xdr:col>1</xdr:col>
      <xdr:colOff>381000</xdr:colOff>
      <xdr:row>3</xdr:row>
      <xdr:rowOff>200026</xdr:rowOff>
    </xdr:to>
    <xdr:sp macro="" textlink="">
      <xdr:nvSpPr>
        <xdr:cNvPr id="2" name="Interdiction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SpPr/>
      </xdr:nvSpPr>
      <xdr:spPr>
        <a:xfrm>
          <a:off x="1333500" y="800101"/>
          <a:ext cx="323850" cy="342900"/>
        </a:xfrm>
        <a:prstGeom prst="noSmoking">
          <a:avLst/>
        </a:prstGeom>
        <a:solidFill>
          <a:srgbClr val="FF090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2727656</xdr:colOff>
      <xdr:row>2</xdr:row>
      <xdr:rowOff>139370</xdr:rowOff>
    </xdr:from>
    <xdr:to>
      <xdr:col>1</xdr:col>
      <xdr:colOff>2863522</xdr:colOff>
      <xdr:row>4</xdr:row>
      <xdr:rowOff>158420</xdr:rowOff>
    </xdr:to>
    <xdr:sp macro="" textlink="">
      <xdr:nvSpPr>
        <xdr:cNvPr id="3" name="Flèche droite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SpPr/>
      </xdr:nvSpPr>
      <xdr:spPr>
        <a:xfrm rot="5400000">
          <a:off x="3829051" y="1000125"/>
          <a:ext cx="485775" cy="135866"/>
        </a:xfrm>
        <a:prstGeom prst="rightArrow">
          <a:avLst/>
        </a:prstGeom>
        <a:solidFill>
          <a:srgbClr val="FF818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673938</xdr:colOff>
      <xdr:row>30</xdr:row>
      <xdr:rowOff>53915</xdr:rowOff>
    </xdr:from>
    <xdr:to>
      <xdr:col>4</xdr:col>
      <xdr:colOff>862641</xdr:colOff>
      <xdr:row>30</xdr:row>
      <xdr:rowOff>170731</xdr:rowOff>
    </xdr:to>
    <xdr:sp macro="" textlink="">
      <xdr:nvSpPr>
        <xdr:cNvPr id="2" name="Flèche droite 1">
          <a:extLst>
            <a:ext uri="{FF2B5EF4-FFF2-40B4-BE49-F238E27FC236}">
              <a16:creationId xmlns="" xmlns:a16="http://schemas.microsoft.com/office/drawing/2014/main" id="{00000000-0008-0000-1700-000002000000}"/>
            </a:ext>
          </a:extLst>
        </xdr:cNvPr>
        <xdr:cNvSpPr/>
      </xdr:nvSpPr>
      <xdr:spPr>
        <a:xfrm>
          <a:off x="3721938" y="6588065"/>
          <a:ext cx="188703" cy="116816"/>
        </a:xfrm>
        <a:prstGeom prst="rightArrow">
          <a:avLst/>
        </a:prstGeom>
        <a:solidFill>
          <a:srgbClr val="FF818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1195120</xdr:colOff>
      <xdr:row>30</xdr:row>
      <xdr:rowOff>26597</xdr:rowOff>
    </xdr:from>
    <xdr:to>
      <xdr:col>3</xdr:col>
      <xdr:colOff>44572</xdr:colOff>
      <xdr:row>31</xdr:row>
      <xdr:rowOff>35943</xdr:rowOff>
    </xdr:to>
    <xdr:sp macro="" textlink="">
      <xdr:nvSpPr>
        <xdr:cNvPr id="3" name="Flèche droite 2">
          <a:extLst>
            <a:ext uri="{FF2B5EF4-FFF2-40B4-BE49-F238E27FC236}">
              <a16:creationId xmlns="" xmlns:a16="http://schemas.microsoft.com/office/drawing/2014/main" id="{00000000-0008-0000-1700-000003000000}"/>
            </a:ext>
          </a:extLst>
        </xdr:cNvPr>
        <xdr:cNvSpPr/>
      </xdr:nvSpPr>
      <xdr:spPr>
        <a:xfrm rot="16200000">
          <a:off x="1481948" y="6616819"/>
          <a:ext cx="218896" cy="106752"/>
        </a:xfrm>
        <a:prstGeom prst="rightArrow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1023638</xdr:colOff>
      <xdr:row>3</xdr:row>
      <xdr:rowOff>197965</xdr:rowOff>
    </xdr:from>
    <xdr:to>
      <xdr:col>2</xdr:col>
      <xdr:colOff>1119288</xdr:colOff>
      <xdr:row>4</xdr:row>
      <xdr:rowOff>172920</xdr:rowOff>
    </xdr:to>
    <xdr:sp macro="" textlink="">
      <xdr:nvSpPr>
        <xdr:cNvPr id="4" name="Flèche droite 3">
          <a:extLst>
            <a:ext uri="{FF2B5EF4-FFF2-40B4-BE49-F238E27FC236}">
              <a16:creationId xmlns="" xmlns:a16="http://schemas.microsoft.com/office/drawing/2014/main" id="{00000000-0008-0000-1700-000004000000}"/>
            </a:ext>
          </a:extLst>
        </xdr:cNvPr>
        <xdr:cNvSpPr/>
      </xdr:nvSpPr>
      <xdr:spPr>
        <a:xfrm rot="5248944">
          <a:off x="1322110" y="1128218"/>
          <a:ext cx="184505" cy="95650"/>
        </a:xfrm>
        <a:prstGeom prst="rightArrow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700535</xdr:colOff>
      <xdr:row>3</xdr:row>
      <xdr:rowOff>161386</xdr:rowOff>
    </xdr:from>
    <xdr:to>
      <xdr:col>3</xdr:col>
      <xdr:colOff>808006</xdr:colOff>
      <xdr:row>4</xdr:row>
      <xdr:rowOff>170731</xdr:rowOff>
    </xdr:to>
    <xdr:sp macro="" textlink="">
      <xdr:nvSpPr>
        <xdr:cNvPr id="5" name="Flèche droite 4">
          <a:extLst>
            <a:ext uri="{FF2B5EF4-FFF2-40B4-BE49-F238E27FC236}">
              <a16:creationId xmlns="" xmlns:a16="http://schemas.microsoft.com/office/drawing/2014/main" id="{00000000-0008-0000-1700-000005000000}"/>
            </a:ext>
          </a:extLst>
        </xdr:cNvPr>
        <xdr:cNvSpPr/>
      </xdr:nvSpPr>
      <xdr:spPr>
        <a:xfrm rot="5248944">
          <a:off x="2245023" y="1102923"/>
          <a:ext cx="218895" cy="107471"/>
        </a:xfrm>
        <a:prstGeom prst="rightArrow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386390</xdr:colOff>
      <xdr:row>30</xdr:row>
      <xdr:rowOff>17971</xdr:rowOff>
    </xdr:from>
    <xdr:to>
      <xdr:col>4</xdr:col>
      <xdr:colOff>584439</xdr:colOff>
      <xdr:row>30</xdr:row>
      <xdr:rowOff>200743</xdr:rowOff>
    </xdr:to>
    <xdr:sp macro="" textlink="">
      <xdr:nvSpPr>
        <xdr:cNvPr id="6" name="Interdiction 5">
          <a:extLst>
            <a:ext uri="{FF2B5EF4-FFF2-40B4-BE49-F238E27FC236}">
              <a16:creationId xmlns="" xmlns:a16="http://schemas.microsoft.com/office/drawing/2014/main" id="{00000000-0008-0000-1700-000006000000}"/>
            </a:ext>
          </a:extLst>
        </xdr:cNvPr>
        <xdr:cNvSpPr/>
      </xdr:nvSpPr>
      <xdr:spPr>
        <a:xfrm>
          <a:off x="3434390" y="6552121"/>
          <a:ext cx="198049" cy="182772"/>
        </a:xfrm>
        <a:prstGeom prst="noSmoking">
          <a:avLst/>
        </a:prstGeom>
        <a:solidFill>
          <a:srgbClr val="FF090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673938</xdr:colOff>
      <xdr:row>30</xdr:row>
      <xdr:rowOff>53915</xdr:rowOff>
    </xdr:from>
    <xdr:to>
      <xdr:col>4</xdr:col>
      <xdr:colOff>862641</xdr:colOff>
      <xdr:row>30</xdr:row>
      <xdr:rowOff>170731</xdr:rowOff>
    </xdr:to>
    <xdr:sp macro="" textlink="">
      <xdr:nvSpPr>
        <xdr:cNvPr id="7" name="Flèche droite 6">
          <a:extLst>
            <a:ext uri="{FF2B5EF4-FFF2-40B4-BE49-F238E27FC236}">
              <a16:creationId xmlns="" xmlns:a16="http://schemas.microsoft.com/office/drawing/2014/main" id="{00000000-0008-0000-1700-000007000000}"/>
            </a:ext>
          </a:extLst>
        </xdr:cNvPr>
        <xdr:cNvSpPr/>
      </xdr:nvSpPr>
      <xdr:spPr>
        <a:xfrm>
          <a:off x="3721938" y="6588065"/>
          <a:ext cx="188703" cy="116816"/>
        </a:xfrm>
        <a:prstGeom prst="rightArrow">
          <a:avLst/>
        </a:prstGeom>
        <a:solidFill>
          <a:srgbClr val="FF818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386390</xdr:colOff>
      <xdr:row>30</xdr:row>
      <xdr:rowOff>17971</xdr:rowOff>
    </xdr:from>
    <xdr:to>
      <xdr:col>4</xdr:col>
      <xdr:colOff>584439</xdr:colOff>
      <xdr:row>30</xdr:row>
      <xdr:rowOff>200743</xdr:rowOff>
    </xdr:to>
    <xdr:sp macro="" textlink="">
      <xdr:nvSpPr>
        <xdr:cNvPr id="8" name="Interdiction 7">
          <a:extLst>
            <a:ext uri="{FF2B5EF4-FFF2-40B4-BE49-F238E27FC236}">
              <a16:creationId xmlns="" xmlns:a16="http://schemas.microsoft.com/office/drawing/2014/main" id="{00000000-0008-0000-1700-000008000000}"/>
            </a:ext>
          </a:extLst>
        </xdr:cNvPr>
        <xdr:cNvSpPr/>
      </xdr:nvSpPr>
      <xdr:spPr>
        <a:xfrm>
          <a:off x="3434390" y="6552121"/>
          <a:ext cx="198049" cy="182772"/>
        </a:xfrm>
        <a:prstGeom prst="noSmoking">
          <a:avLst/>
        </a:prstGeom>
        <a:solidFill>
          <a:srgbClr val="FF090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673938</xdr:colOff>
      <xdr:row>30</xdr:row>
      <xdr:rowOff>53915</xdr:rowOff>
    </xdr:from>
    <xdr:to>
      <xdr:col>4</xdr:col>
      <xdr:colOff>862641</xdr:colOff>
      <xdr:row>30</xdr:row>
      <xdr:rowOff>170731</xdr:rowOff>
    </xdr:to>
    <xdr:sp macro="" textlink="">
      <xdr:nvSpPr>
        <xdr:cNvPr id="9" name="Flèche droite 8">
          <a:extLst>
            <a:ext uri="{FF2B5EF4-FFF2-40B4-BE49-F238E27FC236}">
              <a16:creationId xmlns="" xmlns:a16="http://schemas.microsoft.com/office/drawing/2014/main" id="{00000000-0008-0000-1700-000009000000}"/>
            </a:ext>
          </a:extLst>
        </xdr:cNvPr>
        <xdr:cNvSpPr/>
      </xdr:nvSpPr>
      <xdr:spPr>
        <a:xfrm>
          <a:off x="3721938" y="6588065"/>
          <a:ext cx="188703" cy="116816"/>
        </a:xfrm>
        <a:prstGeom prst="rightArrow">
          <a:avLst/>
        </a:prstGeom>
        <a:solidFill>
          <a:srgbClr val="FF818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386390</xdr:colOff>
      <xdr:row>30</xdr:row>
      <xdr:rowOff>17971</xdr:rowOff>
    </xdr:from>
    <xdr:to>
      <xdr:col>4</xdr:col>
      <xdr:colOff>584439</xdr:colOff>
      <xdr:row>30</xdr:row>
      <xdr:rowOff>200743</xdr:rowOff>
    </xdr:to>
    <xdr:sp macro="" textlink="">
      <xdr:nvSpPr>
        <xdr:cNvPr id="10" name="Interdiction 9">
          <a:extLst>
            <a:ext uri="{FF2B5EF4-FFF2-40B4-BE49-F238E27FC236}">
              <a16:creationId xmlns="" xmlns:a16="http://schemas.microsoft.com/office/drawing/2014/main" id="{00000000-0008-0000-1700-00000A000000}"/>
            </a:ext>
          </a:extLst>
        </xdr:cNvPr>
        <xdr:cNvSpPr/>
      </xdr:nvSpPr>
      <xdr:spPr>
        <a:xfrm>
          <a:off x="3434390" y="6552121"/>
          <a:ext cx="198049" cy="182772"/>
        </a:xfrm>
        <a:prstGeom prst="noSmoking">
          <a:avLst/>
        </a:prstGeom>
        <a:solidFill>
          <a:srgbClr val="FF090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</xdr:row>
      <xdr:rowOff>114301</xdr:rowOff>
    </xdr:from>
    <xdr:to>
      <xdr:col>1</xdr:col>
      <xdr:colOff>381000</xdr:colOff>
      <xdr:row>3</xdr:row>
      <xdr:rowOff>200026</xdr:rowOff>
    </xdr:to>
    <xdr:sp macro="" textlink="">
      <xdr:nvSpPr>
        <xdr:cNvPr id="2" name="Interdiction 1">
          <a:extLst>
            <a:ext uri="{FF2B5EF4-FFF2-40B4-BE49-F238E27FC236}">
              <a16:creationId xmlns="" xmlns:a16="http://schemas.microsoft.com/office/drawing/2014/main" id="{00000000-0008-0000-1800-000002000000}"/>
            </a:ext>
          </a:extLst>
        </xdr:cNvPr>
        <xdr:cNvSpPr/>
      </xdr:nvSpPr>
      <xdr:spPr>
        <a:xfrm>
          <a:off x="1333500" y="800101"/>
          <a:ext cx="323850" cy="342900"/>
        </a:xfrm>
        <a:prstGeom prst="noSmoking">
          <a:avLst/>
        </a:prstGeom>
        <a:solidFill>
          <a:srgbClr val="FF090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2727656</xdr:colOff>
      <xdr:row>2</xdr:row>
      <xdr:rowOff>139370</xdr:rowOff>
    </xdr:from>
    <xdr:to>
      <xdr:col>1</xdr:col>
      <xdr:colOff>2863522</xdr:colOff>
      <xdr:row>4</xdr:row>
      <xdr:rowOff>158420</xdr:rowOff>
    </xdr:to>
    <xdr:sp macro="" textlink="">
      <xdr:nvSpPr>
        <xdr:cNvPr id="3" name="Flèche droite 2">
          <a:extLst>
            <a:ext uri="{FF2B5EF4-FFF2-40B4-BE49-F238E27FC236}">
              <a16:creationId xmlns="" xmlns:a16="http://schemas.microsoft.com/office/drawing/2014/main" id="{00000000-0008-0000-1800-000003000000}"/>
            </a:ext>
          </a:extLst>
        </xdr:cNvPr>
        <xdr:cNvSpPr/>
      </xdr:nvSpPr>
      <xdr:spPr>
        <a:xfrm rot="5400000">
          <a:off x="3829051" y="1000125"/>
          <a:ext cx="485775" cy="135866"/>
        </a:xfrm>
        <a:prstGeom prst="rightArrow">
          <a:avLst/>
        </a:prstGeom>
        <a:solidFill>
          <a:srgbClr val="FF818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673938</xdr:colOff>
      <xdr:row>30</xdr:row>
      <xdr:rowOff>53915</xdr:rowOff>
    </xdr:from>
    <xdr:to>
      <xdr:col>4</xdr:col>
      <xdr:colOff>862641</xdr:colOff>
      <xdr:row>30</xdr:row>
      <xdr:rowOff>170731</xdr:rowOff>
    </xdr:to>
    <xdr:sp macro="" textlink="">
      <xdr:nvSpPr>
        <xdr:cNvPr id="2" name="Flèche droit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/>
      </xdr:nvSpPr>
      <xdr:spPr>
        <a:xfrm>
          <a:off x="7103313" y="9588440"/>
          <a:ext cx="188703" cy="116816"/>
        </a:xfrm>
        <a:prstGeom prst="rightArrow">
          <a:avLst/>
        </a:prstGeom>
        <a:solidFill>
          <a:srgbClr val="FF818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1195120</xdr:colOff>
      <xdr:row>30</xdr:row>
      <xdr:rowOff>26597</xdr:rowOff>
    </xdr:from>
    <xdr:to>
      <xdr:col>3</xdr:col>
      <xdr:colOff>44572</xdr:colOff>
      <xdr:row>31</xdr:row>
      <xdr:rowOff>35943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>
        <a:xfrm rot="16200000">
          <a:off x="1353361" y="9412406"/>
          <a:ext cx="999946" cy="1297377"/>
        </a:xfrm>
        <a:prstGeom prst="rightArrow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1023638</xdr:colOff>
      <xdr:row>3</xdr:row>
      <xdr:rowOff>197965</xdr:rowOff>
    </xdr:from>
    <xdr:to>
      <xdr:col>2</xdr:col>
      <xdr:colOff>1119288</xdr:colOff>
      <xdr:row>4</xdr:row>
      <xdr:rowOff>172920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SpPr/>
      </xdr:nvSpPr>
      <xdr:spPr>
        <a:xfrm rot="5248944">
          <a:off x="717273" y="2285505"/>
          <a:ext cx="727430" cy="95650"/>
        </a:xfrm>
        <a:prstGeom prst="rightArrow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700535</xdr:colOff>
      <xdr:row>3</xdr:row>
      <xdr:rowOff>161386</xdr:rowOff>
    </xdr:from>
    <xdr:to>
      <xdr:col>3</xdr:col>
      <xdr:colOff>808006</xdr:colOff>
      <xdr:row>4</xdr:row>
      <xdr:rowOff>170731</xdr:rowOff>
    </xdr:to>
    <xdr:sp macro="" textlink="">
      <xdr:nvSpPr>
        <xdr:cNvPr id="5" name="Flèche droite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SpPr/>
      </xdr:nvSpPr>
      <xdr:spPr>
        <a:xfrm rot="5248944">
          <a:off x="2830811" y="2260210"/>
          <a:ext cx="761820" cy="107471"/>
        </a:xfrm>
        <a:prstGeom prst="rightArrow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386390</xdr:colOff>
      <xdr:row>30</xdr:row>
      <xdr:rowOff>17971</xdr:rowOff>
    </xdr:from>
    <xdr:to>
      <xdr:col>4</xdr:col>
      <xdr:colOff>584439</xdr:colOff>
      <xdr:row>30</xdr:row>
      <xdr:rowOff>200743</xdr:rowOff>
    </xdr:to>
    <xdr:sp macro="" textlink="">
      <xdr:nvSpPr>
        <xdr:cNvPr id="6" name="Interdiction 5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SpPr/>
      </xdr:nvSpPr>
      <xdr:spPr>
        <a:xfrm>
          <a:off x="6815765" y="9552496"/>
          <a:ext cx="198049" cy="182772"/>
        </a:xfrm>
        <a:prstGeom prst="noSmoking">
          <a:avLst/>
        </a:prstGeom>
        <a:solidFill>
          <a:srgbClr val="FF090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</xdr:row>
      <xdr:rowOff>114301</xdr:rowOff>
    </xdr:from>
    <xdr:to>
      <xdr:col>1</xdr:col>
      <xdr:colOff>381000</xdr:colOff>
      <xdr:row>3</xdr:row>
      <xdr:rowOff>200026</xdr:rowOff>
    </xdr:to>
    <xdr:sp macro="" textlink="">
      <xdr:nvSpPr>
        <xdr:cNvPr id="2" name="Interdiction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/>
      </xdr:nvSpPr>
      <xdr:spPr>
        <a:xfrm>
          <a:off x="2076450" y="914401"/>
          <a:ext cx="323850" cy="485775"/>
        </a:xfrm>
        <a:prstGeom prst="noSmoking">
          <a:avLst/>
        </a:prstGeom>
        <a:solidFill>
          <a:srgbClr val="FF090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2727656</xdr:colOff>
      <xdr:row>2</xdr:row>
      <xdr:rowOff>139370</xdr:rowOff>
    </xdr:from>
    <xdr:to>
      <xdr:col>1</xdr:col>
      <xdr:colOff>2863522</xdr:colOff>
      <xdr:row>4</xdr:row>
      <xdr:rowOff>158420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SpPr/>
      </xdr:nvSpPr>
      <xdr:spPr>
        <a:xfrm rot="5400000">
          <a:off x="4405314" y="1281112"/>
          <a:ext cx="819150" cy="135866"/>
        </a:xfrm>
        <a:prstGeom prst="rightArrow">
          <a:avLst/>
        </a:prstGeom>
        <a:solidFill>
          <a:srgbClr val="FF818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.mbus/AppData/Local/Microsoft/Windows/Temporary%20Internet%20Files/Content.Outlook/2SEIRXZV/Liste%20de%20pr&#233;sence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essingyassa/AppData/Local/Microsoft/Windows/Temporary%20Internet%20Files/Content.Outlook/GYM0DF0D/ETAT%20MARS%20MENSUEL%20DJADO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nsalvie\yamazaky\dolbi\pelican\valide\MARS%20%20%202019%20-%20Copie\YASSA%20%20%20MARS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acqueline.mbus\AppData\Local\Microsoft\Windows\Temporary%20Internet%20Files\Content.Outlook\2SEIRXZV\Liste%20de%20pr&#233;sence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acqueline.mbus\AppData\Local\Microsoft\Windows\Temporary%20Internet%20Files\Content.Outlook\2SEIRXZV\Liste%20de%20pr&#233;sence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NKOZOA\AppData\Local\Microsoft\Windows\Temporary%20Internet%20Files\Content.Outlook\NOS84UWO\Etat%20Vente%20gaz%20jan.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centre%20services\AppData\Local\Microsoft\Windows\INetCache\Content.Outlook\AF2PV5BT\Copie%20de%20ETAT%20MENSUEL%20FICHIER%20RH%20(7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UIN%202020\Etat%20mensuel%20%20FEVIER%20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VS/AppData/Roaming/Microsoft/Excel/Etat%20mensuel%20%20DECEMBRE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VS/AppData/Roaming/Microsoft/Excel/Etat%20mensuel%20stations%20FR%202019%20protectio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opie%20de%20DECOUVER%20KEKEM%20MAI%20%202022%20(00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 utiliser ce modèle"/>
      <sheetName val="Liste des élèves"/>
      <sheetName val="Août"/>
      <sheetName val="Septembre"/>
      <sheetName val="Octobre"/>
      <sheetName val="Novembre"/>
      <sheetName val="Décembre"/>
      <sheetName val="Janvier"/>
      <sheetName val="Février"/>
      <sheetName val="Mars"/>
      <sheetName val="Avril"/>
      <sheetName val="Mai"/>
      <sheetName val="Juin"/>
      <sheetName val="Juillet"/>
      <sheetName val="Rapport de présence des élèves"/>
      <sheetName val="Liste de présence1"/>
      <sheetName val="Présences"/>
      <sheetName val="Manquants"/>
      <sheetName val="Recap"/>
      <sheetName val="Ventes carburant"/>
      <sheetName val="Feuil1"/>
      <sheetName val="RECETTES ET DESTINATIONS"/>
      <sheetName val="ECARTS"/>
      <sheetName val="Equation stock"/>
      <sheetName val="VENTE LUBS"/>
      <sheetName val="LUBS"/>
      <sheetName val="DECOUVERT"/>
      <sheetName val="CONSO GROUPE"/>
      <sheetName val="CCT"/>
      <sheetName val="RECETTES ET DESTINATIONS (2)"/>
      <sheetName val="COMPTE D'EXPLOITATION"/>
      <sheetName val="rapport journalier"/>
      <sheetName val="Feuil2"/>
      <sheetName val="PROGRAMME HOUSE-KEEPING"/>
      <sheetName val="DECOUVERT  FEV-RECONSTITUE"/>
      <sheetName val="DECOUVERT JUILLET"/>
      <sheetName val="DECOUVERT  FEVRIER 2018"/>
      <sheetName val="DECOUVERT A RECONSTITUE"/>
      <sheetName val="CONSO GROUPE ET COULAGE"/>
      <sheetName val="compte d'exloitation"/>
      <sheetName val="Feuil3"/>
      <sheetName val="sorties pompes AU 31-12-17"/>
      <sheetName val="sorties pompes AU 02-01-18"/>
      <sheetName val="manquant flot"/>
      <sheetName val="sorties pompes AU 02-01-18 (3)"/>
      <sheetName val="ESCORTE JUILLET "/>
      <sheetName val="DECOUVERT JUIN 2019"/>
      <sheetName val="DECOUVERT  SEPT 218 (2)"/>
      <sheetName val="SUIVI CONSO GROUPE "/>
      <sheetName val="DECOUVERT JUILLET (2)"/>
      <sheetName val="DECOUVERT AOUT (1)"/>
      <sheetName val="COMPTE D'EXPLOITATION G.D"/>
      <sheetName val="PRESENCES"/>
      <sheetName val="INDEX JUIN"/>
      <sheetName val="INDEX"/>
      <sheetName val="Feuil4"/>
      <sheetName val="Feuil5"/>
      <sheetName val="Feuil6"/>
      <sheetName val="DECOUVERT AOUT 2019"/>
      <sheetName val="INDEX AOUT"/>
      <sheetName val="PRESENCE"/>
      <sheetName val="gestion stock blanc"/>
      <sheetName val="index juin 19"/>
      <sheetName val="ECART ET EXPLICATION COULAGE"/>
      <sheetName val="RECEPTE ET DESTINATION"/>
      <sheetName val="VENTE LUB"/>
      <sheetName val="inventaire lub"/>
      <sheetName val="DECOUVERT AOUT-19"/>
      <sheetName val="PETITE CAISSE"/>
      <sheetName val="SUIVI GROUPE"/>
      <sheetName val=" INDEX"/>
      <sheetName val="REPORTING"/>
      <sheetName val="recette et destination"/>
      <sheetName val=" RECEPTIONS"/>
      <sheetName val="EQUATION DE STOCK"/>
      <sheetName val="INVENTAIRE LUB 1"/>
      <sheetName val="DECOUVERT NOVEMBRE 19"/>
      <sheetName val="DECOUVERT OCT 20"/>
      <sheetName val="Feuil10"/>
      <sheetName val="Feuil11"/>
      <sheetName val="Feuil12"/>
      <sheetName val="Graph2"/>
      <sheetName val="SUIVI GROUPE ELEC"/>
      <sheetName val="Feuil8"/>
      <sheetName val="Feuil7"/>
      <sheetName val="Feuil9"/>
    </sheetNames>
    <sheetDataSet>
      <sheetData sheetId="0" refreshError="1"/>
      <sheetData sheetId="1" refreshError="1"/>
      <sheetData sheetId="2" refreshError="1">
        <row r="3">
          <cell r="D3" t="str">
            <v>R</v>
          </cell>
          <cell r="H3" t="str">
            <v>J</v>
          </cell>
          <cell r="L3" t="str">
            <v>N1</v>
          </cell>
          <cell r="P3" t="str">
            <v>P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ésences"/>
      <sheetName val="Manquants"/>
      <sheetName val="Recap"/>
      <sheetName val="Feuil5"/>
      <sheetName val="Feuil4"/>
      <sheetName val="Feuil1"/>
      <sheetName val="Feuil2"/>
      <sheetName val="Feuil3"/>
      <sheetName val="Feuil6"/>
      <sheetName val="ETAT MARS MENSUEL DJADO"/>
    </sheetNames>
    <sheetDataSet>
      <sheetData sheetId="0" refreshError="1"/>
      <sheetData sheetId="1" refreshError="1">
        <row r="9">
          <cell r="AH9">
            <v>-4280</v>
          </cell>
        </row>
        <row r="28">
          <cell r="AH28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ZATRANS (2)"/>
      <sheetName val="LL"/>
      <sheetName val="LC"/>
      <sheetName val="RAPPORT JOURNALIER "/>
      <sheetName val="RAPPORT JOURNALIER  (3)"/>
      <sheetName val="Lub"/>
      <sheetName val="analyse stock "/>
      <sheetName val="ventes"/>
      <sheetName val="Orange Marchand"/>
      <sheetName val="ecart p"/>
      <sheetName val="vers&amp;dépenses "/>
      <sheetName val="Cont recet ss"/>
      <sheetName val="client station"/>
      <sheetName val="EVOLUT° VENTES"/>
      <sheetName val="SOLDE DES STATION"/>
      <sheetName val="RC"/>
      <sheetName val="MEZATRANS - E-TRANCO"/>
      <sheetName val="E-TRANSCOM(3)"/>
      <sheetName val="ATC"/>
      <sheetName val="KONGFU"/>
      <sheetName val="STC"/>
      <sheetName val="SOCOPAT"/>
      <sheetName val="YOSSI"/>
      <sheetName val="COMCO"/>
      <sheetName val="SAP-TRANS"/>
      <sheetName val="SCAFS"/>
      <sheetName val="ERNO GC"/>
      <sheetName val="CIC"/>
      <sheetName val="PROPALM"/>
      <sheetName val="BNB-HAMED"/>
      <sheetName val="JEAB"/>
      <sheetName val="SOFERCO"/>
      <sheetName val="GOLDENNESS"/>
      <sheetName val="HONG LIANG"/>
      <sheetName val="T H M"/>
      <sheetName val="SONEDIS"/>
      <sheetName val="COTRACO"/>
      <sheetName val="KHALIFA"/>
      <sheetName val="PROGRES AUTO"/>
      <sheetName val="SOFOCAM"/>
      <sheetName val="X TRADE"/>
      <sheetName val="TJK"/>
      <sheetName val="CTS"/>
      <sheetName val="SODITRAT"/>
      <sheetName val="CTC"/>
      <sheetName val="DJOMETCHOUA"/>
      <sheetName val="GOLAR"/>
      <sheetName val="COTRAM"/>
      <sheetName val="NEW GEX"/>
      <sheetName val="TERMINAL"/>
      <sheetName val="HAMITEX"/>
      <sheetName val="GRAND BETON"/>
      <sheetName val="STBL"/>
      <sheetName val="H-SERVICE"/>
      <sheetName val="GSCI"/>
      <sheetName val="GREEN OIL"/>
      <sheetName val="SMATCOM"/>
      <sheetName val="KESTRAL"/>
      <sheetName val="BOUTIQUE le babone"/>
      <sheetName val="CENTRAL VOYAGE"/>
      <sheetName val="ABS"/>
      <sheetName val="CAMTAIL"/>
      <sheetName val="SOCAMBA"/>
      <sheetName val="HERAKLESS"/>
      <sheetName val="ACHOU"/>
      <sheetName val="BONIMEX"/>
      <sheetName val="BLESSING"/>
      <sheetName val="RAPPORT1 analyse de ventes"/>
      <sheetName val="Rapport2 equation de stock"/>
      <sheetName val="PROGRAMME DE REPOS"/>
      <sheetName val="FICHES STOCK"/>
      <sheetName val="GRATIFICATION"/>
      <sheetName val="Feuil4"/>
      <sheetName val="Feuil5"/>
      <sheetName val="Feuil6"/>
      <sheetName val="Boutique"/>
      <sheetName val="FICHE RCPT"/>
      <sheetName val="Boutique janvier"/>
      <sheetName val="Boutique FEVRIER"/>
      <sheetName val="petite caisse"/>
      <sheetName val="FICHE lubs janvier"/>
      <sheetName val="FICHE LUB fevrier"/>
      <sheetName val="FICHE LUB Mars (2)"/>
      <sheetName val="FICHE LUB (2)"/>
      <sheetName val="comparaison ventes"/>
      <sheetName val="EVOLUTION DES VENTES ANNUEL"/>
      <sheetName val="Feuil9"/>
      <sheetName val="NESCAFE"/>
      <sheetName val="recept°carb"/>
      <sheetName val="RAPPORT JOURNALIER"/>
      <sheetName val="MQT BOUTIQUE"/>
      <sheetName val="accessoires"/>
      <sheetName val="Feuil22"/>
      <sheetName val="STAGIAIRE BETAORI"/>
      <sheetName val="maliedji gisele"/>
      <sheetName val="MADOUM"/>
      <sheetName val="notation"/>
      <sheetName val="tableau de bord"/>
      <sheetName val="Feuil1"/>
      <sheetName val="comande lubrifiant"/>
      <sheetName val="Feuil7"/>
      <sheetName val="Feuil10"/>
      <sheetName val="Feuil11"/>
      <sheetName val="Feuil2"/>
      <sheetName val="SUIVI STAGIAIRE"/>
      <sheetName val="EVOLUTION DES VENTES ANNUEL (2)"/>
      <sheetName val="RATION STAGIAIRE"/>
      <sheetName val="Feuil14"/>
      <sheetName val="Feuil12"/>
      <sheetName val="Feuil13"/>
      <sheetName val="Feuil17"/>
      <sheetName val="Feuil15"/>
      <sheetName val="Feuil16"/>
      <sheetName val="Feuil18"/>
      <sheetName val="Feuil19"/>
      <sheetName val="suivi monnaie"/>
      <sheetName val="Feuil20"/>
      <sheetName val="Feuil21"/>
      <sheetName val="proces verbal de depotage"/>
      <sheetName val="proces verbal de depotage (2)"/>
      <sheetName val="Feuil23"/>
      <sheetName val="Feuil24"/>
      <sheetName val="Feuil25"/>
      <sheetName val="Feuil26"/>
      <sheetName val="RELEVE D'ECHEANCE"/>
      <sheetName val="FICHE DE PRESENCE"/>
      <sheetName val="Feuil27"/>
      <sheetName val="Feuil28"/>
      <sheetName val="Feuil29"/>
      <sheetName val="Feuil8"/>
      <sheetName val="Feuil30"/>
      <sheetName val="Feuil31"/>
      <sheetName val="programme"/>
      <sheetName val="Feuil33"/>
      <sheetName val="Feuil34"/>
      <sheetName val="RATOIN STAGIAIRE 2017"/>
      <sheetName val="joel"/>
      <sheetName val="OVT"/>
      <sheetName val="nadege"/>
      <sheetName val="Feuil3"/>
      <sheetName val="Feuil37"/>
      <sheetName val="PROGRAMME HOUSE KEEPING"/>
      <sheetName val="Feuil36"/>
      <sheetName val="Feuil40"/>
      <sheetName val="presence joachim"/>
      <sheetName val="Feuil41"/>
      <sheetName val="Feuil42"/>
      <sheetName val="paye"/>
      <sheetName val="Feuil43"/>
      <sheetName val="Feuil56"/>
      <sheetName val="Feuil35"/>
      <sheetName val="Feuil45"/>
      <sheetName val="Feuil39"/>
      <sheetName val="Feuil46"/>
      <sheetName val="Feuil47"/>
      <sheetName val="Feuil48"/>
      <sheetName val="Feuil49"/>
      <sheetName val="Feuil44"/>
      <sheetName val="bnb"/>
      <sheetName val="Feuil68"/>
      <sheetName val="Feuil69"/>
      <sheetName val="Feuil71"/>
      <sheetName val="FEUIL72"/>
      <sheetName val="Feuil73"/>
      <sheetName val="REMISE"/>
      <sheetName val="Feuil76"/>
      <sheetName val="Feuil88"/>
      <sheetName val="Feuil32"/>
      <sheetName val="Feuil38"/>
      <sheetName val="Feuil50"/>
      <sheetName val="Feuil52"/>
      <sheetName val="Feuil58"/>
      <sheetName val="Feuil59"/>
      <sheetName val="Feuil60"/>
      <sheetName val="Feuil51"/>
      <sheetName val="Feuil53"/>
      <sheetName val="Feuil54"/>
      <sheetName val="Feuil55"/>
      <sheetName val="Feuil57"/>
      <sheetName val="Feuil61"/>
      <sheetName val="Feuil62"/>
      <sheetName val="Feuil63"/>
      <sheetName val="Feuil64"/>
      <sheetName val="Feuil65"/>
      <sheetName val="Feuil66"/>
      <sheetName val="Feuil67"/>
      <sheetName val="Feuil70"/>
      <sheetName val="Feuil74"/>
      <sheetName val="Feuil75"/>
      <sheetName val="Feuil77"/>
      <sheetName val="Feuil7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75">
          <cell r="I75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 utiliser ce modèle"/>
      <sheetName val="Liste des élèves"/>
      <sheetName val="Août"/>
      <sheetName val="Septembre"/>
      <sheetName val="Octobre"/>
      <sheetName val="Novembre"/>
      <sheetName val="Décembre"/>
      <sheetName val="Janvier"/>
      <sheetName val="Février"/>
      <sheetName val="Mars"/>
      <sheetName val="Avril"/>
      <sheetName val="Mai"/>
      <sheetName val="Juin"/>
      <sheetName val="Juillet"/>
      <sheetName val="Rapport de présence des élèves"/>
      <sheetName val="Liste de présence1"/>
      <sheetName val="Présences"/>
      <sheetName val="Manquants"/>
      <sheetName val="Recap"/>
      <sheetName val="Ventes carburant"/>
      <sheetName val="Feuil1"/>
      <sheetName val="Jan 2020"/>
      <sheetName val="Fev 2020"/>
      <sheetName val="Mar 2020"/>
      <sheetName val="Avr 2020"/>
      <sheetName val="Mai 2020"/>
      <sheetName val="Juin 2020"/>
      <sheetName val="Jui 2020"/>
      <sheetName val="Aout 2020"/>
      <sheetName val="Sept 2020"/>
      <sheetName val="Oct 2020"/>
      <sheetName val="Nov 2020"/>
      <sheetName val="Dec 2020"/>
      <sheetName val="Synthè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3">
          <cell r="P3" t="str">
            <v>Coin Office</v>
          </cell>
        </row>
      </sheetData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AT  KENA"/>
      <sheetName val="analyse ventes"/>
      <sheetName val="RECAP INDEX"/>
      <sheetName val="MTN JUILLET 2019"/>
      <sheetName val="OM JUILLET 2019"/>
      <sheetName val="equation de stock"/>
      <sheetName val="reception carburant"/>
      <sheetName val="SUIVI LUBRIFIANT"/>
      <sheetName val="INVENTAIRE LUB"/>
      <sheetName val="decouvert"/>
      <sheetName val="SUVI GROUPE ELECTROGENE"/>
      <sheetName val="ETAT  NKOLAFAMBA (2)"/>
      <sheetName val="INVENTAIRE LUB (2)"/>
      <sheetName val="REPORTING LUB"/>
      <sheetName val="C I C"/>
      <sheetName val="kàlitàs"/>
      <sheetName val="SUIVI JOURNALIER GAZ"/>
      <sheetName val="INVENTAIRE GAZ aout 2018"/>
      <sheetName val="Présences"/>
      <sheetName val="Manquants"/>
      <sheetName val="Recap"/>
      <sheetName val="presences"/>
      <sheetName val="manquant"/>
      <sheetName val="récap"/>
      <sheetName val="INDEX KEN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P3" t="str">
            <v>P</v>
          </cell>
        </row>
      </sheetData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i journalier vente gaz janv"/>
      <sheetName val="Etat Vente Gaz jav 2018"/>
      <sheetName val="Recap"/>
    </sheetNames>
    <sheetDataSet>
      <sheetData sheetId="0">
        <row r="2">
          <cell r="AJ2">
            <v>0</v>
          </cell>
        </row>
      </sheetData>
      <sheetData sheetId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ésences"/>
      <sheetName val="Manquants"/>
      <sheetName val="Recap"/>
      <sheetName val="Feuil1"/>
      <sheetName val="Feuil2"/>
      <sheetName val="Copie de ETAT MENSUEL FICHIER R"/>
    </sheetNames>
    <sheetDataSet>
      <sheetData sheetId="0">
        <row r="1">
          <cell r="E1" t="str">
            <v>Nkozoa</v>
          </cell>
          <cell r="O1">
            <v>43617</v>
          </cell>
          <cell r="S1">
            <v>43646</v>
          </cell>
        </row>
        <row r="7">
          <cell r="B7">
            <v>1</v>
          </cell>
          <cell r="D7" t="str">
            <v>BELA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2</v>
          </cell>
          <cell r="AO7">
            <v>0</v>
          </cell>
          <cell r="AP7">
            <v>0</v>
          </cell>
          <cell r="AQ7">
            <v>0</v>
          </cell>
        </row>
        <row r="8">
          <cell r="B8">
            <v>2</v>
          </cell>
          <cell r="D8" t="str">
            <v>BITOMO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1</v>
          </cell>
          <cell r="AO8">
            <v>1</v>
          </cell>
          <cell r="AP8">
            <v>0</v>
          </cell>
          <cell r="AQ8">
            <v>0</v>
          </cell>
        </row>
        <row r="9">
          <cell r="B9">
            <v>3</v>
          </cell>
          <cell r="D9" t="str">
            <v>ANABA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1</v>
          </cell>
          <cell r="AO9">
            <v>1</v>
          </cell>
          <cell r="AP9">
            <v>0</v>
          </cell>
          <cell r="AQ9">
            <v>0</v>
          </cell>
        </row>
        <row r="10">
          <cell r="B10">
            <v>4</v>
          </cell>
          <cell r="D10" t="str">
            <v>KENGNE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2</v>
          </cell>
          <cell r="AO10">
            <v>0</v>
          </cell>
          <cell r="AP10">
            <v>0</v>
          </cell>
          <cell r="AQ10">
            <v>0</v>
          </cell>
        </row>
        <row r="11">
          <cell r="B11">
            <v>5</v>
          </cell>
          <cell r="D11" t="str">
            <v>MELINGUI J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2</v>
          </cell>
          <cell r="AO11">
            <v>0</v>
          </cell>
          <cell r="AP11">
            <v>0</v>
          </cell>
          <cell r="AQ11">
            <v>0</v>
          </cell>
        </row>
        <row r="12">
          <cell r="B12">
            <v>6</v>
          </cell>
          <cell r="D12" t="str">
            <v xml:space="preserve">NDI ASSEMBE 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2</v>
          </cell>
          <cell r="AO12">
            <v>0</v>
          </cell>
          <cell r="AP12">
            <v>0</v>
          </cell>
          <cell r="AQ12">
            <v>0</v>
          </cell>
        </row>
        <row r="13">
          <cell r="B13">
            <v>7</v>
          </cell>
          <cell r="D13" t="str">
            <v>ISSAH MARTINIEN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2</v>
          </cell>
          <cell r="AO13">
            <v>0</v>
          </cell>
          <cell r="AP13">
            <v>0</v>
          </cell>
          <cell r="AQ13">
            <v>0</v>
          </cell>
        </row>
        <row r="14">
          <cell r="B14">
            <v>8</v>
          </cell>
          <cell r="D14" t="str">
            <v>BILE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2</v>
          </cell>
          <cell r="AO14">
            <v>0</v>
          </cell>
          <cell r="AP14">
            <v>0</v>
          </cell>
          <cell r="AQ14">
            <v>0</v>
          </cell>
        </row>
        <row r="15">
          <cell r="B15">
            <v>9</v>
          </cell>
          <cell r="D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</row>
        <row r="16">
          <cell r="B16">
            <v>10</v>
          </cell>
          <cell r="D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</row>
        <row r="17">
          <cell r="B17">
            <v>11</v>
          </cell>
          <cell r="D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</row>
        <row r="18">
          <cell r="B18">
            <v>12</v>
          </cell>
          <cell r="D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</row>
        <row r="19">
          <cell r="B19">
            <v>13</v>
          </cell>
          <cell r="D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</row>
        <row r="20">
          <cell r="B20">
            <v>14</v>
          </cell>
          <cell r="D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</row>
        <row r="21">
          <cell r="B21">
            <v>15</v>
          </cell>
          <cell r="D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</row>
        <row r="22">
          <cell r="B22">
            <v>16</v>
          </cell>
          <cell r="D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</row>
        <row r="23">
          <cell r="B23">
            <v>17</v>
          </cell>
          <cell r="D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</row>
        <row r="24">
          <cell r="B24">
            <v>18</v>
          </cell>
          <cell r="D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</row>
        <row r="25">
          <cell r="B25">
            <v>19</v>
          </cell>
          <cell r="D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</row>
        <row r="26">
          <cell r="B26">
            <v>20</v>
          </cell>
          <cell r="D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</row>
        <row r="27">
          <cell r="B27">
            <v>21</v>
          </cell>
          <cell r="D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</row>
        <row r="28">
          <cell r="B28">
            <v>22</v>
          </cell>
          <cell r="D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</row>
        <row r="29">
          <cell r="B29">
            <v>23</v>
          </cell>
          <cell r="D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</row>
        <row r="30">
          <cell r="AN30">
            <v>14</v>
          </cell>
          <cell r="AO30">
            <v>2</v>
          </cell>
          <cell r="AQ30">
            <v>0</v>
          </cell>
        </row>
      </sheetData>
      <sheetData sheetId="1">
        <row r="7">
          <cell r="AH7">
            <v>0</v>
          </cell>
        </row>
        <row r="8">
          <cell r="AH8">
            <v>-950</v>
          </cell>
        </row>
        <row r="9">
          <cell r="AH9">
            <v>105</v>
          </cell>
        </row>
        <row r="10">
          <cell r="AH10">
            <v>-3920</v>
          </cell>
        </row>
        <row r="11">
          <cell r="AH11">
            <v>-2970</v>
          </cell>
        </row>
        <row r="12">
          <cell r="AH12">
            <v>-185</v>
          </cell>
        </row>
        <row r="13">
          <cell r="AH13">
            <v>-1765</v>
          </cell>
        </row>
        <row r="14">
          <cell r="AH14">
            <v>0</v>
          </cell>
        </row>
        <row r="15">
          <cell r="AH15">
            <v>0</v>
          </cell>
        </row>
        <row r="16">
          <cell r="AH16">
            <v>0</v>
          </cell>
        </row>
        <row r="17">
          <cell r="AH17">
            <v>0</v>
          </cell>
        </row>
        <row r="18">
          <cell r="AH18">
            <v>0</v>
          </cell>
        </row>
        <row r="19">
          <cell r="AH19">
            <v>0</v>
          </cell>
        </row>
        <row r="20">
          <cell r="AH20">
            <v>0</v>
          </cell>
        </row>
        <row r="21">
          <cell r="AH21">
            <v>0</v>
          </cell>
        </row>
        <row r="22">
          <cell r="AH22">
            <v>0</v>
          </cell>
        </row>
        <row r="23">
          <cell r="AH23">
            <v>0</v>
          </cell>
        </row>
        <row r="24">
          <cell r="AH24">
            <v>0</v>
          </cell>
        </row>
        <row r="25">
          <cell r="AH25">
            <v>0</v>
          </cell>
        </row>
        <row r="26">
          <cell r="AH26">
            <v>0</v>
          </cell>
        </row>
        <row r="27">
          <cell r="AH27">
            <v>0</v>
          </cell>
        </row>
        <row r="28">
          <cell r="AH28">
            <v>0</v>
          </cell>
        </row>
        <row r="29">
          <cell r="AH29">
            <v>0</v>
          </cell>
        </row>
      </sheetData>
      <sheetData sheetId="2"/>
      <sheetData sheetId="3"/>
      <sheetData sheetId="4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ésences"/>
      <sheetName val="Manquants"/>
      <sheetName val="Recap"/>
      <sheetName val="Etat mensuel  FEVIER 2020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ésences"/>
      <sheetName val="Manquants"/>
      <sheetName val="Recap"/>
      <sheetName val="Etat mensuel  DECEMBRE019"/>
    </sheetNames>
    <sheetDataSet>
      <sheetData sheetId="0">
        <row r="1">
          <cell r="E1" t="str">
            <v>Kena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CE"/>
      <sheetName val="Manquants"/>
      <sheetName val="RECAP"/>
      <sheetName val="Etat mensuel stations FR 2019 p"/>
    </sheetNames>
    <sheetDataSet>
      <sheetData sheetId="0"/>
      <sheetData sheetId="1"/>
      <sheetData sheetId="2">
        <row r="1">
          <cell r="E1">
            <v>0</v>
          </cell>
        </row>
        <row r="7">
          <cell r="B7">
            <v>4</v>
          </cell>
        </row>
        <row r="8">
          <cell r="B8">
            <v>5</v>
          </cell>
        </row>
        <row r="9">
          <cell r="B9">
            <v>6</v>
          </cell>
        </row>
        <row r="10">
          <cell r="B10">
            <v>7</v>
          </cell>
        </row>
        <row r="11">
          <cell r="B11">
            <v>8</v>
          </cell>
        </row>
        <row r="12">
          <cell r="B12">
            <v>9</v>
          </cell>
        </row>
        <row r="13">
          <cell r="B13">
            <v>10</v>
          </cell>
        </row>
        <row r="14">
          <cell r="B14">
            <v>11</v>
          </cell>
        </row>
        <row r="15">
          <cell r="B15">
            <v>12</v>
          </cell>
        </row>
        <row r="16">
          <cell r="B16">
            <v>13</v>
          </cell>
        </row>
        <row r="17">
          <cell r="B17">
            <v>14</v>
          </cell>
        </row>
        <row r="18">
          <cell r="B18">
            <v>15</v>
          </cell>
        </row>
        <row r="19">
          <cell r="B19">
            <v>16</v>
          </cell>
        </row>
        <row r="20">
          <cell r="B20">
            <v>17</v>
          </cell>
        </row>
        <row r="21">
          <cell r="B21">
            <v>18</v>
          </cell>
          <cell r="D21">
            <v>0</v>
          </cell>
        </row>
        <row r="22">
          <cell r="B22">
            <v>19</v>
          </cell>
          <cell r="D22">
            <v>0</v>
          </cell>
        </row>
        <row r="23">
          <cell r="B23">
            <v>20</v>
          </cell>
          <cell r="D23">
            <v>0</v>
          </cell>
        </row>
        <row r="24">
          <cell r="B24">
            <v>21</v>
          </cell>
          <cell r="D24">
            <v>0</v>
          </cell>
        </row>
        <row r="25">
          <cell r="B25">
            <v>22</v>
          </cell>
          <cell r="D25">
            <v>0</v>
          </cell>
        </row>
        <row r="26">
          <cell r="B26">
            <v>23</v>
          </cell>
          <cell r="D26">
            <v>0</v>
          </cell>
        </row>
        <row r="27">
          <cell r="B27">
            <v>0</v>
          </cell>
          <cell r="D27">
            <v>0</v>
          </cell>
        </row>
        <row r="29">
          <cell r="D29">
            <v>0</v>
          </cell>
        </row>
      </sheetData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pport journalier"/>
      <sheetName val="RECETTE"/>
      <sheetName val="Feuil19"/>
      <sheetName val="Feuil16"/>
      <sheetName val="ECART"/>
      <sheetName val="VENTE LUB"/>
      <sheetName val="INVENTAIRE LUB"/>
      <sheetName val="RECAP"/>
      <sheetName val="PRESENCE"/>
      <sheetName val="MANQUANT"/>
      <sheetName val="recap m"/>
      <sheetName val="SUIVI GROUPE"/>
      <sheetName val="recap index"/>
      <sheetName val="Feuil14"/>
      <sheetName val="OM"/>
      <sheetName val="programe de travail"/>
      <sheetName val="DECOUVERT MAI 22"/>
      <sheetName val="Feuil17"/>
      <sheetName val="Feuil12"/>
      <sheetName val="Feuil13"/>
      <sheetName val="DECOUVERT AOUT"/>
      <sheetName val="DECOUV AOUT"/>
      <sheetName val="DECOUVERT DECEMBRE "/>
      <sheetName val="DECOUVERT AVI"/>
      <sheetName val="DECOUVER 31MARS"/>
      <sheetName val="JUIN 2021"/>
      <sheetName val="Feuil4"/>
      <sheetName val="Feuil7"/>
      <sheetName val="Feuil9"/>
      <sheetName val="Feuil10"/>
      <sheetName val="Feuil11"/>
      <sheetName val="DEPENSES"/>
      <sheetName val="compte d'exploitation"/>
      <sheetName val="découvert au 08 - 09 - 2017"/>
      <sheetName val="Feuil1"/>
      <sheetName val="découvert au 12 - 09 - 2017 (2"/>
      <sheetName val="découvert reconstitue au 2-01- "/>
      <sheetName val="découvert au 31 - 12 - 2017 "/>
      <sheetName val="découvert jan-18 (2)"/>
      <sheetName val="Motivation lubs"/>
      <sheetName val="Feuil2"/>
      <sheetName val="Feuil3"/>
      <sheetName val="INVENTAIRE LUB (3)"/>
      <sheetName val="découvert avril RECONSTITUE (2"/>
      <sheetName val="découvert juin 2018"/>
      <sheetName val="découvert reconstitué juin "/>
      <sheetName val="INVENTAIRE LUB (4)"/>
      <sheetName val="découvert AVRIL 2018 A RECONSTI"/>
      <sheetName val="découvert reconstitué juin  (2"/>
      <sheetName val="AVC-AVFC"/>
      <sheetName val="motivation lub"/>
      <sheetName val="INVENTAIRE LUB (2)"/>
      <sheetName val="Feuil5"/>
      <sheetName val="Feuil6"/>
      <sheetName val="CONTROLE STOCK"/>
      <sheetName val="DECOUVERT JUILLET 18"/>
      <sheetName val="DECOUVERT AOUT 2018"/>
      <sheetName val="DECOUVERT SEPTEMBRE CONST"/>
      <sheetName val="DECOUVERT SEPTEMBRE"/>
      <sheetName val="DECOUVERT AOUT 2018 reconst (2"/>
      <sheetName val="INVENTAIRE LUB (5)"/>
      <sheetName val="DECOUVERT AOUT 2018 (4)"/>
      <sheetName val="DECOUVERT AOUT 2018 (3)"/>
      <sheetName val="DECOUVERT AOUT 2018 (2)"/>
      <sheetName val="DECOUVERT DECEMBRE- 2018 "/>
      <sheetName val="DECOUVERT DECEMBRE- 2018 (3"/>
      <sheetName val="DECOUVERT janvier - 2019 (3 (2"/>
      <sheetName val="DECOUVERT FEV-19 (2)"/>
      <sheetName val="DECOUVERT FEV-19 (3)"/>
      <sheetName val="Feuil8"/>
      <sheetName val="Feuil8 (2)"/>
      <sheetName val="DECOUVERT DECEMBRE- 2018  (2)"/>
      <sheetName val="DECOUVERT novembre- 2018 (6)"/>
      <sheetName val="INVENTAIRE LUB (7)"/>
      <sheetName val="DECOUVERT novembre- 2018 (5)"/>
      <sheetName val="DECOUVERT novembre- 2018 (4)"/>
      <sheetName val="DECOUVERT octobre 2018 (2)"/>
      <sheetName val="DECOUVERT octobre 2018 (4)"/>
      <sheetName val="INVENTAIRE LUB (6)"/>
      <sheetName val="DECOUVERT"/>
      <sheetName val="Feuil21"/>
      <sheetName val="Feuil15"/>
      <sheetName val="Feuil20"/>
      <sheetName val="Feuil22"/>
      <sheetName val="Feuil23"/>
      <sheetName val="Feuil18"/>
      <sheetName val="Feuil24"/>
      <sheetName val="Feuil25"/>
      <sheetName val="Copie de DECOUVER KEKEM MAI 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AJ7">
            <v>0</v>
          </cell>
          <cell r="AL7">
            <v>0</v>
          </cell>
          <cell r="AM7">
            <v>0</v>
          </cell>
          <cell r="AN7">
            <v>11</v>
          </cell>
        </row>
        <row r="8">
          <cell r="AJ8">
            <v>0</v>
          </cell>
          <cell r="AK8">
            <v>0</v>
          </cell>
          <cell r="AM8">
            <v>0</v>
          </cell>
          <cell r="AN8">
            <v>9</v>
          </cell>
        </row>
        <row r="9">
          <cell r="AJ9">
            <v>0</v>
          </cell>
          <cell r="AK9">
            <v>0</v>
          </cell>
          <cell r="AM9">
            <v>0</v>
          </cell>
          <cell r="AN9">
            <v>11</v>
          </cell>
        </row>
        <row r="10">
          <cell r="AJ10">
            <v>0</v>
          </cell>
          <cell r="AL10">
            <v>0</v>
          </cell>
          <cell r="AM10">
            <v>0</v>
          </cell>
          <cell r="AN10">
            <v>10</v>
          </cell>
        </row>
        <row r="11">
          <cell r="AJ11"/>
          <cell r="AK11">
            <v>0</v>
          </cell>
          <cell r="AM11">
            <v>0</v>
          </cell>
          <cell r="AN11">
            <v>0</v>
          </cell>
          <cell r="AQ11">
            <v>0</v>
          </cell>
        </row>
        <row r="12">
          <cell r="AK12">
            <v>0</v>
          </cell>
          <cell r="AN12">
            <v>9</v>
          </cell>
        </row>
        <row r="13">
          <cell r="AJ13">
            <v>0</v>
          </cell>
          <cell r="AK13">
            <v>0</v>
          </cell>
          <cell r="AM13">
            <v>0</v>
          </cell>
          <cell r="AN13">
            <v>10</v>
          </cell>
        </row>
        <row r="14">
          <cell r="AJ14"/>
          <cell r="AK14"/>
          <cell r="AM14"/>
          <cell r="AN14"/>
          <cell r="AQ14"/>
        </row>
        <row r="15">
          <cell r="AJ15"/>
          <cell r="AL15"/>
          <cell r="AM15"/>
          <cell r="AN15"/>
          <cell r="AQ15"/>
        </row>
        <row r="16">
          <cell r="AJ16"/>
          <cell r="AL16"/>
          <cell r="AM16"/>
          <cell r="AQ16"/>
        </row>
        <row r="17"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Q17">
            <v>0</v>
          </cell>
        </row>
        <row r="18"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Q18">
            <v>0</v>
          </cell>
        </row>
        <row r="19">
          <cell r="AJ19"/>
          <cell r="AK19">
            <v>0</v>
          </cell>
          <cell r="AL19"/>
          <cell r="AM19"/>
          <cell r="AQ19"/>
        </row>
        <row r="20"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Q20">
            <v>0</v>
          </cell>
        </row>
        <row r="21">
          <cell r="AJ21">
            <v>0</v>
          </cell>
          <cell r="AL21">
            <v>0</v>
          </cell>
          <cell r="AM21">
            <v>0</v>
          </cell>
          <cell r="AN21">
            <v>0</v>
          </cell>
          <cell r="AQ21">
            <v>0</v>
          </cell>
        </row>
        <row r="22">
          <cell r="AJ22">
            <v>0</v>
          </cell>
          <cell r="AL22">
            <v>0</v>
          </cell>
          <cell r="AM22">
            <v>0</v>
          </cell>
          <cell r="AN22">
            <v>0</v>
          </cell>
          <cell r="AQ22">
            <v>0</v>
          </cell>
        </row>
        <row r="23">
          <cell r="AJ23">
            <v>0</v>
          </cell>
          <cell r="AL23">
            <v>0</v>
          </cell>
          <cell r="AM23">
            <v>0</v>
          </cell>
          <cell r="AN23">
            <v>0</v>
          </cell>
          <cell r="AQ23">
            <v>0</v>
          </cell>
        </row>
        <row r="24">
          <cell r="AJ24">
            <v>0</v>
          </cell>
          <cell r="AL24">
            <v>0</v>
          </cell>
          <cell r="AM24">
            <v>0</v>
          </cell>
          <cell r="AN24">
            <v>0</v>
          </cell>
          <cell r="AQ24">
            <v>0</v>
          </cell>
        </row>
        <row r="25">
          <cell r="AJ25">
            <v>0</v>
          </cell>
          <cell r="AL25">
            <v>0</v>
          </cell>
          <cell r="AM25">
            <v>0</v>
          </cell>
          <cell r="AN25">
            <v>0</v>
          </cell>
          <cell r="AQ25">
            <v>0</v>
          </cell>
        </row>
        <row r="26">
          <cell r="AJ26">
            <v>0</v>
          </cell>
          <cell r="AL26">
            <v>0</v>
          </cell>
          <cell r="AM26">
            <v>0</v>
          </cell>
          <cell r="AN26">
            <v>0</v>
          </cell>
          <cell r="AQ26">
            <v>0</v>
          </cell>
        </row>
        <row r="27">
          <cell r="AJ27"/>
          <cell r="AL27">
            <v>0</v>
          </cell>
          <cell r="AM27">
            <v>0</v>
          </cell>
          <cell r="AN27">
            <v>0</v>
          </cell>
          <cell r="AQ27">
            <v>0</v>
          </cell>
        </row>
        <row r="28">
          <cell r="AJ28">
            <v>0</v>
          </cell>
          <cell r="AL28">
            <v>0</v>
          </cell>
          <cell r="AM28">
            <v>0</v>
          </cell>
          <cell r="AN28">
            <v>0</v>
          </cell>
          <cell r="AQ28">
            <v>0</v>
          </cell>
        </row>
        <row r="29">
          <cell r="AJ29">
            <v>0</v>
          </cell>
          <cell r="AL29">
            <v>0</v>
          </cell>
          <cell r="AM29">
            <v>0</v>
          </cell>
          <cell r="AN29">
            <v>0</v>
          </cell>
          <cell r="AQ29">
            <v>0</v>
          </cell>
        </row>
      </sheetData>
      <sheetData sheetId="9">
        <row r="7">
          <cell r="B7" t="str">
            <v>KENFACK BENJAMAIN</v>
          </cell>
        </row>
        <row r="8">
          <cell r="B8" t="str">
            <v>EWOUKENG GUY MODESTE</v>
          </cell>
        </row>
        <row r="9">
          <cell r="B9" t="str">
            <v>MBOUATE HYPPILITE</v>
          </cell>
        </row>
        <row r="10">
          <cell r="B10" t="str">
            <v>KENFACK CEDRIC</v>
          </cell>
        </row>
        <row r="11">
          <cell r="B11">
            <v>0</v>
          </cell>
        </row>
        <row r="12">
          <cell r="B12" t="str">
            <v>YEPBONG ELLIANE</v>
          </cell>
        </row>
        <row r="13">
          <cell r="B13" t="str">
            <v>KUINGA BIJOU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</sheetDataSet>
  </externalBook>
</externalLink>
</file>

<file path=xl/tables/table1.xml><?xml version="1.0" encoding="utf-8"?>
<table xmlns="http://schemas.openxmlformats.org/spreadsheetml/2006/main" id="10" name="Tableau794524" displayName="Tableau794524" ref="A48:B65" totalsRowShown="0" headerRowDxfId="734" dataDxfId="733">
  <autoFilter ref="A48:B65"/>
  <tableColumns count="2">
    <tableColumn id="1" name="TOTAL" dataDxfId="732">
      <calculatedColumnFormula>SUM(F4,J4,N4,R4,V4,Z4,AD4,AH4,AL4,AP4,AT4,AX4,BB4,BF4,BJ4,BN4,BR4,BV4,BZ4,CD4,CH4,CL4,CP4,CT4,CX4,DB4,DF4,DJ4,DN4,DR4,DV4)</calculatedColumnFormula>
    </tableColumn>
    <tableColumn id="2" name="pump   pistol" dataDxfId="731">
      <calculatedColumnFormula>B4</calculatedColumnFormula>
    </tableColumn>
  </tableColumns>
  <tableStyleInfo name="TableStyleLight3 2" showFirstColumn="0" showLastColumn="0" showRowStripes="1" showColumnStripes="0"/>
</table>
</file>

<file path=xl/tables/table10.xml><?xml version="1.0" encoding="utf-8"?>
<table xmlns="http://schemas.openxmlformats.org/spreadsheetml/2006/main" id="1" name="EtatPresence2" displayName="EtatPresence2" ref="E6:AS30" totalsRowCount="1" headerRowDxfId="170" dataDxfId="169" totalsRowDxfId="168">
  <tableColumns count="41">
    <tableColumn id="2" name="jour 1" totalsRowFunction="custom" dataDxfId="167" totalsRowDxfId="166">
      <totalsRowFormula>COUNTIF(EtatPresence2[jour 1],"NJ")+COUNTIF(EtatPresence2[jour 1],"S")+COUNTIF(EtatPresence2[jour 1],"J")</totalsRowFormula>
    </tableColumn>
    <tableColumn id="3" name="jour 2" totalsRowFunction="custom" dataDxfId="165" totalsRowDxfId="164">
      <totalsRowFormula>COUNTIF(EtatPresence2[jour 2],"N1")+COUNTIF(EtatPresence2[jour 2],"E")</totalsRowFormula>
    </tableColumn>
    <tableColumn id="4" name="jour 3" totalsRowFunction="custom" dataDxfId="163" totalsRowDxfId="162">
      <totalsRowFormula>COUNTIF(EtatPresence2[jour 3],"N1")+COUNTIF(EtatPresence2[jour 3],"E")</totalsRowFormula>
    </tableColumn>
    <tableColumn id="5" name="jour 4" totalsRowFunction="custom" dataDxfId="161" totalsRowDxfId="160">
      <totalsRowFormula>COUNTIF(EtatPresence2[jour 4],"N1")+COUNTIF(EtatPresence2[jour 4],"E")</totalsRowFormula>
    </tableColumn>
    <tableColumn id="6" name="jour 5" totalsRowFunction="custom" dataDxfId="159" totalsRowDxfId="158">
      <totalsRowFormula>COUNTIF(EtatPresence2[jour 5],"N1")+COUNTIF(EtatPresence2[jour 5],"E")</totalsRowFormula>
    </tableColumn>
    <tableColumn id="7" name="jour 6" totalsRowFunction="custom" dataDxfId="157" totalsRowDxfId="156">
      <totalsRowFormula>COUNTIF(EtatPresence2[jour 6],"N1")+COUNTIF(EtatPresence2[jour 6],"E")</totalsRowFormula>
    </tableColumn>
    <tableColumn id="8" name="jour 7" totalsRowFunction="custom" dataDxfId="155" totalsRowDxfId="154">
      <totalsRowFormula>COUNTIF(EtatPresence2[jour 7],"N1")+COUNTIF(EtatPresence2[jour 7],"E")</totalsRowFormula>
    </tableColumn>
    <tableColumn id="9" name="jour 8" totalsRowFunction="custom" dataDxfId="153" totalsRowDxfId="152">
      <totalsRowFormula>COUNTIF(EtatPresence2[jour 8],"N1")+COUNTIF(EtatPresence2[jour 8],"E")</totalsRowFormula>
    </tableColumn>
    <tableColumn id="10" name="jour 9" totalsRowFunction="custom" dataDxfId="151" totalsRowDxfId="150">
      <totalsRowFormula>COUNTIF(EtatPresence2[jour 9],"N1")+COUNTIF(EtatPresence2[jour 9],"E")</totalsRowFormula>
    </tableColumn>
    <tableColumn id="11" name="jour 10" totalsRowFunction="custom" dataDxfId="149" totalsRowDxfId="148">
      <totalsRowFormula>COUNTIF(EtatPresence2[jour 10],"N1")+COUNTIF(EtatPresence2[jour 10],"E")</totalsRowFormula>
    </tableColumn>
    <tableColumn id="12" name="jour 11" totalsRowFunction="custom" dataDxfId="147" totalsRowDxfId="146">
      <totalsRowFormula>COUNTIF(EtatPresence2[jour 11],"N1")+COUNTIF(EtatPresence2[jour 11],"E")</totalsRowFormula>
    </tableColumn>
    <tableColumn id="13" name="jour 12" totalsRowFunction="custom" dataDxfId="145" totalsRowDxfId="144">
      <totalsRowFormula>COUNTIF(EtatPresence2[jour 12],"N1")+COUNTIF(EtatPresence2[jour 12],"E")</totalsRowFormula>
    </tableColumn>
    <tableColumn id="14" name="jour 13" totalsRowFunction="sum" dataDxfId="143" totalsRowDxfId="142"/>
    <tableColumn id="15" name="jour 14" totalsRowFunction="custom" dataDxfId="141" totalsRowDxfId="140">
      <totalsRowFormula>COUNTIF(EtatPresence2[jour 14],"N1")+COUNTIF(EtatPresence2[jour 14],"E")</totalsRowFormula>
    </tableColumn>
    <tableColumn id="16" name="jour 15" totalsRowFunction="custom" dataDxfId="139" totalsRowDxfId="138">
      <totalsRowFormula>COUNTIF(EtatPresence2[jour 15],"N1")+COUNTIF(EtatPresence2[jour 15],"E")</totalsRowFormula>
    </tableColumn>
    <tableColumn id="17" name="jour 16" totalsRowFunction="custom" dataDxfId="137" totalsRowDxfId="136">
      <totalsRowFormula>COUNTIF(EtatPresence2[jour 16],"N1")+COUNTIF(EtatPresence2[jour 16],"E")</totalsRowFormula>
    </tableColumn>
    <tableColumn id="18" name="jour 17" totalsRowFunction="custom" dataDxfId="135" totalsRowDxfId="134">
      <totalsRowFormula>COUNTIF(EtatPresence2[jour 17],"N1")+COUNTIF(EtatPresence2[jour 17],"E")</totalsRowFormula>
    </tableColumn>
    <tableColumn id="19" name="jour 18" totalsRowFunction="custom" dataDxfId="133" totalsRowDxfId="132">
      <totalsRowFormula>COUNTIF(EtatPresence2[jour 18],"N1")+COUNTIF(EtatPresence2[jour 18],"E")</totalsRowFormula>
    </tableColumn>
    <tableColumn id="20" name="jour 19" totalsRowFunction="custom" dataDxfId="131" totalsRowDxfId="130">
      <totalsRowFormula>COUNTIF(EtatPresence2[jour 19],"N1")+COUNTIF(EtatPresence2[jour 19],"E")</totalsRowFormula>
    </tableColumn>
    <tableColumn id="21" name="jour 20" totalsRowFunction="custom" dataDxfId="129" totalsRowDxfId="128">
      <totalsRowFormula>COUNTIF(EtatPresence2[jour 20],"N1")+COUNTIF(EtatPresence2[jour 20],"E")</totalsRowFormula>
    </tableColumn>
    <tableColumn id="22" name="jour 21" totalsRowFunction="custom" dataDxfId="127" totalsRowDxfId="126">
      <totalsRowFormula>COUNTIF(EtatPresence2[jour 21],"N1")+COUNTIF(EtatPresence2[jour 21],"E")</totalsRowFormula>
    </tableColumn>
    <tableColumn id="23" name="jour 22" totalsRowFunction="custom" dataDxfId="125" totalsRowDxfId="124">
      <totalsRowFormula>COUNTIF(EtatPresence2[jour 22],"N1")+COUNTIF(EtatPresence2[jour 22],"E")</totalsRowFormula>
    </tableColumn>
    <tableColumn id="24" name="jour 23" totalsRowFunction="custom" dataDxfId="123" totalsRowDxfId="122">
      <totalsRowFormula>COUNTIF(EtatPresence2[jour 23],"N1")+COUNTIF(EtatPresence2[jour 23],"E")</totalsRowFormula>
    </tableColumn>
    <tableColumn id="25" name="jour 24" totalsRowFunction="custom" dataDxfId="121" totalsRowDxfId="120">
      <totalsRowFormula>COUNTIF(EtatPresence2[jour 24],"N1")+COUNTIF(EtatPresence2[jour 24],"E")</totalsRowFormula>
    </tableColumn>
    <tableColumn id="26" name="jour 25" totalsRowFunction="custom" dataDxfId="119" totalsRowDxfId="118">
      <totalsRowFormula>COUNTIF(EtatPresence2[jour 25],"N1")+COUNTIF(EtatPresence2[jour 25],"E")</totalsRowFormula>
    </tableColumn>
    <tableColumn id="27" name="jour 26" totalsRowFunction="custom" dataDxfId="117" totalsRowDxfId="116">
      <totalsRowFormula>COUNTIF(EtatPresence2[jour 26],"N1")+COUNTIF(EtatPresence2[jour 26],"E")</totalsRowFormula>
    </tableColumn>
    <tableColumn id="28" name="jour 27" totalsRowFunction="custom" dataDxfId="115" totalsRowDxfId="114">
      <totalsRowFormula>COUNTIF(EtatPresence2[jour 27],"N1")+COUNTIF(EtatPresence2[jour 27],"E")</totalsRowFormula>
    </tableColumn>
    <tableColumn id="29" name="jour 28" totalsRowFunction="custom" dataDxfId="113" totalsRowDxfId="112">
      <totalsRowFormula>COUNTIF(EtatPresence2[jour 28],"N1")+COUNTIF(EtatPresence2[jour 28],"E")</totalsRowFormula>
    </tableColumn>
    <tableColumn id="30" name="jour 29" totalsRowFunction="custom" dataDxfId="111" totalsRowDxfId="110">
      <totalsRowFormula>COUNTIF(EtatPresence2[jour 29],"N1")+COUNTIF(EtatPresence2[jour 29],"E")</totalsRowFormula>
    </tableColumn>
    <tableColumn id="31" name="jour 30" totalsRowFunction="custom" dataDxfId="109" totalsRowDxfId="108">
      <totalsRowFormula>COUNTIF(EtatPresence2[jour 30],"N1")+COUNTIF(EtatPresence2[jour 30],"E")</totalsRowFormula>
    </tableColumn>
    <tableColumn id="32" name="jour 31" totalsRowFunction="custom" dataDxfId="107" totalsRowDxfId="106">
      <totalsRowFormula>COUNTIF(EtatPresence2[jour 31],"N1")+COUNTIF(EtatPresence2[jour 31],"E")</totalsRowFormula>
    </tableColumn>
    <tableColumn id="34" name="Abs. " totalsRowFunction="sum" dataDxfId="105" totalsRowDxfId="104">
      <calculatedColumnFormula>COUNTIF(EtatPresence2[[#This Row],[jour 1]:[jour 31]],"Abs")</calculatedColumnFormula>
    </tableColumn>
    <tableColumn id="37" name="Abs. Non Justif." totalsRowFunction="sum" dataDxfId="103" totalsRowDxfId="102">
      <calculatedColumnFormula>COUNTIF(EtatPresence2[[#This Row],[jour 1]:[jour 31]],"NJ")</calculatedColumnFormula>
    </tableColumn>
    <tableColumn id="40" name="Suspensions" totalsRowFunction="custom" dataDxfId="101" totalsRowDxfId="100">
      <calculatedColumnFormula>COUNTIF(EtatPresence2[[#This Row],[jour 1]:[jour 31]],"S")</calculatedColumnFormula>
      <totalsRowFormula>AL7+AL8+AL9+AL10+AL11+AL12+AL13+AL14+AL15+AL16+AL17+AL18+AL19+AL20+AL21+AL22+AL23+AL24+AL25</totalsRowFormula>
    </tableColumn>
    <tableColumn id="38" name="Mises a pied" dataDxfId="99" totalsRowDxfId="98">
      <calculatedColumnFormula>COUNTIF(EtatPresence2[[#This Row],[jour 1]:[jour 31]],"MP")</calculatedColumnFormula>
    </tableColumn>
    <tableColumn id="36" name="Présences" totalsRowFunction="sum" dataDxfId="97" totalsRowDxfId="96">
      <calculatedColumnFormula>COUNTIF(EtatPresence2[[#This Row],[jour 1]:[jour 31]],Code4)</calculatedColumnFormula>
    </tableColumn>
    <tableColumn id="35" name="Repos ce mois" totalsRowFunction="sum" dataDxfId="95" totalsRowDxfId="94">
      <calculatedColumnFormula>COUNTIF(EtatPresence2[[#This Row],[jour 1]:[jour 31]],"RP")</calculatedColumnFormula>
    </tableColumn>
    <tableColumn id="41" name="Retards ce mois2" totalsRowFunction="custom" dataDxfId="93" totalsRowDxfId="92">
      <calculatedColumnFormula>COUNTIF(EtatPresence2[[#This Row],[jour 1]:[jour 31]],"Rt")</calculatedColumnFormula>
      <totalsRowFormula>SUM(EtatPresence2[Retards ce mois2])</totalsRowFormula>
    </tableColumn>
    <tableColumn id="1" name="jrs de congé ce mois" dataDxfId="91" totalsRowDxfId="90">
      <calculatedColumnFormula>COUNTIF(EtatPresence2[[#This Row],[jour 1]:[jour 31]],"Congé")</calculatedColumnFormula>
    </tableColumn>
    <tableColumn id="33" name="Jours d’absence ce mois" totalsRowFunction="sum" dataDxfId="89" totalsRowDxfId="88">
      <calculatedColumnFormula>SUM(EtatPresence2[[#This Row],[Abs. ]:[Mises a pied]])</calculatedColumnFormula>
    </tableColumn>
    <tableColumn id="39" name="Colonne1" dataDxfId="87" totalsRowDxfId="86"/>
  </tableColumns>
  <tableStyleInfo name="Employee Absence Table" showFirstColumn="0" showLastColumn="1" showRowStripes="1" showColumnStripes="1"/>
  <extLst>
    <ext xmlns:x14="http://schemas.microsoft.com/office/spreadsheetml/2009/9/main" uri="{504A1905-F514-4f6f-8877-14C23A59335A}">
      <x14:table altText="Etat de Presence Blessing" altTextSummary="Permet d’assurer le suivi de présence des employés (Rt=en retard, J=Justifié, NJ=non Justifié, P=présent, Rp=Repos, S=Sanction pour le mois d’aôut."/>
    </ext>
  </extLst>
</table>
</file>

<file path=xl/tables/table11.xml><?xml version="1.0" encoding="utf-8"?>
<table xmlns="http://schemas.openxmlformats.org/spreadsheetml/2006/main" id="11" name="Tableau612" displayName="Tableau612" ref="C6:D29" totalsRowShown="0" headerRowDxfId="85" dataDxfId="84" tableBorderDxfId="83">
  <autoFilter ref="C6:D29"/>
  <tableColumns count="2">
    <tableColumn id="1" name="Position" dataDxfId="82"/>
    <tableColumn id="2" name="Nom" dataDxfId="81"/>
  </tableColumns>
  <tableStyleInfo name="Employee Absence Table" showFirstColumn="0" showLastColumn="0" showRowStripes="1" showColumnStripes="0"/>
</table>
</file>

<file path=xl/tables/table12.xml><?xml version="1.0" encoding="utf-8"?>
<table xmlns="http://schemas.openxmlformats.org/spreadsheetml/2006/main" id="12" name="EtatPresence313" displayName="EtatPresence313" ref="B6:AH29" totalsRowCount="1" headerRowDxfId="79" dataDxfId="78" totalsRowDxfId="77">
  <tableColumns count="33">
    <tableColumn id="1" name="Noms                                                     " dataDxfId="76" totalsRowDxfId="75">
      <calculatedColumnFormula>[10]Présences!D7</calculatedColumnFormula>
    </tableColumn>
    <tableColumn id="2" name="jour 1" totalsRowFunction="custom" dataDxfId="74" totalsRowDxfId="73">
      <calculatedColumnFormula>IF(EtatPresence313[[#This Row],[Total Manquant]],EtatPresence313[Total Manquant], EtatPresence313[jour 2])</calculatedColumnFormula>
      <totalsRowFormula>SUM(C7:C28)</totalsRowFormula>
    </tableColumn>
    <tableColumn id="3" name="jour 2" totalsRowFunction="custom" dataDxfId="72" totalsRowDxfId="71">
      <totalsRowFormula>SUM(D7:D28)</totalsRowFormula>
    </tableColumn>
    <tableColumn id="4" name="jour 3" totalsRowFunction="custom" dataDxfId="70" totalsRowDxfId="69">
      <totalsRowFormula>SUM(E7:E28)</totalsRowFormula>
    </tableColumn>
    <tableColumn id="5" name="jour 4" totalsRowFunction="custom" dataDxfId="68" totalsRowDxfId="67">
      <totalsRowFormula>SUM(F7:F28)</totalsRowFormula>
    </tableColumn>
    <tableColumn id="6" name="jour 5" totalsRowFunction="custom" dataDxfId="66" totalsRowDxfId="65">
      <totalsRowFormula>SUM(G7:G28)</totalsRowFormula>
    </tableColumn>
    <tableColumn id="7" name="jour 6" totalsRowFunction="custom" dataDxfId="64" totalsRowDxfId="63">
      <totalsRowFormula>SUM(H7:H28)</totalsRowFormula>
    </tableColumn>
    <tableColumn id="8" name="jour 7" totalsRowFunction="custom" dataDxfId="62" totalsRowDxfId="61">
      <totalsRowFormula>SUM(I7:I28)</totalsRowFormula>
    </tableColumn>
    <tableColumn id="9" name="jour 8" totalsRowFunction="custom" dataDxfId="60" totalsRowDxfId="59">
      <totalsRowFormula>SUM(J7:J28)</totalsRowFormula>
    </tableColumn>
    <tableColumn id="10" name="jour 9" totalsRowFunction="custom" dataDxfId="58" totalsRowDxfId="57">
      <totalsRowFormula>SUM(K7:K28)</totalsRowFormula>
    </tableColumn>
    <tableColumn id="11" name="jour 10" totalsRowFunction="custom" dataDxfId="56" totalsRowDxfId="55">
      <totalsRowFormula>SUM(L7:L28)</totalsRowFormula>
    </tableColumn>
    <tableColumn id="12" name="jour 11" totalsRowFunction="custom" dataDxfId="54" totalsRowDxfId="53">
      <totalsRowFormula>SUM(M7:M28)</totalsRowFormula>
    </tableColumn>
    <tableColumn id="13" name="jour 12" totalsRowFunction="custom" dataDxfId="52" totalsRowDxfId="51">
      <totalsRowFormula>SUM(N7:N28)</totalsRowFormula>
    </tableColumn>
    <tableColumn id="14" name="jour 13" totalsRowFunction="custom" dataDxfId="50" totalsRowDxfId="49">
      <totalsRowFormula>SUM(O7:O28)</totalsRowFormula>
    </tableColumn>
    <tableColumn id="15" name="jour 14" totalsRowFunction="custom" dataDxfId="48" totalsRowDxfId="47">
      <totalsRowFormula>SUM(P7:P28)</totalsRowFormula>
    </tableColumn>
    <tableColumn id="16" name="jour 15" totalsRowFunction="custom" dataDxfId="46" totalsRowDxfId="45">
      <totalsRowFormula>SUM(Q7:Q28)</totalsRowFormula>
    </tableColumn>
    <tableColumn id="17" name="jour 16" totalsRowFunction="custom" dataDxfId="44" totalsRowDxfId="43">
      <totalsRowFormula>SUM(R7:R28)</totalsRowFormula>
    </tableColumn>
    <tableColumn id="18" name="jour 17" totalsRowFunction="custom" dataDxfId="42" totalsRowDxfId="41">
      <totalsRowFormula>SUM(S7:S28)</totalsRowFormula>
    </tableColumn>
    <tableColumn id="19" name="jour 18" totalsRowFunction="custom" dataDxfId="40" totalsRowDxfId="39">
      <totalsRowFormula>SUM(T7:T28)</totalsRowFormula>
    </tableColumn>
    <tableColumn id="20" name="jour 19" totalsRowFunction="custom" dataDxfId="38" totalsRowDxfId="37">
      <totalsRowFormula>SUM(U7:U28)</totalsRowFormula>
    </tableColumn>
    <tableColumn id="21" name="jour 20" totalsRowFunction="custom" dataDxfId="36" totalsRowDxfId="35">
      <totalsRowFormula>SUM(V7:V28)</totalsRowFormula>
    </tableColumn>
    <tableColumn id="22" name="jour 21" totalsRowFunction="custom" dataDxfId="34" totalsRowDxfId="33">
      <totalsRowFormula>SUM(W7:W28)</totalsRowFormula>
    </tableColumn>
    <tableColumn id="23" name="jour 22" totalsRowFunction="custom" dataDxfId="32" totalsRowDxfId="31">
      <totalsRowFormula>SUM(X7:X28)</totalsRowFormula>
    </tableColumn>
    <tableColumn id="24" name="jour 23" totalsRowFunction="custom" dataDxfId="30" totalsRowDxfId="29">
      <totalsRowFormula>SUM(Y7:Y28)</totalsRowFormula>
    </tableColumn>
    <tableColumn id="25" name="jour 24" totalsRowFunction="custom" dataDxfId="28" totalsRowDxfId="27">
      <totalsRowFormula>SUM(Z7:Z28)</totalsRowFormula>
    </tableColumn>
    <tableColumn id="26" name="jour 25" totalsRowFunction="custom" dataDxfId="26" totalsRowDxfId="25">
      <totalsRowFormula>SUM(AA7:AA28)</totalsRowFormula>
    </tableColumn>
    <tableColumn id="27" name="jour 26" totalsRowFunction="custom" dataDxfId="24" totalsRowDxfId="23">
      <totalsRowFormula>SUM(AB7:AB28)</totalsRowFormula>
    </tableColumn>
    <tableColumn id="28" name="jour 27" totalsRowFunction="custom" dataDxfId="22" totalsRowDxfId="21">
      <totalsRowFormula>SUM(AC7:AC28)</totalsRowFormula>
    </tableColumn>
    <tableColumn id="29" name="jour 28" totalsRowFunction="custom" dataDxfId="20" totalsRowDxfId="19">
      <totalsRowFormula>SUM(AD7:AD28)</totalsRowFormula>
    </tableColumn>
    <tableColumn id="30" name="jour 29" totalsRowFunction="custom" dataDxfId="18" totalsRowDxfId="17">
      <totalsRowFormula>SUM(AE7:AE28)</totalsRowFormula>
    </tableColumn>
    <tableColumn id="31" name="jour 30" totalsRowFunction="custom" dataDxfId="16" totalsRowDxfId="15">
      <totalsRowFormula>SUM(AF7:AF28)</totalsRowFormula>
    </tableColumn>
    <tableColumn id="32" name="jour 31" totalsRowFunction="custom" dataDxfId="14" totalsRowDxfId="13">
      <totalsRowFormula>SUM(AG7:AG28)</totalsRowFormula>
    </tableColumn>
    <tableColumn id="35" name="Total Manquant" totalsRowFunction="custom" dataDxfId="12" totalsRowDxfId="11">
      <calculatedColumnFormula>SUM(EtatPresence313[[#This Row],[jour 1]:[jour 31]])</calculatedColumnFormula>
      <totalsRowFormula>SUM(AH7:AH28)</totalsRowFormula>
    </tableColumn>
  </tableColumns>
  <tableStyleInfo name="Employee Absence Table 2" showFirstColumn="0" showLastColumn="1" showRowStripes="1" showColumnStripes="1"/>
  <extLst>
    <ext xmlns:x14="http://schemas.microsoft.com/office/spreadsheetml/2009/9/main" uri="{504A1905-F514-4f6f-8877-14C23A59335A}">
      <x14:table altText="Etat de Presence Blessing" altTextSummary="Permet d’assurer le suivi de présence des employés (Rt=en retard, J=Justifié, NJ=non Justifié, P=présent, Rp=Repos, S=Sanction pour le mois d’aôut."/>
    </ext>
  </extLst>
</table>
</file>

<file path=xl/tables/table13.xml><?xml version="1.0" encoding="utf-8"?>
<table xmlns="http://schemas.openxmlformats.org/spreadsheetml/2006/main" id="14" name="Tableau415" displayName="Tableau415" ref="B3:K27" totalsRowShown="0" headerRowDxfId="10">
  <autoFilter ref="B3:K27"/>
  <tableColumns count="10">
    <tableColumn id="1" name="Colonne1" dataDxfId="9"/>
    <tableColumn id="2" name="Noms" dataDxfId="8">
      <calculatedColumnFormula>[10]Présences!#REF!</calculatedColumnFormula>
    </tableColumn>
    <tableColumn id="3" name="Nb Jr d' Abs. NJ" dataDxfId="7">
      <calculatedColumnFormula>SUM([10]Présences!AK7,[10]Présences!AL7)</calculatedColumnFormula>
    </tableColumn>
    <tableColumn id="4" name="Nb MAP" dataDxfId="6">
      <calculatedColumnFormula>[10]Présences!AM7</calculatedColumnFormula>
    </tableColumn>
    <tableColumn id="5" name="Nb Jours d'abs J" dataDxfId="5">
      <calculatedColumnFormula>[10]Manquants!AH7</calculatedColumnFormula>
    </tableColumn>
    <tableColumn id="6" name="Nb Jrs de presence" dataDxfId="4">
      <calculatedColumnFormula>-2000*Tableau415[[#This Row],[Nb Jr d'' Abs. NJ]]</calculatedColumnFormula>
    </tableColumn>
    <tableColumn id="10" name="Jrs de conge" dataDxfId="3">
      <calculatedColumnFormula>[9]PRESENCE!AQ7</calculatedColumnFormula>
    </tableColumn>
    <tableColumn id="9" name="Jours travaille" dataDxfId="2">
      <calculatedColumnFormula>[9]PRESENCE!AN7</calculatedColumnFormula>
    </tableColumn>
    <tableColumn id="7" name="Total Manquant" dataDxfId="1">
      <calculatedColumnFormula>-2500*Tableau415[[#This Row],[Nb MAP]]</calculatedColumnFormula>
    </tableColumn>
    <tableColumn id="8" name="Signatures" dataDxfId="0">
      <calculatedColumnFormula>Tableau415[[#This Row],[Nb Jours d''abs J]]+Tableau415[[#This Row],[Nb Jrs de presence]]+Tableau415[[#This Row],[Total Manquant]]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EtatPresence" displayName="EtatPresence" ref="E6:AR30" totalsRowCount="1" headerRowDxfId="720" dataDxfId="719" totalsRowDxfId="718">
  <tableColumns count="40">
    <tableColumn id="2" name="jour 1" totalsRowFunction="custom" dataDxfId="717" totalsRowDxfId="716">
      <totalsRowFormula>COUNTIF(EtatPresence[jour 1],"NJ")+COUNTIF(EtatPresence[jour 1],"S")+COUNTIF(EtatPresence[jour 1],"J")</totalsRowFormula>
    </tableColumn>
    <tableColumn id="3" name="jour 2" totalsRowFunction="custom" dataDxfId="715" totalsRowDxfId="714">
      <totalsRowFormula>COUNTIF(EtatPresence[jour 2],"N1")+COUNTIF(EtatPresence[jour 2],"E")</totalsRowFormula>
    </tableColumn>
    <tableColumn id="4" name="jour 3" totalsRowFunction="custom" dataDxfId="713" totalsRowDxfId="712">
      <totalsRowFormula>COUNTIF(EtatPresence[jour 3],"N1")+COUNTIF(EtatPresence[jour 3],"E")</totalsRowFormula>
    </tableColumn>
    <tableColumn id="5" name="jour 4" totalsRowFunction="custom" dataDxfId="711" totalsRowDxfId="710">
      <totalsRowFormula>COUNTIF(EtatPresence[jour 4],"N1")+COUNTIF(EtatPresence[jour 4],"E")</totalsRowFormula>
    </tableColumn>
    <tableColumn id="6" name="jour 5" totalsRowFunction="custom" dataDxfId="709" totalsRowDxfId="708">
      <totalsRowFormula>COUNTIF(EtatPresence[jour 5],"N1")+COUNTIF(EtatPresence[jour 5],"E")</totalsRowFormula>
    </tableColumn>
    <tableColumn id="7" name="jour 6" totalsRowFunction="custom" dataDxfId="707" totalsRowDxfId="706">
      <totalsRowFormula>COUNTIF(EtatPresence[jour 6],"N1")+COUNTIF(EtatPresence[jour 6],"E")</totalsRowFormula>
    </tableColumn>
    <tableColumn id="8" name="jour 7" totalsRowFunction="custom" dataDxfId="705" totalsRowDxfId="704">
      <totalsRowFormula>COUNTIF(EtatPresence[jour 7],"N1")+COUNTIF(EtatPresence[jour 7],"E")</totalsRowFormula>
    </tableColumn>
    <tableColumn id="9" name="jour 8" totalsRowFunction="custom" dataDxfId="703" totalsRowDxfId="702">
      <totalsRowFormula>COUNTIF(EtatPresence[jour 8],"N1")+COUNTIF(EtatPresence[jour 8],"E")</totalsRowFormula>
    </tableColumn>
    <tableColumn id="10" name="jour 9" totalsRowFunction="custom" dataDxfId="701" totalsRowDxfId="700">
      <totalsRowFormula>COUNTIF(EtatPresence[jour 9],"N1")+COUNTIF(EtatPresence[jour 9],"E")</totalsRowFormula>
    </tableColumn>
    <tableColumn id="11" name="jour 10" totalsRowFunction="custom" dataDxfId="699" totalsRowDxfId="698">
      <totalsRowFormula>COUNTIF(EtatPresence[jour 10],"N1")+COUNTIF(EtatPresence[jour 10],"E")</totalsRowFormula>
    </tableColumn>
    <tableColumn id="12" name="jour 11" totalsRowFunction="custom" dataDxfId="697" totalsRowDxfId="696">
      <totalsRowFormula>COUNTIF(EtatPresence[jour 11],"N1")+COUNTIF(EtatPresence[jour 11],"E")</totalsRowFormula>
    </tableColumn>
    <tableColumn id="13" name="jour 12" totalsRowFunction="custom" dataDxfId="695" totalsRowDxfId="694">
      <totalsRowFormula>COUNTIF(EtatPresence[jour 12],"N1")+COUNTIF(EtatPresence[jour 12],"E")</totalsRowFormula>
    </tableColumn>
    <tableColumn id="14" name="jour 13" totalsRowFunction="sum" dataDxfId="693" totalsRowDxfId="692"/>
    <tableColumn id="15" name="jour 14" totalsRowFunction="custom" dataDxfId="691" totalsRowDxfId="690">
      <totalsRowFormula>COUNTIF(EtatPresence[jour 14],"N1")+COUNTIF(EtatPresence[jour 14],"E")</totalsRowFormula>
    </tableColumn>
    <tableColumn id="16" name="jour 15" totalsRowFunction="custom" dataDxfId="689" totalsRowDxfId="688">
      <totalsRowFormula>COUNTIF(EtatPresence[jour 15],"N1")+COUNTIF(EtatPresence[jour 15],"E")</totalsRowFormula>
    </tableColumn>
    <tableColumn id="17" name="jour 16" totalsRowFunction="custom" dataDxfId="687" totalsRowDxfId="686">
      <totalsRowFormula>COUNTIF(EtatPresence[jour 16],"N1")+COUNTIF(EtatPresence[jour 16],"E")</totalsRowFormula>
    </tableColumn>
    <tableColumn id="18" name="jour 17" totalsRowFunction="custom" dataDxfId="685" totalsRowDxfId="684">
      <totalsRowFormula>COUNTIF(EtatPresence[jour 17],"N1")+COUNTIF(EtatPresence[jour 17],"E")</totalsRowFormula>
    </tableColumn>
    <tableColumn id="19" name="jour 18" totalsRowFunction="custom" dataDxfId="683" totalsRowDxfId="682">
      <totalsRowFormula>COUNTIF(EtatPresence[jour 18],"N1")+COUNTIF(EtatPresence[jour 18],"E")</totalsRowFormula>
    </tableColumn>
    <tableColumn id="20" name="jour 19" totalsRowFunction="custom" dataDxfId="681" totalsRowDxfId="680">
      <totalsRowFormula>COUNTIF(EtatPresence[jour 19],"N1")+COUNTIF(EtatPresence[jour 19],"E")</totalsRowFormula>
    </tableColumn>
    <tableColumn id="21" name="jour 20" totalsRowFunction="custom" dataDxfId="679" totalsRowDxfId="678">
      <totalsRowFormula>COUNTIF(EtatPresence[jour 20],"N1")+COUNTIF(EtatPresence[jour 20],"E")</totalsRowFormula>
    </tableColumn>
    <tableColumn id="22" name="jour 21" totalsRowFunction="custom" dataDxfId="677" totalsRowDxfId="676">
      <totalsRowFormula>COUNTIF(EtatPresence[jour 21],"N1")+COUNTIF(EtatPresence[jour 21],"E")</totalsRowFormula>
    </tableColumn>
    <tableColumn id="23" name="jour 22" totalsRowFunction="custom" dataDxfId="675" totalsRowDxfId="674">
      <totalsRowFormula>COUNTIF(EtatPresence[jour 22],"N1")+COUNTIF(EtatPresence[jour 22],"E")</totalsRowFormula>
    </tableColumn>
    <tableColumn id="24" name="jour 23" totalsRowFunction="custom" dataDxfId="673" totalsRowDxfId="672">
      <totalsRowFormula>COUNTIF(EtatPresence[jour 23],"N1")+COUNTIF(EtatPresence[jour 23],"E")</totalsRowFormula>
    </tableColumn>
    <tableColumn id="25" name="jour 24" totalsRowFunction="custom" dataDxfId="671" totalsRowDxfId="670">
      <totalsRowFormula>COUNTIF(EtatPresence[jour 24],"N1")+COUNTIF(EtatPresence[jour 24],"E")</totalsRowFormula>
    </tableColumn>
    <tableColumn id="26" name="jour 25" totalsRowFunction="custom" dataDxfId="669" totalsRowDxfId="668">
      <totalsRowFormula>COUNTIF(EtatPresence[jour 25],"N1")+COUNTIF(EtatPresence[jour 25],"E")</totalsRowFormula>
    </tableColumn>
    <tableColumn id="27" name="jour 26" totalsRowFunction="custom" dataDxfId="667" totalsRowDxfId="666">
      <totalsRowFormula>COUNTIF(EtatPresence[jour 26],"N1")+COUNTIF(EtatPresence[jour 26],"E")</totalsRowFormula>
    </tableColumn>
    <tableColumn id="28" name="jour 27" totalsRowFunction="custom" dataDxfId="665" totalsRowDxfId="664">
      <totalsRowFormula>COUNTIF(EtatPresence[jour 27],"N1")+COUNTIF(EtatPresence[jour 27],"E")</totalsRowFormula>
    </tableColumn>
    <tableColumn id="29" name="jour 28" totalsRowFunction="custom" dataDxfId="663" totalsRowDxfId="662">
      <totalsRowFormula>COUNTIF(EtatPresence[jour 28],"N1")+COUNTIF(EtatPresence[jour 28],"E")</totalsRowFormula>
    </tableColumn>
    <tableColumn id="30" name="jour 29" totalsRowFunction="custom" dataDxfId="661" totalsRowDxfId="660">
      <totalsRowFormula>COUNTIF(EtatPresence[jour 29],"N1")+COUNTIF(EtatPresence[jour 29],"E")</totalsRowFormula>
    </tableColumn>
    <tableColumn id="31" name="jour 30" totalsRowFunction="custom" dataDxfId="659" totalsRowDxfId="658">
      <totalsRowFormula>COUNTIF(EtatPresence[jour 30],"N1")+COUNTIF(EtatPresence[jour 30],"E")</totalsRowFormula>
    </tableColumn>
    <tableColumn id="32" name="jour 31" totalsRowFunction="custom" dataDxfId="657" totalsRowDxfId="656">
      <totalsRowFormula>COUNTIF(EtatPresence[jour 31],"N1")+COUNTIF(EtatPresence[jour 31],"E")</totalsRowFormula>
    </tableColumn>
    <tableColumn id="34" name="Abs. " totalsRowFunction="sum" dataDxfId="655" totalsRowDxfId="654">
      <calculatedColumnFormula>COUNTIF(EtatPresence[[#This Row],[jour 1]:[jour 31]],"Abs")</calculatedColumnFormula>
    </tableColumn>
    <tableColumn id="37" name="Abs. Non Justif." totalsRowFunction="sum" dataDxfId="653" totalsRowDxfId="652">
      <calculatedColumnFormula>COUNTIF(EtatPresence[[#This Row],[jour 1]:[jour 31]],"NJ")</calculatedColumnFormula>
    </tableColumn>
    <tableColumn id="40" name="Suspensions" dataDxfId="651" totalsRowDxfId="650">
      <calculatedColumnFormula>COUNTIF(EtatPresence[[#This Row],[jour 1]:[jour 31]],"S")</calculatedColumnFormula>
    </tableColumn>
    <tableColumn id="38" name="Mises a pied" dataDxfId="649" totalsRowDxfId="648">
      <calculatedColumnFormula>COUNTIF(EtatPresence[[#This Row],[jour 1]:[jour 31]],"MP")</calculatedColumnFormula>
    </tableColumn>
    <tableColumn id="36" name="Présences" totalsRowFunction="sum" dataDxfId="647" totalsRowDxfId="646">
      <calculatedColumnFormula>COUNTIF(EtatPresence[[#This Row],[jour 1]:[jour 31]],Code4)</calculatedColumnFormula>
    </tableColumn>
    <tableColumn id="35" name="Repos ce mois" totalsRowFunction="sum" dataDxfId="645" totalsRowDxfId="644">
      <calculatedColumnFormula>COUNTIF(EtatPresence[[#This Row],[jour 1]:[jour 31]],"RP")</calculatedColumnFormula>
    </tableColumn>
    <tableColumn id="41" name="Retards ce mois2" totalsRowFunction="custom" dataDxfId="643" totalsRowDxfId="642">
      <calculatedColumnFormula>COUNTIF(EtatPresence[[#This Row],[jour 1]:[jour 31]],"Rt")</calculatedColumnFormula>
      <totalsRowFormula>SUM(EtatPresence[Retards ce mois2])</totalsRowFormula>
    </tableColumn>
    <tableColumn id="1" name="jrs de congé ce mois" dataDxfId="641" totalsRowDxfId="640">
      <calculatedColumnFormula>COUNTIF(EtatPresence[[#This Row],[jour 1]:[jour 31]],"Congé")</calculatedColumnFormula>
    </tableColumn>
    <tableColumn id="33" name="Jours d’absence ce mois" totalsRowFunction="sum" dataDxfId="639" totalsRowDxfId="638">
      <calculatedColumnFormula>SUM(EtatPresence[[#This Row],[Abs. ]:[Mises a pied]])</calculatedColumnFormula>
    </tableColumn>
  </tableColumns>
  <tableStyleInfo name="Employee Absence Table 5" showFirstColumn="0" showLastColumn="1" showRowStripes="1" showColumnStripes="1"/>
</table>
</file>

<file path=xl/tables/table3.xml><?xml version="1.0" encoding="utf-8"?>
<table xmlns="http://schemas.openxmlformats.org/spreadsheetml/2006/main" id="3" name="Tableau6" displayName="Tableau6" ref="C6:D29" totalsRowShown="0" headerRowDxfId="637" dataDxfId="636" tableBorderDxfId="635">
  <autoFilter ref="C6:D29"/>
  <tableColumns count="2">
    <tableColumn id="1" name="Position" dataDxfId="634"/>
    <tableColumn id="2" name="Nom" dataDxfId="633"/>
  </tableColumns>
  <tableStyleInfo name="Employee Absence Table 5" showFirstColumn="0" showLastColumn="0" showRowStripes="1" showColumnStripes="0"/>
</table>
</file>

<file path=xl/tables/table4.xml><?xml version="1.0" encoding="utf-8"?>
<table xmlns="http://schemas.openxmlformats.org/spreadsheetml/2006/main" id="4" name="EtatPresence3" displayName="EtatPresence3" ref="B6:AH30" totalsRowCount="1" headerRowDxfId="631" dataDxfId="630" totalsRowDxfId="629">
  <tableColumns count="33">
    <tableColumn id="1" name="Noms                                                     " dataDxfId="628" totalsRowDxfId="627">
      <calculatedColumnFormula>[5]Présences!D7</calculatedColumnFormula>
    </tableColumn>
    <tableColumn id="2" name="jour 1" totalsRowFunction="custom" dataDxfId="626" totalsRowDxfId="625">
      <calculatedColumnFormula>IF(EtatPresence3[[#This Row],[Total Manquant]],EtatPresence3[Total Manquant], EtatPresence3[jour 2])</calculatedColumnFormula>
      <totalsRowFormula>COUNTIF(EtatPresence3[jour 1],"NJ")+COUNTIF(EtatPresence3[jour 1],"S")+COUNTIF(EtatPresence3[jour 1],"J")</totalsRowFormula>
    </tableColumn>
    <tableColumn id="3" name="jour 2" totalsRowFunction="custom" dataDxfId="624" totalsRowDxfId="623">
      <totalsRowFormula>COUNTIF(EtatPresence3[jour 2],"N1")+COUNTIF(EtatPresence3[jour 2],"E")</totalsRowFormula>
    </tableColumn>
    <tableColumn id="4" name="jour 3" totalsRowFunction="custom" dataDxfId="622" totalsRowDxfId="621">
      <totalsRowFormula>COUNTIF(EtatPresence3[jour 3],"N1")+COUNTIF(EtatPresence3[jour 3],"E")</totalsRowFormula>
    </tableColumn>
    <tableColumn id="5" name="jour 4" totalsRowFunction="custom" dataDxfId="620" totalsRowDxfId="619">
      <totalsRowFormula>COUNTIF(EtatPresence3[jour 4],"N1")+COUNTIF(EtatPresence3[jour 4],"E")</totalsRowFormula>
    </tableColumn>
    <tableColumn id="6" name="jour 5" totalsRowFunction="custom" dataDxfId="618" totalsRowDxfId="617">
      <totalsRowFormula>COUNTIF(EtatPresence3[jour 5],"N1")+COUNTIF(EtatPresence3[jour 5],"E")</totalsRowFormula>
    </tableColumn>
    <tableColumn id="7" name="jour 6" totalsRowFunction="custom" dataDxfId="616" totalsRowDxfId="615">
      <totalsRowFormula>COUNTIF(EtatPresence3[jour 6],"N1")+COUNTIF(EtatPresence3[jour 6],"E")</totalsRowFormula>
    </tableColumn>
    <tableColumn id="8" name="jour 7" totalsRowFunction="custom" dataDxfId="614" totalsRowDxfId="613">
      <totalsRowFormula>COUNTIF(EtatPresence3[jour 7],"N1")+COUNTIF(EtatPresence3[jour 7],"E")</totalsRowFormula>
    </tableColumn>
    <tableColumn id="9" name="jour 8" totalsRowFunction="custom" dataDxfId="612" totalsRowDxfId="611">
      <totalsRowFormula>COUNTIF(EtatPresence3[jour 8],"N1")+COUNTIF(EtatPresence3[jour 8],"E")</totalsRowFormula>
    </tableColumn>
    <tableColumn id="10" name="jour 9" totalsRowFunction="custom" dataDxfId="610" totalsRowDxfId="609">
      <totalsRowFormula>COUNTIF(EtatPresence3[jour 9],"N1")+COUNTIF(EtatPresence3[jour 9],"E")</totalsRowFormula>
    </tableColumn>
    <tableColumn id="11" name="jour 10" totalsRowFunction="custom" dataDxfId="608" totalsRowDxfId="607">
      <totalsRowFormula>COUNTIF(EtatPresence3[jour 10],"N1")+COUNTIF(EtatPresence3[jour 10],"E")</totalsRowFormula>
    </tableColumn>
    <tableColumn id="12" name="jour 11" totalsRowFunction="custom" dataDxfId="606" totalsRowDxfId="605">
      <totalsRowFormula>COUNTIF(EtatPresence3[jour 11],"N1")+COUNTIF(EtatPresence3[jour 11],"E")</totalsRowFormula>
    </tableColumn>
    <tableColumn id="13" name="jour 12" totalsRowFunction="custom" dataDxfId="604" totalsRowDxfId="603">
      <totalsRowFormula>COUNTIF(EtatPresence3[jour 12],"N1")+COUNTIF(EtatPresence3[jour 12],"E")</totalsRowFormula>
    </tableColumn>
    <tableColumn id="14" name="jour 13" dataDxfId="602" totalsRowDxfId="601"/>
    <tableColumn id="15" name="jour 14" totalsRowFunction="custom" dataDxfId="600" totalsRowDxfId="599">
      <totalsRowFormula>COUNTIF(EtatPresence3[jour 14],"N1")+COUNTIF(EtatPresence3[jour 14],"E")</totalsRowFormula>
    </tableColumn>
    <tableColumn id="16" name="jour 15" totalsRowFunction="custom" dataDxfId="598" totalsRowDxfId="597">
      <totalsRowFormula>COUNTIF(EtatPresence3[jour 15],"N1")+COUNTIF(EtatPresence3[jour 15],"E")</totalsRowFormula>
    </tableColumn>
    <tableColumn id="17" name="jour 16" totalsRowFunction="custom" dataDxfId="596" totalsRowDxfId="595">
      <totalsRowFormula>COUNTIF(EtatPresence3[jour 16],"N1")+COUNTIF(EtatPresence3[jour 16],"E")</totalsRowFormula>
    </tableColumn>
    <tableColumn id="18" name="jour 17" totalsRowFunction="custom" dataDxfId="594" totalsRowDxfId="593">
      <totalsRowFormula>COUNTIF(EtatPresence3[jour 17],"N1")+COUNTIF(EtatPresence3[jour 17],"E")</totalsRowFormula>
    </tableColumn>
    <tableColumn id="19" name="jour 18" totalsRowFunction="custom" dataDxfId="592" totalsRowDxfId="591">
      <totalsRowFormula>COUNTIF(EtatPresence3[jour 18],"N1")+COUNTIF(EtatPresence3[jour 18],"E")</totalsRowFormula>
    </tableColumn>
    <tableColumn id="20" name="jour 19" totalsRowFunction="custom" dataDxfId="590" totalsRowDxfId="589">
      <totalsRowFormula>COUNTIF(EtatPresence3[jour 19],"N1")+COUNTIF(EtatPresence3[jour 19],"E")</totalsRowFormula>
    </tableColumn>
    <tableColumn id="21" name="jour 20" totalsRowFunction="custom" dataDxfId="588" totalsRowDxfId="587">
      <totalsRowFormula>COUNTIF(EtatPresence3[jour 20],"N1")+COUNTIF(EtatPresence3[jour 20],"E")</totalsRowFormula>
    </tableColumn>
    <tableColumn id="22" name="jour 21" totalsRowFunction="custom" dataDxfId="586" totalsRowDxfId="585">
      <totalsRowFormula>COUNTIF(EtatPresence3[jour 21],"N1")+COUNTIF(EtatPresence3[jour 21],"E")</totalsRowFormula>
    </tableColumn>
    <tableColumn id="23" name="jour 22" totalsRowFunction="custom" dataDxfId="584" totalsRowDxfId="583">
      <totalsRowFormula>COUNTIF(EtatPresence3[jour 22],"N1")+COUNTIF(EtatPresence3[jour 22],"E")</totalsRowFormula>
    </tableColumn>
    <tableColumn id="24" name="jour 23" totalsRowFunction="custom" dataDxfId="582" totalsRowDxfId="581">
      <totalsRowFormula>COUNTIF(EtatPresence3[jour 23],"N1")+COUNTIF(EtatPresence3[jour 23],"E")</totalsRowFormula>
    </tableColumn>
    <tableColumn id="25" name="jour 24" totalsRowFunction="custom" dataDxfId="580" totalsRowDxfId="579">
      <totalsRowFormula>COUNTIF(EtatPresence3[jour 24],"N1")+COUNTIF(EtatPresence3[jour 24],"E")</totalsRowFormula>
    </tableColumn>
    <tableColumn id="26" name="jour 25" totalsRowFunction="custom" dataDxfId="578" totalsRowDxfId="577">
      <totalsRowFormula>COUNTIF(EtatPresence3[jour 25],"N1")+COUNTIF(EtatPresence3[jour 25],"E")</totalsRowFormula>
    </tableColumn>
    <tableColumn id="27" name="jour 26" totalsRowFunction="custom" dataDxfId="576" totalsRowDxfId="575">
      <totalsRowFormula>COUNTIF(EtatPresence3[jour 26],"N1")+COUNTIF(EtatPresence3[jour 26],"E")</totalsRowFormula>
    </tableColumn>
    <tableColumn id="28" name="jour 27" totalsRowFunction="custom" dataDxfId="574" totalsRowDxfId="573">
      <totalsRowFormula>COUNTIF(EtatPresence3[jour 27],"N1")+COUNTIF(EtatPresence3[jour 27],"E")</totalsRowFormula>
    </tableColumn>
    <tableColumn id="29" name="jour 28" totalsRowFunction="custom" dataDxfId="572" totalsRowDxfId="571">
      <totalsRowFormula>COUNTIF(EtatPresence3[jour 28],"N1")+COUNTIF(EtatPresence3[jour 28],"E")</totalsRowFormula>
    </tableColumn>
    <tableColumn id="30" name="jour 29" totalsRowFunction="custom" dataDxfId="570" totalsRowDxfId="569">
      <totalsRowFormula>COUNTIF(EtatPresence3[jour 29],"N1")+COUNTIF(EtatPresence3[jour 29],"E")</totalsRowFormula>
    </tableColumn>
    <tableColumn id="31" name="jour 30" totalsRowFunction="custom" dataDxfId="568" totalsRowDxfId="567">
      <totalsRowFormula>COUNTIF(EtatPresence3[jour 30],"N1")+COUNTIF(EtatPresence3[jour 30],"E")</totalsRowFormula>
    </tableColumn>
    <tableColumn id="32" name="jour 31" totalsRowFunction="custom" dataDxfId="566" totalsRowDxfId="565">
      <totalsRowFormula>COUNTIF(EtatPresence3[jour 31],"N1")+COUNTIF(EtatPresence3[jour 31],"E")</totalsRowFormula>
    </tableColumn>
    <tableColumn id="35" name="Total Manquant" totalsRowFunction="custom" totalsRowDxfId="564">
      <calculatedColumnFormula>SUM(EtatPresence3[[#This Row],[jour 1]:[jour 31]])</calculatedColumnFormula>
      <totalsRowFormula>SUM(AH7:AH29)</totalsRowFormula>
    </tableColumn>
  </tableColumns>
  <tableStyleInfo name="Employee Absence Table 6" showFirstColumn="0" showLastColumn="1" showRowStripes="1" showColumnStripes="1"/>
</table>
</file>

<file path=xl/tables/table5.xml><?xml version="1.0" encoding="utf-8"?>
<table xmlns="http://schemas.openxmlformats.org/spreadsheetml/2006/main" id="5" name="Tableau4" displayName="Tableau4" ref="B3:K27" totalsRowShown="0" headerRowDxfId="563">
  <autoFilter ref="B3:K27"/>
  <tableColumns count="10">
    <tableColumn id="1" name="#" dataDxfId="562">
      <calculatedColumnFormula>[5]Présences!B7</calculatedColumnFormula>
    </tableColumn>
    <tableColumn id="2" name="Noms" dataDxfId="561">
      <calculatedColumnFormula>[5]Présences!#REF!</calculatedColumnFormula>
    </tableColumn>
    <tableColumn id="3" name="Nb Jr d' Abs. NJ" dataDxfId="560">
      <calculatedColumnFormula>SUM([5]Présences!AK7,[5]Présences!AL7)</calculatedColumnFormula>
    </tableColumn>
    <tableColumn id="4" name="Nb MAP" dataDxfId="559">
      <calculatedColumnFormula>[5]Présences!AM7</calculatedColumnFormula>
    </tableColumn>
    <tableColumn id="5" name="Nb Jours d'abs J" dataDxfId="558">
      <calculatedColumnFormula>[5]Manquants!AH7</calculatedColumnFormula>
    </tableColumn>
    <tableColumn id="6" name="Nb Jrs de presence" dataDxfId="557">
      <calculatedColumnFormula>-2000*Tableau4[[#This Row],[Nb Jr d'' Abs. NJ]]</calculatedColumnFormula>
    </tableColumn>
    <tableColumn id="10" name="Jrs de conge" dataDxfId="556">
      <calculatedColumnFormula>[5]Présences!AQ7</calculatedColumnFormula>
    </tableColumn>
    <tableColumn id="9" name="Jours travaille" dataDxfId="555">
      <calculatedColumnFormula>[5]Présences!AO7+[5]Présences!AN7</calculatedColumnFormula>
    </tableColumn>
    <tableColumn id="7" name="Total Manquant" dataDxfId="554">
      <calculatedColumnFormula>-2500*Tableau4[[#This Row],[Nb MAP]]</calculatedColumnFormula>
    </tableColumn>
    <tableColumn id="8" name="Signatures" dataDxfId="553">
      <calculatedColumnFormula>Tableau4[[#This Row],[Nb Jours d''abs J]]+Tableau4[[#This Row],[Nb Jrs de presence]]+Tableau4[[#This Row],[Total Manquant]]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6" name="EtatPresence7" displayName="EtatPresence7" ref="E6:AR29" totalsRowShown="0" headerRowDxfId="435" dataDxfId="434" totalsRowDxfId="433">
  <tableColumns count="40">
    <tableColumn id="2" name="jour 1" dataDxfId="432" totalsRowDxfId="431"/>
    <tableColumn id="3" name="jour 2" dataDxfId="430" totalsRowDxfId="429"/>
    <tableColumn id="4" name="jour 3" dataDxfId="428" totalsRowDxfId="427"/>
    <tableColumn id="5" name="jour 4" dataDxfId="426" totalsRowDxfId="425"/>
    <tableColumn id="6" name="jour 5" dataDxfId="424" totalsRowDxfId="423"/>
    <tableColumn id="7" name="jour 6" dataDxfId="422" totalsRowDxfId="421"/>
    <tableColumn id="8" name="jour 7" dataDxfId="420" totalsRowDxfId="419"/>
    <tableColumn id="9" name="jour 8" dataDxfId="418" totalsRowDxfId="417"/>
    <tableColumn id="10" name="jour 9" dataDxfId="416" totalsRowDxfId="415"/>
    <tableColumn id="11" name="jour 10" dataDxfId="414" totalsRowDxfId="413"/>
    <tableColumn id="12" name="jour 11" dataDxfId="412" totalsRowDxfId="411"/>
    <tableColumn id="13" name="jour 12" dataDxfId="410" totalsRowDxfId="409"/>
    <tableColumn id="14" name="jour 13" dataDxfId="408" totalsRowDxfId="407"/>
    <tableColumn id="15" name="jour 14" dataDxfId="406" totalsRowDxfId="405"/>
    <tableColumn id="16" name="jour 15" dataDxfId="404" totalsRowDxfId="403"/>
    <tableColumn id="17" name="jour 16" dataDxfId="402" totalsRowDxfId="401"/>
    <tableColumn id="18" name="jour 17" dataDxfId="400" totalsRowDxfId="399"/>
    <tableColumn id="19" name="jour 18" dataDxfId="398" totalsRowDxfId="397"/>
    <tableColumn id="20" name="jour 19" dataDxfId="396" totalsRowDxfId="395"/>
    <tableColumn id="21" name="jour 20" dataDxfId="394" totalsRowDxfId="393"/>
    <tableColumn id="22" name="jour 21" dataDxfId="392" totalsRowDxfId="391"/>
    <tableColumn id="23" name="jour 22" dataDxfId="390" totalsRowDxfId="389"/>
    <tableColumn id="24" name="jour 23" dataDxfId="388" totalsRowDxfId="387"/>
    <tableColumn id="25" name="jour 24" dataDxfId="386" totalsRowDxfId="385"/>
    <tableColumn id="26" name="jour 25" dataDxfId="384" totalsRowDxfId="383"/>
    <tableColumn id="27" name="jour 26" dataDxfId="382" totalsRowDxfId="381"/>
    <tableColumn id="28" name="jour 27" dataDxfId="380" totalsRowDxfId="379"/>
    <tableColumn id="29" name="jour 28" dataDxfId="378" totalsRowDxfId="377"/>
    <tableColumn id="30" name="jour 29" dataDxfId="376" totalsRowDxfId="375"/>
    <tableColumn id="31" name="jour 30" dataDxfId="374" totalsRowDxfId="373"/>
    <tableColumn id="32" name="jour 31" dataDxfId="372" totalsRowDxfId="371"/>
    <tableColumn id="34" name="Abs. " dataDxfId="370" totalsRowDxfId="369">
      <calculatedColumnFormula>COUNTIF(EtatPresence7[[#This Row],[jour 1]:[jour 31]],"Abs")</calculatedColumnFormula>
    </tableColumn>
    <tableColumn id="37" name="Abs. Non Justif." dataDxfId="368" totalsRowDxfId="367">
      <calculatedColumnFormula>COUNTIF(EtatPresence7[[#This Row],[jour 1]:[jour 31]],"NJ")</calculatedColumnFormula>
    </tableColumn>
    <tableColumn id="40" name="Suspensions" dataDxfId="366" totalsRowDxfId="365">
      <calculatedColumnFormula>COUNTIF(EtatPresence7[[#This Row],[jour 1]:[jour 31]],"S")</calculatedColumnFormula>
    </tableColumn>
    <tableColumn id="38" name="Mises a pied" dataDxfId="364" totalsRowDxfId="363">
      <calculatedColumnFormula>COUNTIF(EtatPresence7[[#This Row],[jour 1]:[jour 31]],"MP")</calculatedColumnFormula>
    </tableColumn>
    <tableColumn id="36" name="Présences" dataDxfId="362" totalsRowDxfId="361">
      <calculatedColumnFormula>COUNTIF(EtatPresence7[[#This Row],[jour 1]:[jour 31]],Code4)</calculatedColumnFormula>
    </tableColumn>
    <tableColumn id="35" name="Repos ce mois" dataDxfId="360" totalsRowDxfId="359">
      <calculatedColumnFormula>COUNTIF(EtatPresence7[[#This Row],[jour 1]:[jour 31]],"RP")</calculatedColumnFormula>
    </tableColumn>
    <tableColumn id="41" name="Retards ce mois2" dataDxfId="358" totalsRowDxfId="357">
      <calculatedColumnFormula>COUNTIF(EtatPresence7[[#This Row],[jour 1]:[jour 31]],"Rt")</calculatedColumnFormula>
    </tableColumn>
    <tableColumn id="1" name="jrs de congé ce mois" dataDxfId="356" totalsRowDxfId="355">
      <calculatedColumnFormula>COUNTIF(EtatPresence7[[#This Row],[jour 1]:[jour 31]],"Congé")</calculatedColumnFormula>
    </tableColumn>
    <tableColumn id="33" name="Jours d’absence ce mois" dataDxfId="354" totalsRowDxfId="353">
      <calculatedColumnFormula>SUM(EtatPresence7[[#This Row],[Abs. ]:[Mises a pied]])</calculatedColumnFormula>
    </tableColumn>
  </tableColumns>
  <tableStyleInfo name="Employee Absence Table 7" showFirstColumn="0" showLastColumn="1" showRowStripes="1" showColumnStripes="1"/>
</table>
</file>

<file path=xl/tables/table7.xml><?xml version="1.0" encoding="utf-8"?>
<table xmlns="http://schemas.openxmlformats.org/spreadsheetml/2006/main" id="7" name="Tableau68" displayName="Tableau68" ref="C6:D29" totalsRowShown="0" headerRowDxfId="352" dataDxfId="351" tableBorderDxfId="350">
  <autoFilter ref="C6:D29"/>
  <tableColumns count="2">
    <tableColumn id="1" name="Position" dataDxfId="349"/>
    <tableColumn id="2" name="Nom" dataDxfId="348"/>
  </tableColumns>
  <tableStyleInfo name="Employee Absence Table 7" showFirstColumn="0" showLastColumn="0" showRowStripes="1" showColumnStripes="0"/>
</table>
</file>

<file path=xl/tables/table8.xml><?xml version="1.0" encoding="utf-8"?>
<table xmlns="http://schemas.openxmlformats.org/spreadsheetml/2006/main" id="8" name="EtatPresence39" displayName="EtatPresence39" ref="B6:AH30" totalsRowCount="1" headerRowDxfId="346" dataDxfId="345" totalsRowDxfId="344">
  <tableColumns count="33">
    <tableColumn id="1" name="Noms                                                     " dataDxfId="343" totalsRowDxfId="342">
      <calculatedColumnFormula>[8]RECAP!D7</calculatedColumnFormula>
    </tableColumn>
    <tableColumn id="2" name="jour 1" totalsRowFunction="custom" dataDxfId="341" totalsRowDxfId="340">
      <totalsRowFormula>COUNTIF([7]!EtatPresence3[jour 1],"NJ")+COUNTIF([7]!EtatPresence3[jour 1],"S")+COUNTIF([7]!EtatPresence3[jour 1],"J")</totalsRowFormula>
    </tableColumn>
    <tableColumn id="3" name="jour 2" totalsRowFunction="custom" dataDxfId="339" totalsRowDxfId="338">
      <totalsRowFormula>COUNTIF([7]!EtatPresence3[jour 2],"N1")+COUNTIF([7]!EtatPresence3[jour 2],"E")</totalsRowFormula>
    </tableColumn>
    <tableColumn id="4" name="jour 3" totalsRowFunction="custom" dataDxfId="337" totalsRowDxfId="336">
      <totalsRowFormula>COUNTIF([7]!EtatPresence3[jour 3],"N1")+COUNTIF([7]!EtatPresence3[jour 3],"E")</totalsRowFormula>
    </tableColumn>
    <tableColumn id="5" name="jour 4" totalsRowFunction="custom" dataDxfId="335" totalsRowDxfId="334">
      <totalsRowFormula>COUNTIF([7]!EtatPresence3[jour 4],"N1")+COUNTIF([7]!EtatPresence3[jour 4],"E")</totalsRowFormula>
    </tableColumn>
    <tableColumn id="6" name="jour 5" totalsRowFunction="custom" dataDxfId="333" totalsRowDxfId="332">
      <totalsRowFormula>COUNTIF([7]!EtatPresence3[jour 5],"N1")+COUNTIF([7]!EtatPresence3[jour 5],"E")</totalsRowFormula>
    </tableColumn>
    <tableColumn id="7" name="jour 6" totalsRowFunction="custom" dataDxfId="331" totalsRowDxfId="330">
      <totalsRowFormula>COUNTIF([7]!EtatPresence3[jour 6],"N1")+COUNTIF([7]!EtatPresence3[jour 6],"E")</totalsRowFormula>
    </tableColumn>
    <tableColumn id="8" name="jour 7" totalsRowFunction="custom" dataDxfId="329" totalsRowDxfId="328">
      <totalsRowFormula>COUNTIF([7]!EtatPresence3[jour 7],"N1")+COUNTIF([7]!EtatPresence3[jour 7],"E")</totalsRowFormula>
    </tableColumn>
    <tableColumn id="9" name="jour 8" totalsRowFunction="custom" dataDxfId="327" totalsRowDxfId="326">
      <totalsRowFormula>COUNTIF(EtatPresence39[jour 8],"N1")+COUNTIF(EtatPresence39[jour 8],"E")</totalsRowFormula>
    </tableColumn>
    <tableColumn id="10" name="jour 9" totalsRowFunction="custom" dataDxfId="325" totalsRowDxfId="324">
      <totalsRowFormula>COUNTIF(EtatPresence39[jour 9],"N1")+COUNTIF(EtatPresence39[jour 9],"E")</totalsRowFormula>
    </tableColumn>
    <tableColumn id="11" name="jour 10" totalsRowFunction="custom" dataDxfId="323" totalsRowDxfId="322">
      <totalsRowFormula>COUNTIF(EtatPresence39[jour 10],"N1")+COUNTIF(EtatPresence39[jour 10],"E")</totalsRowFormula>
    </tableColumn>
    <tableColumn id="12" name="jour 11" totalsRowFunction="custom" dataDxfId="321" totalsRowDxfId="320">
      <totalsRowFormula>COUNTIF(EtatPresence39[jour 11],"N1")+COUNTIF(EtatPresence39[jour 11],"E")</totalsRowFormula>
    </tableColumn>
    <tableColumn id="13" name="jour 12" totalsRowFunction="custom" dataDxfId="319" totalsRowDxfId="318">
      <totalsRowFormula>COUNTIF(EtatPresence39[jour 12],"N1")+COUNTIF(EtatPresence39[jour 12],"E")</totalsRowFormula>
    </tableColumn>
    <tableColumn id="14" name="jour 13" dataDxfId="317" totalsRowDxfId="316"/>
    <tableColumn id="15" name="jour 14" totalsRowFunction="custom" dataDxfId="315" totalsRowDxfId="314">
      <totalsRowFormula>COUNTIF(EtatPresence39[jour 14],"N1")+COUNTIF(EtatPresence39[jour 14],"E")</totalsRowFormula>
    </tableColumn>
    <tableColumn id="16" name="jour 15" totalsRowFunction="custom" dataDxfId="313" totalsRowDxfId="312">
      <totalsRowFormula>COUNTIF(EtatPresence39[jour 15],"N1")+COUNTIF(EtatPresence39[jour 15],"E")</totalsRowFormula>
    </tableColumn>
    <tableColumn id="17" name="jour 16" totalsRowFunction="custom" dataDxfId="311" totalsRowDxfId="310">
      <totalsRowFormula>COUNTIF(EtatPresence39[jour 16],"N1")+COUNTIF(EtatPresence39[jour 16],"E")</totalsRowFormula>
    </tableColumn>
    <tableColumn id="18" name="jour 17" totalsRowFunction="custom" dataDxfId="309" totalsRowDxfId="308">
      <totalsRowFormula>COUNTIF(EtatPresence39[jour 17],"N1")+COUNTIF(EtatPresence39[jour 17],"E")</totalsRowFormula>
    </tableColumn>
    <tableColumn id="19" name="jour 18" totalsRowFunction="custom" dataDxfId="307" totalsRowDxfId="306">
      <totalsRowFormula>COUNTIF(EtatPresence39[jour 18],"N1")+COUNTIF(EtatPresence39[jour 18],"E")</totalsRowFormula>
    </tableColumn>
    <tableColumn id="20" name="jour 19" totalsRowFunction="custom" dataDxfId="305" totalsRowDxfId="304">
      <totalsRowFormula>COUNTIF(EtatPresence39[jour 19],"N1")+COUNTIF(EtatPresence39[jour 19],"E")</totalsRowFormula>
    </tableColumn>
    <tableColumn id="21" name="jour 20" totalsRowFunction="custom" dataDxfId="303" totalsRowDxfId="302">
      <totalsRowFormula>COUNTIF(EtatPresence39[jour 20],"N1")+COUNTIF(EtatPresence39[jour 20],"E")</totalsRowFormula>
    </tableColumn>
    <tableColumn id="22" name="jour 21" totalsRowFunction="custom" dataDxfId="301" totalsRowDxfId="300">
      <totalsRowFormula>COUNTIF(EtatPresence39[jour 21],"N1")+COUNTIF(EtatPresence39[jour 21],"E")</totalsRowFormula>
    </tableColumn>
    <tableColumn id="23" name="jour 22" totalsRowFunction="custom" dataDxfId="299" totalsRowDxfId="298">
      <totalsRowFormula>COUNTIF(EtatPresence39[jour 22],"N1")+COUNTIF(EtatPresence39[jour 22],"E")</totalsRowFormula>
    </tableColumn>
    <tableColumn id="24" name="jour 23" totalsRowFunction="custom" dataDxfId="297" totalsRowDxfId="296">
      <totalsRowFormula>COUNTIF(EtatPresence39[jour 23],"N1")+COUNTIF(EtatPresence39[jour 23],"E")</totalsRowFormula>
    </tableColumn>
    <tableColumn id="25" name="jour 24" totalsRowFunction="custom" dataDxfId="295" totalsRowDxfId="294">
      <totalsRowFormula>COUNTIF(EtatPresence39[jour 24],"N1")+COUNTIF(EtatPresence39[jour 24],"E")</totalsRowFormula>
    </tableColumn>
    <tableColumn id="26" name="jour 25" totalsRowFunction="custom" dataDxfId="293" totalsRowDxfId="292">
      <totalsRowFormula>COUNTIF(EtatPresence39[jour 25],"N1")+COUNTIF(EtatPresence39[jour 25],"E")</totalsRowFormula>
    </tableColumn>
    <tableColumn id="27" name="jour 26" totalsRowFunction="custom" dataDxfId="291" totalsRowDxfId="290">
      <totalsRowFormula>COUNTIF(EtatPresence39[jour 26],"N1")+COUNTIF(EtatPresence39[jour 26],"E")</totalsRowFormula>
    </tableColumn>
    <tableColumn id="28" name="jour 27" totalsRowFunction="custom" dataDxfId="289" totalsRowDxfId="288">
      <totalsRowFormula>COUNTIF(EtatPresence39[jour 27],"N1")+COUNTIF(EtatPresence39[jour 27],"E")</totalsRowFormula>
    </tableColumn>
    <tableColumn id="29" name="jour 28" totalsRowFunction="custom" dataDxfId="287" totalsRowDxfId="286">
      <totalsRowFormula>COUNTIF(EtatPresence39[jour 28],"N1")+COUNTIF(EtatPresence39[jour 28],"E")</totalsRowFormula>
    </tableColumn>
    <tableColumn id="30" name="jour 29" totalsRowFunction="custom" dataDxfId="285" totalsRowDxfId="284">
      <totalsRowFormula>COUNTIF(EtatPresence39[jour 29],"N1")+COUNTIF(EtatPresence39[jour 29],"E")</totalsRowFormula>
    </tableColumn>
    <tableColumn id="31" name="jour 30" totalsRowFunction="custom" dataDxfId="283" totalsRowDxfId="282">
      <totalsRowFormula>COUNTIF(EtatPresence39[jour 30],"N1")+COUNTIF(EtatPresence39[jour 30],"E")</totalsRowFormula>
    </tableColumn>
    <tableColumn id="32" name="jour 31" totalsRowFunction="custom" dataDxfId="281" totalsRowDxfId="280">
      <totalsRowFormula>COUNTIF(EtatPresence39[jour 31],"N1")+COUNTIF(EtatPresence39[jour 31],"E")</totalsRowFormula>
    </tableColumn>
    <tableColumn id="35" name="Total Manquant" totalsRowFunction="custom" totalsRowDxfId="279">
      <calculatedColumnFormula>SUM(EtatPresence39[[#This Row],[jour 1]:[jour 31]])</calculatedColumnFormula>
      <totalsRowFormula>SUM(AH7:AH29)</totalsRowFormula>
    </tableColumn>
  </tableColumns>
  <tableStyleInfo name="Employee Absence Table 8" showFirstColumn="0" showLastColumn="1" showRowStripes="1" showColumnStripes="1"/>
</table>
</file>

<file path=xl/tables/table9.xml><?xml version="1.0" encoding="utf-8"?>
<table xmlns="http://schemas.openxmlformats.org/spreadsheetml/2006/main" id="9" name="Tableau410" displayName="Tableau410" ref="B3:K27" totalsRowShown="0" headerRowDxfId="278">
  <autoFilter ref="B3:K27"/>
  <tableColumns count="10">
    <tableColumn id="1" name="#" dataDxfId="277">
      <calculatedColumnFormula>[8]RECAP!B7</calculatedColumnFormula>
    </tableColumn>
    <tableColumn id="2" name="Noms" dataDxfId="276">
      <calculatedColumnFormula>[8]RECAP!#REF!</calculatedColumnFormula>
    </tableColumn>
    <tableColumn id="3" name="Nb Jr d' Abs. NJ" dataDxfId="275">
      <calculatedColumnFormula>SUM([8]RECAP!AK7,[8]RECAP!AL7)</calculatedColumnFormula>
    </tableColumn>
    <tableColumn id="4" name="Nb MAP" dataDxfId="274">
      <calculatedColumnFormula>[8]RECAP!AM7</calculatedColumnFormula>
    </tableColumn>
    <tableColumn id="5" name="Nb Jours d'abs J" dataDxfId="273">
      <calculatedColumnFormula>[8]Manquants!AH7</calculatedColumnFormula>
    </tableColumn>
    <tableColumn id="6" name="Nb Jrs de presence" dataDxfId="272">
      <calculatedColumnFormula>-2000*Tableau410[[#This Row],[Nb Jr d'' Abs. NJ]]</calculatedColumnFormula>
    </tableColumn>
    <tableColumn id="10" name="Jrs de conge" dataDxfId="271">
      <calculatedColumnFormula>presences!AQ7</calculatedColumnFormula>
    </tableColumn>
    <tableColumn id="9" name="Jours travaille" dataDxfId="270">
      <calculatedColumnFormula>presences!AN7+presences!AO7</calculatedColumnFormula>
    </tableColumn>
    <tableColumn id="7" name="Total Manquant" dataDxfId="269">
      <calculatedColumnFormula>-2500*Tableau410[[#This Row],[Nb MAP]]</calculatedColumnFormula>
    </tableColumn>
    <tableColumn id="8" name="Signatures" dataDxfId="268">
      <calculatedColumnFormula>Tableau410[[#This Row],[Nb Jours d''abs J]]+Tableau410[[#This Row],[Nb Jrs de presence]]+Tableau410[[#This Row],[Total Manquant]]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Relationship Id="rId6" Type="http://schemas.openxmlformats.org/officeDocument/2006/relationships/comments" Target="../comments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5" Type="http://schemas.openxmlformats.org/officeDocument/2006/relationships/comments" Target="../comments3.xml"/><Relationship Id="rId4" Type="http://schemas.openxmlformats.org/officeDocument/2006/relationships/table" Target="../tables/table7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2.bin"/><Relationship Id="rId6" Type="http://schemas.openxmlformats.org/officeDocument/2006/relationships/comments" Target="../comments4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62"/>
  <sheetViews>
    <sheetView zoomScale="93" zoomScaleNormal="93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Q18" sqref="Q18"/>
    </sheetView>
  </sheetViews>
  <sheetFormatPr baseColWidth="10" defaultColWidth="11.42578125" defaultRowHeight="14.25" x14ac:dyDescent="0.2"/>
  <cols>
    <col min="1" max="1" width="18.42578125" style="335" customWidth="1"/>
    <col min="2" max="2" width="9" style="335" bestFit="1" customWidth="1"/>
    <col min="3" max="3" width="8.85546875" style="335" bestFit="1" customWidth="1"/>
    <col min="4" max="4" width="10.85546875" style="335" bestFit="1" customWidth="1"/>
    <col min="5" max="5" width="11.7109375" style="335" bestFit="1" customWidth="1"/>
    <col min="6" max="6" width="14.28515625" style="335" bestFit="1" customWidth="1"/>
    <col min="7" max="7" width="13" style="335" bestFit="1" customWidth="1"/>
    <col min="8" max="9" width="10.5703125" style="335" bestFit="1" customWidth="1"/>
    <col min="10" max="10" width="12.28515625" style="335" customWidth="1"/>
    <col min="11" max="11" width="16" style="1107" customWidth="1"/>
    <col min="12" max="12" width="13.42578125" style="335" bestFit="1" customWidth="1"/>
    <col min="13" max="13" width="13.42578125" style="335" customWidth="1"/>
    <col min="14" max="14" width="13.7109375" style="335" bestFit="1" customWidth="1"/>
    <col min="15" max="15" width="11.42578125" style="335"/>
    <col min="16" max="16" width="13.42578125" style="335" customWidth="1"/>
    <col min="17" max="17" width="10.5703125" style="335" customWidth="1"/>
    <col min="18" max="18" width="15" style="335" customWidth="1"/>
    <col min="19" max="19" width="15.140625" style="335" customWidth="1"/>
    <col min="20" max="21" width="14.5703125" style="335" customWidth="1"/>
    <col min="22" max="22" width="15.7109375" style="335" customWidth="1"/>
    <col min="23" max="23" width="11.42578125" style="335"/>
    <col min="24" max="24" width="14.140625" style="335" customWidth="1"/>
    <col min="25" max="16384" width="11.42578125" style="335"/>
  </cols>
  <sheetData>
    <row r="1" spans="1:24" ht="15" thickBot="1" x14ac:dyDescent="0.25">
      <c r="J1" s="1088" t="s">
        <v>642</v>
      </c>
      <c r="K1" s="1088"/>
      <c r="L1" s="1088"/>
      <c r="M1" s="1088"/>
      <c r="N1" s="1088"/>
      <c r="O1" s="1088"/>
      <c r="P1" s="1088"/>
    </row>
    <row r="2" spans="1:24" ht="15" thickBot="1" x14ac:dyDescent="0.25">
      <c r="A2" s="330"/>
      <c r="B2" s="331"/>
      <c r="C2" s="331"/>
      <c r="D2" s="331"/>
      <c r="E2" s="331"/>
      <c r="F2" s="332">
        <v>638</v>
      </c>
      <c r="G2" s="332">
        <v>583</v>
      </c>
      <c r="H2" s="332">
        <v>358</v>
      </c>
      <c r="I2" s="333"/>
      <c r="J2" s="333"/>
      <c r="K2" s="1106"/>
      <c r="L2" s="333"/>
      <c r="M2" s="333"/>
      <c r="N2" s="334"/>
    </row>
    <row r="3" spans="1:24" ht="15.75" customHeight="1" thickBot="1" x14ac:dyDescent="0.25">
      <c r="A3" s="336" t="s">
        <v>178</v>
      </c>
      <c r="B3" s="1608" t="s">
        <v>179</v>
      </c>
      <c r="C3" s="1609"/>
      <c r="D3" s="1609"/>
      <c r="E3" s="1610"/>
      <c r="F3" s="1614" t="s">
        <v>180</v>
      </c>
      <c r="G3" s="1615"/>
      <c r="H3" s="1616"/>
      <c r="I3" s="1605" t="s">
        <v>181</v>
      </c>
      <c r="J3" s="1607"/>
      <c r="K3" s="1617" t="s">
        <v>630</v>
      </c>
      <c r="L3" s="337" t="s">
        <v>182</v>
      </c>
      <c r="M3" s="338" t="s">
        <v>183</v>
      </c>
      <c r="N3" s="339" t="s">
        <v>184</v>
      </c>
      <c r="O3" s="1600" t="s">
        <v>185</v>
      </c>
      <c r="P3" s="1601"/>
      <c r="Q3" s="1601"/>
      <c r="R3" s="1601"/>
      <c r="S3" s="1601"/>
      <c r="T3" s="1601"/>
      <c r="U3" s="1601"/>
      <c r="V3" s="1601"/>
      <c r="W3" s="1602"/>
      <c r="X3" s="405"/>
    </row>
    <row r="4" spans="1:24" ht="29.25" thickBot="1" x14ac:dyDescent="0.25">
      <c r="A4" s="341"/>
      <c r="B4" s="1611"/>
      <c r="C4" s="1612"/>
      <c r="D4" s="1612"/>
      <c r="E4" s="1613"/>
      <c r="F4" s="1605" t="s">
        <v>186</v>
      </c>
      <c r="G4" s="1606"/>
      <c r="H4" s="1607"/>
      <c r="I4" s="342" t="s">
        <v>11</v>
      </c>
      <c r="J4" s="343" t="s">
        <v>187</v>
      </c>
      <c r="K4" s="1618"/>
      <c r="L4" s="344" t="s">
        <v>186</v>
      </c>
      <c r="M4" s="345" t="s">
        <v>188</v>
      </c>
      <c r="N4" s="346"/>
      <c r="O4" s="401"/>
      <c r="P4" s="340"/>
      <c r="Q4" s="340"/>
      <c r="R4" s="1132" t="s">
        <v>639</v>
      </c>
      <c r="S4" s="340"/>
      <c r="T4" s="340"/>
      <c r="U4" s="340"/>
      <c r="V4" s="340"/>
      <c r="W4" s="402"/>
      <c r="X4" s="406"/>
    </row>
    <row r="5" spans="1:24" ht="30" customHeight="1" thickBot="1" x14ac:dyDescent="0.25">
      <c r="A5" s="347"/>
      <c r="B5" s="348" t="s">
        <v>0</v>
      </c>
      <c r="C5" s="349" t="s">
        <v>3</v>
      </c>
      <c r="D5" s="348" t="s">
        <v>1</v>
      </c>
      <c r="E5" s="350" t="s">
        <v>2</v>
      </c>
      <c r="F5" s="349" t="s">
        <v>0</v>
      </c>
      <c r="G5" s="348" t="s">
        <v>3</v>
      </c>
      <c r="H5" s="351" t="s">
        <v>1</v>
      </c>
      <c r="I5" s="352"/>
      <c r="J5" s="353"/>
      <c r="K5" s="1619"/>
      <c r="L5" s="354"/>
      <c r="M5" s="355"/>
      <c r="N5" s="347"/>
      <c r="O5" s="403" t="s">
        <v>189</v>
      </c>
      <c r="P5" s="356" t="s">
        <v>47</v>
      </c>
      <c r="Q5" s="357" t="s">
        <v>190</v>
      </c>
      <c r="R5" s="356" t="s">
        <v>650</v>
      </c>
      <c r="S5" s="357" t="s">
        <v>177</v>
      </c>
      <c r="T5" s="356" t="s">
        <v>9</v>
      </c>
      <c r="U5" s="356" t="s">
        <v>458</v>
      </c>
      <c r="V5" s="493" t="s">
        <v>640</v>
      </c>
      <c r="W5" s="410" t="s">
        <v>145</v>
      </c>
      <c r="X5" s="407" t="s">
        <v>191</v>
      </c>
    </row>
    <row r="6" spans="1:24" ht="15.75" x14ac:dyDescent="0.25">
      <c r="A6" s="358">
        <v>44682</v>
      </c>
      <c r="B6" s="359">
        <v>1783</v>
      </c>
      <c r="C6" s="360">
        <v>508</v>
      </c>
      <c r="D6" s="360">
        <v>148</v>
      </c>
      <c r="E6" s="361">
        <f t="shared" ref="E6:E36" si="0">SUM(B6:D6)</f>
        <v>2439</v>
      </c>
      <c r="F6" s="360">
        <f>+B6*F2</f>
        <v>1137554</v>
      </c>
      <c r="G6" s="360">
        <f>+C6*G2</f>
        <v>296164</v>
      </c>
      <c r="H6" s="360">
        <f>+D6*H2</f>
        <v>52984</v>
      </c>
      <c r="I6" s="1133">
        <v>2400</v>
      </c>
      <c r="J6" s="1142">
        <v>1</v>
      </c>
      <c r="K6" s="1103"/>
      <c r="L6" s="1108">
        <f>+F6+G6+H6+I6+K6</f>
        <v>1489102</v>
      </c>
      <c r="M6" s="1134">
        <v>1484706</v>
      </c>
      <c r="N6" s="362">
        <f>+M6-L6</f>
        <v>-4396</v>
      </c>
      <c r="O6" s="1138"/>
      <c r="P6" s="1135">
        <v>1427</v>
      </c>
      <c r="Q6" s="1135"/>
      <c r="R6" s="1135">
        <v>2969</v>
      </c>
      <c r="S6" s="1143"/>
      <c r="T6" s="1135"/>
      <c r="U6" s="1135"/>
      <c r="V6" s="1135"/>
      <c r="W6" s="1139"/>
      <c r="X6" s="408">
        <f>+N6+O6+P6+Q6+R6+S6+T6+V6+W6+U6</f>
        <v>0</v>
      </c>
    </row>
    <row r="7" spans="1:24" x14ac:dyDescent="0.2">
      <c r="A7" s="358">
        <f>+A6+1</f>
        <v>44683</v>
      </c>
      <c r="B7" s="359">
        <v>2277</v>
      </c>
      <c r="C7" s="360">
        <v>772</v>
      </c>
      <c r="D7" s="360">
        <v>143</v>
      </c>
      <c r="E7" s="361">
        <f t="shared" si="0"/>
        <v>3192</v>
      </c>
      <c r="F7" s="360">
        <f>B7*F2</f>
        <v>1452726</v>
      </c>
      <c r="G7" s="360">
        <f>C7*G2</f>
        <v>450076</v>
      </c>
      <c r="H7" s="360">
        <f>D7*H2</f>
        <v>51194</v>
      </c>
      <c r="I7" s="1133">
        <v>17750</v>
      </c>
      <c r="J7" s="1142">
        <v>7</v>
      </c>
      <c r="K7" s="1103"/>
      <c r="L7" s="1108">
        <f t="shared" ref="L7:L36" si="1">+F7+G7+H7+I7+K7</f>
        <v>1971746</v>
      </c>
      <c r="M7" s="1134">
        <v>1964421</v>
      </c>
      <c r="N7" s="362">
        <f t="shared" ref="N7:N36" si="2">+M7-L7</f>
        <v>-7325</v>
      </c>
      <c r="O7" s="1138"/>
      <c r="P7" s="1135">
        <v>3396</v>
      </c>
      <c r="Q7" s="1135"/>
      <c r="R7" s="1135">
        <v>3929</v>
      </c>
      <c r="S7" s="1135"/>
      <c r="T7" s="1135"/>
      <c r="U7" s="1135"/>
      <c r="V7" s="1135"/>
      <c r="W7" s="1139"/>
      <c r="X7" s="408">
        <f>+N7+O7+P7+Q7+R7+S7+T7+V7+W7+U7</f>
        <v>0</v>
      </c>
    </row>
    <row r="8" spans="1:24" x14ac:dyDescent="0.2">
      <c r="A8" s="358">
        <f t="shared" ref="A8:A36" si="3">+A7+1</f>
        <v>44684</v>
      </c>
      <c r="B8" s="359">
        <v>2215</v>
      </c>
      <c r="C8" s="360">
        <v>427</v>
      </c>
      <c r="D8" s="360">
        <v>99</v>
      </c>
      <c r="E8" s="361">
        <f t="shared" si="0"/>
        <v>2741</v>
      </c>
      <c r="F8" s="360">
        <f>B8*F2</f>
        <v>1413170</v>
      </c>
      <c r="G8" s="360">
        <f>C8*G2</f>
        <v>248941</v>
      </c>
      <c r="H8" s="360">
        <f>D8*H2</f>
        <v>35442</v>
      </c>
      <c r="I8" s="1133">
        <v>7200</v>
      </c>
      <c r="J8" s="1142">
        <v>3</v>
      </c>
      <c r="K8" s="1103"/>
      <c r="L8" s="1108">
        <f t="shared" si="1"/>
        <v>1704753</v>
      </c>
      <c r="M8" s="1134">
        <v>1698329</v>
      </c>
      <c r="N8" s="362">
        <f t="shared" si="2"/>
        <v>-6424</v>
      </c>
      <c r="O8" s="1138"/>
      <c r="P8" s="1135">
        <v>3028</v>
      </c>
      <c r="Q8" s="1135"/>
      <c r="R8" s="1135">
        <v>3396</v>
      </c>
      <c r="S8" s="1135"/>
      <c r="T8" s="1135"/>
      <c r="U8" s="1135"/>
      <c r="V8" s="1135"/>
      <c r="W8" s="1139"/>
      <c r="X8" s="408">
        <f t="shared" ref="X8:X11" si="4">+N8+O8+P8+Q8+R8+S8+T8+U8+V8+W8</f>
        <v>0</v>
      </c>
    </row>
    <row r="9" spans="1:24" x14ac:dyDescent="0.2">
      <c r="A9" s="358">
        <f t="shared" si="3"/>
        <v>44685</v>
      </c>
      <c r="B9" s="359">
        <v>1988</v>
      </c>
      <c r="C9" s="360">
        <v>1271</v>
      </c>
      <c r="D9" s="360">
        <v>682</v>
      </c>
      <c r="E9" s="361">
        <f t="shared" si="0"/>
        <v>3941</v>
      </c>
      <c r="F9" s="360">
        <f>B9*F2</f>
        <v>1268344</v>
      </c>
      <c r="G9" s="360">
        <f>C9*G2</f>
        <v>740993</v>
      </c>
      <c r="H9" s="360">
        <f>D9*H2</f>
        <v>244156</v>
      </c>
      <c r="I9" s="1133"/>
      <c r="J9" s="1142"/>
      <c r="K9" s="1103"/>
      <c r="L9" s="1108">
        <f t="shared" si="1"/>
        <v>2253493</v>
      </c>
      <c r="M9" s="1134">
        <v>2249476</v>
      </c>
      <c r="N9" s="362">
        <f t="shared" si="2"/>
        <v>-4017</v>
      </c>
      <c r="O9" s="1138"/>
      <c r="P9" s="1135">
        <v>-482</v>
      </c>
      <c r="Q9" s="1135"/>
      <c r="R9" s="1135">
        <v>4499</v>
      </c>
      <c r="S9" s="1135"/>
      <c r="T9" s="1135"/>
      <c r="U9" s="1135"/>
      <c r="V9" s="1135"/>
      <c r="W9" s="1139"/>
      <c r="X9" s="408">
        <f t="shared" si="4"/>
        <v>0</v>
      </c>
    </row>
    <row r="10" spans="1:24" x14ac:dyDescent="0.2">
      <c r="A10" s="358">
        <f t="shared" si="3"/>
        <v>44686</v>
      </c>
      <c r="B10" s="359">
        <v>1781</v>
      </c>
      <c r="C10" s="360">
        <v>1048</v>
      </c>
      <c r="D10" s="360">
        <v>84</v>
      </c>
      <c r="E10" s="361">
        <f t="shared" si="0"/>
        <v>2913</v>
      </c>
      <c r="F10" s="360">
        <f>B10*F2</f>
        <v>1136278</v>
      </c>
      <c r="G10" s="360">
        <f>+C10*G2</f>
        <v>610984</v>
      </c>
      <c r="H10" s="360">
        <f>D10*H2</f>
        <v>30072</v>
      </c>
      <c r="I10" s="1133">
        <v>4125</v>
      </c>
      <c r="J10" s="1142">
        <v>2</v>
      </c>
      <c r="K10" s="1103"/>
      <c r="L10" s="1108">
        <f t="shared" si="1"/>
        <v>1781459</v>
      </c>
      <c r="M10" s="1134">
        <v>1752545</v>
      </c>
      <c r="N10" s="362">
        <f t="shared" si="2"/>
        <v>-28914</v>
      </c>
      <c r="O10" s="1138"/>
      <c r="P10" s="1135">
        <v>2089</v>
      </c>
      <c r="Q10" s="1135">
        <v>23320</v>
      </c>
      <c r="R10" s="1135">
        <v>3505</v>
      </c>
      <c r="S10" s="1135"/>
      <c r="T10" s="1135"/>
      <c r="U10" s="1135"/>
      <c r="V10" s="1132"/>
      <c r="W10" s="1139"/>
      <c r="X10" s="408">
        <f>+N10+O10+P10+Q10+R10+S10+T10+U10+V10+W10</f>
        <v>0</v>
      </c>
    </row>
    <row r="11" spans="1:24" x14ac:dyDescent="0.2">
      <c r="A11" s="358">
        <f t="shared" si="3"/>
        <v>44687</v>
      </c>
      <c r="B11" s="359">
        <v>2567</v>
      </c>
      <c r="C11" s="360">
        <v>1059</v>
      </c>
      <c r="D11" s="360">
        <v>156</v>
      </c>
      <c r="E11" s="361">
        <f t="shared" si="0"/>
        <v>3782</v>
      </c>
      <c r="F11" s="360">
        <f>B11*F2</f>
        <v>1637746</v>
      </c>
      <c r="G11" s="360">
        <f>+C11*G2</f>
        <v>617397</v>
      </c>
      <c r="H11" s="360">
        <f>D11*H2</f>
        <v>55848</v>
      </c>
      <c r="I11" s="1133">
        <v>4800</v>
      </c>
      <c r="J11" s="1142">
        <v>2</v>
      </c>
      <c r="K11" s="1103"/>
      <c r="L11" s="1108">
        <f t="shared" si="1"/>
        <v>2315791</v>
      </c>
      <c r="M11" s="1134">
        <v>2331811</v>
      </c>
      <c r="N11" s="362">
        <f t="shared" si="2"/>
        <v>16020</v>
      </c>
      <c r="O11" s="1138"/>
      <c r="P11" s="1135">
        <v>-20684</v>
      </c>
      <c r="Q11" s="1135"/>
      <c r="R11" s="1135">
        <v>4664</v>
      </c>
      <c r="S11" s="1135"/>
      <c r="T11" s="1135"/>
      <c r="U11" s="1135"/>
      <c r="V11" s="1132"/>
      <c r="W11" s="1137"/>
      <c r="X11" s="408">
        <f t="shared" si="4"/>
        <v>0</v>
      </c>
    </row>
    <row r="12" spans="1:24" x14ac:dyDescent="0.2">
      <c r="A12" s="358">
        <f t="shared" si="3"/>
        <v>44688</v>
      </c>
      <c r="B12" s="359">
        <v>2546</v>
      </c>
      <c r="C12" s="360">
        <v>1022</v>
      </c>
      <c r="D12" s="360">
        <v>164</v>
      </c>
      <c r="E12" s="361">
        <f t="shared" si="0"/>
        <v>3732</v>
      </c>
      <c r="F12" s="360">
        <f>B12*F2</f>
        <v>1624348</v>
      </c>
      <c r="G12" s="360">
        <f>+C12*G2</f>
        <v>595826</v>
      </c>
      <c r="H12" s="360">
        <f>D12*H2</f>
        <v>58712</v>
      </c>
      <c r="I12" s="1133"/>
      <c r="J12" s="1142"/>
      <c r="K12" s="1103"/>
      <c r="L12" s="1108">
        <f t="shared" si="1"/>
        <v>2278886</v>
      </c>
      <c r="M12" s="1134">
        <v>2274112</v>
      </c>
      <c r="N12" s="362">
        <f t="shared" si="2"/>
        <v>-4774</v>
      </c>
      <c r="O12" s="1138"/>
      <c r="P12" s="1135">
        <v>961</v>
      </c>
      <c r="Q12" s="1135"/>
      <c r="R12" s="1135">
        <v>3813</v>
      </c>
      <c r="S12" s="1135"/>
      <c r="T12" s="1135"/>
      <c r="U12" s="1135"/>
      <c r="V12" s="1132"/>
      <c r="W12" s="1137"/>
      <c r="X12" s="408">
        <v>0</v>
      </c>
    </row>
    <row r="13" spans="1:24" x14ac:dyDescent="0.2">
      <c r="A13" s="358">
        <f t="shared" si="3"/>
        <v>44689</v>
      </c>
      <c r="B13" s="359">
        <v>2042</v>
      </c>
      <c r="C13" s="360">
        <v>671</v>
      </c>
      <c r="D13" s="360">
        <v>194</v>
      </c>
      <c r="E13" s="361">
        <f t="shared" si="0"/>
        <v>2907</v>
      </c>
      <c r="F13" s="360">
        <f>B13*F2</f>
        <v>1302796</v>
      </c>
      <c r="G13" s="360">
        <f>+C13*G2</f>
        <v>391193</v>
      </c>
      <c r="H13" s="360">
        <f>D13*H2</f>
        <v>69452</v>
      </c>
      <c r="I13" s="1133">
        <v>1200</v>
      </c>
      <c r="J13" s="1142">
        <v>0.5</v>
      </c>
      <c r="K13" s="1103"/>
      <c r="L13" s="1108">
        <f t="shared" si="1"/>
        <v>1764641</v>
      </c>
      <c r="M13" s="1134">
        <v>1761022</v>
      </c>
      <c r="N13" s="362">
        <f t="shared" si="2"/>
        <v>-3619</v>
      </c>
      <c r="O13" s="1138"/>
      <c r="P13" s="1135">
        <v>666</v>
      </c>
      <c r="Q13" s="1132"/>
      <c r="R13" s="1135">
        <v>2953</v>
      </c>
      <c r="S13" s="1135"/>
      <c r="T13" s="1135"/>
      <c r="U13" s="1135"/>
      <c r="V13" s="1132"/>
      <c r="W13" s="1137"/>
      <c r="X13" s="408">
        <v>0</v>
      </c>
    </row>
    <row r="14" spans="1:24" x14ac:dyDescent="0.2">
      <c r="A14" s="358">
        <f t="shared" si="3"/>
        <v>44690</v>
      </c>
      <c r="B14" s="359">
        <v>1813</v>
      </c>
      <c r="C14" s="360">
        <v>473</v>
      </c>
      <c r="D14" s="360">
        <v>303</v>
      </c>
      <c r="E14" s="361">
        <f t="shared" si="0"/>
        <v>2589</v>
      </c>
      <c r="F14" s="360">
        <f>B14*F2</f>
        <v>1156694</v>
      </c>
      <c r="G14" s="360">
        <f>C14*G2</f>
        <v>275759</v>
      </c>
      <c r="H14" s="360">
        <f>D14*H2</f>
        <v>108474</v>
      </c>
      <c r="I14" s="1133"/>
      <c r="J14" s="1142"/>
      <c r="K14" s="1103"/>
      <c r="L14" s="1108">
        <f t="shared" si="1"/>
        <v>1540927</v>
      </c>
      <c r="M14" s="1134">
        <v>1536773</v>
      </c>
      <c r="N14" s="362">
        <f t="shared" si="2"/>
        <v>-4154</v>
      </c>
      <c r="O14" s="1138"/>
      <c r="P14" s="1135">
        <v>1577</v>
      </c>
      <c r="Q14" s="1135"/>
      <c r="R14" s="1135">
        <v>2577</v>
      </c>
      <c r="S14" s="1135"/>
      <c r="T14" s="1135"/>
      <c r="U14" s="1135"/>
      <c r="V14" s="1132"/>
      <c r="W14" s="1137"/>
      <c r="X14" s="408">
        <v>0</v>
      </c>
    </row>
    <row r="15" spans="1:24" x14ac:dyDescent="0.2">
      <c r="A15" s="358">
        <f t="shared" si="3"/>
        <v>44691</v>
      </c>
      <c r="B15" s="359">
        <v>2042</v>
      </c>
      <c r="C15" s="360">
        <v>897</v>
      </c>
      <c r="D15" s="360">
        <v>253</v>
      </c>
      <c r="E15" s="361">
        <f t="shared" si="0"/>
        <v>3192</v>
      </c>
      <c r="F15" s="360">
        <f>B15*F2</f>
        <v>1302796</v>
      </c>
      <c r="G15" s="360">
        <f>+C15*G2</f>
        <v>522951</v>
      </c>
      <c r="H15" s="360">
        <f>D15*H2</f>
        <v>90574</v>
      </c>
      <c r="I15" s="1133">
        <v>20800</v>
      </c>
      <c r="J15" s="1142">
        <v>6</v>
      </c>
      <c r="K15" s="1103"/>
      <c r="L15" s="1108">
        <f t="shared" si="1"/>
        <v>1937121</v>
      </c>
      <c r="M15" s="1134">
        <v>1932435</v>
      </c>
      <c r="N15" s="362">
        <v>-1446</v>
      </c>
      <c r="O15" s="1138"/>
      <c r="P15" s="1135">
        <v>-1446</v>
      </c>
      <c r="Q15" s="1135"/>
      <c r="R15" s="1135">
        <v>3240</v>
      </c>
      <c r="S15" s="1135"/>
      <c r="T15" s="1135"/>
      <c r="U15" s="1135"/>
      <c r="V15" s="1132"/>
      <c r="W15" s="1137"/>
      <c r="X15" s="408">
        <v>0</v>
      </c>
    </row>
    <row r="16" spans="1:24" x14ac:dyDescent="0.2">
      <c r="A16" s="358">
        <f t="shared" si="3"/>
        <v>44692</v>
      </c>
      <c r="B16" s="359">
        <v>1633</v>
      </c>
      <c r="C16" s="360">
        <v>711</v>
      </c>
      <c r="D16" s="360">
        <v>55</v>
      </c>
      <c r="E16" s="361">
        <f t="shared" si="0"/>
        <v>2399</v>
      </c>
      <c r="F16" s="360">
        <f>B16*F2</f>
        <v>1041854</v>
      </c>
      <c r="G16" s="360">
        <f>C16*G2</f>
        <v>414513</v>
      </c>
      <c r="H16" s="360">
        <f>D16*H2</f>
        <v>19690</v>
      </c>
      <c r="I16" s="1133">
        <v>7200</v>
      </c>
      <c r="J16" s="1142">
        <v>3</v>
      </c>
      <c r="K16" s="1103">
        <v>-23320</v>
      </c>
      <c r="L16" s="1108">
        <f t="shared" si="1"/>
        <v>1459937</v>
      </c>
      <c r="M16" s="1134">
        <v>1455239</v>
      </c>
      <c r="N16" s="362">
        <f t="shared" si="2"/>
        <v>-4698</v>
      </c>
      <c r="O16" s="1138"/>
      <c r="P16" s="1135">
        <v>1787</v>
      </c>
      <c r="Q16" s="1135"/>
      <c r="R16" s="1135">
        <v>2911</v>
      </c>
      <c r="S16" s="1135"/>
      <c r="T16" s="1135"/>
      <c r="U16" s="1135"/>
      <c r="V16" s="1135"/>
      <c r="W16" s="1137"/>
      <c r="X16" s="408">
        <f>+N16+O16+P16+Q16+R16+S16+T16+U16+V16+W16</f>
        <v>0</v>
      </c>
    </row>
    <row r="17" spans="1:28" x14ac:dyDescent="0.2">
      <c r="A17" s="358">
        <f t="shared" si="3"/>
        <v>44693</v>
      </c>
      <c r="B17" s="359">
        <v>1805</v>
      </c>
      <c r="C17" s="360">
        <v>739</v>
      </c>
      <c r="D17" s="360">
        <v>386</v>
      </c>
      <c r="E17" s="361">
        <f t="shared" si="0"/>
        <v>2930</v>
      </c>
      <c r="F17" s="360">
        <f>B17*F2</f>
        <v>1151590</v>
      </c>
      <c r="G17" s="360">
        <f>C17*G2</f>
        <v>430837</v>
      </c>
      <c r="H17" s="360">
        <f>D17*H2</f>
        <v>138188</v>
      </c>
      <c r="I17" s="1133">
        <v>4800</v>
      </c>
      <c r="J17" s="1142">
        <v>2</v>
      </c>
      <c r="K17" s="1103"/>
      <c r="L17" s="1108">
        <f t="shared" si="1"/>
        <v>1725415</v>
      </c>
      <c r="M17" s="1134">
        <v>1722605</v>
      </c>
      <c r="N17" s="362">
        <f t="shared" si="2"/>
        <v>-2810</v>
      </c>
      <c r="O17" s="1138"/>
      <c r="P17" s="1135">
        <v>-635</v>
      </c>
      <c r="Q17" s="1135"/>
      <c r="R17" s="1135">
        <v>2810</v>
      </c>
      <c r="S17" s="1135"/>
      <c r="T17" s="1135"/>
      <c r="U17" s="1135"/>
      <c r="V17" s="1132"/>
      <c r="W17" s="1137"/>
      <c r="X17" s="408">
        <v>0</v>
      </c>
    </row>
    <row r="18" spans="1:28" x14ac:dyDescent="0.2">
      <c r="A18" s="358">
        <f t="shared" si="3"/>
        <v>44694</v>
      </c>
      <c r="B18" s="359">
        <v>2052</v>
      </c>
      <c r="C18" s="360">
        <v>703</v>
      </c>
      <c r="D18" s="360">
        <v>188</v>
      </c>
      <c r="E18" s="361">
        <f t="shared" si="0"/>
        <v>2943</v>
      </c>
      <c r="F18" s="360">
        <f>B18*F2</f>
        <v>1309176</v>
      </c>
      <c r="G18" s="360">
        <f>C18*G2</f>
        <v>409849</v>
      </c>
      <c r="H18" s="360">
        <f>D18*H2</f>
        <v>67304</v>
      </c>
      <c r="I18" s="1133">
        <v>8400</v>
      </c>
      <c r="J18" s="1142">
        <v>3.5</v>
      </c>
      <c r="K18" s="1103"/>
      <c r="L18" s="1108">
        <f t="shared" si="1"/>
        <v>1794729</v>
      </c>
      <c r="M18" s="1134">
        <v>1793700</v>
      </c>
      <c r="N18" s="362">
        <f t="shared" si="2"/>
        <v>-1029</v>
      </c>
      <c r="O18" s="1138"/>
      <c r="P18" s="1135">
        <v>1029</v>
      </c>
      <c r="Q18" s="1135"/>
      <c r="R18" s="1135"/>
      <c r="S18" s="1135"/>
      <c r="T18" s="1135"/>
      <c r="U18" s="1135"/>
      <c r="V18" s="1132"/>
      <c r="W18" s="1137"/>
      <c r="X18" s="408">
        <f>+N18+O18+P18+Q18+R18+S18+T18+U18+V18+W18</f>
        <v>0</v>
      </c>
    </row>
    <row r="19" spans="1:28" x14ac:dyDescent="0.2">
      <c r="A19" s="358">
        <f t="shared" si="3"/>
        <v>44695</v>
      </c>
      <c r="B19" s="359"/>
      <c r="C19" s="360"/>
      <c r="D19" s="360"/>
      <c r="E19" s="361">
        <f t="shared" si="0"/>
        <v>0</v>
      </c>
      <c r="F19" s="360">
        <f>B19*F2</f>
        <v>0</v>
      </c>
      <c r="G19" s="360">
        <f>C19*G2</f>
        <v>0</v>
      </c>
      <c r="H19" s="360">
        <f>D19*H2</f>
        <v>0</v>
      </c>
      <c r="I19" s="1133"/>
      <c r="J19" s="1142"/>
      <c r="K19" s="1103"/>
      <c r="L19" s="1108">
        <f t="shared" si="1"/>
        <v>0</v>
      </c>
      <c r="M19" s="1134"/>
      <c r="N19" s="362">
        <f t="shared" si="2"/>
        <v>0</v>
      </c>
      <c r="O19" s="1138"/>
      <c r="P19" s="1135"/>
      <c r="Q19" s="1135"/>
      <c r="R19" s="1135"/>
      <c r="S19" s="1135"/>
      <c r="T19" s="1135"/>
      <c r="U19" s="1135"/>
      <c r="V19" s="1132"/>
      <c r="W19" s="1137"/>
      <c r="X19" s="408">
        <f t="shared" ref="X19:X24" si="5">+N19+O19+P19+Q19+R19+S19+T19+U19+V19+W19</f>
        <v>0</v>
      </c>
    </row>
    <row r="20" spans="1:28" x14ac:dyDescent="0.2">
      <c r="A20" s="358">
        <f t="shared" si="3"/>
        <v>44696</v>
      </c>
      <c r="B20" s="359"/>
      <c r="C20" s="360"/>
      <c r="D20" s="360"/>
      <c r="E20" s="361">
        <f t="shared" si="0"/>
        <v>0</v>
      </c>
      <c r="F20" s="360">
        <f>B20*F2</f>
        <v>0</v>
      </c>
      <c r="G20" s="360">
        <f>C20*G2</f>
        <v>0</v>
      </c>
      <c r="H20" s="360">
        <f>D20*H2</f>
        <v>0</v>
      </c>
      <c r="I20" s="1133"/>
      <c r="J20" s="1142"/>
      <c r="K20" s="1103"/>
      <c r="L20" s="1108">
        <f t="shared" si="1"/>
        <v>0</v>
      </c>
      <c r="M20" s="1134"/>
      <c r="N20" s="362">
        <f t="shared" si="2"/>
        <v>0</v>
      </c>
      <c r="O20" s="1138"/>
      <c r="P20" s="1135"/>
      <c r="Q20" s="1135"/>
      <c r="R20" s="1135"/>
      <c r="S20" s="1135"/>
      <c r="T20" s="1135"/>
      <c r="U20" s="1135"/>
      <c r="V20" s="1132"/>
      <c r="W20" s="1137"/>
      <c r="X20" s="408">
        <f t="shared" si="5"/>
        <v>0</v>
      </c>
    </row>
    <row r="21" spans="1:28" x14ac:dyDescent="0.2">
      <c r="A21" s="358">
        <f t="shared" si="3"/>
        <v>44697</v>
      </c>
      <c r="B21" s="359"/>
      <c r="C21" s="360"/>
      <c r="D21" s="360"/>
      <c r="E21" s="361">
        <f t="shared" si="0"/>
        <v>0</v>
      </c>
      <c r="F21" s="360">
        <f>B21*F2</f>
        <v>0</v>
      </c>
      <c r="G21" s="360">
        <f>C21*G2</f>
        <v>0</v>
      </c>
      <c r="H21" s="360">
        <f>D21*H2</f>
        <v>0</v>
      </c>
      <c r="I21" s="1133"/>
      <c r="J21" s="1142"/>
      <c r="K21" s="1103"/>
      <c r="L21" s="1108">
        <f t="shared" si="1"/>
        <v>0</v>
      </c>
      <c r="M21" s="1134"/>
      <c r="N21" s="362">
        <f t="shared" si="2"/>
        <v>0</v>
      </c>
      <c r="O21" s="1138"/>
      <c r="P21" s="1135"/>
      <c r="Q21" s="1135"/>
      <c r="R21" s="1135"/>
      <c r="S21" s="1135"/>
      <c r="T21" s="1135"/>
      <c r="U21" s="1135"/>
      <c r="V21" s="1132"/>
      <c r="W21" s="1137"/>
      <c r="X21" s="408">
        <f t="shared" si="5"/>
        <v>0</v>
      </c>
      <c r="AB21" s="335" t="s">
        <v>302</v>
      </c>
    </row>
    <row r="22" spans="1:28" x14ac:dyDescent="0.2">
      <c r="A22" s="358">
        <f t="shared" si="3"/>
        <v>44698</v>
      </c>
      <c r="B22" s="359"/>
      <c r="C22" s="360"/>
      <c r="D22" s="360"/>
      <c r="E22" s="361">
        <f t="shared" si="0"/>
        <v>0</v>
      </c>
      <c r="F22" s="360">
        <f>B22*F2</f>
        <v>0</v>
      </c>
      <c r="G22" s="360">
        <f>C22*G2</f>
        <v>0</v>
      </c>
      <c r="H22" s="360">
        <f>D22*H2</f>
        <v>0</v>
      </c>
      <c r="I22" s="973"/>
      <c r="J22" s="1142"/>
      <c r="K22" s="1103"/>
      <c r="L22" s="1108">
        <f t="shared" si="1"/>
        <v>0</v>
      </c>
      <c r="M22" s="1134"/>
      <c r="N22" s="362">
        <f t="shared" si="2"/>
        <v>0</v>
      </c>
      <c r="O22" s="1138"/>
      <c r="P22" s="1135"/>
      <c r="Q22" s="1132"/>
      <c r="R22" s="1135"/>
      <c r="S22" s="1135"/>
      <c r="T22" s="1135"/>
      <c r="U22" s="1135"/>
      <c r="V22" s="1132"/>
      <c r="W22" s="1137"/>
      <c r="X22" s="408">
        <f t="shared" si="5"/>
        <v>0</v>
      </c>
    </row>
    <row r="23" spans="1:28" x14ac:dyDescent="0.2">
      <c r="A23" s="358">
        <f t="shared" si="3"/>
        <v>44699</v>
      </c>
      <c r="B23" s="359"/>
      <c r="C23" s="360"/>
      <c r="D23" s="360"/>
      <c r="E23" s="361">
        <f t="shared" si="0"/>
        <v>0</v>
      </c>
      <c r="F23" s="360">
        <f>B23*F2</f>
        <v>0</v>
      </c>
      <c r="G23" s="360">
        <f>C23*G2</f>
        <v>0</v>
      </c>
      <c r="H23" s="360">
        <f>D23*H2</f>
        <v>0</v>
      </c>
      <c r="I23" s="1133"/>
      <c r="J23" s="1142"/>
      <c r="K23" s="1103"/>
      <c r="L23" s="1108">
        <f t="shared" si="1"/>
        <v>0</v>
      </c>
      <c r="M23" s="1134"/>
      <c r="N23" s="362">
        <f t="shared" si="2"/>
        <v>0</v>
      </c>
      <c r="O23" s="1138"/>
      <c r="P23" s="1135"/>
      <c r="Q23" s="1135"/>
      <c r="R23" s="1135"/>
      <c r="S23" s="1135"/>
      <c r="T23" s="1135"/>
      <c r="U23" s="1135"/>
      <c r="V23" s="1132"/>
      <c r="W23" s="1137"/>
      <c r="X23" s="408">
        <f t="shared" si="5"/>
        <v>0</v>
      </c>
    </row>
    <row r="24" spans="1:28" ht="15.75" customHeight="1" x14ac:dyDescent="0.2">
      <c r="A24" s="358">
        <f t="shared" si="3"/>
        <v>44700</v>
      </c>
      <c r="B24" s="359"/>
      <c r="C24" s="360"/>
      <c r="D24" s="360"/>
      <c r="E24" s="361">
        <f t="shared" si="0"/>
        <v>0</v>
      </c>
      <c r="F24" s="360">
        <f>B24*F2</f>
        <v>0</v>
      </c>
      <c r="G24" s="360">
        <f>C24*G2</f>
        <v>0</v>
      </c>
      <c r="H24" s="360">
        <f>D24*H2</f>
        <v>0</v>
      </c>
      <c r="I24" s="1133"/>
      <c r="J24" s="1142"/>
      <c r="K24" s="1103"/>
      <c r="L24" s="1108">
        <f t="shared" si="1"/>
        <v>0</v>
      </c>
      <c r="M24" s="1134"/>
      <c r="N24" s="362">
        <f t="shared" si="2"/>
        <v>0</v>
      </c>
      <c r="O24" s="1138"/>
      <c r="P24" s="1135"/>
      <c r="Q24" s="1135"/>
      <c r="R24" s="1135"/>
      <c r="S24" s="1135"/>
      <c r="T24" s="1135"/>
      <c r="U24" s="1135"/>
      <c r="V24" s="1132"/>
      <c r="W24" s="1137"/>
      <c r="X24" s="408">
        <f t="shared" si="5"/>
        <v>0</v>
      </c>
    </row>
    <row r="25" spans="1:28" x14ac:dyDescent="0.2">
      <c r="A25" s="358">
        <f t="shared" si="3"/>
        <v>44701</v>
      </c>
      <c r="B25" s="359"/>
      <c r="C25" s="360"/>
      <c r="D25" s="360"/>
      <c r="E25" s="361">
        <f t="shared" si="0"/>
        <v>0</v>
      </c>
      <c r="F25" s="360">
        <f>B25*F2</f>
        <v>0</v>
      </c>
      <c r="G25" s="360">
        <f>C25*G2</f>
        <v>0</v>
      </c>
      <c r="H25" s="360">
        <f>D25*H2</f>
        <v>0</v>
      </c>
      <c r="I25" s="1133"/>
      <c r="J25" s="1142"/>
      <c r="K25" s="1103"/>
      <c r="L25" s="1108">
        <f t="shared" si="1"/>
        <v>0</v>
      </c>
      <c r="M25" s="1134"/>
      <c r="N25" s="362">
        <f t="shared" si="2"/>
        <v>0</v>
      </c>
      <c r="O25" s="1138"/>
      <c r="P25" s="1135"/>
      <c r="Q25" s="1135"/>
      <c r="R25" s="1135"/>
      <c r="S25" s="1135"/>
      <c r="T25" s="1135"/>
      <c r="U25" s="1135"/>
      <c r="V25" s="1132"/>
      <c r="W25" s="1137"/>
      <c r="X25" s="408">
        <f>+N25+O25+P25+Q25+R25+S25+T25+U25+V25+W25</f>
        <v>0</v>
      </c>
    </row>
    <row r="26" spans="1:28" x14ac:dyDescent="0.2">
      <c r="A26" s="358">
        <f t="shared" si="3"/>
        <v>44702</v>
      </c>
      <c r="B26" s="359"/>
      <c r="C26" s="360"/>
      <c r="D26" s="360"/>
      <c r="E26" s="361">
        <f t="shared" si="0"/>
        <v>0</v>
      </c>
      <c r="F26" s="360">
        <f>B26*F2</f>
        <v>0</v>
      </c>
      <c r="G26" s="360">
        <f>C26*G2</f>
        <v>0</v>
      </c>
      <c r="H26" s="360">
        <f>D26*H2</f>
        <v>0</v>
      </c>
      <c r="I26" s="1133"/>
      <c r="J26" s="1142"/>
      <c r="K26" s="1103"/>
      <c r="L26" s="1108">
        <f t="shared" si="1"/>
        <v>0</v>
      </c>
      <c r="M26" s="1134"/>
      <c r="N26" s="362">
        <f t="shared" si="2"/>
        <v>0</v>
      </c>
      <c r="O26" s="1138"/>
      <c r="P26" s="1135"/>
      <c r="Q26" s="1132"/>
      <c r="R26" s="1135"/>
      <c r="S26" s="1135"/>
      <c r="T26" s="1135"/>
      <c r="U26" s="1135"/>
      <c r="V26" s="1132"/>
      <c r="W26" s="1139"/>
      <c r="X26" s="408">
        <f>+N26+O26+P26+Q26+R26+S26+T26+U26+V26+W26</f>
        <v>0</v>
      </c>
    </row>
    <row r="27" spans="1:28" x14ac:dyDescent="0.2">
      <c r="A27" s="358">
        <f t="shared" si="3"/>
        <v>44703</v>
      </c>
      <c r="B27" s="359"/>
      <c r="C27" s="360"/>
      <c r="D27" s="360"/>
      <c r="E27" s="361">
        <f t="shared" si="0"/>
        <v>0</v>
      </c>
      <c r="F27" s="360">
        <f>B27*F2</f>
        <v>0</v>
      </c>
      <c r="G27" s="360">
        <f>C27*G2</f>
        <v>0</v>
      </c>
      <c r="H27" s="360">
        <f>D27*H2</f>
        <v>0</v>
      </c>
      <c r="I27" s="1133"/>
      <c r="J27" s="1142"/>
      <c r="K27" s="1103"/>
      <c r="L27" s="1108">
        <f t="shared" si="1"/>
        <v>0</v>
      </c>
      <c r="M27" s="1134"/>
      <c r="N27" s="362">
        <f t="shared" si="2"/>
        <v>0</v>
      </c>
      <c r="O27" s="1138"/>
      <c r="P27" s="1135"/>
      <c r="Q27" s="1135"/>
      <c r="R27" s="1135"/>
      <c r="S27" s="1135"/>
      <c r="T27" s="1135"/>
      <c r="U27" s="1135"/>
      <c r="V27" s="1132"/>
      <c r="W27" s="1137"/>
      <c r="X27" s="408">
        <f>+N27+O27+P27+Q27+R27+S27+T27+U27+V27+W27</f>
        <v>0</v>
      </c>
    </row>
    <row r="28" spans="1:28" x14ac:dyDescent="0.2">
      <c r="A28" s="358">
        <f t="shared" si="3"/>
        <v>44704</v>
      </c>
      <c r="B28" s="359"/>
      <c r="C28" s="360"/>
      <c r="D28" s="360"/>
      <c r="E28" s="361">
        <f t="shared" si="0"/>
        <v>0</v>
      </c>
      <c r="F28" s="360">
        <f>B28*F2</f>
        <v>0</v>
      </c>
      <c r="G28" s="360">
        <f>C28*G2</f>
        <v>0</v>
      </c>
      <c r="H28" s="360">
        <f>D28*H2</f>
        <v>0</v>
      </c>
      <c r="I28" s="1133"/>
      <c r="J28" s="1142"/>
      <c r="K28" s="1103"/>
      <c r="L28" s="1108">
        <f t="shared" si="1"/>
        <v>0</v>
      </c>
      <c r="M28" s="1134"/>
      <c r="N28" s="362">
        <f t="shared" si="2"/>
        <v>0</v>
      </c>
      <c r="O28" s="1138"/>
      <c r="P28" s="1135"/>
      <c r="Q28" s="1135"/>
      <c r="R28" s="1135"/>
      <c r="S28" s="1135"/>
      <c r="T28" s="1135"/>
      <c r="U28" s="1135"/>
      <c r="V28" s="1132"/>
      <c r="W28" s="1137"/>
      <c r="X28" s="408">
        <f>+N28+O28+P28+Q28+R28+S28+T28+U28+V28+W28</f>
        <v>0</v>
      </c>
    </row>
    <row r="29" spans="1:28" x14ac:dyDescent="0.2">
      <c r="A29" s="358">
        <f t="shared" si="3"/>
        <v>44705</v>
      </c>
      <c r="B29" s="359"/>
      <c r="C29" s="360"/>
      <c r="D29" s="360"/>
      <c r="E29" s="361">
        <f t="shared" si="0"/>
        <v>0</v>
      </c>
      <c r="F29" s="360">
        <f>B29*F2</f>
        <v>0</v>
      </c>
      <c r="G29" s="360">
        <f>C29*G2</f>
        <v>0</v>
      </c>
      <c r="H29" s="360">
        <f>D29*H2</f>
        <v>0</v>
      </c>
      <c r="I29" s="1133"/>
      <c r="J29" s="1142"/>
      <c r="K29" s="1103"/>
      <c r="L29" s="1108">
        <f t="shared" si="1"/>
        <v>0</v>
      </c>
      <c r="M29" s="1134"/>
      <c r="N29" s="362">
        <f t="shared" si="2"/>
        <v>0</v>
      </c>
      <c r="O29" s="1138"/>
      <c r="P29" s="1135"/>
      <c r="Q29" s="1135"/>
      <c r="R29" s="1135"/>
      <c r="S29" s="1135"/>
      <c r="T29" s="1135"/>
      <c r="U29" s="1135"/>
      <c r="V29" s="1132"/>
      <c r="W29" s="1137"/>
      <c r="X29" s="408">
        <f>+N29+O29+P29+Q29+R29+S29+T29+U29+V29+W29</f>
        <v>0</v>
      </c>
    </row>
    <row r="30" spans="1:28" x14ac:dyDescent="0.2">
      <c r="A30" s="358">
        <f t="shared" si="3"/>
        <v>44706</v>
      </c>
      <c r="B30" s="359"/>
      <c r="C30" s="360"/>
      <c r="D30" s="360"/>
      <c r="E30" s="361">
        <f t="shared" si="0"/>
        <v>0</v>
      </c>
      <c r="F30" s="360">
        <f>B30*F2</f>
        <v>0</v>
      </c>
      <c r="G30" s="360">
        <f>C30*G2</f>
        <v>0</v>
      </c>
      <c r="H30" s="360">
        <f>D30*H2</f>
        <v>0</v>
      </c>
      <c r="I30" s="1133"/>
      <c r="J30" s="1142"/>
      <c r="K30" s="1103"/>
      <c r="L30" s="1108">
        <f t="shared" si="1"/>
        <v>0</v>
      </c>
      <c r="M30" s="1134"/>
      <c r="N30" s="362">
        <f t="shared" si="2"/>
        <v>0</v>
      </c>
      <c r="O30" s="1138"/>
      <c r="P30" s="1135"/>
      <c r="Q30" s="1135"/>
      <c r="R30" s="1135"/>
      <c r="S30" s="1135"/>
      <c r="T30" s="1135"/>
      <c r="U30" s="1135"/>
      <c r="V30" s="1132"/>
      <c r="W30" s="1137"/>
      <c r="X30" s="408">
        <f>+N30+O30+P30+Q30+R30+S30+T30+V30+W30+U30</f>
        <v>0</v>
      </c>
    </row>
    <row r="31" spans="1:28" x14ac:dyDescent="0.2">
      <c r="A31" s="358">
        <f t="shared" si="3"/>
        <v>44707</v>
      </c>
      <c r="B31" s="359"/>
      <c r="C31" s="360"/>
      <c r="D31" s="360"/>
      <c r="E31" s="361">
        <f t="shared" si="0"/>
        <v>0</v>
      </c>
      <c r="F31" s="360">
        <f>B31*F2</f>
        <v>0</v>
      </c>
      <c r="G31" s="360">
        <f>C31*G2</f>
        <v>0</v>
      </c>
      <c r="H31" s="360">
        <f>D31*H2</f>
        <v>0</v>
      </c>
      <c r="I31" s="1133"/>
      <c r="J31" s="1142"/>
      <c r="K31" s="1103"/>
      <c r="L31" s="1108">
        <f t="shared" si="1"/>
        <v>0</v>
      </c>
      <c r="M31" s="1134"/>
      <c r="N31" s="362">
        <f t="shared" si="2"/>
        <v>0</v>
      </c>
      <c r="O31" s="1138"/>
      <c r="P31" s="1135"/>
      <c r="Q31" s="1135"/>
      <c r="R31" s="1135"/>
      <c r="S31" s="1135"/>
      <c r="T31" s="1135"/>
      <c r="U31" s="1135"/>
      <c r="V31" s="1132"/>
      <c r="W31" s="1137"/>
      <c r="X31" s="408">
        <f>+N31+O31+P31+Q31+R31+S31+T31+U31+V31+W31</f>
        <v>0</v>
      </c>
    </row>
    <row r="32" spans="1:28" x14ac:dyDescent="0.2">
      <c r="A32" s="358">
        <f t="shared" si="3"/>
        <v>44708</v>
      </c>
      <c r="B32" s="359"/>
      <c r="C32" s="360"/>
      <c r="D32" s="360"/>
      <c r="E32" s="361">
        <f t="shared" si="0"/>
        <v>0</v>
      </c>
      <c r="F32" s="360">
        <f>B32*F2</f>
        <v>0</v>
      </c>
      <c r="G32" s="360">
        <f>C32*G2</f>
        <v>0</v>
      </c>
      <c r="H32" s="360">
        <f>D32*H2</f>
        <v>0</v>
      </c>
      <c r="I32" s="1133"/>
      <c r="J32" s="1142"/>
      <c r="K32" s="1103"/>
      <c r="L32" s="1108">
        <f t="shared" si="1"/>
        <v>0</v>
      </c>
      <c r="M32" s="1134"/>
      <c r="N32" s="362">
        <f t="shared" si="2"/>
        <v>0</v>
      </c>
      <c r="O32" s="1138"/>
      <c r="P32" s="1135"/>
      <c r="Q32" s="1135"/>
      <c r="R32" s="1136"/>
      <c r="S32" s="1135"/>
      <c r="T32" s="1135"/>
      <c r="U32" s="1135"/>
      <c r="V32" s="364"/>
      <c r="W32" s="1140"/>
      <c r="X32" s="408">
        <f>+N32+O32+P32+Q32+R32+S32+T32+U32+V32+W32</f>
        <v>0</v>
      </c>
      <c r="Y32" s="365"/>
      <c r="Z32" s="365"/>
    </row>
    <row r="33" spans="1:26" x14ac:dyDescent="0.2">
      <c r="A33" s="358">
        <f t="shared" si="3"/>
        <v>44709</v>
      </c>
      <c r="B33" s="359"/>
      <c r="C33" s="360"/>
      <c r="D33" s="360"/>
      <c r="E33" s="361">
        <f t="shared" si="0"/>
        <v>0</v>
      </c>
      <c r="F33" s="360">
        <f>B33*F2</f>
        <v>0</v>
      </c>
      <c r="G33" s="360">
        <f>C33*G2</f>
        <v>0</v>
      </c>
      <c r="H33" s="360">
        <f>D33*H2</f>
        <v>0</v>
      </c>
      <c r="I33" s="1133"/>
      <c r="J33" s="1142"/>
      <c r="K33" s="1103"/>
      <c r="L33" s="1108">
        <f t="shared" si="1"/>
        <v>0</v>
      </c>
      <c r="M33" s="1134"/>
      <c r="N33" s="362">
        <f t="shared" si="2"/>
        <v>0</v>
      </c>
      <c r="O33" s="1138"/>
      <c r="P33" s="1135"/>
      <c r="Q33" s="1135"/>
      <c r="R33" s="1153"/>
      <c r="S33" s="1135"/>
      <c r="T33" s="1135"/>
      <c r="U33" s="1135"/>
      <c r="V33" s="364"/>
      <c r="W33" s="1140"/>
      <c r="X33" s="408">
        <f>+N33+O33+P33+Q33+R33+S33+T33+U33+V33+W33</f>
        <v>0</v>
      </c>
      <c r="Y33" s="365"/>
      <c r="Z33" s="365"/>
    </row>
    <row r="34" spans="1:26" x14ac:dyDescent="0.2">
      <c r="A34" s="358">
        <f t="shared" si="3"/>
        <v>44710</v>
      </c>
      <c r="B34" s="359"/>
      <c r="C34" s="360"/>
      <c r="D34" s="360"/>
      <c r="E34" s="361">
        <f t="shared" si="0"/>
        <v>0</v>
      </c>
      <c r="F34" s="360">
        <f>B34*F2</f>
        <v>0</v>
      </c>
      <c r="G34" s="360">
        <f>C34*G2</f>
        <v>0</v>
      </c>
      <c r="H34" s="360">
        <f>D34*H2</f>
        <v>0</v>
      </c>
      <c r="I34" s="1133"/>
      <c r="J34" s="1142"/>
      <c r="K34" s="1103"/>
      <c r="L34" s="1108">
        <f t="shared" si="1"/>
        <v>0</v>
      </c>
      <c r="M34" s="1134"/>
      <c r="N34" s="362">
        <f t="shared" si="2"/>
        <v>0</v>
      </c>
      <c r="O34" s="1138"/>
      <c r="P34" s="1135"/>
      <c r="Q34" s="1135"/>
      <c r="R34" s="1136"/>
      <c r="S34" s="1135"/>
      <c r="T34" s="1135"/>
      <c r="U34" s="1135"/>
      <c r="V34" s="364"/>
      <c r="W34" s="1140"/>
      <c r="X34" s="408">
        <f>+N34+O34+P34+Q34+R34+S34+T34+U34+V34+W34</f>
        <v>0</v>
      </c>
      <c r="Y34" s="365"/>
      <c r="Z34" s="365"/>
    </row>
    <row r="35" spans="1:26" x14ac:dyDescent="0.2">
      <c r="A35" s="358">
        <f t="shared" si="3"/>
        <v>44711</v>
      </c>
      <c r="B35" s="359"/>
      <c r="C35" s="360"/>
      <c r="D35" s="360"/>
      <c r="E35" s="361">
        <f t="shared" si="0"/>
        <v>0</v>
      </c>
      <c r="F35" s="360">
        <f>B35*F2</f>
        <v>0</v>
      </c>
      <c r="G35" s="360">
        <f>C35*G2</f>
        <v>0</v>
      </c>
      <c r="H35" s="360">
        <f>D35*H2</f>
        <v>0</v>
      </c>
      <c r="I35" s="1133"/>
      <c r="J35" s="1142"/>
      <c r="K35" s="1103"/>
      <c r="L35" s="1108">
        <f t="shared" si="1"/>
        <v>0</v>
      </c>
      <c r="M35" s="1134"/>
      <c r="N35" s="362">
        <f t="shared" si="2"/>
        <v>0</v>
      </c>
      <c r="O35" s="1138"/>
      <c r="P35" s="1135"/>
      <c r="Q35" s="1132"/>
      <c r="R35" s="1136"/>
      <c r="S35" s="1135"/>
      <c r="T35" s="1135"/>
      <c r="U35" s="1135"/>
      <c r="V35" s="364"/>
      <c r="W35" s="1140"/>
      <c r="X35" s="408">
        <f>+N35+O35+P35+Q35+R35+S35+T35+V35+W35+U35</f>
        <v>0</v>
      </c>
      <c r="Y35" s="365"/>
      <c r="Z35" s="365"/>
    </row>
    <row r="36" spans="1:26" ht="15" thickBot="1" x14ac:dyDescent="0.25">
      <c r="A36" s="358">
        <f t="shared" si="3"/>
        <v>44712</v>
      </c>
      <c r="B36" s="359"/>
      <c r="C36" s="360"/>
      <c r="D36" s="360"/>
      <c r="E36" s="361">
        <f t="shared" si="0"/>
        <v>0</v>
      </c>
      <c r="F36" s="360">
        <f>B36*F2</f>
        <v>0</v>
      </c>
      <c r="G36" s="360">
        <f>C36*G2</f>
        <v>0</v>
      </c>
      <c r="H36" s="360">
        <f>D36*H2</f>
        <v>0</v>
      </c>
      <c r="I36" s="1133"/>
      <c r="J36" s="1142"/>
      <c r="K36" s="1103"/>
      <c r="L36" s="1108">
        <f t="shared" si="1"/>
        <v>0</v>
      </c>
      <c r="M36" s="1134"/>
      <c r="N36" s="362">
        <f t="shared" si="2"/>
        <v>0</v>
      </c>
      <c r="O36" s="1152"/>
      <c r="P36" s="1135"/>
      <c r="Q36" s="1160"/>
      <c r="R36" s="1154"/>
      <c r="S36" s="1135"/>
      <c r="T36" s="1135"/>
      <c r="U36" s="1135"/>
      <c r="V36" s="404"/>
      <c r="W36" s="1141"/>
      <c r="X36" s="409">
        <f>+N36+O36+P36+Q36+R36+S36+T36+U36+V36+W36</f>
        <v>0</v>
      </c>
      <c r="Y36" s="365"/>
      <c r="Z36" s="365"/>
    </row>
    <row r="37" spans="1:26" ht="15" thickBot="1" x14ac:dyDescent="0.25">
      <c r="A37" s="366"/>
      <c r="B37" s="367"/>
      <c r="C37" s="368"/>
      <c r="D37" s="367"/>
      <c r="E37" s="369"/>
      <c r="F37" s="368"/>
      <c r="G37" s="367" t="s">
        <v>50</v>
      </c>
      <c r="H37" s="368"/>
      <c r="I37" s="370"/>
      <c r="J37" s="468"/>
      <c r="K37" s="1101"/>
      <c r="L37" s="371"/>
      <c r="M37" s="367"/>
      <c r="N37" s="399"/>
      <c r="O37" s="399"/>
      <c r="P37" s="399"/>
      <c r="Q37" s="399"/>
      <c r="R37" s="399"/>
      <c r="S37" s="399"/>
      <c r="T37" s="399"/>
      <c r="U37" s="399"/>
      <c r="V37" s="399"/>
      <c r="W37" s="399"/>
      <c r="X37" s="399"/>
      <c r="Y37" s="365"/>
      <c r="Z37" s="365"/>
    </row>
    <row r="38" spans="1:26" ht="15" thickBot="1" x14ac:dyDescent="0.25">
      <c r="A38" s="374" t="s">
        <v>192</v>
      </c>
      <c r="B38" s="375">
        <f t="shared" ref="B38:N38" si="6">SUM(B6:B37)</f>
        <v>26544</v>
      </c>
      <c r="C38" s="375">
        <f t="shared" si="6"/>
        <v>10301</v>
      </c>
      <c r="D38" s="375">
        <f t="shared" si="6"/>
        <v>2855</v>
      </c>
      <c r="E38" s="375">
        <f t="shared" si="6"/>
        <v>39700</v>
      </c>
      <c r="F38" s="375">
        <f t="shared" si="6"/>
        <v>16935072</v>
      </c>
      <c r="G38" s="375">
        <f t="shared" si="6"/>
        <v>6005483</v>
      </c>
      <c r="H38" s="372">
        <f t="shared" si="6"/>
        <v>1022090</v>
      </c>
      <c r="I38" s="372">
        <f t="shared" si="6"/>
        <v>78675</v>
      </c>
      <c r="J38" s="1109">
        <f t="shared" si="6"/>
        <v>30</v>
      </c>
      <c r="K38" s="1109">
        <f t="shared" si="6"/>
        <v>-23320</v>
      </c>
      <c r="L38" s="400">
        <f t="shared" si="6"/>
        <v>24018000</v>
      </c>
      <c r="M38" s="372">
        <f t="shared" si="6"/>
        <v>23957174</v>
      </c>
      <c r="N38" s="372">
        <f t="shared" si="6"/>
        <v>-57586</v>
      </c>
      <c r="O38" s="1158">
        <f t="shared" ref="O38:X38" si="7">SUM(O6:O37)</f>
        <v>0</v>
      </c>
      <c r="P38" s="1158">
        <f t="shared" si="7"/>
        <v>-7287</v>
      </c>
      <c r="Q38" s="1158">
        <f t="shared" si="7"/>
        <v>23320</v>
      </c>
      <c r="R38" s="1158">
        <f t="shared" si="7"/>
        <v>41266</v>
      </c>
      <c r="S38" s="372">
        <f t="shared" si="7"/>
        <v>0</v>
      </c>
      <c r="T38" s="372">
        <f t="shared" si="7"/>
        <v>0</v>
      </c>
      <c r="U38" s="372">
        <f>SUM(U6:U37)</f>
        <v>0</v>
      </c>
      <c r="V38" s="372">
        <f>SUM(V6:V37)</f>
        <v>0</v>
      </c>
      <c r="W38" s="372">
        <f t="shared" si="7"/>
        <v>0</v>
      </c>
      <c r="X38" s="372">
        <f t="shared" si="7"/>
        <v>0</v>
      </c>
      <c r="Y38" s="365"/>
      <c r="Z38" s="365"/>
    </row>
    <row r="39" spans="1:26" ht="15" thickBot="1" x14ac:dyDescent="0.25">
      <c r="A39" s="374"/>
      <c r="B39" s="375"/>
      <c r="C39" s="375"/>
      <c r="D39" s="375"/>
      <c r="E39" s="375"/>
      <c r="F39" s="377"/>
      <c r="G39" s="377"/>
      <c r="H39" s="377"/>
      <c r="I39" s="377"/>
      <c r="J39" s="377"/>
      <c r="K39" s="1110"/>
      <c r="L39" s="377"/>
      <c r="M39" s="377"/>
      <c r="N39" s="377"/>
      <c r="P39" s="376"/>
      <c r="R39" s="365"/>
      <c r="S39" s="373"/>
      <c r="T39" s="373"/>
      <c r="U39" s="373"/>
      <c r="V39" s="373"/>
      <c r="W39" s="365"/>
      <c r="X39" s="365"/>
      <c r="Y39" s="365"/>
      <c r="Z39" s="365"/>
    </row>
    <row r="40" spans="1:26" ht="15" thickBot="1" x14ac:dyDescent="0.25">
      <c r="A40" s="378" t="s">
        <v>13</v>
      </c>
      <c r="B40" s="379">
        <f>B38/(31-COUNTBLANK(B6:B36))</f>
        <v>2041.8461538461538</v>
      </c>
      <c r="C40" s="379">
        <f>C38/(31-COUNTBLANK(C6:C36))</f>
        <v>792.38461538461536</v>
      </c>
      <c r="D40" s="379">
        <f>D38/(31-COUNTBLANK(D6:D36))</f>
        <v>219.61538461538461</v>
      </c>
      <c r="E40" s="380">
        <f>+B40+C40+D40</f>
        <v>3053.8461538461538</v>
      </c>
      <c r="F40" s="381"/>
      <c r="G40" s="381"/>
      <c r="H40" s="382"/>
      <c r="I40" s="383" t="e">
        <f>+I38/#REF!</f>
        <v>#REF!</v>
      </c>
      <c r="J40" s="383"/>
      <c r="K40" s="1111"/>
      <c r="L40" s="383" t="e">
        <f>+L38/#REF!</f>
        <v>#REF!</v>
      </c>
      <c r="M40" s="384" t="e">
        <f>+M38/#REF!</f>
        <v>#REF!</v>
      </c>
      <c r="N40" s="384" t="e">
        <f>+N38/#REF!</f>
        <v>#REF!</v>
      </c>
      <c r="O40" s="973"/>
      <c r="R40" s="385"/>
      <c r="S40" s="385"/>
      <c r="T40" s="385"/>
      <c r="U40" s="385"/>
      <c r="V40" s="373"/>
      <c r="W40" s="365"/>
      <c r="X40" s="365"/>
      <c r="Y40" s="365"/>
      <c r="Z40" s="365"/>
    </row>
    <row r="41" spans="1:26" ht="21.75" customHeight="1" thickBot="1" x14ac:dyDescent="0.25">
      <c r="A41" s="386" t="s">
        <v>193</v>
      </c>
      <c r="B41" s="387">
        <v>105000</v>
      </c>
      <c r="C41" s="387">
        <v>50000</v>
      </c>
      <c r="D41" s="388">
        <v>5000</v>
      </c>
      <c r="E41" s="398">
        <f>SUM(B41:D41)</f>
        <v>160000</v>
      </c>
      <c r="F41" s="381"/>
      <c r="G41" s="381"/>
      <c r="H41" s="381"/>
      <c r="I41" s="389"/>
      <c r="J41" s="389"/>
      <c r="K41" s="1112"/>
      <c r="L41" s="390"/>
      <c r="M41" s="381"/>
      <c r="N41" s="381"/>
      <c r="R41" s="365"/>
      <c r="S41" s="385"/>
      <c r="T41" s="385"/>
      <c r="U41" s="385"/>
      <c r="V41" s="373"/>
      <c r="W41" s="365"/>
      <c r="X41" s="365"/>
      <c r="Y41" s="365"/>
      <c r="Z41" s="365"/>
    </row>
    <row r="42" spans="1:26" ht="19.5" thickBot="1" x14ac:dyDescent="0.35">
      <c r="A42" s="391" t="s">
        <v>14</v>
      </c>
      <c r="B42" s="1603" t="str">
        <f>IF(E38&gt;E41,"Objectif  atteint","objectif non atteint")</f>
        <v>objectif non atteint</v>
      </c>
      <c r="C42" s="1604"/>
      <c r="D42" s="1604"/>
      <c r="E42" s="1604"/>
      <c r="F42" s="390"/>
      <c r="G42" s="390"/>
      <c r="H42" s="392"/>
      <c r="I42" s="393"/>
      <c r="J42" s="393"/>
      <c r="K42" s="1113"/>
      <c r="L42" s="394"/>
      <c r="M42" s="395"/>
      <c r="N42" s="381"/>
      <c r="R42" s="365"/>
      <c r="S42" s="396"/>
      <c r="T42" s="396"/>
      <c r="U42" s="396"/>
      <c r="V42" s="365"/>
      <c r="W42" s="365"/>
      <c r="X42" s="365"/>
      <c r="Y42" s="365"/>
      <c r="Z42" s="365"/>
    </row>
    <row r="43" spans="1:26" x14ac:dyDescent="0.2">
      <c r="G43" s="393"/>
      <c r="R43" s="365"/>
      <c r="S43" s="396">
        <v>2336475</v>
      </c>
      <c r="T43" s="396"/>
      <c r="U43" s="396">
        <v>2331811</v>
      </c>
      <c r="V43" s="365"/>
      <c r="W43" s="365"/>
      <c r="X43" s="365"/>
      <c r="Y43" s="365"/>
      <c r="Z43" s="365"/>
    </row>
    <row r="44" spans="1:26" x14ac:dyDescent="0.2">
      <c r="R44" s="365"/>
      <c r="S44" s="396"/>
      <c r="T44" s="396"/>
      <c r="U44" s="396">
        <v>3911</v>
      </c>
      <c r="V44" s="365"/>
      <c r="W44" s="365"/>
      <c r="X44" s="365"/>
      <c r="Y44" s="365"/>
      <c r="Z44" s="365"/>
    </row>
    <row r="45" spans="1:26" x14ac:dyDescent="0.2">
      <c r="R45" s="365"/>
      <c r="S45" s="365"/>
      <c r="T45" s="1192"/>
      <c r="U45" s="365">
        <v>753</v>
      </c>
      <c r="V45" s="365"/>
      <c r="W45" s="365"/>
      <c r="X45" s="365"/>
      <c r="Y45" s="365"/>
      <c r="Z45" s="365"/>
    </row>
    <row r="46" spans="1:26" x14ac:dyDescent="0.2">
      <c r="R46" s="365"/>
      <c r="S46" s="365"/>
      <c r="T46" s="365"/>
      <c r="U46" s="1192">
        <f>SUM(U43:U45)</f>
        <v>2336475</v>
      </c>
      <c r="V46" s="365"/>
      <c r="W46" s="365"/>
      <c r="X46" s="365"/>
      <c r="Y46" s="365"/>
      <c r="Z46" s="365"/>
    </row>
    <row r="47" spans="1:26" x14ac:dyDescent="0.2">
      <c r="X47" s="397"/>
    </row>
    <row r="162" spans="4:4" x14ac:dyDescent="0.2">
      <c r="D162" s="973" t="e">
        <f>'ETAT  KEKEM'!O6:U36</f>
        <v>#VALUE!</v>
      </c>
    </row>
  </sheetData>
  <mergeCells count="7">
    <mergeCell ref="O3:W3"/>
    <mergeCell ref="B42:E42"/>
    <mergeCell ref="F4:H4"/>
    <mergeCell ref="B3:E4"/>
    <mergeCell ref="F3:H3"/>
    <mergeCell ref="I3:J3"/>
    <mergeCell ref="K3:K5"/>
  </mergeCells>
  <pageMargins left="0.70866141732283472" right="0.70866141732283472" top="0.74803149606299213" bottom="0.74803149606299213" header="0.31496062992125984" footer="0.31496062992125984"/>
  <pageSetup paperSize="9" scale="2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7" sqref="H37"/>
    </sheetView>
  </sheetViews>
  <sheetFormatPr baseColWidth="10" defaultRowHeight="14.25" x14ac:dyDescent="0.2"/>
  <cols>
    <col min="1" max="1" width="20" style="111" bestFit="1" customWidth="1"/>
    <col min="2" max="2" width="6.7109375" style="111" customWidth="1"/>
    <col min="3" max="3" width="10" style="111" customWidth="1"/>
    <col min="4" max="4" width="9.42578125" style="111" customWidth="1"/>
    <col min="5" max="5" width="9.140625" style="111" customWidth="1"/>
    <col min="6" max="6" width="12.85546875" style="111" customWidth="1"/>
    <col min="7" max="7" width="13" style="111" customWidth="1"/>
    <col min="8" max="8" width="15.28515625" style="111" customWidth="1"/>
    <col min="9" max="9" width="11.7109375" style="111" customWidth="1"/>
    <col min="10" max="10" width="23.85546875" style="118" customWidth="1"/>
    <col min="11" max="11" width="26.28515625" style="118" customWidth="1"/>
    <col min="12" max="12" width="24" style="118" bestFit="1" customWidth="1"/>
    <col min="13" max="13" width="19.5703125" style="118" customWidth="1"/>
    <col min="14" max="14" width="12.7109375" style="118" bestFit="1" customWidth="1"/>
    <col min="15" max="15" width="14.42578125" style="118" bestFit="1" customWidth="1"/>
    <col min="16" max="16" width="17.140625" style="118" bestFit="1" customWidth="1"/>
    <col min="17" max="16384" width="11.42578125" style="111"/>
  </cols>
  <sheetData>
    <row r="1" spans="1:17" ht="15" thickBot="1" x14ac:dyDescent="0.25">
      <c r="A1" s="1937" t="s">
        <v>652</v>
      </c>
      <c r="B1" s="1938"/>
      <c r="C1" s="1938"/>
      <c r="D1" s="1938"/>
      <c r="E1" s="1938"/>
      <c r="F1" s="1938"/>
      <c r="G1" s="1938"/>
      <c r="H1" s="1938"/>
      <c r="I1" s="1939"/>
    </row>
    <row r="2" spans="1:17" x14ac:dyDescent="0.2">
      <c r="A2" s="117" t="s">
        <v>81</v>
      </c>
      <c r="B2" s="125" t="s">
        <v>51</v>
      </c>
      <c r="C2" s="122" t="s">
        <v>590</v>
      </c>
      <c r="D2" s="122" t="s">
        <v>83</v>
      </c>
      <c r="E2" s="122" t="s">
        <v>84</v>
      </c>
      <c r="F2" s="122" t="s">
        <v>85</v>
      </c>
      <c r="G2" s="122" t="s">
        <v>86</v>
      </c>
      <c r="H2" s="122" t="s">
        <v>7</v>
      </c>
      <c r="I2" s="126" t="s">
        <v>39</v>
      </c>
      <c r="J2" s="122" t="s">
        <v>91</v>
      </c>
      <c r="K2" s="122" t="s">
        <v>90</v>
      </c>
      <c r="L2" s="122" t="s">
        <v>89</v>
      </c>
      <c r="M2" s="122" t="s">
        <v>92</v>
      </c>
      <c r="N2" s="1117" t="s">
        <v>631</v>
      </c>
      <c r="O2" s="1117" t="s">
        <v>632</v>
      </c>
      <c r="Q2" s="118"/>
    </row>
    <row r="3" spans="1:17" ht="15" x14ac:dyDescent="0.25">
      <c r="A3" s="931" t="s">
        <v>518</v>
      </c>
      <c r="B3" s="932" t="s">
        <v>69</v>
      </c>
      <c r="C3" s="1116">
        <v>1</v>
      </c>
      <c r="D3" s="1130"/>
      <c r="E3" s="112">
        <f>+'SUIVI LUBRIFIANT'!AH3</f>
        <v>0</v>
      </c>
      <c r="F3" s="227">
        <f t="shared" ref="F3:F27" si="0">+C3+D3-E3</f>
        <v>1</v>
      </c>
      <c r="G3" s="1116">
        <v>1</v>
      </c>
      <c r="H3" s="277">
        <f>+G3-F3</f>
        <v>0</v>
      </c>
      <c r="I3" s="237">
        <v>34000</v>
      </c>
      <c r="J3" s="236">
        <f t="shared" ref="J3:J29" si="1">+G3*I3</f>
        <v>34000</v>
      </c>
      <c r="K3" s="123">
        <f t="shared" ref="K3:K29" si="2">+I3*C3</f>
        <v>34000</v>
      </c>
      <c r="L3" s="123">
        <f t="shared" ref="L3:L29" si="3">+I3*D3</f>
        <v>0</v>
      </c>
      <c r="M3" s="123">
        <f t="shared" ref="M3:M29" si="4">+E3*I3</f>
        <v>0</v>
      </c>
      <c r="N3" s="1119">
        <v>34000</v>
      </c>
      <c r="O3" s="1119">
        <f>G3*N3</f>
        <v>34000</v>
      </c>
      <c r="P3" s="1118">
        <f>+H3*N3</f>
        <v>0</v>
      </c>
      <c r="Q3" s="118"/>
    </row>
    <row r="4" spans="1:17" ht="15" x14ac:dyDescent="0.25">
      <c r="A4" s="931" t="s">
        <v>519</v>
      </c>
      <c r="B4" s="932" t="s">
        <v>69</v>
      </c>
      <c r="C4" s="1116"/>
      <c r="D4" s="1130"/>
      <c r="E4" s="112">
        <f>+'SUIVI LUBRIFIANT'!AH4</f>
        <v>0</v>
      </c>
      <c r="F4" s="227">
        <f t="shared" si="0"/>
        <v>0</v>
      </c>
      <c r="G4" s="1116"/>
      <c r="H4" s="277">
        <f t="shared" ref="H4:H29" si="5">+G4-F4</f>
        <v>0</v>
      </c>
      <c r="I4" s="237">
        <v>25000</v>
      </c>
      <c r="J4" s="236">
        <f t="shared" si="1"/>
        <v>0</v>
      </c>
      <c r="K4" s="123">
        <f t="shared" si="2"/>
        <v>0</v>
      </c>
      <c r="L4" s="123">
        <f t="shared" si="3"/>
        <v>0</v>
      </c>
      <c r="M4" s="123">
        <f t="shared" si="4"/>
        <v>0</v>
      </c>
      <c r="N4" s="1119">
        <v>25000</v>
      </c>
      <c r="O4" s="1119">
        <f t="shared" ref="O4:O29" si="6">G4*N4</f>
        <v>0</v>
      </c>
      <c r="P4" s="1118">
        <f t="shared" ref="P4:P29" si="7">+H4*N4</f>
        <v>0</v>
      </c>
      <c r="Q4" s="118"/>
    </row>
    <row r="5" spans="1:17" ht="15" x14ac:dyDescent="0.25">
      <c r="A5" s="931" t="s">
        <v>520</v>
      </c>
      <c r="B5" s="932" t="s">
        <v>69</v>
      </c>
      <c r="C5" s="1116"/>
      <c r="D5" s="1130"/>
      <c r="E5" s="112">
        <f>+'SUIVI LUBRIFIANT'!AH5</f>
        <v>0</v>
      </c>
      <c r="F5" s="227">
        <f t="shared" si="0"/>
        <v>0</v>
      </c>
      <c r="G5" s="1116"/>
      <c r="H5" s="277">
        <f t="shared" si="5"/>
        <v>0</v>
      </c>
      <c r="I5" s="237">
        <v>17000</v>
      </c>
      <c r="J5" s="236">
        <f t="shared" si="1"/>
        <v>0</v>
      </c>
      <c r="K5" s="123">
        <f t="shared" si="2"/>
        <v>0</v>
      </c>
      <c r="L5" s="123">
        <f t="shared" si="3"/>
        <v>0</v>
      </c>
      <c r="M5" s="123">
        <f t="shared" si="4"/>
        <v>0</v>
      </c>
      <c r="N5" s="1120">
        <v>17000</v>
      </c>
      <c r="O5" s="1119">
        <f t="shared" si="6"/>
        <v>0</v>
      </c>
      <c r="P5" s="1118">
        <f t="shared" si="7"/>
        <v>0</v>
      </c>
      <c r="Q5" s="118"/>
    </row>
    <row r="6" spans="1:17" ht="15" x14ac:dyDescent="0.25">
      <c r="A6" s="931" t="s">
        <v>521</v>
      </c>
      <c r="B6" s="932" t="s">
        <v>69</v>
      </c>
      <c r="C6" s="1116">
        <v>0</v>
      </c>
      <c r="D6" s="1130"/>
      <c r="E6" s="112">
        <f>+'SUIVI LUBRIFIANT'!AH6</f>
        <v>0</v>
      </c>
      <c r="F6" s="227">
        <f t="shared" si="0"/>
        <v>0</v>
      </c>
      <c r="G6" s="1116">
        <v>0</v>
      </c>
      <c r="H6" s="277">
        <f t="shared" si="5"/>
        <v>0</v>
      </c>
      <c r="I6" s="237">
        <v>24000</v>
      </c>
      <c r="J6" s="236">
        <f t="shared" si="1"/>
        <v>0</v>
      </c>
      <c r="K6" s="123">
        <f t="shared" si="2"/>
        <v>0</v>
      </c>
      <c r="L6" s="123">
        <f t="shared" si="3"/>
        <v>0</v>
      </c>
      <c r="M6" s="123">
        <f t="shared" si="4"/>
        <v>0</v>
      </c>
      <c r="N6" s="1119">
        <v>24000</v>
      </c>
      <c r="O6" s="1119">
        <f t="shared" si="6"/>
        <v>0</v>
      </c>
      <c r="P6" s="1118">
        <f t="shared" si="7"/>
        <v>0</v>
      </c>
      <c r="Q6" s="118"/>
    </row>
    <row r="7" spans="1:17" ht="15" x14ac:dyDescent="0.25">
      <c r="A7" s="931" t="s">
        <v>522</v>
      </c>
      <c r="B7" s="932" t="s">
        <v>75</v>
      </c>
      <c r="C7" s="1116">
        <v>0</v>
      </c>
      <c r="D7" s="1130"/>
      <c r="E7" s="112">
        <f>+'SUIVI LUBRIFIANT'!AH7</f>
        <v>0</v>
      </c>
      <c r="F7" s="227">
        <f t="shared" si="0"/>
        <v>0</v>
      </c>
      <c r="G7" s="1116">
        <v>0</v>
      </c>
      <c r="H7" s="277">
        <f t="shared" si="5"/>
        <v>0</v>
      </c>
      <c r="I7" s="237">
        <v>2500</v>
      </c>
      <c r="J7" s="236">
        <f t="shared" si="1"/>
        <v>0</v>
      </c>
      <c r="K7" s="123">
        <f t="shared" si="2"/>
        <v>0</v>
      </c>
      <c r="L7" s="123">
        <f t="shared" si="3"/>
        <v>0</v>
      </c>
      <c r="M7" s="123">
        <f t="shared" si="4"/>
        <v>0</v>
      </c>
      <c r="N7" s="1120">
        <v>2500</v>
      </c>
      <c r="O7" s="1119">
        <f t="shared" si="6"/>
        <v>0</v>
      </c>
      <c r="P7" s="1118">
        <f t="shared" si="7"/>
        <v>0</v>
      </c>
      <c r="Q7" s="118"/>
    </row>
    <row r="8" spans="1:17" ht="15" x14ac:dyDescent="0.25">
      <c r="A8" s="931" t="s">
        <v>523</v>
      </c>
      <c r="B8" s="932" t="s">
        <v>69</v>
      </c>
      <c r="C8" s="1116">
        <v>3</v>
      </c>
      <c r="D8" s="1130"/>
      <c r="E8" s="112">
        <f>+'SUIVI LUBRIFIANT'!AH8</f>
        <v>1</v>
      </c>
      <c r="F8" s="227">
        <f t="shared" si="0"/>
        <v>2</v>
      </c>
      <c r="G8" s="1116">
        <v>2</v>
      </c>
      <c r="H8" s="277">
        <f t="shared" si="5"/>
        <v>0</v>
      </c>
      <c r="I8" s="237">
        <v>16000</v>
      </c>
      <c r="J8" s="236">
        <f t="shared" si="1"/>
        <v>32000</v>
      </c>
      <c r="K8" s="123">
        <f t="shared" si="2"/>
        <v>48000</v>
      </c>
      <c r="L8" s="1188">
        <f t="shared" si="3"/>
        <v>0</v>
      </c>
      <c r="M8" s="123">
        <f t="shared" si="4"/>
        <v>16000</v>
      </c>
      <c r="N8" s="1119">
        <v>16000</v>
      </c>
      <c r="O8" s="1119">
        <f t="shared" si="6"/>
        <v>32000</v>
      </c>
      <c r="P8" s="1118">
        <f t="shared" si="7"/>
        <v>0</v>
      </c>
      <c r="Q8" s="118"/>
    </row>
    <row r="9" spans="1:17" s="114" customFormat="1" ht="15" x14ac:dyDescent="0.25">
      <c r="A9" s="931" t="s">
        <v>524</v>
      </c>
      <c r="B9" s="932" t="s">
        <v>75</v>
      </c>
      <c r="C9" s="1116"/>
      <c r="D9" s="1130"/>
      <c r="E9" s="112">
        <f>+'SUIVI LUBRIFIANT'!AH9</f>
        <v>0</v>
      </c>
      <c r="F9" s="227">
        <f t="shared" si="0"/>
        <v>0</v>
      </c>
      <c r="G9" s="1116"/>
      <c r="H9" s="277">
        <f t="shared" si="5"/>
        <v>0</v>
      </c>
      <c r="I9" s="237">
        <v>3250</v>
      </c>
      <c r="J9" s="236">
        <f t="shared" si="1"/>
        <v>0</v>
      </c>
      <c r="K9" s="123">
        <f t="shared" si="2"/>
        <v>0</v>
      </c>
      <c r="L9" s="123">
        <f t="shared" si="3"/>
        <v>0</v>
      </c>
      <c r="M9" s="123">
        <f t="shared" si="4"/>
        <v>0</v>
      </c>
      <c r="N9" s="1120">
        <v>3250</v>
      </c>
      <c r="O9" s="1119">
        <f t="shared" si="6"/>
        <v>0</v>
      </c>
      <c r="P9" s="1118">
        <f t="shared" si="7"/>
        <v>0</v>
      </c>
      <c r="Q9" s="118"/>
    </row>
    <row r="10" spans="1:17" s="114" customFormat="1" ht="15" x14ac:dyDescent="0.25">
      <c r="A10" s="931" t="s">
        <v>525</v>
      </c>
      <c r="B10" s="932" t="s">
        <v>69</v>
      </c>
      <c r="C10" s="1116"/>
      <c r="D10" s="1130"/>
      <c r="E10" s="112">
        <f>+'SUIVI LUBRIFIANT'!AH10</f>
        <v>0</v>
      </c>
      <c r="F10" s="227">
        <f>C10+D10-E10</f>
        <v>0</v>
      </c>
      <c r="G10" s="1116"/>
      <c r="H10" s="277">
        <f t="shared" si="5"/>
        <v>0</v>
      </c>
      <c r="I10" s="237">
        <v>17000</v>
      </c>
      <c r="J10" s="236">
        <f>G10*I10</f>
        <v>0</v>
      </c>
      <c r="K10" s="123">
        <f t="shared" si="2"/>
        <v>0</v>
      </c>
      <c r="L10" s="123">
        <f t="shared" si="3"/>
        <v>0</v>
      </c>
      <c r="M10" s="123">
        <f t="shared" si="4"/>
        <v>0</v>
      </c>
      <c r="N10" s="1120">
        <v>17000</v>
      </c>
      <c r="O10" s="1119">
        <f t="shared" si="6"/>
        <v>0</v>
      </c>
      <c r="P10" s="1118">
        <f t="shared" si="7"/>
        <v>0</v>
      </c>
      <c r="Q10" s="118"/>
    </row>
    <row r="11" spans="1:17" s="114" customFormat="1" ht="15" x14ac:dyDescent="0.25">
      <c r="A11" s="931" t="s">
        <v>526</v>
      </c>
      <c r="B11" s="932" t="s">
        <v>527</v>
      </c>
      <c r="C11" s="1116"/>
      <c r="D11" s="1130"/>
      <c r="E11" s="112">
        <f>+'SUIVI LUBRIFIANT'!AH11</f>
        <v>0</v>
      </c>
      <c r="F11" s="227">
        <f t="shared" si="0"/>
        <v>0</v>
      </c>
      <c r="G11" s="1116"/>
      <c r="H11" s="277">
        <f t="shared" si="5"/>
        <v>0</v>
      </c>
      <c r="I11" s="237">
        <v>1775</v>
      </c>
      <c r="J11" s="236">
        <f t="shared" si="1"/>
        <v>0</v>
      </c>
      <c r="K11" s="123">
        <f t="shared" si="2"/>
        <v>0</v>
      </c>
      <c r="L11" s="123">
        <f t="shared" si="3"/>
        <v>0</v>
      </c>
      <c r="M11" s="123">
        <f t="shared" si="4"/>
        <v>0</v>
      </c>
      <c r="N11" s="1119">
        <v>1775</v>
      </c>
      <c r="O11" s="1119">
        <f t="shared" si="6"/>
        <v>0</v>
      </c>
      <c r="P11" s="1118">
        <f t="shared" si="7"/>
        <v>0</v>
      </c>
      <c r="Q11" s="118"/>
    </row>
    <row r="12" spans="1:17" s="114" customFormat="1" ht="15" x14ac:dyDescent="0.25">
      <c r="A12" s="931" t="s">
        <v>528</v>
      </c>
      <c r="B12" s="932" t="s">
        <v>310</v>
      </c>
      <c r="C12" s="1191">
        <v>1.5</v>
      </c>
      <c r="D12" s="1130"/>
      <c r="E12" s="112">
        <f>+'SUIVI LUBRIFIANT'!AH12</f>
        <v>1</v>
      </c>
      <c r="F12" s="227">
        <v>0.5</v>
      </c>
      <c r="G12" s="1155">
        <v>0.5</v>
      </c>
      <c r="H12" s="277">
        <f t="shared" si="5"/>
        <v>0</v>
      </c>
      <c r="I12" s="237">
        <v>3350</v>
      </c>
      <c r="J12" s="236">
        <f t="shared" si="1"/>
        <v>1675</v>
      </c>
      <c r="K12" s="123">
        <f>+I12*C12</f>
        <v>5025</v>
      </c>
      <c r="L12" s="123">
        <f t="shared" si="3"/>
        <v>0</v>
      </c>
      <c r="M12" s="123">
        <f t="shared" si="4"/>
        <v>3350</v>
      </c>
      <c r="N12" s="1119">
        <v>2900</v>
      </c>
      <c r="O12" s="1119">
        <f t="shared" si="6"/>
        <v>1450</v>
      </c>
      <c r="P12" s="1118">
        <f t="shared" si="7"/>
        <v>0</v>
      </c>
      <c r="Q12" s="118"/>
    </row>
    <row r="13" spans="1:17" ht="15" x14ac:dyDescent="0.25">
      <c r="A13" s="931" t="s">
        <v>529</v>
      </c>
      <c r="B13" s="932" t="s">
        <v>136</v>
      </c>
      <c r="C13" s="1116">
        <v>0</v>
      </c>
      <c r="D13" s="1130"/>
      <c r="E13" s="112">
        <v>0</v>
      </c>
      <c r="F13" s="227">
        <v>0</v>
      </c>
      <c r="G13" s="1116">
        <v>0</v>
      </c>
      <c r="H13" s="277">
        <f t="shared" si="5"/>
        <v>0</v>
      </c>
      <c r="I13" s="237">
        <v>2400</v>
      </c>
      <c r="J13" s="236">
        <f t="shared" si="1"/>
        <v>0</v>
      </c>
      <c r="K13" s="123">
        <f t="shared" si="2"/>
        <v>0</v>
      </c>
      <c r="L13" s="1188">
        <f t="shared" si="3"/>
        <v>0</v>
      </c>
      <c r="M13" s="123">
        <f t="shared" si="4"/>
        <v>0</v>
      </c>
      <c r="N13" s="1120">
        <v>2400</v>
      </c>
      <c r="O13" s="1119">
        <f t="shared" si="6"/>
        <v>0</v>
      </c>
      <c r="P13" s="1118">
        <f t="shared" si="7"/>
        <v>0</v>
      </c>
      <c r="Q13" s="118"/>
    </row>
    <row r="14" spans="1:17" s="114" customFormat="1" ht="15" x14ac:dyDescent="0.25">
      <c r="A14" s="931" t="s">
        <v>530</v>
      </c>
      <c r="B14" s="933" t="s">
        <v>70</v>
      </c>
      <c r="C14" s="1116"/>
      <c r="D14" s="1130"/>
      <c r="E14" s="112">
        <f>+'SUIVI LUBRIFIANT'!AH14</f>
        <v>0</v>
      </c>
      <c r="F14" s="227">
        <f t="shared" si="0"/>
        <v>0</v>
      </c>
      <c r="G14" s="1116"/>
      <c r="H14" s="277">
        <f t="shared" si="5"/>
        <v>0</v>
      </c>
      <c r="I14" s="237">
        <v>60000</v>
      </c>
      <c r="J14" s="236">
        <f t="shared" si="1"/>
        <v>0</v>
      </c>
      <c r="K14" s="123">
        <f t="shared" si="2"/>
        <v>0</v>
      </c>
      <c r="L14" s="123">
        <f t="shared" si="3"/>
        <v>0</v>
      </c>
      <c r="M14" s="123">
        <f t="shared" si="4"/>
        <v>0</v>
      </c>
      <c r="N14" s="1119">
        <v>60000</v>
      </c>
      <c r="O14" s="1119">
        <f t="shared" si="6"/>
        <v>0</v>
      </c>
      <c r="P14" s="1118">
        <f t="shared" si="7"/>
        <v>0</v>
      </c>
      <c r="Q14" s="118"/>
    </row>
    <row r="15" spans="1:17" s="114" customFormat="1" ht="15" x14ac:dyDescent="0.25">
      <c r="A15" s="931" t="s">
        <v>522</v>
      </c>
      <c r="B15" s="934" t="s">
        <v>69</v>
      </c>
      <c r="C15" s="1116"/>
      <c r="D15" s="1131"/>
      <c r="E15" s="112">
        <f>+'SUIVI LUBRIFIANT'!AH15</f>
        <v>0</v>
      </c>
      <c r="F15" s="227">
        <f t="shared" si="0"/>
        <v>0</v>
      </c>
      <c r="G15" s="1116"/>
      <c r="H15" s="277">
        <f t="shared" si="5"/>
        <v>0</v>
      </c>
      <c r="I15" s="197">
        <v>20000</v>
      </c>
      <c r="J15" s="236">
        <f t="shared" si="1"/>
        <v>0</v>
      </c>
      <c r="K15" s="123">
        <f t="shared" si="2"/>
        <v>0</v>
      </c>
      <c r="L15" s="123">
        <f t="shared" si="3"/>
        <v>0</v>
      </c>
      <c r="M15" s="123">
        <f t="shared" si="4"/>
        <v>0</v>
      </c>
      <c r="N15" s="1120">
        <v>20000</v>
      </c>
      <c r="O15" s="1119">
        <f t="shared" si="6"/>
        <v>0</v>
      </c>
      <c r="P15" s="1118">
        <f t="shared" si="7"/>
        <v>0</v>
      </c>
      <c r="Q15" s="118"/>
    </row>
    <row r="16" spans="1:17" ht="15" x14ac:dyDescent="0.25">
      <c r="A16" s="931" t="s">
        <v>531</v>
      </c>
      <c r="B16" s="932" t="s">
        <v>69</v>
      </c>
      <c r="C16" s="1116">
        <v>0</v>
      </c>
      <c r="D16" s="1130"/>
      <c r="E16" s="112">
        <f>+'SUIVI LUBRIFIANT'!AH16</f>
        <v>0</v>
      </c>
      <c r="F16" s="227">
        <f t="shared" si="0"/>
        <v>0</v>
      </c>
      <c r="G16" s="1116">
        <v>0</v>
      </c>
      <c r="H16" s="277">
        <f t="shared" si="5"/>
        <v>0</v>
      </c>
      <c r="I16" s="237">
        <v>20000</v>
      </c>
      <c r="J16" s="236">
        <f t="shared" si="1"/>
        <v>0</v>
      </c>
      <c r="K16" s="123">
        <f t="shared" si="2"/>
        <v>0</v>
      </c>
      <c r="L16" s="1188">
        <f t="shared" si="3"/>
        <v>0</v>
      </c>
      <c r="M16" s="123">
        <f t="shared" si="4"/>
        <v>0</v>
      </c>
      <c r="N16" s="1119">
        <v>20000</v>
      </c>
      <c r="O16" s="1119">
        <f t="shared" si="6"/>
        <v>0</v>
      </c>
      <c r="P16" s="1118">
        <f t="shared" si="7"/>
        <v>0</v>
      </c>
      <c r="Q16" s="118"/>
    </row>
    <row r="17" spans="1:17" ht="15" x14ac:dyDescent="0.25">
      <c r="A17" s="931" t="s">
        <v>532</v>
      </c>
      <c r="B17" s="933" t="s">
        <v>533</v>
      </c>
      <c r="C17" s="1116"/>
      <c r="D17" s="1130"/>
      <c r="E17" s="112">
        <f>+'SUIVI LUBRIFIANT'!AH17</f>
        <v>0</v>
      </c>
      <c r="F17" s="227">
        <f t="shared" si="0"/>
        <v>0</v>
      </c>
      <c r="G17" s="1116"/>
      <c r="H17" s="277">
        <f t="shared" si="5"/>
        <v>0</v>
      </c>
      <c r="I17" s="237">
        <v>4350</v>
      </c>
      <c r="J17" s="236">
        <f t="shared" si="1"/>
        <v>0</v>
      </c>
      <c r="K17" s="123">
        <f t="shared" si="2"/>
        <v>0</v>
      </c>
      <c r="L17" s="123">
        <f t="shared" si="3"/>
        <v>0</v>
      </c>
      <c r="M17" s="123">
        <f t="shared" si="4"/>
        <v>0</v>
      </c>
      <c r="N17" s="1119">
        <v>4350</v>
      </c>
      <c r="O17" s="1119">
        <f t="shared" si="6"/>
        <v>0</v>
      </c>
      <c r="P17" s="1118">
        <f t="shared" si="7"/>
        <v>0</v>
      </c>
      <c r="Q17" s="118"/>
    </row>
    <row r="18" spans="1:17" ht="15" x14ac:dyDescent="0.25">
      <c r="A18" s="931" t="s">
        <v>534</v>
      </c>
      <c r="B18" s="933" t="s">
        <v>75</v>
      </c>
      <c r="C18" s="1116"/>
      <c r="D18" s="1130"/>
      <c r="E18" s="112">
        <f>+'SUIVI LUBRIFIANT'!AH18</f>
        <v>0</v>
      </c>
      <c r="F18" s="227">
        <f t="shared" si="0"/>
        <v>0</v>
      </c>
      <c r="G18" s="1116"/>
      <c r="H18" s="277">
        <f t="shared" si="5"/>
        <v>0</v>
      </c>
      <c r="I18" s="237">
        <v>1700</v>
      </c>
      <c r="J18" s="236">
        <f t="shared" si="1"/>
        <v>0</v>
      </c>
      <c r="K18" s="236">
        <f t="shared" si="2"/>
        <v>0</v>
      </c>
      <c r="L18" s="123">
        <f t="shared" si="3"/>
        <v>0</v>
      </c>
      <c r="M18" s="123">
        <f t="shared" si="4"/>
        <v>0</v>
      </c>
      <c r="N18" s="1119">
        <v>1700</v>
      </c>
      <c r="O18" s="1119">
        <f t="shared" si="6"/>
        <v>0</v>
      </c>
      <c r="P18" s="1118">
        <f t="shared" si="7"/>
        <v>0</v>
      </c>
      <c r="Q18" s="118"/>
    </row>
    <row r="19" spans="1:17" ht="15" x14ac:dyDescent="0.25">
      <c r="A19" s="931" t="s">
        <v>535</v>
      </c>
      <c r="B19" s="932" t="s">
        <v>75</v>
      </c>
      <c r="C19" s="1116"/>
      <c r="D19" s="1130"/>
      <c r="E19" s="112">
        <f>+'SUIVI LUBRIFIANT'!AH19</f>
        <v>0</v>
      </c>
      <c r="F19" s="227">
        <f t="shared" si="0"/>
        <v>0</v>
      </c>
      <c r="G19" s="1116"/>
      <c r="H19" s="277">
        <f t="shared" si="5"/>
        <v>0</v>
      </c>
      <c r="I19" s="237">
        <v>1750</v>
      </c>
      <c r="J19" s="236">
        <f t="shared" si="1"/>
        <v>0</v>
      </c>
      <c r="K19" s="236">
        <f t="shared" si="2"/>
        <v>0</v>
      </c>
      <c r="L19" s="123">
        <f t="shared" si="3"/>
        <v>0</v>
      </c>
      <c r="M19" s="123">
        <f t="shared" si="4"/>
        <v>0</v>
      </c>
      <c r="N19" s="1121">
        <v>1750</v>
      </c>
      <c r="O19" s="1119">
        <f t="shared" si="6"/>
        <v>0</v>
      </c>
      <c r="P19" s="1118">
        <f>+H19*N19</f>
        <v>0</v>
      </c>
      <c r="Q19" s="118"/>
    </row>
    <row r="20" spans="1:17" ht="15" x14ac:dyDescent="0.25">
      <c r="A20" s="931" t="s">
        <v>536</v>
      </c>
      <c r="B20" s="932" t="s">
        <v>75</v>
      </c>
      <c r="C20" s="1116"/>
      <c r="D20" s="1130"/>
      <c r="E20" s="112">
        <f>+'SUIVI LUBRIFIANT'!AH20</f>
        <v>0</v>
      </c>
      <c r="F20" s="227">
        <f t="shared" si="0"/>
        <v>0</v>
      </c>
      <c r="G20" s="1116"/>
      <c r="H20" s="277">
        <f t="shared" si="5"/>
        <v>0</v>
      </c>
      <c r="I20" s="237">
        <v>1900</v>
      </c>
      <c r="J20" s="236">
        <f t="shared" si="1"/>
        <v>0</v>
      </c>
      <c r="K20" s="236">
        <f>+I20*C20</f>
        <v>0</v>
      </c>
      <c r="L20" s="123">
        <f t="shared" si="3"/>
        <v>0</v>
      </c>
      <c r="M20" s="123">
        <f t="shared" si="4"/>
        <v>0</v>
      </c>
      <c r="N20" s="1119">
        <v>1900</v>
      </c>
      <c r="O20" s="1119">
        <f t="shared" si="6"/>
        <v>0</v>
      </c>
      <c r="P20" s="1118">
        <f t="shared" si="7"/>
        <v>0</v>
      </c>
      <c r="Q20" s="118"/>
    </row>
    <row r="21" spans="1:17" ht="15" x14ac:dyDescent="0.25">
      <c r="A21" s="931" t="s">
        <v>537</v>
      </c>
      <c r="B21" s="932" t="s">
        <v>285</v>
      </c>
      <c r="C21" s="1116">
        <v>0</v>
      </c>
      <c r="D21" s="1130"/>
      <c r="E21" s="112">
        <f>+'SUIVI LUBRIFIANT'!AH21</f>
        <v>0</v>
      </c>
      <c r="F21" s="227">
        <f t="shared" si="0"/>
        <v>0</v>
      </c>
      <c r="G21" s="1116">
        <v>0</v>
      </c>
      <c r="H21" s="277">
        <f t="shared" si="5"/>
        <v>0</v>
      </c>
      <c r="I21" s="237">
        <v>4100</v>
      </c>
      <c r="J21" s="236">
        <f>+I21*G21</f>
        <v>0</v>
      </c>
      <c r="K21" s="236">
        <f t="shared" si="2"/>
        <v>0</v>
      </c>
      <c r="L21" s="123">
        <f t="shared" si="3"/>
        <v>0</v>
      </c>
      <c r="M21" s="123">
        <f t="shared" si="4"/>
        <v>0</v>
      </c>
      <c r="N21" s="1119">
        <v>4100</v>
      </c>
      <c r="O21" s="1119">
        <f t="shared" si="6"/>
        <v>0</v>
      </c>
      <c r="P21" s="1118">
        <f t="shared" si="7"/>
        <v>0</v>
      </c>
      <c r="Q21" s="118"/>
    </row>
    <row r="22" spans="1:17" ht="15" x14ac:dyDescent="0.25">
      <c r="A22" s="935" t="s">
        <v>538</v>
      </c>
      <c r="B22" s="932" t="s">
        <v>70</v>
      </c>
      <c r="C22" s="1116"/>
      <c r="D22" s="1130"/>
      <c r="E22" s="112">
        <f>+'SUIVI LUBRIFIANT'!AH22</f>
        <v>0</v>
      </c>
      <c r="F22" s="227">
        <f>C22+D22-E22</f>
        <v>0</v>
      </c>
      <c r="G22" s="1116"/>
      <c r="H22" s="277">
        <f t="shared" si="5"/>
        <v>0</v>
      </c>
      <c r="I22" s="609">
        <v>72000</v>
      </c>
      <c r="J22" s="236">
        <f>G22*I22</f>
        <v>0</v>
      </c>
      <c r="K22" s="236">
        <f t="shared" si="2"/>
        <v>0</v>
      </c>
      <c r="L22" s="123">
        <f t="shared" si="3"/>
        <v>0</v>
      </c>
      <c r="M22" s="123">
        <f t="shared" si="4"/>
        <v>0</v>
      </c>
      <c r="N22" s="1119">
        <v>72000</v>
      </c>
      <c r="O22" s="1119">
        <f t="shared" si="6"/>
        <v>0</v>
      </c>
      <c r="P22" s="1118">
        <f t="shared" si="7"/>
        <v>0</v>
      </c>
      <c r="Q22" s="118"/>
    </row>
    <row r="23" spans="1:17" ht="15" x14ac:dyDescent="0.25">
      <c r="A23" s="935" t="s">
        <v>539</v>
      </c>
      <c r="B23" s="932" t="s">
        <v>285</v>
      </c>
      <c r="C23" s="1116"/>
      <c r="D23" s="1130"/>
      <c r="E23" s="112">
        <f>+'SUIVI LUBRIFIANT'!AH23</f>
        <v>0</v>
      </c>
      <c r="F23" s="227">
        <f t="shared" si="0"/>
        <v>0</v>
      </c>
      <c r="G23" s="1116"/>
      <c r="H23" s="277">
        <f t="shared" si="5"/>
        <v>0</v>
      </c>
      <c r="I23" s="238">
        <v>3500</v>
      </c>
      <c r="J23" s="236">
        <f t="shared" si="1"/>
        <v>0</v>
      </c>
      <c r="K23" s="236">
        <f t="shared" si="2"/>
        <v>0</v>
      </c>
      <c r="L23" s="123">
        <f t="shared" si="3"/>
        <v>0</v>
      </c>
      <c r="M23" s="123">
        <f t="shared" si="4"/>
        <v>0</v>
      </c>
      <c r="N23" s="1120">
        <v>3500</v>
      </c>
      <c r="O23" s="1119">
        <f t="shared" si="6"/>
        <v>0</v>
      </c>
      <c r="P23" s="1118">
        <f t="shared" si="7"/>
        <v>0</v>
      </c>
      <c r="Q23" s="118"/>
    </row>
    <row r="24" spans="1:17" ht="15" x14ac:dyDescent="0.25">
      <c r="A24" s="935" t="s">
        <v>540</v>
      </c>
      <c r="B24" s="932" t="s">
        <v>285</v>
      </c>
      <c r="C24" s="1116">
        <v>0</v>
      </c>
      <c r="D24" s="1130"/>
      <c r="E24" s="112">
        <f>+'SUIVI LUBRIFIANT'!AH24</f>
        <v>0</v>
      </c>
      <c r="F24" s="227">
        <f t="shared" si="0"/>
        <v>0</v>
      </c>
      <c r="G24" s="1116">
        <v>0</v>
      </c>
      <c r="H24" s="277">
        <f t="shared" si="5"/>
        <v>0</v>
      </c>
      <c r="I24" s="238">
        <v>3800</v>
      </c>
      <c r="J24" s="236">
        <f t="shared" si="1"/>
        <v>0</v>
      </c>
      <c r="K24" s="236">
        <f t="shared" si="2"/>
        <v>0</v>
      </c>
      <c r="L24" s="123">
        <f>+I24*D24</f>
        <v>0</v>
      </c>
      <c r="M24" s="123">
        <f t="shared" si="4"/>
        <v>0</v>
      </c>
      <c r="N24" s="1120">
        <v>3800</v>
      </c>
      <c r="O24" s="1119">
        <f t="shared" si="6"/>
        <v>0</v>
      </c>
      <c r="P24" s="1118">
        <f t="shared" si="7"/>
        <v>0</v>
      </c>
      <c r="Q24" s="118"/>
    </row>
    <row r="25" spans="1:17" ht="15" x14ac:dyDescent="0.25">
      <c r="A25" s="935" t="s">
        <v>541</v>
      </c>
      <c r="B25" s="932" t="s">
        <v>285</v>
      </c>
      <c r="C25" s="1116">
        <v>0</v>
      </c>
      <c r="D25" s="1130"/>
      <c r="E25" s="112">
        <f>+'SUIVI LUBRIFIANT'!AH25</f>
        <v>0</v>
      </c>
      <c r="F25" s="227">
        <f>C25+D25-E25</f>
        <v>0</v>
      </c>
      <c r="G25" s="1116">
        <v>0</v>
      </c>
      <c r="H25" s="277">
        <f t="shared" si="5"/>
        <v>0</v>
      </c>
      <c r="I25" s="238">
        <v>3900</v>
      </c>
      <c r="J25" s="236">
        <f>G25*I25</f>
        <v>0</v>
      </c>
      <c r="K25" s="236">
        <f t="shared" si="2"/>
        <v>0</v>
      </c>
      <c r="L25" s="123">
        <f t="shared" si="3"/>
        <v>0</v>
      </c>
      <c r="M25" s="123">
        <f t="shared" si="4"/>
        <v>0</v>
      </c>
      <c r="N25" s="1120">
        <v>3900</v>
      </c>
      <c r="O25" s="1119">
        <f t="shared" si="6"/>
        <v>0</v>
      </c>
      <c r="P25" s="1118">
        <f t="shared" si="7"/>
        <v>0</v>
      </c>
      <c r="Q25" s="118"/>
    </row>
    <row r="26" spans="1:17" ht="15" x14ac:dyDescent="0.25">
      <c r="A26" s="935" t="s">
        <v>542</v>
      </c>
      <c r="B26" s="932" t="s">
        <v>286</v>
      </c>
      <c r="C26" s="1116">
        <v>47</v>
      </c>
      <c r="D26" s="1130"/>
      <c r="E26" s="112">
        <f>+'SUIVI LUBRIFIANT'!AH26</f>
        <v>1</v>
      </c>
      <c r="F26" s="227">
        <f>C26+D26-E26</f>
        <v>46</v>
      </c>
      <c r="G26" s="1116">
        <v>46</v>
      </c>
      <c r="H26" s="277">
        <f t="shared" si="5"/>
        <v>0</v>
      </c>
      <c r="I26" s="238">
        <v>1725</v>
      </c>
      <c r="J26" s="236">
        <f>G26*I26</f>
        <v>79350</v>
      </c>
      <c r="K26" s="236">
        <f t="shared" si="2"/>
        <v>81075</v>
      </c>
      <c r="L26" s="123">
        <f>I26*D26</f>
        <v>0</v>
      </c>
      <c r="M26" s="123">
        <f t="shared" si="4"/>
        <v>1725</v>
      </c>
      <c r="N26" s="1120">
        <v>1725</v>
      </c>
      <c r="O26" s="1119">
        <f t="shared" si="6"/>
        <v>79350</v>
      </c>
      <c r="P26" s="1118">
        <f t="shared" si="7"/>
        <v>0</v>
      </c>
      <c r="Q26" s="118"/>
    </row>
    <row r="27" spans="1:17" ht="15" x14ac:dyDescent="0.25">
      <c r="A27" s="935" t="s">
        <v>543</v>
      </c>
      <c r="B27" s="932" t="s">
        <v>544</v>
      </c>
      <c r="C27" s="1116"/>
      <c r="D27" s="1130"/>
      <c r="E27" s="112">
        <f>+'SUIVI LUBRIFIANT'!AH27</f>
        <v>0</v>
      </c>
      <c r="F27" s="227">
        <f t="shared" si="0"/>
        <v>0</v>
      </c>
      <c r="G27" s="1116"/>
      <c r="H27" s="277">
        <f t="shared" si="5"/>
        <v>0</v>
      </c>
      <c r="I27" s="238">
        <v>4300</v>
      </c>
      <c r="J27" s="236">
        <f t="shared" si="1"/>
        <v>0</v>
      </c>
      <c r="K27" s="236">
        <f t="shared" si="2"/>
        <v>0</v>
      </c>
      <c r="L27" s="123">
        <f t="shared" si="3"/>
        <v>0</v>
      </c>
      <c r="M27" s="123">
        <f t="shared" si="4"/>
        <v>0</v>
      </c>
      <c r="N27" s="1120">
        <v>4300</v>
      </c>
      <c r="O27" s="1119">
        <f t="shared" si="6"/>
        <v>0</v>
      </c>
      <c r="P27" s="1118">
        <f t="shared" si="7"/>
        <v>0</v>
      </c>
      <c r="Q27" s="118"/>
    </row>
    <row r="28" spans="1:17" ht="15" x14ac:dyDescent="0.25">
      <c r="A28" s="1215" t="s">
        <v>657</v>
      </c>
      <c r="B28" s="932" t="s">
        <v>658</v>
      </c>
      <c r="C28" s="1116">
        <v>41</v>
      </c>
      <c r="D28" s="1130"/>
      <c r="E28" s="112">
        <f>+'SUIVI LUBRIFIANT'!AH28</f>
        <v>24</v>
      </c>
      <c r="F28" s="227">
        <v>16.5</v>
      </c>
      <c r="G28" s="1116">
        <v>16.5</v>
      </c>
      <c r="H28" s="277">
        <f t="shared" si="5"/>
        <v>0</v>
      </c>
      <c r="I28" s="238">
        <v>2400</v>
      </c>
      <c r="J28" s="236">
        <f t="shared" si="1"/>
        <v>39600</v>
      </c>
      <c r="K28" s="123">
        <f t="shared" si="2"/>
        <v>98400</v>
      </c>
      <c r="L28" s="123">
        <f t="shared" si="3"/>
        <v>0</v>
      </c>
      <c r="M28" s="123">
        <f t="shared" si="4"/>
        <v>57600</v>
      </c>
      <c r="N28" s="1120"/>
      <c r="O28" s="1119">
        <f t="shared" si="6"/>
        <v>0</v>
      </c>
      <c r="P28" s="1118">
        <f t="shared" si="7"/>
        <v>0</v>
      </c>
      <c r="Q28" s="118"/>
    </row>
    <row r="29" spans="1:17" ht="18.75" thickBot="1" x14ac:dyDescent="0.3">
      <c r="A29" s="936"/>
      <c r="B29" s="937"/>
      <c r="C29" s="1116"/>
      <c r="D29" s="647"/>
      <c r="E29" s="112">
        <f>+'SUIVI LUBRIFIANT'!AH29</f>
        <v>0</v>
      </c>
      <c r="F29" s="648">
        <f>+C29+D29-E29</f>
        <v>0</v>
      </c>
      <c r="G29" s="1116"/>
      <c r="H29" s="277">
        <f t="shared" si="5"/>
        <v>0</v>
      </c>
      <c r="I29" s="238"/>
      <c r="J29" s="236">
        <f t="shared" si="1"/>
        <v>0</v>
      </c>
      <c r="K29" s="123">
        <f t="shared" si="2"/>
        <v>0</v>
      </c>
      <c r="L29" s="123">
        <f t="shared" si="3"/>
        <v>0</v>
      </c>
      <c r="M29" s="123">
        <f t="shared" si="4"/>
        <v>0</v>
      </c>
      <c r="N29" s="1117"/>
      <c r="O29" s="1119">
        <f t="shared" si="6"/>
        <v>0</v>
      </c>
      <c r="P29" s="1118">
        <f t="shared" si="7"/>
        <v>0</v>
      </c>
    </row>
    <row r="30" spans="1:17" ht="15" thickBot="1" x14ac:dyDescent="0.25">
      <c r="A30" s="1940"/>
      <c r="B30" s="1941"/>
      <c r="C30" s="1941"/>
      <c r="D30" s="1941"/>
      <c r="E30" s="1941"/>
      <c r="F30" s="1941"/>
      <c r="G30" s="1941"/>
      <c r="H30" s="1942"/>
      <c r="I30" s="124"/>
      <c r="J30" s="124">
        <f>SUM(J3:J29)</f>
        <v>186625</v>
      </c>
      <c r="K30" s="124">
        <f>SUM(K3:K29)</f>
        <v>266500</v>
      </c>
      <c r="L30" s="124">
        <f>SUM(L3:L29)</f>
        <v>0</v>
      </c>
      <c r="M30" s="124">
        <f>SUM(M3:M29)</f>
        <v>78675</v>
      </c>
      <c r="N30" s="124"/>
      <c r="O30" s="124">
        <f t="shared" ref="O30:P30" si="8">SUM(O3:O29)</f>
        <v>146800</v>
      </c>
      <c r="P30" s="124">
        <f t="shared" si="8"/>
        <v>0</v>
      </c>
    </row>
    <row r="31" spans="1:17" x14ac:dyDescent="0.2">
      <c r="J31" s="1159"/>
      <c r="K31" s="120"/>
      <c r="L31" s="119"/>
      <c r="M31" s="121"/>
      <c r="O31" s="120">
        <f>O30-J30</f>
        <v>-39825</v>
      </c>
    </row>
    <row r="32" spans="1:17" x14ac:dyDescent="0.2">
      <c r="B32" s="1214"/>
      <c r="J32" s="120"/>
    </row>
    <row r="33" spans="5:12" x14ac:dyDescent="0.2">
      <c r="G33" s="113"/>
      <c r="K33" s="120">
        <f>+K30-M30</f>
        <v>187825</v>
      </c>
      <c r="L33" s="120"/>
    </row>
    <row r="34" spans="5:12" x14ac:dyDescent="0.2">
      <c r="E34" s="115"/>
      <c r="F34" s="116"/>
      <c r="G34" s="115"/>
      <c r="H34" s="113"/>
      <c r="K34" s="120">
        <f>+J30-K33</f>
        <v>-1200</v>
      </c>
    </row>
  </sheetData>
  <mergeCells count="2">
    <mergeCell ref="A1:I1"/>
    <mergeCell ref="A30:H30"/>
  </mergeCells>
  <pageMargins left="0.7" right="0.7" top="0.75" bottom="0.75" header="0.3" footer="0.3"/>
  <pageSetup paperSize="9" scale="5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A28" sqref="A28:D28"/>
    </sheetView>
  </sheetViews>
  <sheetFormatPr baseColWidth="10" defaultRowHeight="15" x14ac:dyDescent="0.25"/>
  <cols>
    <col min="1" max="1" width="23.5703125" style="688" customWidth="1"/>
    <col min="2" max="2" width="16.140625" style="688" customWidth="1"/>
    <col min="3" max="3" width="16.7109375" style="688" customWidth="1"/>
    <col min="4" max="4" width="18.28515625" style="688" customWidth="1"/>
    <col min="5" max="5" width="11.42578125" style="688"/>
    <col min="6" max="6" width="16" style="688" customWidth="1"/>
    <col min="7" max="7" width="18.42578125" style="688" customWidth="1"/>
    <col min="8" max="8" width="18.28515625" style="688" customWidth="1"/>
    <col min="9" max="10" width="16.140625" style="688" bestFit="1" customWidth="1"/>
    <col min="11" max="16384" width="11.42578125" style="688"/>
  </cols>
  <sheetData>
    <row r="1" spans="1:12" ht="16.5" thickBot="1" x14ac:dyDescent="0.3">
      <c r="A1" s="1896" t="s">
        <v>601</v>
      </c>
      <c r="B1" s="1897"/>
      <c r="C1" s="1897"/>
      <c r="D1" s="1898"/>
      <c r="E1" s="1008"/>
      <c r="F1" s="1009"/>
      <c r="G1" s="1010"/>
      <c r="H1" s="1010"/>
      <c r="I1" s="1011"/>
    </row>
    <row r="2" spans="1:12" ht="16.5" thickBot="1" x14ac:dyDescent="0.3">
      <c r="A2" s="1012" t="s">
        <v>26</v>
      </c>
      <c r="B2" s="1013" t="s">
        <v>38</v>
      </c>
      <c r="C2" s="1014" t="s">
        <v>39</v>
      </c>
      <c r="D2" s="1015" t="s">
        <v>11</v>
      </c>
      <c r="E2" s="1016"/>
      <c r="F2" s="1017">
        <v>1345910.5</v>
      </c>
      <c r="G2" s="1010"/>
      <c r="H2" s="1010"/>
      <c r="I2" s="1011"/>
    </row>
    <row r="3" spans="1:12" ht="16.5" thickBot="1" x14ac:dyDescent="0.3">
      <c r="A3" s="1018" t="s">
        <v>0</v>
      </c>
      <c r="B3" s="1019">
        <v>19576</v>
      </c>
      <c r="C3" s="1020">
        <v>630</v>
      </c>
      <c r="D3" s="1021">
        <f>+B3*C3</f>
        <v>12332880</v>
      </c>
      <c r="E3" s="1022"/>
      <c r="F3" s="1023"/>
      <c r="G3" s="1024"/>
      <c r="H3" s="1025"/>
      <c r="I3" s="1026"/>
      <c r="J3" s="1027"/>
    </row>
    <row r="4" spans="1:12" ht="16.5" thickBot="1" x14ac:dyDescent="0.3">
      <c r="A4" s="1028" t="s">
        <v>3</v>
      </c>
      <c r="B4" s="1029">
        <v>15420</v>
      </c>
      <c r="C4" s="1030">
        <v>575</v>
      </c>
      <c r="D4" s="1021">
        <f>+B4*C4</f>
        <v>8866500</v>
      </c>
      <c r="E4" s="1022" t="s">
        <v>602</v>
      </c>
      <c r="F4" s="1023">
        <f>777000+51800+50950</f>
        <v>879750</v>
      </c>
      <c r="G4" s="1011"/>
    </row>
    <row r="5" spans="1:12" ht="16.5" thickBot="1" x14ac:dyDescent="0.3">
      <c r="A5" s="1031" t="s">
        <v>1</v>
      </c>
      <c r="B5" s="1032">
        <v>4420</v>
      </c>
      <c r="C5" s="1033">
        <v>350</v>
      </c>
      <c r="D5" s="1021">
        <f>+B5*C5</f>
        <v>1547000</v>
      </c>
      <c r="E5" s="1022"/>
      <c r="F5" s="1023"/>
      <c r="G5" s="1034"/>
    </row>
    <row r="6" spans="1:12" ht="16.5" thickBot="1" x14ac:dyDescent="0.3">
      <c r="A6" s="1899"/>
      <c r="B6" s="1900"/>
      <c r="C6" s="1901"/>
      <c r="D6" s="1035">
        <v>1659661</v>
      </c>
      <c r="E6" s="1022" t="s">
        <v>5</v>
      </c>
      <c r="F6" s="1023">
        <v>566150</v>
      </c>
      <c r="G6" s="1010"/>
      <c r="H6" s="1010"/>
      <c r="I6" s="1011"/>
    </row>
    <row r="7" spans="1:12" ht="16.5" thickBot="1" x14ac:dyDescent="0.3">
      <c r="A7" s="1902" t="s">
        <v>52</v>
      </c>
      <c r="B7" s="1903"/>
      <c r="C7" s="1904"/>
      <c r="D7" s="1036">
        <f>SUM(D3:D6)</f>
        <v>24406041</v>
      </c>
      <c r="E7" s="1037"/>
      <c r="F7" s="1023"/>
      <c r="G7" s="1010"/>
      <c r="H7" s="1010"/>
      <c r="I7" s="1011"/>
    </row>
    <row r="8" spans="1:12" ht="15.75" x14ac:dyDescent="0.25">
      <c r="A8" s="1943" t="s">
        <v>473</v>
      </c>
      <c r="B8" s="1944"/>
      <c r="C8" s="1944"/>
      <c r="D8" s="1945"/>
      <c r="E8" s="1037" t="s">
        <v>603</v>
      </c>
      <c r="F8" s="1023"/>
      <c r="G8" s="1038"/>
      <c r="H8" s="1038"/>
      <c r="I8" s="1011"/>
    </row>
    <row r="9" spans="1:12" ht="18.75" x14ac:dyDescent="0.25">
      <c r="A9" s="1039" t="s">
        <v>604</v>
      </c>
      <c r="B9" s="1040"/>
      <c r="C9" s="1041"/>
      <c r="D9" s="1042">
        <v>2682725</v>
      </c>
      <c r="E9" s="1043" t="s">
        <v>85</v>
      </c>
      <c r="F9" s="1044">
        <f>F2+F4-F6-F8</f>
        <v>1659510.5</v>
      </c>
      <c r="G9" s="1045"/>
      <c r="H9" s="1045"/>
    </row>
    <row r="10" spans="1:12" ht="16.5" thickBot="1" x14ac:dyDescent="0.3">
      <c r="A10" s="1946" t="s">
        <v>256</v>
      </c>
      <c r="B10" s="1947"/>
      <c r="C10" s="1948"/>
      <c r="D10" s="1046">
        <f>SUM(D9:D9)</f>
        <v>2682725</v>
      </c>
      <c r="E10" s="1047" t="s">
        <v>605</v>
      </c>
      <c r="F10" s="1048">
        <f>+F9-D6</f>
        <v>-150.5</v>
      </c>
      <c r="G10" s="1045"/>
      <c r="H10" s="1045"/>
    </row>
    <row r="11" spans="1:12" ht="16.5" thickBot="1" x14ac:dyDescent="0.3">
      <c r="A11" s="1893" t="s">
        <v>476</v>
      </c>
      <c r="B11" s="1894"/>
      <c r="C11" s="1894"/>
      <c r="D11" s="1895"/>
      <c r="E11" s="1049"/>
      <c r="F11" s="1050"/>
      <c r="G11" s="1045"/>
      <c r="H11" s="1051" t="s">
        <v>606</v>
      </c>
      <c r="I11" s="1052" t="s">
        <v>607</v>
      </c>
      <c r="J11" s="1052" t="s">
        <v>608</v>
      </c>
      <c r="K11" s="1053" t="s">
        <v>609</v>
      </c>
      <c r="L11" s="1053" t="s">
        <v>610</v>
      </c>
    </row>
    <row r="12" spans="1:12" ht="16.5" thickBot="1" x14ac:dyDescent="0.3">
      <c r="A12" s="1054" t="s">
        <v>199</v>
      </c>
      <c r="B12" s="1055"/>
      <c r="C12" s="1055"/>
      <c r="D12" s="1042">
        <f>+L12</f>
        <v>311699</v>
      </c>
      <c r="E12" s="1056"/>
      <c r="H12" s="1042">
        <v>311699</v>
      </c>
      <c r="I12" s="1044">
        <v>1161500</v>
      </c>
      <c r="J12" s="1044">
        <v>1161500</v>
      </c>
      <c r="K12" s="1057"/>
      <c r="L12" s="1057">
        <f>+H12+I12-J12-K12</f>
        <v>311699</v>
      </c>
    </row>
    <row r="13" spans="1:12" ht="16.5" thickBot="1" x14ac:dyDescent="0.3">
      <c r="A13" s="1054" t="s">
        <v>611</v>
      </c>
      <c r="B13" s="1055"/>
      <c r="C13" s="1055"/>
      <c r="D13" s="1042">
        <f>+L13</f>
        <v>45595</v>
      </c>
      <c r="E13" s="1058"/>
      <c r="H13" s="1042">
        <v>1443544</v>
      </c>
      <c r="I13" s="1044">
        <v>10435905</v>
      </c>
      <c r="J13" s="1044">
        <v>11833854</v>
      </c>
      <c r="K13" s="1057"/>
      <c r="L13" s="1057">
        <f t="shared" ref="L13:L15" si="0">+H13+I13-J13-K13</f>
        <v>45595</v>
      </c>
    </row>
    <row r="14" spans="1:12" ht="16.5" thickBot="1" x14ac:dyDescent="0.3">
      <c r="A14" s="1054" t="s">
        <v>177</v>
      </c>
      <c r="B14" s="71"/>
      <c r="C14" s="71"/>
      <c r="D14" s="1042">
        <f>+L14</f>
        <v>-382505</v>
      </c>
      <c r="E14" s="1059"/>
      <c r="H14" s="1042">
        <v>-377355</v>
      </c>
      <c r="I14" s="1044">
        <v>5488950</v>
      </c>
      <c r="J14" s="1060">
        <v>5494100</v>
      </c>
      <c r="K14" s="1057"/>
      <c r="L14" s="1057">
        <f t="shared" si="0"/>
        <v>-382505</v>
      </c>
    </row>
    <row r="15" spans="1:12" ht="16.5" thickBot="1" x14ac:dyDescent="0.3">
      <c r="A15" s="1054" t="s">
        <v>573</v>
      </c>
      <c r="B15" s="71"/>
      <c r="C15" s="71"/>
      <c r="D15" s="1042">
        <f>+L15</f>
        <v>0</v>
      </c>
      <c r="E15" s="1059"/>
      <c r="H15" s="1042"/>
      <c r="I15" s="1044"/>
      <c r="J15" s="1060"/>
      <c r="K15" s="1057"/>
      <c r="L15" s="1057">
        <f t="shared" si="0"/>
        <v>0</v>
      </c>
    </row>
    <row r="16" spans="1:12" ht="16.5" thickBot="1" x14ac:dyDescent="0.3">
      <c r="A16" s="1867" t="s">
        <v>474</v>
      </c>
      <c r="B16" s="1868"/>
      <c r="C16" s="1869"/>
      <c r="D16" s="1046">
        <f>SUM(D12:D15)</f>
        <v>-25211</v>
      </c>
      <c r="E16" s="1059"/>
      <c r="H16" s="1061">
        <f>SUM(H12:H15)</f>
        <v>1377888</v>
      </c>
      <c r="I16" s="1061">
        <f>SUM(I12:I15)</f>
        <v>17086355</v>
      </c>
      <c r="J16" s="1061">
        <f>SUM(J12:J14)</f>
        <v>18489454</v>
      </c>
      <c r="K16" s="1061">
        <f>SUM(K12:K14)</f>
        <v>0</v>
      </c>
      <c r="L16" s="1061">
        <f>SUM(L12:L15)</f>
        <v>-25211</v>
      </c>
    </row>
    <row r="17" spans="1:10" ht="16.5" thickBot="1" x14ac:dyDescent="0.3">
      <c r="A17" s="1870" t="s">
        <v>145</v>
      </c>
      <c r="B17" s="1871"/>
      <c r="C17" s="1871"/>
      <c r="D17" s="1872"/>
      <c r="E17" s="1059"/>
    </row>
    <row r="18" spans="1:10" ht="17.25" customHeight="1" x14ac:dyDescent="0.25">
      <c r="A18" s="1062"/>
      <c r="B18" s="1063" t="s">
        <v>612</v>
      </c>
      <c r="C18" s="1016"/>
      <c r="D18" s="1064"/>
      <c r="E18" s="1059"/>
      <c r="F18" s="1065"/>
      <c r="H18" s="1011"/>
      <c r="I18" s="1011"/>
      <c r="J18" s="1011"/>
    </row>
    <row r="19" spans="1:10" ht="17.25" customHeight="1" x14ac:dyDescent="0.25">
      <c r="A19" s="1062" t="s">
        <v>556</v>
      </c>
      <c r="B19" s="1063"/>
      <c r="C19" s="1016"/>
      <c r="D19" s="1064">
        <v>-252</v>
      </c>
      <c r="E19" s="1059"/>
      <c r="F19" s="1065"/>
      <c r="H19" s="1011"/>
      <c r="I19" s="1011"/>
      <c r="J19" s="1011"/>
    </row>
    <row r="20" spans="1:10" ht="17.25" customHeight="1" thickBot="1" x14ac:dyDescent="0.3">
      <c r="A20" s="1062" t="s">
        <v>613</v>
      </c>
      <c r="B20" s="1063"/>
      <c r="C20" s="1016"/>
      <c r="D20" s="1064">
        <v>-1120</v>
      </c>
      <c r="E20" s="1065"/>
      <c r="F20" s="1009"/>
      <c r="G20" s="1009"/>
      <c r="H20" s="1009"/>
      <c r="I20" s="1011"/>
      <c r="J20" s="1011"/>
    </row>
    <row r="21" spans="1:10" ht="16.5" thickBot="1" x14ac:dyDescent="0.3">
      <c r="A21" s="1867" t="s">
        <v>614</v>
      </c>
      <c r="B21" s="1868"/>
      <c r="C21" s="1869"/>
      <c r="D21" s="1066">
        <f>SUM(D18:D20)</f>
        <v>-1372</v>
      </c>
      <c r="E21" s="1065"/>
      <c r="F21" s="1009"/>
      <c r="G21" s="1009"/>
      <c r="H21" s="1009"/>
      <c r="I21" s="1011"/>
      <c r="J21" s="1011"/>
    </row>
    <row r="22" spans="1:10" ht="16.5" thickBot="1" x14ac:dyDescent="0.3">
      <c r="A22" s="1949" t="s">
        <v>615</v>
      </c>
      <c r="B22" s="1950"/>
      <c r="C22" s="1950"/>
      <c r="D22" s="1951"/>
      <c r="E22" s="1065"/>
      <c r="F22" s="1067" t="s">
        <v>616</v>
      </c>
      <c r="G22" s="1067" t="s">
        <v>0</v>
      </c>
      <c r="H22" s="1067" t="s">
        <v>3</v>
      </c>
      <c r="I22" s="1067" t="s">
        <v>1</v>
      </c>
      <c r="J22" s="1011"/>
    </row>
    <row r="23" spans="1:10" ht="15.75" x14ac:dyDescent="0.25">
      <c r="A23" s="1068" t="s">
        <v>0</v>
      </c>
      <c r="B23" s="1069">
        <v>-257</v>
      </c>
      <c r="C23" s="1069">
        <v>630</v>
      </c>
      <c r="D23" s="1070">
        <f>+B23*C23</f>
        <v>-161910</v>
      </c>
      <c r="E23" s="1065"/>
      <c r="F23" s="1071" t="s">
        <v>82</v>
      </c>
      <c r="G23" s="1072">
        <v>20340</v>
      </c>
      <c r="H23" s="1072">
        <v>15400</v>
      </c>
      <c r="I23" s="1072">
        <v>3197</v>
      </c>
      <c r="J23" s="1011"/>
    </row>
    <row r="24" spans="1:10" ht="15.75" x14ac:dyDescent="0.25">
      <c r="A24" s="1073" t="s">
        <v>3</v>
      </c>
      <c r="B24" s="1069">
        <v>-239</v>
      </c>
      <c r="C24" s="1069">
        <v>575</v>
      </c>
      <c r="D24" s="1070">
        <f t="shared" ref="D24:D25" si="1">+B24*C24</f>
        <v>-137425</v>
      </c>
      <c r="E24" s="1065"/>
      <c r="F24" s="1071" t="s">
        <v>617</v>
      </c>
      <c r="G24" s="1072">
        <v>82000</v>
      </c>
      <c r="H24" s="1072">
        <v>66000</v>
      </c>
      <c r="I24" s="1072">
        <v>3000</v>
      </c>
      <c r="J24" s="1011"/>
    </row>
    <row r="25" spans="1:10" ht="16.5" thickBot="1" x14ac:dyDescent="0.3">
      <c r="A25" s="1074" t="s">
        <v>1</v>
      </c>
      <c r="B25" s="1075">
        <v>-45</v>
      </c>
      <c r="C25" s="1075">
        <v>350</v>
      </c>
      <c r="D25" s="1076">
        <f t="shared" si="1"/>
        <v>-15750</v>
      </c>
      <c r="E25" s="1065"/>
      <c r="F25" s="1071" t="s">
        <v>84</v>
      </c>
      <c r="G25" s="1072">
        <v>82364</v>
      </c>
      <c r="H25" s="1072">
        <v>65820</v>
      </c>
      <c r="I25" s="1072">
        <v>1310</v>
      </c>
      <c r="J25" s="1011"/>
    </row>
    <row r="26" spans="1:10" ht="16.5" thickBot="1" x14ac:dyDescent="0.3">
      <c r="A26" s="1876" t="s">
        <v>618</v>
      </c>
      <c r="B26" s="1877"/>
      <c r="C26" s="1878"/>
      <c r="D26" s="1077">
        <f>+SUM(D22:D25)</f>
        <v>-315085</v>
      </c>
      <c r="E26" s="1065"/>
      <c r="F26" s="1071" t="s">
        <v>85</v>
      </c>
      <c r="G26" s="1072">
        <v>19976</v>
      </c>
      <c r="H26" s="1072">
        <v>15580</v>
      </c>
      <c r="I26" s="1072">
        <v>4887</v>
      </c>
      <c r="J26" s="1011"/>
    </row>
    <row r="27" spans="1:10" ht="16.5" thickBot="1" x14ac:dyDescent="0.3">
      <c r="A27" s="1078" t="s">
        <v>619</v>
      </c>
      <c r="B27" s="1078"/>
      <c r="C27" s="1079"/>
      <c r="D27" s="1080">
        <v>6300000</v>
      </c>
      <c r="E27" s="1065"/>
      <c r="F27" s="1071" t="s">
        <v>620</v>
      </c>
      <c r="G27" s="1072">
        <v>19710</v>
      </c>
      <c r="H27" s="1072">
        <v>15386</v>
      </c>
      <c r="I27" s="1072">
        <v>4791</v>
      </c>
      <c r="J27" s="1011"/>
    </row>
    <row r="28" spans="1:10" ht="16.5" thickBot="1" x14ac:dyDescent="0.3">
      <c r="A28" s="1078" t="s">
        <v>621</v>
      </c>
      <c r="B28" s="1078"/>
      <c r="C28" s="1079"/>
      <c r="D28" s="1080">
        <f>(10000*575+5000*630)-(10000*630+5000*575)</f>
        <v>-275000</v>
      </c>
      <c r="E28" s="1065"/>
      <c r="F28" s="1071" t="s">
        <v>622</v>
      </c>
      <c r="G28" s="1072">
        <f>+G27-G26</f>
        <v>-266</v>
      </c>
      <c r="H28" s="1072">
        <f>+H27-H26</f>
        <v>-194</v>
      </c>
      <c r="I28" s="1072">
        <f>+I27-I26</f>
        <v>-96</v>
      </c>
      <c r="J28" s="1011"/>
    </row>
    <row r="29" spans="1:10" ht="16.5" thickBot="1" x14ac:dyDescent="0.3">
      <c r="A29" s="1879" t="s">
        <v>48</v>
      </c>
      <c r="B29" s="1952"/>
      <c r="C29" s="1953"/>
      <c r="D29" s="1081">
        <f>D7+D10+D16+D21+D27+D28-D26</f>
        <v>33402268</v>
      </c>
      <c r="E29" s="1065"/>
      <c r="F29" s="1082"/>
      <c r="G29" s="1009"/>
      <c r="H29" s="1009"/>
      <c r="I29" s="1009"/>
      <c r="J29" s="1011"/>
    </row>
    <row r="30" spans="1:10" ht="16.5" thickBot="1" x14ac:dyDescent="0.3">
      <c r="A30" s="1861" t="s">
        <v>49</v>
      </c>
      <c r="B30" s="1862"/>
      <c r="C30" s="1863"/>
      <c r="D30" s="1083">
        <v>33402268</v>
      </c>
      <c r="E30" s="1065"/>
      <c r="F30" s="1082"/>
      <c r="G30" s="1009"/>
      <c r="H30" s="1009"/>
      <c r="I30" s="1009"/>
      <c r="J30" s="1011"/>
    </row>
    <row r="31" spans="1:10" ht="16.5" thickBot="1" x14ac:dyDescent="0.3">
      <c r="A31" s="1864" t="s">
        <v>605</v>
      </c>
      <c r="B31" s="1865"/>
      <c r="C31" s="1866"/>
      <c r="D31" s="1084">
        <f>+D29-D30</f>
        <v>0</v>
      </c>
      <c r="E31" s="1065"/>
      <c r="F31" s="1082"/>
      <c r="G31" s="1009"/>
      <c r="H31" s="1009"/>
      <c r="I31" s="1009"/>
      <c r="J31" s="1011"/>
    </row>
    <row r="32" spans="1:10" ht="15.75" x14ac:dyDescent="0.25">
      <c r="E32" s="1065"/>
      <c r="F32" s="1082"/>
      <c r="G32" s="1009"/>
      <c r="H32" s="1009"/>
      <c r="I32" s="1009"/>
      <c r="J32" s="1011"/>
    </row>
    <row r="33" spans="5:10" ht="15.75" x14ac:dyDescent="0.25">
      <c r="E33" s="1065"/>
      <c r="F33" s="1009"/>
      <c r="G33" s="1009"/>
      <c r="H33" s="1009"/>
      <c r="I33" s="1011"/>
      <c r="J33" s="1011"/>
    </row>
    <row r="34" spans="5:10" ht="15.75" x14ac:dyDescent="0.25">
      <c r="E34" s="1065"/>
      <c r="F34" s="1009"/>
      <c r="G34" s="1009"/>
      <c r="H34" s="1009"/>
      <c r="I34" s="1011"/>
      <c r="J34" s="1011"/>
    </row>
    <row r="35" spans="5:10" ht="15.75" x14ac:dyDescent="0.25">
      <c r="E35" s="1065"/>
      <c r="F35" s="1009"/>
      <c r="G35" s="1009"/>
      <c r="H35" s="1009"/>
      <c r="I35" s="1011"/>
      <c r="J35" s="1011"/>
    </row>
    <row r="36" spans="5:10" ht="15.75" x14ac:dyDescent="0.25">
      <c r="E36" s="1065"/>
      <c r="F36" s="1009"/>
      <c r="G36" s="1009"/>
      <c r="H36" s="1009"/>
      <c r="I36" s="1011"/>
      <c r="J36" s="1011"/>
    </row>
    <row r="37" spans="5:10" ht="15.75" x14ac:dyDescent="0.25">
      <c r="E37" s="1065"/>
      <c r="F37" s="1009"/>
      <c r="G37" s="1009"/>
      <c r="H37" s="1009"/>
      <c r="I37" s="1011"/>
      <c r="J37" s="1011"/>
    </row>
  </sheetData>
  <mergeCells count="14">
    <mergeCell ref="A30:C30"/>
    <mergeCell ref="A31:C31"/>
    <mergeCell ref="A16:C16"/>
    <mergeCell ref="A17:D17"/>
    <mergeCell ref="A21:C21"/>
    <mergeCell ref="A22:D22"/>
    <mergeCell ref="A26:C26"/>
    <mergeCell ref="A29:C29"/>
    <mergeCell ref="A11:D11"/>
    <mergeCell ref="A1:D1"/>
    <mergeCell ref="A6:C6"/>
    <mergeCell ref="A7:C7"/>
    <mergeCell ref="A8:D8"/>
    <mergeCell ref="A10:C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P420"/>
  <sheetViews>
    <sheetView topLeftCell="A171" workbookViewId="0">
      <selection activeCell="F149" sqref="F149"/>
    </sheetView>
  </sheetViews>
  <sheetFormatPr baseColWidth="10" defaultColWidth="11.42578125" defaultRowHeight="15" x14ac:dyDescent="0.25"/>
  <cols>
    <col min="1" max="1" width="40.85546875" customWidth="1"/>
    <col min="2" max="2" width="20.42578125" customWidth="1"/>
    <col min="3" max="3" width="17.140625" customWidth="1"/>
    <col min="4" max="4" width="31.5703125" customWidth="1"/>
    <col min="5" max="5" width="15" style="42" customWidth="1"/>
    <col min="6" max="6" width="25.42578125" style="42" customWidth="1"/>
    <col min="7" max="7" width="15.7109375" style="43" bestFit="1" customWidth="1"/>
    <col min="8" max="8" width="13.7109375" style="43" customWidth="1"/>
    <col min="9" max="9" width="15.140625" customWidth="1"/>
    <col min="10" max="10" width="16.140625" customWidth="1"/>
    <col min="11" max="11" width="27.85546875" customWidth="1"/>
    <col min="12" max="12" width="22.7109375" customWidth="1"/>
  </cols>
  <sheetData>
    <row r="1" spans="1:9 16370:16370" ht="29.25" thickBot="1" x14ac:dyDescent="0.5">
      <c r="D1" s="42"/>
      <c r="F1" s="43"/>
      <c r="H1"/>
      <c r="I1" s="51"/>
      <c r="XEP1" s="44"/>
    </row>
    <row r="2" spans="1:9 16370:16370" ht="29.25" thickBot="1" x14ac:dyDescent="0.5">
      <c r="A2" s="2014" t="s">
        <v>592</v>
      </c>
      <c r="B2" s="2015"/>
      <c r="C2" s="2015"/>
      <c r="D2" s="2016"/>
      <c r="E2" s="45"/>
      <c r="F2" s="46"/>
      <c r="G2"/>
      <c r="H2"/>
      <c r="I2" s="51"/>
      <c r="XEP2" s="44"/>
    </row>
    <row r="3" spans="1:9 16370:16370" ht="15.75" thickBot="1" x14ac:dyDescent="0.3">
      <c r="A3" s="47" t="s">
        <v>26</v>
      </c>
      <c r="B3" s="95" t="s">
        <v>38</v>
      </c>
      <c r="C3" s="48" t="s">
        <v>39</v>
      </c>
      <c r="D3" s="49" t="s">
        <v>11</v>
      </c>
      <c r="E3" s="45"/>
      <c r="F3" s="688"/>
      <c r="G3"/>
      <c r="H3"/>
    </row>
    <row r="4" spans="1:9 16370:16370" x14ac:dyDescent="0.25">
      <c r="A4" s="52" t="s">
        <v>0</v>
      </c>
      <c r="B4" s="233">
        <f>'equation de stock'!B23</f>
        <v>16826</v>
      </c>
      <c r="C4" s="53">
        <v>630</v>
      </c>
      <c r="D4" s="55">
        <f>B4*C4</f>
        <v>10600380</v>
      </c>
      <c r="E4" s="45"/>
      <c r="F4" s="46"/>
      <c r="G4"/>
      <c r="H4"/>
      <c r="I4" s="51"/>
    </row>
    <row r="5" spans="1:9 16370:16370" x14ac:dyDescent="0.25">
      <c r="A5" s="93" t="s">
        <v>3</v>
      </c>
      <c r="B5" s="234">
        <f>'equation de stock'!C23</f>
        <v>9440</v>
      </c>
      <c r="C5" s="54">
        <v>575</v>
      </c>
      <c r="D5" s="55">
        <f>B5*C5</f>
        <v>5428000</v>
      </c>
      <c r="E5" s="45"/>
      <c r="F5" s="45"/>
      <c r="G5" s="45"/>
      <c r="H5" s="45"/>
      <c r="I5" s="46"/>
    </row>
    <row r="6" spans="1:9 16370:16370" ht="15.75" thickBot="1" x14ac:dyDescent="0.3">
      <c r="A6" s="94" t="s">
        <v>1</v>
      </c>
      <c r="B6" s="235">
        <f>'equation de stock'!D23</f>
        <v>5707</v>
      </c>
      <c r="C6" s="56">
        <v>350</v>
      </c>
      <c r="D6" s="57">
        <f>B6*C6</f>
        <v>1997450</v>
      </c>
      <c r="E6" s="45"/>
      <c r="F6" s="45"/>
      <c r="G6"/>
      <c r="H6"/>
      <c r="I6" s="51"/>
    </row>
    <row r="7" spans="1:9 16370:16370" ht="19.5" thickBot="1" x14ac:dyDescent="0.35">
      <c r="A7" s="2017" t="s">
        <v>40</v>
      </c>
      <c r="B7" s="2018"/>
      <c r="C7" s="2019"/>
      <c r="D7" s="199">
        <f>'INVENTAIRE LUB'!J30</f>
        <v>186625</v>
      </c>
      <c r="E7" s="45"/>
      <c r="F7" s="45"/>
      <c r="G7" s="46"/>
      <c r="H7"/>
      <c r="I7" s="51"/>
    </row>
    <row r="8" spans="1:9 16370:16370" ht="18.75" x14ac:dyDescent="0.3">
      <c r="A8" s="2020" t="s">
        <v>41</v>
      </c>
      <c r="B8" s="2021"/>
      <c r="C8" s="2022"/>
      <c r="D8" s="221">
        <f>SUM(D4:D7)</f>
        <v>18212455</v>
      </c>
      <c r="E8" s="58"/>
      <c r="F8" s="45"/>
    </row>
    <row r="9" spans="1:9 16370:16370" s="688" customFormat="1" ht="18.75" x14ac:dyDescent="0.3">
      <c r="A9" s="2023" t="s">
        <v>473</v>
      </c>
      <c r="B9" s="2024"/>
      <c r="C9" s="2025"/>
      <c r="D9" s="220"/>
      <c r="E9" s="58"/>
      <c r="F9" s="45"/>
      <c r="G9" s="689"/>
      <c r="H9" s="689"/>
    </row>
    <row r="10" spans="1:9 16370:16370" s="688" customFormat="1" ht="18.75" x14ac:dyDescent="0.3">
      <c r="A10" s="947" t="s">
        <v>596</v>
      </c>
      <c r="B10" s="944"/>
      <c r="C10" s="947" t="s">
        <v>555</v>
      </c>
      <c r="D10" s="133">
        <v>2682725</v>
      </c>
      <c r="E10" s="58"/>
      <c r="F10" s="45"/>
      <c r="G10" s="689"/>
      <c r="H10" s="689"/>
    </row>
    <row r="11" spans="1:9 16370:16370" s="688" customFormat="1" ht="18.75" x14ac:dyDescent="0.3">
      <c r="A11" s="947"/>
      <c r="B11" s="175"/>
      <c r="C11" s="947" t="s">
        <v>555</v>
      </c>
      <c r="D11" s="133"/>
      <c r="E11" s="58"/>
      <c r="F11" s="45"/>
      <c r="G11" s="689"/>
      <c r="H11" s="689"/>
    </row>
    <row r="12" spans="1:9 16370:16370" s="688" customFormat="1" ht="18.75" x14ac:dyDescent="0.3">
      <c r="A12" s="947"/>
      <c r="B12" s="175"/>
      <c r="C12" s="947" t="s">
        <v>555</v>
      </c>
      <c r="D12" s="133"/>
      <c r="E12" s="58"/>
      <c r="F12" s="45"/>
      <c r="G12" s="689"/>
      <c r="H12" s="689"/>
    </row>
    <row r="13" spans="1:9 16370:16370" s="688" customFormat="1" ht="18.75" x14ac:dyDescent="0.3">
      <c r="A13" s="175"/>
      <c r="B13" s="175"/>
      <c r="C13" s="947" t="s">
        <v>555</v>
      </c>
      <c r="D13" s="133"/>
      <c r="E13" s="58"/>
      <c r="F13" s="45"/>
      <c r="G13" s="689"/>
      <c r="H13" s="689"/>
    </row>
    <row r="14" spans="1:9 16370:16370" s="688" customFormat="1" ht="18.75" x14ac:dyDescent="0.3">
      <c r="A14" s="175"/>
      <c r="B14" s="175"/>
      <c r="C14" s="947" t="s">
        <v>555</v>
      </c>
      <c r="D14" s="133"/>
      <c r="E14" s="58"/>
      <c r="F14" s="45"/>
      <c r="G14" s="689"/>
      <c r="H14" s="689"/>
    </row>
    <row r="15" spans="1:9 16370:16370" s="688" customFormat="1" ht="18.75" x14ac:dyDescent="0.3">
      <c r="A15" s="175"/>
      <c r="B15" s="175"/>
      <c r="C15" s="947" t="s">
        <v>555</v>
      </c>
      <c r="D15" s="133"/>
      <c r="E15" s="58"/>
      <c r="F15" s="45"/>
      <c r="G15" s="689"/>
      <c r="H15" s="689"/>
    </row>
    <row r="16" spans="1:9 16370:16370" s="688" customFormat="1" ht="18.75" x14ac:dyDescent="0.3">
      <c r="A16" s="175"/>
      <c r="B16" s="175"/>
      <c r="C16" s="947" t="s">
        <v>555</v>
      </c>
      <c r="D16" s="133"/>
      <c r="E16" s="58"/>
      <c r="F16" s="45"/>
      <c r="G16" s="689"/>
      <c r="H16" s="689"/>
    </row>
    <row r="17" spans="1:10" s="688" customFormat="1" ht="18.75" hidden="1" x14ac:dyDescent="0.3">
      <c r="A17" s="175" t="s">
        <v>494</v>
      </c>
      <c r="B17" s="175"/>
      <c r="C17" s="947" t="s">
        <v>555</v>
      </c>
      <c r="D17" s="133"/>
      <c r="E17" s="58"/>
      <c r="F17" s="45"/>
      <c r="G17" s="689"/>
      <c r="H17" s="689"/>
    </row>
    <row r="18" spans="1:10" s="688" customFormat="1" ht="18.75" x14ac:dyDescent="0.3">
      <c r="A18" s="2023" t="s">
        <v>475</v>
      </c>
      <c r="B18" s="2024"/>
      <c r="C18" s="2025"/>
      <c r="D18" s="220">
        <f>SUM(D10:D16)</f>
        <v>2682725</v>
      </c>
      <c r="E18" s="58"/>
      <c r="F18" s="45"/>
      <c r="G18" s="689"/>
      <c r="H18" s="689"/>
    </row>
    <row r="19" spans="1:10" ht="18.75" x14ac:dyDescent="0.3">
      <c r="A19" s="175" t="s">
        <v>16</v>
      </c>
      <c r="B19" s="175" t="s">
        <v>233</v>
      </c>
      <c r="C19" s="175" t="s">
        <v>234</v>
      </c>
      <c r="D19" s="133" t="s">
        <v>87</v>
      </c>
      <c r="E19" s="58"/>
      <c r="F19" s="45"/>
    </row>
    <row r="20" spans="1:10" ht="18.75" x14ac:dyDescent="0.3">
      <c r="A20" s="192">
        <v>44075</v>
      </c>
      <c r="B20" s="207"/>
      <c r="C20" s="209"/>
      <c r="D20" s="881">
        <f>'ETAT  KEKEM'!M6</f>
        <v>1484706</v>
      </c>
      <c r="E20" s="58"/>
      <c r="F20" s="45"/>
    </row>
    <row r="21" spans="1:10" ht="18.75" x14ac:dyDescent="0.3">
      <c r="A21" s="974">
        <v>44076</v>
      </c>
      <c r="B21" s="207"/>
      <c r="C21" s="209"/>
      <c r="D21" s="881">
        <f>'ETAT  KEKEM'!M7</f>
        <v>1964421</v>
      </c>
      <c r="E21" s="58"/>
      <c r="F21" s="45"/>
    </row>
    <row r="22" spans="1:10" ht="18.75" x14ac:dyDescent="0.3">
      <c r="A22" s="974">
        <v>44077</v>
      </c>
      <c r="B22" s="207"/>
      <c r="C22" s="209"/>
      <c r="D22" s="881">
        <f>'ETAT  KEKEM'!M8</f>
        <v>1698329</v>
      </c>
      <c r="E22" s="58"/>
      <c r="F22" s="45"/>
    </row>
    <row r="23" spans="1:10" ht="18.75" x14ac:dyDescent="0.3">
      <c r="A23" s="974">
        <v>44078</v>
      </c>
      <c r="B23" s="192"/>
      <c r="C23" s="953"/>
      <c r="D23" s="881">
        <f>'ETAT  KEKEM'!M9</f>
        <v>2249476</v>
      </c>
      <c r="E23" s="58"/>
      <c r="F23" s="45"/>
    </row>
    <row r="24" spans="1:10" ht="18.75" x14ac:dyDescent="0.3">
      <c r="A24" s="974">
        <v>44079</v>
      </c>
      <c r="B24" s="192"/>
      <c r="C24" s="953"/>
      <c r="D24" s="881">
        <f>'ETAT  KEKEM'!M10</f>
        <v>1752545</v>
      </c>
      <c r="E24" s="58"/>
      <c r="F24" s="45"/>
    </row>
    <row r="25" spans="1:10" ht="18.75" x14ac:dyDescent="0.3">
      <c r="A25" s="974">
        <v>44080</v>
      </c>
      <c r="B25" s="207"/>
      <c r="C25" s="953"/>
      <c r="D25" s="881">
        <f>'ETAT  KEKEM'!M11</f>
        <v>2331811</v>
      </c>
      <c r="E25" s="58"/>
      <c r="F25" s="45"/>
    </row>
    <row r="26" spans="1:10" ht="18.75" x14ac:dyDescent="0.3">
      <c r="A26" s="974">
        <v>44081</v>
      </c>
      <c r="B26" s="207"/>
      <c r="C26" s="953"/>
      <c r="D26" s="881">
        <f>'ETAT  KEKEM'!M12</f>
        <v>2274112</v>
      </c>
      <c r="E26" s="58"/>
      <c r="F26" s="45"/>
    </row>
    <row r="27" spans="1:10" ht="18.75" x14ac:dyDescent="0.3">
      <c r="A27" s="974">
        <v>44082</v>
      </c>
      <c r="B27" s="207"/>
      <c r="C27" s="953"/>
      <c r="D27" s="881">
        <f>'ETAT  KEKEM'!M13</f>
        <v>1761022</v>
      </c>
      <c r="E27" s="58"/>
      <c r="F27" s="45"/>
    </row>
    <row r="28" spans="1:10" ht="18.75" x14ac:dyDescent="0.3">
      <c r="A28" s="974">
        <v>44083</v>
      </c>
      <c r="B28" s="207"/>
      <c r="C28" s="953"/>
      <c r="D28" s="881">
        <f>'ETAT  KEKEM'!M14</f>
        <v>1536773</v>
      </c>
      <c r="E28" s="58"/>
      <c r="F28" s="45"/>
    </row>
    <row r="29" spans="1:10" ht="18.75" x14ac:dyDescent="0.3">
      <c r="A29" s="974">
        <v>44084</v>
      </c>
      <c r="B29" s="192"/>
      <c r="C29" s="953"/>
      <c r="D29" s="881">
        <f>'ETAT  KEKEM'!M15</f>
        <v>1932435</v>
      </c>
      <c r="E29" s="58"/>
      <c r="F29" s="45"/>
      <c r="G29" s="59"/>
      <c r="H29" s="50"/>
      <c r="I29" s="51"/>
      <c r="J29" s="50"/>
    </row>
    <row r="30" spans="1:10" ht="18.75" x14ac:dyDescent="0.3">
      <c r="A30" s="974">
        <v>44085</v>
      </c>
      <c r="B30" s="192"/>
      <c r="C30" s="953"/>
      <c r="D30" s="881">
        <f>'ETAT  KEKEM'!M16</f>
        <v>1455239</v>
      </c>
      <c r="E30" s="58"/>
      <c r="F30" s="45"/>
      <c r="G30" s="59"/>
      <c r="H30" s="50"/>
      <c r="I30" s="51"/>
      <c r="J30" s="50"/>
    </row>
    <row r="31" spans="1:10" ht="18.75" x14ac:dyDescent="0.3">
      <c r="A31" s="974">
        <v>44086</v>
      </c>
      <c r="B31" s="192"/>
      <c r="C31" s="953"/>
      <c r="D31" s="881">
        <f>'ETAT  KEKEM'!M17</f>
        <v>1722605</v>
      </c>
      <c r="E31" s="58"/>
      <c r="F31" s="45"/>
      <c r="G31" s="59"/>
      <c r="H31" s="50"/>
      <c r="I31" s="51"/>
      <c r="J31" s="50"/>
    </row>
    <row r="32" spans="1:10" ht="18.75" x14ac:dyDescent="0.3">
      <c r="A32" s="974">
        <v>44087</v>
      </c>
      <c r="B32" s="207"/>
      <c r="C32" s="953"/>
      <c r="D32" s="881">
        <f>'ETAT  KEKEM'!M18</f>
        <v>1793700</v>
      </c>
      <c r="E32" s="58"/>
      <c r="F32" s="45"/>
      <c r="G32" s="59"/>
      <c r="H32" s="50"/>
      <c r="I32" s="51"/>
      <c r="J32" s="50"/>
    </row>
    <row r="33" spans="1:10" ht="18.75" x14ac:dyDescent="0.3">
      <c r="A33" s="974">
        <v>44088</v>
      </c>
      <c r="B33" s="207"/>
      <c r="C33" s="953"/>
      <c r="D33" s="881">
        <f>'ETAT  KEKEM'!M19</f>
        <v>0</v>
      </c>
      <c r="E33" s="58"/>
      <c r="F33" s="45"/>
      <c r="G33" s="59"/>
      <c r="H33" s="50"/>
      <c r="I33" s="51"/>
      <c r="J33" s="50"/>
    </row>
    <row r="34" spans="1:10" ht="18.75" x14ac:dyDescent="0.3">
      <c r="A34" s="974">
        <v>44089</v>
      </c>
      <c r="B34" s="207"/>
      <c r="C34" s="953"/>
      <c r="D34" s="881">
        <f>'ETAT  KEKEM'!M20</f>
        <v>0</v>
      </c>
      <c r="E34" s="58"/>
      <c r="F34" s="45"/>
      <c r="G34" s="59"/>
      <c r="H34" s="50"/>
      <c r="I34" s="51"/>
      <c r="J34" s="50"/>
    </row>
    <row r="35" spans="1:10" ht="18.75" x14ac:dyDescent="0.3">
      <c r="A35" s="974">
        <v>44090</v>
      </c>
      <c r="B35" s="207"/>
      <c r="C35" s="953"/>
      <c r="D35" s="881">
        <f>'ETAT  KEKEM'!M21</f>
        <v>0</v>
      </c>
      <c r="E35" s="58"/>
      <c r="F35" s="51"/>
      <c r="G35" s="59"/>
      <c r="H35" s="50"/>
      <c r="I35" s="51"/>
      <c r="J35" s="50"/>
    </row>
    <row r="36" spans="1:10" ht="18.75" x14ac:dyDescent="0.3">
      <c r="A36" s="974">
        <v>44091</v>
      </c>
      <c r="B36" s="207"/>
      <c r="C36" s="953"/>
      <c r="D36" s="881">
        <f>'ETAT  KEKEM'!M22</f>
        <v>0</v>
      </c>
      <c r="E36" s="58"/>
      <c r="F36" s="51"/>
      <c r="G36" s="59"/>
      <c r="H36" s="50"/>
      <c r="I36" s="51"/>
      <c r="J36" s="50"/>
    </row>
    <row r="37" spans="1:10" ht="18.75" x14ac:dyDescent="0.3">
      <c r="A37" s="974">
        <v>44092</v>
      </c>
      <c r="B37" s="192"/>
      <c r="C37" s="953"/>
      <c r="D37" s="881">
        <f>'ETAT  KEKEM'!M23</f>
        <v>0</v>
      </c>
      <c r="E37" s="58"/>
      <c r="F37" s="51"/>
      <c r="G37" s="59"/>
      <c r="H37" s="50"/>
      <c r="I37" s="51"/>
      <c r="J37" s="50"/>
    </row>
    <row r="38" spans="1:10" ht="18.75" x14ac:dyDescent="0.3">
      <c r="A38" s="974">
        <v>44093</v>
      </c>
      <c r="B38" s="192"/>
      <c r="C38" s="953"/>
      <c r="D38" s="881">
        <f>'ETAT  KEKEM'!M24</f>
        <v>0</v>
      </c>
      <c r="E38" s="58"/>
      <c r="F38" s="51"/>
      <c r="G38" s="59"/>
      <c r="H38" s="50"/>
      <c r="I38" s="51"/>
      <c r="J38" s="50"/>
    </row>
    <row r="39" spans="1:10" ht="18.75" x14ac:dyDescent="0.3">
      <c r="A39" s="974">
        <v>44094</v>
      </c>
      <c r="B39" s="209"/>
      <c r="C39" s="953"/>
      <c r="D39" s="881">
        <f>'ETAT  KEKEM'!M25</f>
        <v>0</v>
      </c>
      <c r="E39" s="58"/>
      <c r="F39" s="51"/>
      <c r="G39" s="59"/>
      <c r="H39" s="50"/>
      <c r="I39" s="51"/>
      <c r="J39" s="50"/>
    </row>
    <row r="40" spans="1:10" ht="18.75" x14ac:dyDescent="0.3">
      <c r="A40" s="974">
        <v>44095</v>
      </c>
      <c r="B40" s="209"/>
      <c r="C40" s="953"/>
      <c r="D40" s="881">
        <f>'ETAT  KEKEM'!M26</f>
        <v>0</v>
      </c>
      <c r="E40" s="58"/>
      <c r="F40" s="51"/>
      <c r="G40" s="59"/>
      <c r="H40" s="50"/>
      <c r="I40" s="51"/>
      <c r="J40" s="50"/>
    </row>
    <row r="41" spans="1:10" ht="18.75" x14ac:dyDescent="0.3">
      <c r="A41" s="974">
        <v>44096</v>
      </c>
      <c r="B41" s="209"/>
      <c r="C41" s="953"/>
      <c r="D41" s="881">
        <f>'ETAT  KEKEM'!M27</f>
        <v>0</v>
      </c>
      <c r="E41" s="58"/>
      <c r="F41" s="51"/>
      <c r="G41" s="59"/>
      <c r="H41" s="50"/>
      <c r="I41" s="51"/>
      <c r="J41" s="50"/>
    </row>
    <row r="42" spans="1:10" ht="18.75" x14ac:dyDescent="0.3">
      <c r="A42" s="974">
        <v>44097</v>
      </c>
      <c r="B42" s="207"/>
      <c r="C42" s="953"/>
      <c r="D42" s="881">
        <f>'ETAT  KEKEM'!M28</f>
        <v>0</v>
      </c>
      <c r="E42" s="58"/>
      <c r="F42" s="51"/>
      <c r="G42" s="59"/>
      <c r="H42" s="50"/>
      <c r="I42" s="51"/>
      <c r="J42" s="50"/>
    </row>
    <row r="43" spans="1:10" ht="18.75" x14ac:dyDescent="0.3">
      <c r="A43" s="974">
        <v>44098</v>
      </c>
      <c r="B43" s="207"/>
      <c r="C43" s="953"/>
      <c r="D43" s="881">
        <f>'ETAT  KEKEM'!M29</f>
        <v>0</v>
      </c>
      <c r="E43" s="58"/>
      <c r="F43" s="51"/>
      <c r="G43" s="59"/>
      <c r="H43" s="50"/>
      <c r="I43" s="51"/>
      <c r="J43" s="50"/>
    </row>
    <row r="44" spans="1:10" ht="18.75" x14ac:dyDescent="0.3">
      <c r="A44" s="974">
        <v>44099</v>
      </c>
      <c r="B44" s="192"/>
      <c r="C44" s="953"/>
      <c r="D44" s="881">
        <f>'ETAT  KEKEM'!M30</f>
        <v>0</v>
      </c>
      <c r="E44" s="58"/>
      <c r="F44" s="51"/>
      <c r="G44" s="59"/>
      <c r="H44" s="50"/>
      <c r="I44" s="51"/>
      <c r="J44" s="50"/>
    </row>
    <row r="45" spans="1:10" ht="18.75" x14ac:dyDescent="0.3">
      <c r="A45" s="974">
        <v>44100</v>
      </c>
      <c r="B45" s="192"/>
      <c r="C45" s="953"/>
      <c r="D45" s="881">
        <f>'ETAT  KEKEM'!M31</f>
        <v>0</v>
      </c>
      <c r="E45" s="58"/>
      <c r="F45" s="51" t="s">
        <v>50</v>
      </c>
      <c r="G45" s="59"/>
      <c r="H45" s="50"/>
      <c r="I45" s="51"/>
      <c r="J45" s="50"/>
    </row>
    <row r="46" spans="1:10" ht="18.75" x14ac:dyDescent="0.3">
      <c r="A46" s="974">
        <v>44101</v>
      </c>
      <c r="B46" s="207"/>
      <c r="C46" s="209"/>
      <c r="D46" s="881">
        <f>'ETAT  KEKEM'!M32</f>
        <v>0</v>
      </c>
      <c r="E46" s="58"/>
      <c r="F46" s="51"/>
      <c r="G46" s="59"/>
      <c r="H46" s="50"/>
      <c r="I46" s="51"/>
      <c r="J46" s="50"/>
    </row>
    <row r="47" spans="1:10" ht="18.75" x14ac:dyDescent="0.3">
      <c r="A47" s="974">
        <v>44102</v>
      </c>
      <c r="B47" s="207"/>
      <c r="C47" s="209"/>
      <c r="D47" s="881">
        <f>'ETAT  KEKEM'!M33</f>
        <v>0</v>
      </c>
      <c r="E47" s="58"/>
      <c r="F47" s="51"/>
      <c r="G47" s="59"/>
      <c r="H47" s="50"/>
      <c r="I47" s="51"/>
      <c r="J47" s="50"/>
    </row>
    <row r="48" spans="1:10" ht="18.75" x14ac:dyDescent="0.3">
      <c r="A48" s="974">
        <v>44103</v>
      </c>
      <c r="B48" s="207"/>
      <c r="C48" s="209"/>
      <c r="D48" s="881">
        <f>'ETAT  KEKEM'!M34</f>
        <v>0</v>
      </c>
      <c r="E48" s="58"/>
      <c r="F48" s="51"/>
      <c r="G48" s="59"/>
      <c r="H48" s="50"/>
      <c r="I48" s="51"/>
      <c r="J48" s="50"/>
    </row>
    <row r="49" spans="1:10" ht="18.75" x14ac:dyDescent="0.3">
      <c r="A49" s="974">
        <v>44104</v>
      </c>
      <c r="B49" s="175"/>
      <c r="C49" s="175"/>
      <c r="D49" s="881">
        <f>'ETAT  KEKEM'!M35</f>
        <v>0</v>
      </c>
      <c r="E49" s="58"/>
      <c r="F49" s="51"/>
      <c r="G49" s="59"/>
      <c r="H49" s="50"/>
      <c r="I49" s="51"/>
      <c r="J49" s="50"/>
    </row>
    <row r="50" spans="1:10" ht="18.75" x14ac:dyDescent="0.3">
      <c r="A50" s="974">
        <v>44105</v>
      </c>
      <c r="B50" s="175"/>
      <c r="C50" s="175"/>
      <c r="D50" s="881">
        <f>'ETAT  KEKEM'!M36</f>
        <v>0</v>
      </c>
      <c r="E50" s="58"/>
      <c r="F50" s="51"/>
      <c r="G50" s="59"/>
      <c r="H50" s="50"/>
      <c r="I50" s="51"/>
      <c r="J50" s="50"/>
    </row>
    <row r="51" spans="1:10" ht="16.5" thickBot="1" x14ac:dyDescent="0.3">
      <c r="A51" s="2008" t="s">
        <v>42</v>
      </c>
      <c r="B51" s="2009"/>
      <c r="C51" s="2010"/>
      <c r="D51" s="133">
        <f>SUM(D20:D50)</f>
        <v>23957174</v>
      </c>
      <c r="E51" s="58"/>
      <c r="F51" s="51"/>
      <c r="G51" s="59"/>
      <c r="H51" s="50"/>
      <c r="I51" s="51"/>
      <c r="J51" s="50"/>
    </row>
    <row r="52" spans="1:10" ht="19.5" hidden="1" thickBot="1" x14ac:dyDescent="0.35">
      <c r="A52" s="175" t="s">
        <v>129</v>
      </c>
      <c r="B52" s="175" t="s">
        <v>130</v>
      </c>
      <c r="C52" s="175" t="s">
        <v>131</v>
      </c>
      <c r="D52" s="133" t="s">
        <v>132</v>
      </c>
      <c r="E52" s="58"/>
      <c r="F52" s="51"/>
      <c r="G52" s="59"/>
      <c r="H52" s="50"/>
      <c r="I52" s="51"/>
      <c r="J52" s="50"/>
    </row>
    <row r="53" spans="1:10" ht="19.5" hidden="1" thickBot="1" x14ac:dyDescent="0.35">
      <c r="A53" s="175"/>
      <c r="B53" s="175"/>
      <c r="C53" s="175"/>
      <c r="D53" s="133"/>
      <c r="E53" s="58"/>
      <c r="F53" s="51"/>
      <c r="G53" s="59"/>
      <c r="H53" s="50"/>
      <c r="I53" s="51"/>
      <c r="J53" s="50"/>
    </row>
    <row r="54" spans="1:10" ht="19.5" hidden="1" thickBot="1" x14ac:dyDescent="0.35">
      <c r="A54" s="175"/>
      <c r="B54" s="175"/>
      <c r="C54" s="175"/>
      <c r="D54" s="133" t="s">
        <v>118</v>
      </c>
      <c r="E54" s="58"/>
      <c r="F54" s="51"/>
      <c r="G54" s="59"/>
      <c r="H54" s="50"/>
      <c r="I54" s="51"/>
      <c r="J54" s="50"/>
    </row>
    <row r="55" spans="1:10" ht="19.5" hidden="1" thickBot="1" x14ac:dyDescent="0.35">
      <c r="A55" s="175"/>
      <c r="B55" s="175"/>
      <c r="C55" s="175"/>
      <c r="D55" s="133"/>
      <c r="E55" s="58"/>
      <c r="F55" s="51"/>
      <c r="G55" s="59"/>
      <c r="H55" s="50"/>
      <c r="I55" s="51"/>
      <c r="J55" s="50"/>
    </row>
    <row r="56" spans="1:10" ht="19.5" hidden="1" thickBot="1" x14ac:dyDescent="0.35">
      <c r="A56" s="175"/>
      <c r="B56" s="175"/>
      <c r="C56" s="175"/>
      <c r="D56" s="133"/>
      <c r="E56" s="58"/>
      <c r="F56" s="51"/>
      <c r="G56" s="59"/>
      <c r="H56" s="50"/>
      <c r="I56" s="51"/>
      <c r="J56" s="50"/>
    </row>
    <row r="57" spans="1:10" ht="19.5" hidden="1" thickBot="1" x14ac:dyDescent="0.35">
      <c r="A57" s="177"/>
      <c r="B57" s="177"/>
      <c r="C57" s="177"/>
      <c r="D57" s="133"/>
      <c r="E57" s="58"/>
      <c r="F57" s="51"/>
      <c r="G57" s="59"/>
      <c r="H57" s="50"/>
      <c r="I57" s="51"/>
      <c r="J57" s="50"/>
    </row>
    <row r="58" spans="1:10" ht="19.5" hidden="1" thickBot="1" x14ac:dyDescent="0.35">
      <c r="A58" s="177"/>
      <c r="B58" s="177"/>
      <c r="C58" s="177"/>
      <c r="D58" s="133"/>
      <c r="E58" s="58"/>
      <c r="F58" s="51"/>
      <c r="G58" s="59"/>
      <c r="H58" s="50"/>
      <c r="I58" s="51"/>
      <c r="J58" s="50"/>
    </row>
    <row r="59" spans="1:10" ht="18.75" hidden="1" customHeight="1" thickBot="1" x14ac:dyDescent="0.3">
      <c r="A59" s="2008" t="s">
        <v>46</v>
      </c>
      <c r="B59" s="2009"/>
      <c r="C59" s="2010"/>
      <c r="D59" s="81"/>
      <c r="E59" s="58"/>
      <c r="F59" s="2002"/>
      <c r="G59" s="2003"/>
      <c r="H59" s="2003"/>
      <c r="I59" s="2003"/>
      <c r="J59" s="2004"/>
    </row>
    <row r="60" spans="1:10" ht="16.5" hidden="1" thickBot="1" x14ac:dyDescent="0.3">
      <c r="A60" s="2008" t="s">
        <v>2</v>
      </c>
      <c r="B60" s="2009"/>
      <c r="C60" s="2010"/>
      <c r="D60" s="81">
        <f>SUM(D53:D59)</f>
        <v>0</v>
      </c>
      <c r="E60" s="58"/>
      <c r="F60" s="2005"/>
      <c r="G60" s="2006"/>
      <c r="H60" s="2006"/>
      <c r="I60" s="2006"/>
      <c r="J60" s="2007"/>
    </row>
    <row r="61" spans="1:10" ht="15.75" hidden="1" thickBot="1" x14ac:dyDescent="0.3">
      <c r="A61" s="2011" t="s">
        <v>43</v>
      </c>
      <c r="B61" s="2012"/>
      <c r="C61" s="2012"/>
      <c r="D61" s="2013"/>
      <c r="E61" s="58"/>
      <c r="F61" s="129"/>
      <c r="G61" s="96"/>
      <c r="H61" s="97"/>
      <c r="I61" s="98"/>
      <c r="J61" s="61"/>
    </row>
    <row r="62" spans="1:10" ht="15.75" hidden="1" thickBot="1" x14ac:dyDescent="0.3">
      <c r="A62" s="1991" t="s">
        <v>158</v>
      </c>
      <c r="B62" s="1992"/>
      <c r="C62" s="1992"/>
      <c r="D62" s="176"/>
      <c r="E62" s="58" t="s">
        <v>308</v>
      </c>
      <c r="F62" s="130"/>
      <c r="G62" s="128"/>
      <c r="H62" s="100"/>
      <c r="I62" s="82"/>
      <c r="J62" s="99"/>
    </row>
    <row r="63" spans="1:10" ht="15.75" hidden="1" thickBot="1" x14ac:dyDescent="0.3">
      <c r="A63" s="1991"/>
      <c r="B63" s="1992"/>
      <c r="C63" s="1992"/>
      <c r="D63" s="176"/>
      <c r="E63" s="58"/>
      <c r="F63" s="130"/>
      <c r="G63" s="128"/>
      <c r="H63" s="100"/>
      <c r="I63" s="82"/>
      <c r="J63" s="99"/>
    </row>
    <row r="64" spans="1:10" ht="15.75" hidden="1" thickBot="1" x14ac:dyDescent="0.3">
      <c r="A64" s="1991"/>
      <c r="B64" s="1992"/>
      <c r="C64" s="1992"/>
      <c r="D64" s="176"/>
      <c r="E64" s="58" t="s">
        <v>304</v>
      </c>
      <c r="F64" s="130"/>
      <c r="G64" s="128"/>
      <c r="H64" s="100"/>
      <c r="I64" s="82"/>
      <c r="J64" s="99"/>
    </row>
    <row r="65" spans="1:20" ht="15.75" hidden="1" thickBot="1" x14ac:dyDescent="0.3">
      <c r="A65" s="1991"/>
      <c r="B65" s="1992"/>
      <c r="C65" s="1992"/>
      <c r="D65" s="176"/>
      <c r="E65" s="58"/>
      <c r="F65" s="130"/>
      <c r="G65" s="128"/>
      <c r="H65" s="100"/>
      <c r="I65" s="82"/>
      <c r="J65" s="99"/>
    </row>
    <row r="66" spans="1:20" ht="15.75" hidden="1" thickBot="1" x14ac:dyDescent="0.3">
      <c r="A66" s="1991"/>
      <c r="B66" s="1992"/>
      <c r="C66" s="1992"/>
      <c r="D66" s="176"/>
      <c r="E66" s="58" t="s">
        <v>307</v>
      </c>
      <c r="F66" s="130"/>
      <c r="G66" s="128"/>
      <c r="H66" s="100"/>
      <c r="I66" s="82"/>
      <c r="J66" s="99"/>
    </row>
    <row r="67" spans="1:20" ht="15.75" hidden="1" thickBot="1" x14ac:dyDescent="0.3">
      <c r="A67" s="1991"/>
      <c r="B67" s="1992"/>
      <c r="C67" s="1992"/>
      <c r="D67" s="176"/>
      <c r="E67" s="58"/>
      <c r="F67" s="130"/>
      <c r="G67" s="128"/>
      <c r="H67" s="100"/>
      <c r="I67" s="82"/>
      <c r="J67" s="99"/>
    </row>
    <row r="68" spans="1:20" ht="15.75" hidden="1" thickBot="1" x14ac:dyDescent="0.3">
      <c r="A68" s="1991"/>
      <c r="B68" s="1992"/>
      <c r="C68" s="1992"/>
      <c r="D68" s="176"/>
      <c r="E68" s="58" t="s">
        <v>199</v>
      </c>
      <c r="F68" s="130"/>
      <c r="G68" s="128"/>
      <c r="H68" s="100"/>
      <c r="I68" s="82"/>
      <c r="J68" s="99"/>
      <c r="M68" s="678"/>
      <c r="N68" s="678"/>
      <c r="O68" s="678"/>
    </row>
    <row r="69" spans="1:20" ht="15.75" hidden="1" thickBot="1" x14ac:dyDescent="0.3">
      <c r="A69" s="1991"/>
      <c r="B69" s="1992"/>
      <c r="C69" s="1992"/>
      <c r="D69" s="176"/>
      <c r="E69" s="58"/>
      <c r="F69" s="130"/>
      <c r="G69" s="128"/>
      <c r="H69" s="100"/>
      <c r="I69" s="82"/>
      <c r="J69" s="99"/>
      <c r="L69" s="678"/>
      <c r="M69" s="678"/>
      <c r="N69" s="678"/>
      <c r="O69" s="678"/>
    </row>
    <row r="70" spans="1:20" ht="15.75" hidden="1" thickBot="1" x14ac:dyDescent="0.3">
      <c r="A70" s="1991"/>
      <c r="B70" s="1992"/>
      <c r="C70" s="1992"/>
      <c r="D70" s="176"/>
      <c r="E70" s="58" t="s">
        <v>309</v>
      </c>
      <c r="F70" s="130"/>
      <c r="G70" s="128"/>
      <c r="H70" s="100"/>
      <c r="I70" s="82"/>
      <c r="J70" s="99"/>
      <c r="M70" s="678"/>
      <c r="O70" s="678"/>
    </row>
    <row r="71" spans="1:20" ht="15.75" hidden="1" thickBot="1" x14ac:dyDescent="0.3">
      <c r="A71" s="1991"/>
      <c r="B71" s="1992"/>
      <c r="C71" s="1992"/>
      <c r="D71" s="176"/>
      <c r="E71" s="58"/>
      <c r="F71" s="130"/>
      <c r="G71" s="128"/>
      <c r="H71" s="100"/>
      <c r="I71" s="82"/>
      <c r="J71" s="99"/>
      <c r="L71" s="678"/>
      <c r="O71" s="678"/>
    </row>
    <row r="72" spans="1:20" ht="15.75" hidden="1" thickBot="1" x14ac:dyDescent="0.3">
      <c r="A72" s="2026"/>
      <c r="B72" s="2027"/>
      <c r="C72" s="2028"/>
      <c r="D72" s="176"/>
      <c r="E72" s="58"/>
      <c r="F72" s="130"/>
      <c r="G72" s="128"/>
      <c r="H72" s="100"/>
      <c r="I72" s="82"/>
      <c r="J72" s="99"/>
      <c r="N72" s="678"/>
    </row>
    <row r="73" spans="1:20" ht="15.75" hidden="1" thickBot="1" x14ac:dyDescent="0.3">
      <c r="A73" s="2026"/>
      <c r="B73" s="2027"/>
      <c r="C73" s="2028"/>
      <c r="D73" s="176"/>
      <c r="E73" s="58"/>
      <c r="F73" s="130"/>
      <c r="G73" s="128"/>
      <c r="H73" s="100"/>
      <c r="I73" s="82"/>
      <c r="J73" s="99"/>
    </row>
    <row r="74" spans="1:20" ht="15.75" hidden="1" thickBot="1" x14ac:dyDescent="0.3">
      <c r="A74" s="193"/>
      <c r="B74" s="194"/>
      <c r="C74" s="195"/>
      <c r="D74" s="176"/>
      <c r="E74" s="58"/>
      <c r="F74" s="130"/>
      <c r="G74" s="128"/>
      <c r="H74" s="100"/>
      <c r="I74" s="82"/>
      <c r="J74" s="99"/>
      <c r="L74" s="678"/>
      <c r="M74" s="678"/>
      <c r="N74" s="678"/>
      <c r="O74" s="678"/>
    </row>
    <row r="75" spans="1:20" ht="16.5" hidden="1" thickBot="1" x14ac:dyDescent="0.3">
      <c r="A75" s="1962" t="s">
        <v>46</v>
      </c>
      <c r="B75" s="1963"/>
      <c r="C75" s="2029"/>
      <c r="D75" s="134">
        <f>SUM(D62:D74)</f>
        <v>0</v>
      </c>
      <c r="E75" s="58"/>
      <c r="F75" s="131"/>
      <c r="G75" s="131"/>
      <c r="H75" s="131"/>
      <c r="I75" s="131"/>
      <c r="J75" s="131"/>
    </row>
    <row r="76" spans="1:20" s="63" customFormat="1" ht="16.5" thickBot="1" x14ac:dyDescent="0.3">
      <c r="A76" s="2035" t="s">
        <v>476</v>
      </c>
      <c r="B76" s="2036"/>
      <c r="C76" s="2037"/>
      <c r="D76" s="879"/>
      <c r="E76" s="58"/>
      <c r="F76" s="43"/>
      <c r="G76" s="43"/>
      <c r="H76"/>
      <c r="I76" s="51"/>
      <c r="J76"/>
      <c r="K76"/>
      <c r="L76"/>
      <c r="M76"/>
      <c r="N76"/>
      <c r="O76"/>
      <c r="P76"/>
      <c r="Q76"/>
      <c r="R76"/>
      <c r="S76"/>
      <c r="T76"/>
    </row>
    <row r="77" spans="1:20" ht="15.75" x14ac:dyDescent="0.25">
      <c r="A77" s="1993" t="s">
        <v>199</v>
      </c>
      <c r="B77" s="1994"/>
      <c r="C77" s="1994"/>
      <c r="D77" s="920">
        <v>311699</v>
      </c>
      <c r="E77" s="58">
        <f>311699+1052250-1052250</f>
        <v>311699</v>
      </c>
      <c r="F77" s="43"/>
      <c r="H77"/>
      <c r="I77" s="51"/>
    </row>
    <row r="78" spans="1:20" ht="15.75" x14ac:dyDescent="0.25">
      <c r="A78" s="1993" t="s">
        <v>458</v>
      </c>
      <c r="B78" s="1994"/>
      <c r="C78" s="1994"/>
      <c r="D78" s="920">
        <v>-39846</v>
      </c>
      <c r="E78" s="58">
        <f>1484944+10435905-12267806+310911-3800</f>
        <v>-39846</v>
      </c>
      <c r="F78" s="43"/>
      <c r="H78"/>
      <c r="I78" s="51"/>
    </row>
    <row r="79" spans="1:20" ht="15.75" x14ac:dyDescent="0.25">
      <c r="A79" s="1993" t="s">
        <v>177</v>
      </c>
      <c r="B79" s="1994"/>
      <c r="C79" s="1994"/>
      <c r="D79" s="920">
        <v>-302505</v>
      </c>
      <c r="E79" s="58">
        <f>-297355+5488950-5494100</f>
        <v>-302505</v>
      </c>
      <c r="F79" s="43"/>
      <c r="H79"/>
      <c r="I79" s="51"/>
    </row>
    <row r="80" spans="1:20" ht="15.75" x14ac:dyDescent="0.25">
      <c r="A80" s="2038" t="s">
        <v>474</v>
      </c>
      <c r="B80" s="2039"/>
      <c r="C80" s="2040"/>
      <c r="D80" s="921">
        <f>SUM(D77:D79)</f>
        <v>-30652</v>
      </c>
      <c r="E80" s="58"/>
      <c r="F80" s="689"/>
      <c r="H80"/>
      <c r="I80" s="51"/>
    </row>
    <row r="81" spans="1:12" ht="15.75" hidden="1" x14ac:dyDescent="0.25">
      <c r="A81" s="1954" t="s">
        <v>477</v>
      </c>
      <c r="B81" s="1955"/>
      <c r="C81" s="1956"/>
      <c r="D81" s="880"/>
      <c r="E81" s="58"/>
      <c r="F81" s="43"/>
      <c r="H81"/>
      <c r="I81" s="51"/>
    </row>
    <row r="82" spans="1:12" ht="15.75" hidden="1" x14ac:dyDescent="0.25">
      <c r="A82" s="1987" t="s">
        <v>47</v>
      </c>
      <c r="B82" s="1988"/>
      <c r="C82" s="1988"/>
      <c r="D82" s="920"/>
      <c r="E82" s="58"/>
      <c r="F82" s="43"/>
      <c r="H82"/>
      <c r="I82" s="51"/>
    </row>
    <row r="83" spans="1:12" ht="15.75" hidden="1" x14ac:dyDescent="0.25">
      <c r="A83" s="918" t="s">
        <v>478</v>
      </c>
      <c r="B83" s="917"/>
      <c r="C83" s="917"/>
      <c r="D83" s="920"/>
      <c r="E83" s="58"/>
      <c r="F83" s="43"/>
      <c r="G83" s="679"/>
      <c r="H83" s="678"/>
      <c r="I83" s="51"/>
    </row>
    <row r="84" spans="1:12" ht="15.75" hidden="1" x14ac:dyDescent="0.25">
      <c r="A84" s="918" t="s">
        <v>495</v>
      </c>
      <c r="B84" s="917"/>
      <c r="C84" s="917"/>
      <c r="D84" s="919"/>
      <c r="E84" s="58"/>
      <c r="F84" s="679"/>
      <c r="G84" s="679"/>
      <c r="H84" s="678"/>
      <c r="I84" s="51"/>
      <c r="J84" s="678"/>
    </row>
    <row r="85" spans="1:12" ht="15.75" hidden="1" x14ac:dyDescent="0.25">
      <c r="A85" s="918"/>
      <c r="B85" s="917"/>
      <c r="C85" s="917"/>
      <c r="D85" s="101"/>
      <c r="E85" s="58"/>
      <c r="F85" s="679"/>
      <c r="G85" s="679"/>
      <c r="H85" s="678"/>
      <c r="I85" s="51"/>
    </row>
    <row r="86" spans="1:12" ht="15.75" hidden="1" x14ac:dyDescent="0.25">
      <c r="A86" s="1954" t="s">
        <v>496</v>
      </c>
      <c r="B86" s="1955"/>
      <c r="C86" s="1956"/>
      <c r="D86" s="880"/>
      <c r="E86" s="58"/>
      <c r="F86" s="679"/>
      <c r="H86"/>
      <c r="I86" s="51"/>
      <c r="J86" s="678"/>
    </row>
    <row r="87" spans="1:12" s="63" customFormat="1" ht="15.75" hidden="1" x14ac:dyDescent="0.25">
      <c r="A87" s="1987" t="s">
        <v>47</v>
      </c>
      <c r="B87" s="1988"/>
      <c r="C87" s="1988"/>
      <c r="D87" s="883"/>
      <c r="E87" s="58"/>
      <c r="F87" s="43"/>
      <c r="G87" s="43"/>
      <c r="H87" s="678"/>
      <c r="I87" s="51"/>
      <c r="J87" s="678"/>
    </row>
    <row r="88" spans="1:12" s="63" customFormat="1" ht="15.75" hidden="1" x14ac:dyDescent="0.25">
      <c r="A88" s="918" t="s">
        <v>497</v>
      </c>
      <c r="B88" s="878"/>
      <c r="C88" s="878"/>
      <c r="D88" s="883"/>
      <c r="E88" s="58"/>
      <c r="F88" s="689"/>
      <c r="G88" s="689"/>
      <c r="H88" s="678"/>
      <c r="I88" s="51"/>
      <c r="J88" s="678"/>
    </row>
    <row r="89" spans="1:12" s="63" customFormat="1" ht="15.75" hidden="1" x14ac:dyDescent="0.25">
      <c r="A89" s="918" t="s">
        <v>495</v>
      </c>
      <c r="B89" s="878"/>
      <c r="C89" s="878"/>
      <c r="D89" s="883"/>
      <c r="E89" s="58"/>
      <c r="F89" s="689"/>
      <c r="G89" s="689"/>
      <c r="H89" s="678"/>
      <c r="I89" s="51"/>
      <c r="J89" s="678"/>
    </row>
    <row r="90" spans="1:12" s="63" customFormat="1" ht="15.75" hidden="1" x14ac:dyDescent="0.25">
      <c r="A90" s="918" t="s">
        <v>498</v>
      </c>
      <c r="B90" s="878"/>
      <c r="C90" s="878"/>
      <c r="D90" s="883"/>
      <c r="E90" s="58"/>
      <c r="F90" s="689"/>
      <c r="G90" s="689"/>
      <c r="H90" s="678"/>
      <c r="I90" s="51"/>
      <c r="J90" s="678"/>
    </row>
    <row r="91" spans="1:12" s="63" customFormat="1" ht="15.75" hidden="1" x14ac:dyDescent="0.25">
      <c r="A91" s="2001" t="s">
        <v>479</v>
      </c>
      <c r="B91" s="2001"/>
      <c r="C91" s="2001"/>
      <c r="D91" s="884">
        <f>SUM(D82:D90)</f>
        <v>0</v>
      </c>
      <c r="E91" s="58"/>
      <c r="F91" s="43"/>
      <c r="G91" s="679"/>
      <c r="H91" s="678"/>
      <c r="I91" s="51"/>
      <c r="J91" s="678"/>
      <c r="K91"/>
      <c r="L91"/>
    </row>
    <row r="92" spans="1:12" s="63" customFormat="1" ht="15.75" hidden="1" customHeight="1" thickBot="1" x14ac:dyDescent="0.3">
      <c r="A92" s="1989" t="s">
        <v>499</v>
      </c>
      <c r="B92" s="1990"/>
      <c r="C92" s="1990"/>
      <c r="D92" s="882"/>
      <c r="E92" s="58"/>
      <c r="F92" s="679"/>
      <c r="G92" s="679"/>
      <c r="H92" s="678"/>
      <c r="I92" s="51"/>
      <c r="J92" s="678"/>
      <c r="K92"/>
      <c r="L92"/>
    </row>
    <row r="93" spans="1:12" s="63" customFormat="1" ht="15.75" hidden="1" customHeight="1" x14ac:dyDescent="0.25">
      <c r="A93" s="1984" t="s">
        <v>47</v>
      </c>
      <c r="B93" s="1985"/>
      <c r="C93" s="1986"/>
      <c r="D93" s="101"/>
      <c r="E93" s="58"/>
      <c r="F93" s="43"/>
      <c r="G93" s="679"/>
      <c r="H93"/>
      <c r="I93" s="51"/>
      <c r="J93" s="678"/>
      <c r="K93"/>
      <c r="L93"/>
    </row>
    <row r="94" spans="1:12" s="63" customFormat="1" ht="15.75" hidden="1" customHeight="1" x14ac:dyDescent="0.25">
      <c r="A94" s="1993" t="s">
        <v>507</v>
      </c>
      <c r="B94" s="1994"/>
      <c r="C94" s="1995"/>
      <c r="D94" s="101"/>
      <c r="E94" s="58"/>
      <c r="F94" s="43"/>
      <c r="G94" s="43"/>
      <c r="H94"/>
      <c r="I94" s="51"/>
      <c r="J94"/>
      <c r="K94"/>
      <c r="L94"/>
    </row>
    <row r="95" spans="1:12" s="63" customFormat="1" ht="15.75" hidden="1" customHeight="1" x14ac:dyDescent="0.25">
      <c r="A95" s="1993" t="s">
        <v>508</v>
      </c>
      <c r="B95" s="1994"/>
      <c r="C95" s="1995"/>
      <c r="D95" s="101"/>
      <c r="E95" s="58"/>
      <c r="F95" s="689"/>
      <c r="G95" s="43"/>
      <c r="H95"/>
      <c r="I95" s="51"/>
      <c r="J95"/>
      <c r="K95"/>
      <c r="L95"/>
    </row>
    <row r="96" spans="1:12" s="63" customFormat="1" ht="15.75" hidden="1" customHeight="1" x14ac:dyDescent="0.25">
      <c r="A96" s="1981" t="s">
        <v>504</v>
      </c>
      <c r="B96" s="1982"/>
      <c r="C96" s="1983"/>
      <c r="D96" s="101">
        <f>SUM(D93:D95)</f>
        <v>0</v>
      </c>
      <c r="E96" s="58"/>
      <c r="F96" s="43"/>
      <c r="G96" s="679"/>
      <c r="H96" s="678"/>
      <c r="I96" s="51"/>
      <c r="J96" s="678"/>
      <c r="K96"/>
      <c r="L96"/>
    </row>
    <row r="97" spans="1:12" s="63" customFormat="1" ht="15.75" hidden="1" customHeight="1" x14ac:dyDescent="0.25">
      <c r="A97" s="1954" t="s">
        <v>505</v>
      </c>
      <c r="B97" s="1955"/>
      <c r="C97" s="1956"/>
      <c r="D97" s="101"/>
      <c r="E97" s="58"/>
      <c r="F97" s="43"/>
      <c r="G97" s="43"/>
      <c r="H97"/>
      <c r="I97" s="51"/>
      <c r="J97"/>
      <c r="K97"/>
      <c r="L97"/>
    </row>
    <row r="98" spans="1:12" s="63" customFormat="1" ht="15.75" hidden="1" x14ac:dyDescent="0.25">
      <c r="A98" s="946" t="s">
        <v>506</v>
      </c>
      <c r="B98" s="946"/>
      <c r="C98" s="946"/>
      <c r="D98" s="945"/>
      <c r="E98" s="58"/>
      <c r="F98" s="43"/>
      <c r="G98" s="43"/>
      <c r="H98"/>
      <c r="I98" s="51"/>
      <c r="J98"/>
      <c r="K98"/>
      <c r="L98"/>
    </row>
    <row r="99" spans="1:12" s="63" customFormat="1" ht="15.75" hidden="1" x14ac:dyDescent="0.25">
      <c r="A99" s="946" t="s">
        <v>509</v>
      </c>
      <c r="B99" s="946"/>
      <c r="C99" s="946"/>
      <c r="D99" s="240"/>
      <c r="E99" s="58"/>
      <c r="F99" s="43"/>
      <c r="G99" s="43"/>
      <c r="H99"/>
      <c r="I99" s="51"/>
      <c r="J99"/>
      <c r="K99"/>
      <c r="L99"/>
    </row>
    <row r="100" spans="1:12" s="63" customFormat="1" ht="15.75" hidden="1" x14ac:dyDescent="0.25">
      <c r="A100" s="946" t="s">
        <v>510</v>
      </c>
      <c r="B100" s="946"/>
      <c r="C100" s="946"/>
      <c r="D100" s="240"/>
      <c r="E100" s="58"/>
      <c r="F100" s="43"/>
      <c r="G100" s="43"/>
      <c r="H100"/>
      <c r="I100" s="51"/>
      <c r="J100"/>
      <c r="K100"/>
      <c r="L100"/>
    </row>
    <row r="101" spans="1:12" s="63" customFormat="1" ht="15.75" hidden="1" x14ac:dyDescent="0.25">
      <c r="A101" s="1998" t="s">
        <v>137</v>
      </c>
      <c r="B101" s="1999"/>
      <c r="C101" s="2000"/>
      <c r="D101" s="135">
        <f>SUM(D98:D100)</f>
        <v>0</v>
      </c>
      <c r="E101" s="58"/>
      <c r="F101" s="43"/>
      <c r="G101" s="62"/>
      <c r="I101" s="51"/>
      <c r="J101"/>
      <c r="K101"/>
      <c r="L101"/>
    </row>
    <row r="102" spans="1:12" s="63" customFormat="1" ht="15.75" hidden="1" x14ac:dyDescent="0.25">
      <c r="A102" s="1954" t="s">
        <v>545</v>
      </c>
      <c r="B102" s="1955"/>
      <c r="C102" s="1956"/>
      <c r="D102" s="101"/>
      <c r="E102" s="58"/>
      <c r="F102" s="689"/>
      <c r="G102" s="62"/>
      <c r="I102" s="51"/>
      <c r="J102" s="688"/>
      <c r="K102" s="688"/>
      <c r="L102" s="688"/>
    </row>
    <row r="103" spans="1:12" s="63" customFormat="1" ht="15.75" hidden="1" x14ac:dyDescent="0.25">
      <c r="A103" s="929" t="s">
        <v>47</v>
      </c>
      <c r="B103" s="930"/>
      <c r="C103" s="930"/>
      <c r="D103" s="101"/>
      <c r="E103" s="58"/>
      <c r="F103" s="689"/>
      <c r="G103" s="62"/>
      <c r="I103" s="51"/>
      <c r="J103" s="688"/>
      <c r="K103" s="688"/>
      <c r="L103" s="688"/>
    </row>
    <row r="104" spans="1:12" s="63" customFormat="1" ht="15.75" hidden="1" x14ac:dyDescent="0.25">
      <c r="A104" s="1993" t="s">
        <v>511</v>
      </c>
      <c r="B104" s="1994"/>
      <c r="C104" s="1995"/>
      <c r="D104" s="101"/>
      <c r="E104" s="58"/>
      <c r="F104" s="43"/>
      <c r="G104" s="62"/>
      <c r="I104" s="51"/>
      <c r="J104"/>
      <c r="K104"/>
      <c r="L104"/>
    </row>
    <row r="105" spans="1:12" s="63" customFormat="1" ht="15.75" hidden="1" x14ac:dyDescent="0.25">
      <c r="A105" s="926"/>
      <c r="B105" s="927"/>
      <c r="C105" s="927"/>
      <c r="D105" s="101"/>
      <c r="E105" s="58"/>
      <c r="F105" s="689"/>
      <c r="G105" s="62"/>
      <c r="I105" s="51"/>
      <c r="J105"/>
      <c r="K105"/>
      <c r="L105"/>
    </row>
    <row r="106" spans="1:12" s="63" customFormat="1" ht="15.75" hidden="1" x14ac:dyDescent="0.25">
      <c r="A106" s="1954" t="s">
        <v>551</v>
      </c>
      <c r="B106" s="1955"/>
      <c r="C106" s="1956"/>
      <c r="D106" s="101"/>
      <c r="E106" s="58"/>
      <c r="F106" s="43"/>
      <c r="G106" s="62"/>
      <c r="I106" s="51"/>
      <c r="J106"/>
      <c r="K106"/>
      <c r="L106"/>
    </row>
    <row r="107" spans="1:12" s="63" customFormat="1" ht="15.75" hidden="1" x14ac:dyDescent="0.25">
      <c r="A107" s="942" t="s">
        <v>506</v>
      </c>
      <c r="B107" s="943"/>
      <c r="C107" s="943"/>
      <c r="D107" s="101"/>
      <c r="E107" s="58"/>
      <c r="F107" s="43"/>
      <c r="G107" s="62"/>
      <c r="I107" s="51"/>
      <c r="J107"/>
      <c r="K107"/>
      <c r="L107"/>
    </row>
    <row r="108" spans="1:12" s="63" customFormat="1" ht="15.75" hidden="1" x14ac:dyDescent="0.25">
      <c r="A108" s="1993" t="s">
        <v>557</v>
      </c>
      <c r="B108" s="1994"/>
      <c r="C108" s="1995"/>
      <c r="D108" s="101"/>
      <c r="E108" s="58"/>
      <c r="F108" s="689"/>
      <c r="G108" s="62"/>
      <c r="I108" s="51"/>
      <c r="J108"/>
      <c r="K108"/>
      <c r="L108"/>
    </row>
    <row r="109" spans="1:12" s="63" customFormat="1" ht="15.75" hidden="1" x14ac:dyDescent="0.25">
      <c r="A109" s="942" t="s">
        <v>458</v>
      </c>
      <c r="B109" s="943"/>
      <c r="C109" s="943"/>
      <c r="D109" s="101"/>
      <c r="E109" s="58"/>
      <c r="F109" s="43"/>
      <c r="G109" s="62"/>
      <c r="I109" s="51"/>
      <c r="J109"/>
      <c r="K109"/>
      <c r="L109"/>
    </row>
    <row r="110" spans="1:12" s="63" customFormat="1" ht="15.75" hidden="1" x14ac:dyDescent="0.25">
      <c r="A110" s="948" t="s">
        <v>556</v>
      </c>
      <c r="B110" s="943"/>
      <c r="C110" s="943"/>
      <c r="D110" s="101"/>
      <c r="E110" s="58"/>
      <c r="F110" s="43"/>
      <c r="G110" s="62"/>
      <c r="I110" s="51"/>
      <c r="J110"/>
      <c r="K110"/>
      <c r="L110"/>
    </row>
    <row r="111" spans="1:12" s="63" customFormat="1" ht="15.75" hidden="1" x14ac:dyDescent="0.25">
      <c r="A111" s="942" t="s">
        <v>553</v>
      </c>
      <c r="B111" s="943"/>
      <c r="C111" s="943"/>
      <c r="D111" s="101"/>
      <c r="E111" s="58"/>
      <c r="F111" s="43"/>
      <c r="G111" s="62"/>
      <c r="I111" s="51"/>
      <c r="J111"/>
      <c r="K111"/>
      <c r="L111"/>
    </row>
    <row r="112" spans="1:12" s="63" customFormat="1" ht="15.75" hidden="1" x14ac:dyDescent="0.25">
      <c r="A112" s="962" t="s">
        <v>566</v>
      </c>
      <c r="B112" s="963"/>
      <c r="C112" s="963"/>
      <c r="D112" s="101"/>
      <c r="E112" s="58"/>
      <c r="F112" s="689"/>
      <c r="G112" s="62"/>
      <c r="I112" s="51"/>
      <c r="J112" s="688"/>
      <c r="K112" s="688"/>
      <c r="L112" s="688"/>
    </row>
    <row r="113" spans="1:12" s="63" customFormat="1" ht="15.75" hidden="1" x14ac:dyDescent="0.25">
      <c r="A113" s="955" t="s">
        <v>506</v>
      </c>
      <c r="B113" s="956"/>
      <c r="C113" s="956"/>
      <c r="D113" s="101"/>
      <c r="E113" s="58"/>
      <c r="F113" s="689"/>
      <c r="G113" s="62"/>
      <c r="I113" s="51"/>
      <c r="J113" s="688"/>
      <c r="K113" s="688"/>
      <c r="L113" s="688"/>
    </row>
    <row r="114" spans="1:12" s="63" customFormat="1" ht="15.75" hidden="1" x14ac:dyDescent="0.25">
      <c r="A114" s="1993" t="s">
        <v>177</v>
      </c>
      <c r="B114" s="1994"/>
      <c r="C114" s="1995"/>
      <c r="D114" s="101"/>
      <c r="E114" s="58"/>
      <c r="F114" s="689"/>
      <c r="G114" s="62"/>
      <c r="I114" s="51"/>
      <c r="J114" s="688"/>
      <c r="K114" s="688"/>
      <c r="L114" s="688"/>
    </row>
    <row r="115" spans="1:12" s="63" customFormat="1" ht="15.75" hidden="1" x14ac:dyDescent="0.25">
      <c r="A115" s="955" t="s">
        <v>458</v>
      </c>
      <c r="B115" s="956"/>
      <c r="C115" s="956"/>
      <c r="D115" s="101"/>
      <c r="E115" s="58"/>
      <c r="F115" s="689"/>
      <c r="G115" s="62"/>
      <c r="I115" s="51"/>
      <c r="J115" s="688"/>
      <c r="K115" s="688"/>
      <c r="L115" s="688"/>
    </row>
    <row r="116" spans="1:12" s="63" customFormat="1" ht="15.75" hidden="1" x14ac:dyDescent="0.25">
      <c r="A116" s="955" t="s">
        <v>563</v>
      </c>
      <c r="B116" s="956"/>
      <c r="C116" s="956"/>
      <c r="D116" s="101"/>
      <c r="E116" s="58"/>
      <c r="F116" s="689"/>
      <c r="G116" s="62"/>
      <c r="I116" s="51"/>
      <c r="J116" s="688"/>
      <c r="K116" s="688"/>
      <c r="L116" s="688"/>
    </row>
    <row r="117" spans="1:12" s="63" customFormat="1" ht="15.75" hidden="1" x14ac:dyDescent="0.25">
      <c r="A117" s="955" t="s">
        <v>553</v>
      </c>
      <c r="B117" s="956"/>
      <c r="C117" s="956"/>
      <c r="D117" s="101"/>
      <c r="E117" s="58"/>
      <c r="F117" s="689"/>
      <c r="G117" s="62"/>
      <c r="I117" s="51"/>
      <c r="J117" s="688"/>
      <c r="K117" s="688"/>
      <c r="L117" s="688"/>
    </row>
    <row r="118" spans="1:12" s="63" customFormat="1" ht="15.75" hidden="1" x14ac:dyDescent="0.25">
      <c r="A118" s="1954" t="s">
        <v>567</v>
      </c>
      <c r="B118" s="1955"/>
      <c r="C118" s="1956"/>
      <c r="D118" s="101"/>
      <c r="E118" s="58"/>
      <c r="F118" s="689"/>
      <c r="G118" s="62"/>
      <c r="I118" s="51"/>
      <c r="J118" s="688"/>
      <c r="K118" s="688"/>
      <c r="L118" s="688"/>
    </row>
    <row r="119" spans="1:12" s="63" customFormat="1" ht="15.75" hidden="1" x14ac:dyDescent="0.25">
      <c r="A119" s="964" t="s">
        <v>506</v>
      </c>
      <c r="B119" s="965"/>
      <c r="C119" s="965"/>
      <c r="D119" s="101"/>
      <c r="E119" s="58"/>
      <c r="F119" s="689"/>
      <c r="G119" s="62"/>
      <c r="I119" s="51"/>
      <c r="J119" s="688"/>
      <c r="K119" s="688"/>
      <c r="L119" s="688"/>
    </row>
    <row r="120" spans="1:12" s="63" customFormat="1" ht="15.75" hidden="1" x14ac:dyDescent="0.25">
      <c r="A120" s="1993" t="s">
        <v>177</v>
      </c>
      <c r="B120" s="1994"/>
      <c r="C120" s="1995"/>
      <c r="D120" s="101"/>
      <c r="E120" s="58"/>
      <c r="F120" s="689"/>
      <c r="G120" s="62"/>
      <c r="I120" s="51"/>
      <c r="J120" s="688"/>
      <c r="K120" s="688"/>
      <c r="L120" s="688"/>
    </row>
    <row r="121" spans="1:12" s="63" customFormat="1" ht="15.75" hidden="1" x14ac:dyDescent="0.25">
      <c r="A121" s="964" t="s">
        <v>458</v>
      </c>
      <c r="B121" s="965"/>
      <c r="C121" s="965"/>
      <c r="D121" s="101"/>
      <c r="E121" s="58"/>
      <c r="F121" s="689"/>
      <c r="G121" s="62"/>
      <c r="I121" s="51"/>
      <c r="J121" s="688"/>
      <c r="K121" s="688"/>
      <c r="L121" s="688"/>
    </row>
    <row r="122" spans="1:12" s="63" customFormat="1" ht="15.75" hidden="1" x14ac:dyDescent="0.25">
      <c r="A122" s="964" t="s">
        <v>569</v>
      </c>
      <c r="B122" s="965"/>
      <c r="C122" s="965"/>
      <c r="D122" s="101"/>
      <c r="E122" s="58"/>
      <c r="F122" s="689"/>
      <c r="G122" s="62"/>
      <c r="I122" s="51"/>
      <c r="J122" s="688"/>
      <c r="K122" s="688"/>
      <c r="L122" s="688"/>
    </row>
    <row r="123" spans="1:12" s="63" customFormat="1" ht="15.75" hidden="1" x14ac:dyDescent="0.25">
      <c r="A123" s="964" t="s">
        <v>553</v>
      </c>
      <c r="B123" s="965"/>
      <c r="C123" s="965"/>
      <c r="D123" s="101"/>
      <c r="E123" s="58"/>
      <c r="F123" s="689"/>
      <c r="G123" s="62"/>
      <c r="I123" s="51"/>
      <c r="J123" s="688"/>
      <c r="K123" s="688"/>
      <c r="L123" s="688"/>
    </row>
    <row r="124" spans="1:12" s="63" customFormat="1" ht="15.75" hidden="1" x14ac:dyDescent="0.25">
      <c r="A124" s="1954" t="s">
        <v>568</v>
      </c>
      <c r="B124" s="1955"/>
      <c r="C124" s="1956"/>
      <c r="D124" s="101"/>
      <c r="E124" s="58"/>
      <c r="F124" s="84"/>
      <c r="G124" s="62"/>
      <c r="I124" s="51"/>
      <c r="J124" s="688"/>
      <c r="K124" s="688"/>
      <c r="L124" s="688"/>
    </row>
    <row r="125" spans="1:12" s="63" customFormat="1" ht="15.75" hidden="1" x14ac:dyDescent="0.25">
      <c r="A125" s="966" t="s">
        <v>506</v>
      </c>
      <c r="B125" s="967"/>
      <c r="C125" s="967"/>
      <c r="D125" s="101"/>
      <c r="E125" s="58"/>
      <c r="F125" s="689"/>
      <c r="G125" s="62"/>
      <c r="I125" s="51"/>
      <c r="J125" s="688"/>
      <c r="K125" s="688"/>
      <c r="L125" s="688"/>
    </row>
    <row r="126" spans="1:12" s="63" customFormat="1" ht="15.75" hidden="1" x14ac:dyDescent="0.25">
      <c r="A126" s="1993" t="s">
        <v>572</v>
      </c>
      <c r="B126" s="1994"/>
      <c r="C126" s="1995"/>
      <c r="D126" s="101"/>
      <c r="E126" s="58"/>
      <c r="F126" s="689"/>
      <c r="G126" s="62"/>
      <c r="I126" s="51"/>
      <c r="J126" s="688"/>
      <c r="K126" s="688"/>
      <c r="L126" s="688"/>
    </row>
    <row r="127" spans="1:12" s="63" customFormat="1" ht="15.75" hidden="1" x14ac:dyDescent="0.25">
      <c r="A127" s="968" t="s">
        <v>511</v>
      </c>
      <c r="B127" s="967"/>
      <c r="C127" s="967"/>
      <c r="D127" s="101"/>
      <c r="E127" s="58"/>
      <c r="F127" s="689"/>
      <c r="G127" s="62"/>
      <c r="I127" s="51"/>
      <c r="J127" s="688"/>
      <c r="K127" s="688"/>
      <c r="L127" s="688"/>
    </row>
    <row r="128" spans="1:12" s="688" customFormat="1" ht="15.75" hidden="1" x14ac:dyDescent="0.25">
      <c r="A128" s="1954" t="s">
        <v>591</v>
      </c>
      <c r="B128" s="1955"/>
      <c r="C128" s="1956"/>
      <c r="D128" s="101"/>
      <c r="E128" s="58"/>
      <c r="F128" s="62"/>
      <c r="G128" s="62"/>
      <c r="I128" s="51"/>
    </row>
    <row r="129" spans="1:9" s="688" customFormat="1" ht="15.75" hidden="1" x14ac:dyDescent="0.25">
      <c r="A129" s="980" t="s">
        <v>506</v>
      </c>
      <c r="B129" s="981"/>
      <c r="C129" s="981"/>
      <c r="D129" s="101">
        <v>0</v>
      </c>
      <c r="E129" s="58"/>
      <c r="F129" s="62"/>
      <c r="G129" s="62"/>
      <c r="I129" s="51"/>
    </row>
    <row r="130" spans="1:9" s="688" customFormat="1" ht="15.75" hidden="1" x14ac:dyDescent="0.25">
      <c r="A130" s="980" t="s">
        <v>583</v>
      </c>
      <c r="B130" s="981"/>
      <c r="C130" s="981"/>
      <c r="D130" s="101"/>
      <c r="E130" s="58"/>
      <c r="F130" s="62"/>
      <c r="G130" s="62"/>
      <c r="I130" s="51"/>
    </row>
    <row r="131" spans="1:9" s="688" customFormat="1" ht="15.75" hidden="1" x14ac:dyDescent="0.25">
      <c r="A131" s="980"/>
      <c r="B131" s="981"/>
      <c r="C131" s="981"/>
      <c r="D131" s="101"/>
      <c r="E131" s="58"/>
      <c r="F131" s="62"/>
      <c r="G131" s="62"/>
      <c r="I131" s="51"/>
    </row>
    <row r="132" spans="1:9" s="688" customFormat="1" ht="15.75" hidden="1" x14ac:dyDescent="0.25">
      <c r="A132" s="980"/>
      <c r="B132" s="981"/>
      <c r="C132" s="981"/>
      <c r="D132" s="101"/>
      <c r="E132" s="58"/>
      <c r="F132" s="62"/>
      <c r="G132" s="62"/>
      <c r="I132" s="51"/>
    </row>
    <row r="133" spans="1:9" s="688" customFormat="1" ht="15.75" hidden="1" x14ac:dyDescent="0.25">
      <c r="A133" s="980"/>
      <c r="B133" s="981"/>
      <c r="C133" s="981"/>
      <c r="D133" s="101">
        <v>0</v>
      </c>
      <c r="E133" s="58"/>
      <c r="F133" s="62"/>
      <c r="G133" s="62"/>
      <c r="I133" s="51"/>
    </row>
    <row r="134" spans="1:9" s="688" customFormat="1" ht="15.75" hidden="1" x14ac:dyDescent="0.25">
      <c r="A134" s="980"/>
      <c r="B134" s="981"/>
      <c r="C134" s="981"/>
      <c r="D134" s="101">
        <v>0</v>
      </c>
      <c r="E134" s="58"/>
      <c r="F134" s="62"/>
      <c r="G134" s="62"/>
      <c r="I134" s="51"/>
    </row>
    <row r="135" spans="1:9" s="688" customFormat="1" ht="15.75" x14ac:dyDescent="0.25">
      <c r="A135" s="1954" t="s">
        <v>594</v>
      </c>
      <c r="B135" s="1955"/>
      <c r="C135" s="1956"/>
      <c r="D135" s="101"/>
      <c r="E135" s="58"/>
      <c r="F135" s="62"/>
      <c r="G135" s="62"/>
      <c r="I135" s="51"/>
    </row>
    <row r="136" spans="1:9" s="688" customFormat="1" ht="15.75" x14ac:dyDescent="0.25">
      <c r="A136" s="983" t="s">
        <v>506</v>
      </c>
      <c r="B136" s="984"/>
      <c r="C136" s="984"/>
      <c r="D136" s="101">
        <v>-1220</v>
      </c>
      <c r="E136" s="58"/>
      <c r="F136" s="62"/>
      <c r="G136" s="62"/>
      <c r="I136" s="51"/>
    </row>
    <row r="137" spans="1:9" s="688" customFormat="1" ht="15.75" hidden="1" x14ac:dyDescent="0.25">
      <c r="A137" s="983" t="s">
        <v>177</v>
      </c>
      <c r="B137" s="984"/>
      <c r="C137" s="984"/>
      <c r="D137" s="101"/>
      <c r="E137" s="58"/>
      <c r="F137" s="62"/>
      <c r="G137" s="62"/>
      <c r="I137" s="51"/>
    </row>
    <row r="138" spans="1:9" s="688" customFormat="1" ht="15.75" hidden="1" x14ac:dyDescent="0.25">
      <c r="A138" s="983" t="s">
        <v>458</v>
      </c>
      <c r="B138" s="984"/>
      <c r="C138" s="984"/>
      <c r="D138" s="101"/>
      <c r="E138" s="58"/>
      <c r="F138" s="62"/>
      <c r="G138" s="62"/>
      <c r="I138" s="51"/>
    </row>
    <row r="139" spans="1:9" s="688" customFormat="1" ht="15.75" hidden="1" x14ac:dyDescent="0.25">
      <c r="A139" s="983" t="s">
        <v>199</v>
      </c>
      <c r="B139" s="984"/>
      <c r="C139" s="984"/>
      <c r="D139" s="101"/>
      <c r="E139" s="58"/>
      <c r="F139" s="62"/>
      <c r="G139" s="62"/>
      <c r="I139" s="51"/>
    </row>
    <row r="140" spans="1:9" s="688" customFormat="1" ht="15.75" hidden="1" x14ac:dyDescent="0.25">
      <c r="A140" s="983" t="s">
        <v>574</v>
      </c>
      <c r="B140" s="984"/>
      <c r="C140" s="984"/>
      <c r="D140" s="101">
        <v>0</v>
      </c>
      <c r="E140" s="58"/>
      <c r="F140" s="62"/>
      <c r="G140" s="62"/>
      <c r="I140" s="51"/>
    </row>
    <row r="141" spans="1:9" s="688" customFormat="1" ht="15.75" hidden="1" x14ac:dyDescent="0.25">
      <c r="A141" s="983" t="s">
        <v>553</v>
      </c>
      <c r="B141" s="984"/>
      <c r="C141" s="984"/>
      <c r="D141" s="101">
        <v>0</v>
      </c>
      <c r="E141" s="58"/>
      <c r="F141" s="62"/>
      <c r="G141" s="62"/>
      <c r="I141" s="51"/>
    </row>
    <row r="142" spans="1:9" s="688" customFormat="1" ht="15.75" x14ac:dyDescent="0.25">
      <c r="A142" s="1954" t="s">
        <v>595</v>
      </c>
      <c r="B142" s="1955"/>
      <c r="C142" s="1956"/>
      <c r="D142" s="101"/>
      <c r="E142" s="58"/>
      <c r="F142" s="62"/>
      <c r="G142" s="62"/>
      <c r="I142" s="51"/>
    </row>
    <row r="143" spans="1:9" s="688" customFormat="1" ht="15.75" x14ac:dyDescent="0.25">
      <c r="A143" s="925" t="s">
        <v>506</v>
      </c>
      <c r="B143" s="239"/>
      <c r="C143" s="239"/>
      <c r="D143" s="101">
        <f>'ETAT  KEKEM'!P38</f>
        <v>-7287</v>
      </c>
      <c r="E143" s="58"/>
      <c r="F143" s="62"/>
      <c r="G143" s="62"/>
      <c r="I143" s="51"/>
    </row>
    <row r="144" spans="1:9" s="688" customFormat="1" ht="15.75" x14ac:dyDescent="0.25">
      <c r="A144" s="1993" t="s">
        <v>177</v>
      </c>
      <c r="B144" s="1994"/>
      <c r="C144" s="1994"/>
      <c r="D144" s="101">
        <f>'ETAT  KEKEM'!S38</f>
        <v>0</v>
      </c>
      <c r="E144" s="58"/>
      <c r="F144" s="62"/>
      <c r="G144" s="62"/>
      <c r="I144" s="51"/>
    </row>
    <row r="145" spans="1:18" ht="16.5" customHeight="1" x14ac:dyDescent="0.25">
      <c r="A145" s="925" t="s">
        <v>458</v>
      </c>
      <c r="B145" s="232"/>
      <c r="C145" s="232"/>
      <c r="D145" s="101">
        <f>'ETAT  KEKEM'!U38</f>
        <v>0</v>
      </c>
      <c r="E145" s="58"/>
      <c r="F145" s="62"/>
      <c r="G145" s="62"/>
      <c r="H145"/>
      <c r="I145" s="51"/>
    </row>
    <row r="146" spans="1:18" s="688" customFormat="1" ht="16.5" customHeight="1" x14ac:dyDescent="0.25">
      <c r="A146" s="955" t="s">
        <v>199</v>
      </c>
      <c r="B146" s="232"/>
      <c r="C146" s="232"/>
      <c r="D146" s="101">
        <f>'ETAT  KEKEM'!O38</f>
        <v>0</v>
      </c>
      <c r="E146" s="58"/>
      <c r="F146" s="62"/>
      <c r="G146" s="62"/>
      <c r="I146" s="51"/>
    </row>
    <row r="147" spans="1:18" s="688" customFormat="1" ht="16.5" customHeight="1" x14ac:dyDescent="0.25">
      <c r="A147" s="970" t="s">
        <v>574</v>
      </c>
      <c r="B147" s="971"/>
      <c r="C147" s="946"/>
      <c r="D147" s="945">
        <f>'ETAT  KEKEM'!V38</f>
        <v>0</v>
      </c>
      <c r="E147" s="58"/>
      <c r="F147" s="62"/>
      <c r="G147" s="62"/>
      <c r="I147" s="51"/>
    </row>
    <row r="148" spans="1:18" s="688" customFormat="1" ht="16.5" customHeight="1" x14ac:dyDescent="0.25">
      <c r="A148" s="941" t="s">
        <v>553</v>
      </c>
      <c r="B148" s="232"/>
      <c r="C148" s="946"/>
      <c r="D148" s="945">
        <f>'ETAT  KEKEM'!T38</f>
        <v>0</v>
      </c>
      <c r="E148" s="58"/>
      <c r="F148" s="62"/>
      <c r="G148" s="62"/>
      <c r="I148" s="51"/>
    </row>
    <row r="149" spans="1:18" s="688" customFormat="1" ht="16.5" customHeight="1" thickBot="1" x14ac:dyDescent="0.3">
      <c r="A149" s="1996" t="s">
        <v>2</v>
      </c>
      <c r="B149" s="1997"/>
      <c r="C149" s="1997"/>
      <c r="D149" s="135">
        <f>SUM(D102:D148)</f>
        <v>-8507</v>
      </c>
      <c r="E149" s="58"/>
      <c r="F149" s="62"/>
      <c r="G149" s="62"/>
      <c r="I149" s="51"/>
    </row>
    <row r="150" spans="1:18" ht="15.75" customHeight="1" thickBot="1" x14ac:dyDescent="0.3">
      <c r="A150" s="2032" t="s">
        <v>593</v>
      </c>
      <c r="B150" s="2033"/>
      <c r="C150" s="2033"/>
      <c r="D150" s="2034"/>
      <c r="E150" s="58"/>
      <c r="F150" s="62"/>
      <c r="G150" s="62"/>
      <c r="H150"/>
      <c r="I150" s="51"/>
    </row>
    <row r="151" spans="1:18" ht="15.75" x14ac:dyDescent="0.25">
      <c r="A151" s="103" t="s">
        <v>0</v>
      </c>
      <c r="B151" s="64">
        <v>-257</v>
      </c>
      <c r="C151" s="65">
        <v>630</v>
      </c>
      <c r="D151" s="104">
        <f>+B151*C151</f>
        <v>-161910</v>
      </c>
      <c r="E151" s="58"/>
      <c r="F151" s="62"/>
      <c r="G151" s="62"/>
      <c r="H151"/>
      <c r="I151" s="51"/>
    </row>
    <row r="152" spans="1:18" ht="15.75" x14ac:dyDescent="0.25">
      <c r="A152" s="105" t="s">
        <v>3</v>
      </c>
      <c r="B152" s="66">
        <v>-239</v>
      </c>
      <c r="C152" s="67">
        <v>575</v>
      </c>
      <c r="D152" s="106">
        <f>+B152*C152</f>
        <v>-137425</v>
      </c>
      <c r="E152" s="58"/>
      <c r="F152" s="62"/>
      <c r="G152" s="62"/>
      <c r="H152"/>
      <c r="I152" s="51"/>
    </row>
    <row r="153" spans="1:18" s="688" customFormat="1" ht="16.5" thickBot="1" x14ac:dyDescent="0.3">
      <c r="A153" s="107" t="s">
        <v>1</v>
      </c>
      <c r="B153" s="68">
        <v>-45</v>
      </c>
      <c r="C153" s="69">
        <v>350</v>
      </c>
      <c r="D153" s="108">
        <f>+B153*C153</f>
        <v>-15750</v>
      </c>
      <c r="E153" s="58"/>
      <c r="F153" s="62"/>
      <c r="G153" s="62"/>
      <c r="I153" s="51"/>
    </row>
    <row r="154" spans="1:18" ht="15.75" x14ac:dyDescent="0.25">
      <c r="A154" s="2030" t="s">
        <v>41</v>
      </c>
      <c r="B154" s="2031"/>
      <c r="C154" s="2031"/>
      <c r="D154" s="957">
        <f>SUM(D151:D153)</f>
        <v>-315085</v>
      </c>
      <c r="E154" s="58"/>
      <c r="F154" s="62"/>
      <c r="G154" s="62"/>
      <c r="H154"/>
      <c r="I154" s="51"/>
    </row>
    <row r="155" spans="1:18" ht="15.75" hidden="1" x14ac:dyDescent="0.25">
      <c r="A155" s="960"/>
      <c r="B155" s="960" t="s">
        <v>584</v>
      </c>
      <c r="C155" s="960"/>
      <c r="D155" s="961"/>
      <c r="E155" s="58"/>
      <c r="F155" s="62"/>
      <c r="G155" s="59"/>
      <c r="H155" s="210"/>
      <c r="I155" s="208"/>
      <c r="J155" s="210"/>
      <c r="K155" s="127"/>
      <c r="L155" s="127"/>
      <c r="M155" s="127"/>
      <c r="N155" s="127"/>
      <c r="O155" s="127"/>
      <c r="P155" s="127"/>
    </row>
    <row r="156" spans="1:18" ht="15" hidden="1" customHeight="1" x14ac:dyDescent="0.25">
      <c r="A156" s="958" t="s">
        <v>0</v>
      </c>
      <c r="B156" s="958"/>
      <c r="C156" s="958">
        <v>630</v>
      </c>
      <c r="D156" s="959">
        <f>B156*C156</f>
        <v>0</v>
      </c>
      <c r="E156" s="58"/>
      <c r="F156" s="62"/>
      <c r="G156" s="59"/>
      <c r="H156" s="210"/>
      <c r="I156" s="208"/>
      <c r="J156" s="210"/>
      <c r="K156" s="211"/>
      <c r="L156" s="211"/>
      <c r="M156" s="127"/>
      <c r="N156" s="127"/>
      <c r="O156" s="127"/>
      <c r="P156" s="127"/>
    </row>
    <row r="157" spans="1:18" ht="15" hidden="1" customHeight="1" x14ac:dyDescent="0.25">
      <c r="A157" s="958" t="s">
        <v>3</v>
      </c>
      <c r="B157" s="958"/>
      <c r="C157" s="958">
        <v>575</v>
      </c>
      <c r="D157" s="959">
        <f>B157*C157</f>
        <v>0</v>
      </c>
      <c r="E157" s="58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</row>
    <row r="158" spans="1:18" ht="15.75" hidden="1" x14ac:dyDescent="0.25">
      <c r="A158" s="958" t="s">
        <v>1</v>
      </c>
      <c r="B158" s="958"/>
      <c r="C158" s="958">
        <v>350</v>
      </c>
      <c r="D158" s="959">
        <f>B158*C158</f>
        <v>0</v>
      </c>
      <c r="E158" s="58"/>
      <c r="F158"/>
      <c r="G158"/>
    </row>
    <row r="159" spans="1:18" ht="15.75" hidden="1" x14ac:dyDescent="0.25">
      <c r="A159" s="1959" t="s">
        <v>564</v>
      </c>
      <c r="B159" s="1960"/>
      <c r="C159" s="1961"/>
      <c r="D159" s="959">
        <f>SUM(D156:D158)</f>
        <v>0</v>
      </c>
      <c r="E159" s="58"/>
      <c r="F159"/>
      <c r="G159"/>
    </row>
    <row r="160" spans="1:18" ht="15.75" hidden="1" x14ac:dyDescent="0.25">
      <c r="A160" s="960"/>
      <c r="B160" s="960" t="s">
        <v>585</v>
      </c>
      <c r="C160" s="960"/>
      <c r="D160" s="961"/>
      <c r="E160" s="58"/>
      <c r="F160"/>
      <c r="G160"/>
    </row>
    <row r="161" spans="1:8" ht="15.75" hidden="1" x14ac:dyDescent="0.25">
      <c r="A161" s="958" t="s">
        <v>0</v>
      </c>
      <c r="B161" s="958"/>
      <c r="C161" s="958">
        <v>630</v>
      </c>
      <c r="D161" s="959">
        <f>B161*C161</f>
        <v>0</v>
      </c>
      <c r="E161" s="58"/>
      <c r="F161"/>
      <c r="G161"/>
    </row>
    <row r="162" spans="1:8" ht="15.75" hidden="1" x14ac:dyDescent="0.25">
      <c r="A162" s="958" t="s">
        <v>3</v>
      </c>
      <c r="B162" s="958"/>
      <c r="C162" s="958">
        <v>575</v>
      </c>
      <c r="D162" s="959">
        <f>B162*C162</f>
        <v>0</v>
      </c>
      <c r="E162" s="58"/>
      <c r="F162"/>
      <c r="G162"/>
    </row>
    <row r="163" spans="1:8" ht="15.75" hidden="1" x14ac:dyDescent="0.25">
      <c r="A163" s="958" t="s">
        <v>1</v>
      </c>
      <c r="B163" s="958"/>
      <c r="C163" s="958">
        <v>350</v>
      </c>
      <c r="D163" s="959">
        <f>B163*C163</f>
        <v>0</v>
      </c>
      <c r="E163" s="58"/>
      <c r="F163"/>
      <c r="G163"/>
    </row>
    <row r="164" spans="1:8" ht="15.75" hidden="1" x14ac:dyDescent="0.25">
      <c r="A164" s="958"/>
      <c r="B164" s="958" t="s">
        <v>570</v>
      </c>
      <c r="C164" s="958"/>
      <c r="D164" s="959">
        <f>SUM(D161:D163)</f>
        <v>0</v>
      </c>
      <c r="E164" s="58"/>
      <c r="F164"/>
      <c r="G164"/>
    </row>
    <row r="165" spans="1:8" ht="16.5" thickBot="1" x14ac:dyDescent="0.3">
      <c r="A165" s="1968" t="s">
        <v>587</v>
      </c>
      <c r="B165" s="1969"/>
      <c r="C165" s="1969"/>
      <c r="D165" s="1970"/>
      <c r="E165" s="58"/>
      <c r="F165" s="50"/>
      <c r="G165" s="50"/>
      <c r="H165"/>
    </row>
    <row r="166" spans="1:8" ht="15.75" x14ac:dyDescent="0.25">
      <c r="A166" s="103" t="s">
        <v>0</v>
      </c>
      <c r="B166" s="64">
        <f>'equation de stock'!B27</f>
        <v>-215</v>
      </c>
      <c r="C166" s="65">
        <v>630</v>
      </c>
      <c r="D166" s="104">
        <f>+B166*C166</f>
        <v>-135450</v>
      </c>
      <c r="E166" s="58"/>
      <c r="F166"/>
      <c r="G166"/>
    </row>
    <row r="167" spans="1:8" ht="15.75" x14ac:dyDescent="0.25">
      <c r="A167" s="105" t="s">
        <v>3</v>
      </c>
      <c r="B167" s="66">
        <f>'equation de stock'!C27</f>
        <v>-121</v>
      </c>
      <c r="C167" s="67">
        <v>575</v>
      </c>
      <c r="D167" s="106">
        <f>+B167*C167</f>
        <v>-69575</v>
      </c>
      <c r="E167" s="58"/>
      <c r="F167"/>
      <c r="G167"/>
    </row>
    <row r="168" spans="1:8" ht="16.5" thickBot="1" x14ac:dyDescent="0.3">
      <c r="A168" s="107" t="s">
        <v>1</v>
      </c>
      <c r="B168" s="68">
        <f>'equation de stock'!D27</f>
        <v>7</v>
      </c>
      <c r="C168" s="69">
        <v>350</v>
      </c>
      <c r="D168" s="108">
        <f>+B168*C168</f>
        <v>2450</v>
      </c>
      <c r="E168" s="58"/>
      <c r="F168"/>
      <c r="G168"/>
    </row>
    <row r="169" spans="1:8" ht="16.5" thickBot="1" x14ac:dyDescent="0.3">
      <c r="A169" s="1971" t="s">
        <v>571</v>
      </c>
      <c r="B169" s="1972"/>
      <c r="C169" s="1972"/>
      <c r="D169" s="102">
        <f>SUM(D166:D168)</f>
        <v>-202575</v>
      </c>
      <c r="E169" s="58"/>
      <c r="F169"/>
      <c r="G169"/>
    </row>
    <row r="170" spans="1:8" ht="16.5" thickBot="1" x14ac:dyDescent="0.3">
      <c r="A170" s="1975" t="s">
        <v>565</v>
      </c>
      <c r="B170" s="1976"/>
      <c r="C170" s="1977"/>
      <c r="D170" s="888">
        <f>'INVENTAIRE LUB'!L30</f>
        <v>0</v>
      </c>
      <c r="E170" s="58"/>
      <c r="F170"/>
      <c r="G170"/>
    </row>
    <row r="171" spans="1:8" ht="16.5" thickBot="1" x14ac:dyDescent="0.3">
      <c r="A171" s="889" t="s">
        <v>503</v>
      </c>
      <c r="B171" s="954"/>
      <c r="C171" s="890">
        <v>3050</v>
      </c>
      <c r="D171" s="891">
        <f>C171*B171</f>
        <v>0</v>
      </c>
      <c r="E171" s="58"/>
      <c r="F171"/>
      <c r="G171"/>
    </row>
    <row r="172" spans="1:8" ht="16.5" thickBot="1" x14ac:dyDescent="0.3">
      <c r="A172" s="889" t="s">
        <v>561</v>
      </c>
      <c r="B172" s="954"/>
      <c r="C172" s="890">
        <v>68960</v>
      </c>
      <c r="D172" s="891">
        <f t="shared" ref="D172:D180" si="0">C172*B172</f>
        <v>0</v>
      </c>
      <c r="E172" s="58"/>
      <c r="F172"/>
      <c r="G172"/>
    </row>
    <row r="173" spans="1:8" ht="16.5" thickBot="1" x14ac:dyDescent="0.3">
      <c r="A173" s="889" t="s">
        <v>513</v>
      </c>
      <c r="B173" s="954"/>
      <c r="C173" s="890">
        <v>2025</v>
      </c>
      <c r="D173" s="891">
        <f t="shared" si="0"/>
        <v>0</v>
      </c>
      <c r="E173" s="58"/>
      <c r="F173"/>
      <c r="G173"/>
    </row>
    <row r="174" spans="1:8" ht="16.5" thickBot="1" x14ac:dyDescent="0.3">
      <c r="A174" s="889" t="s">
        <v>560</v>
      </c>
      <c r="B174" s="954"/>
      <c r="C174" s="890">
        <v>3360</v>
      </c>
      <c r="D174" s="891">
        <f t="shared" si="0"/>
        <v>0</v>
      </c>
      <c r="E174" s="58"/>
      <c r="F174"/>
      <c r="G174"/>
    </row>
    <row r="175" spans="1:8" ht="16.5" thickBot="1" x14ac:dyDescent="0.3">
      <c r="A175" s="889" t="s">
        <v>514</v>
      </c>
      <c r="B175" s="954"/>
      <c r="C175" s="890">
        <v>18250</v>
      </c>
      <c r="D175" s="891">
        <f t="shared" si="0"/>
        <v>0</v>
      </c>
      <c r="E175" s="58"/>
      <c r="F175"/>
      <c r="G175"/>
    </row>
    <row r="176" spans="1:8" ht="16.5" thickBot="1" x14ac:dyDescent="0.3">
      <c r="A176" s="889" t="s">
        <v>515</v>
      </c>
      <c r="B176" s="954"/>
      <c r="C176" s="890">
        <v>3750</v>
      </c>
      <c r="D176" s="891">
        <f t="shared" si="0"/>
        <v>0</v>
      </c>
      <c r="E176" s="58"/>
      <c r="F176" s="50"/>
      <c r="G176" s="50"/>
      <c r="H176"/>
    </row>
    <row r="177" spans="1:8" ht="16.5" thickBot="1" x14ac:dyDescent="0.3">
      <c r="A177" s="889" t="s">
        <v>516</v>
      </c>
      <c r="B177" s="954"/>
      <c r="C177" s="890">
        <v>12950</v>
      </c>
      <c r="D177" s="891">
        <f t="shared" si="0"/>
        <v>0</v>
      </c>
      <c r="E177" s="58"/>
      <c r="F177"/>
      <c r="G177"/>
    </row>
    <row r="178" spans="1:8" ht="16.5" thickBot="1" x14ac:dyDescent="0.3">
      <c r="A178" s="889" t="s">
        <v>517</v>
      </c>
      <c r="B178" s="954"/>
      <c r="C178" s="890">
        <v>50960</v>
      </c>
      <c r="D178" s="891">
        <f t="shared" si="0"/>
        <v>0</v>
      </c>
      <c r="E178" s="58"/>
      <c r="F178"/>
      <c r="G178"/>
    </row>
    <row r="179" spans="1:8" ht="16.5" thickBot="1" x14ac:dyDescent="0.3">
      <c r="A179" s="889" t="s">
        <v>562</v>
      </c>
      <c r="B179" s="954"/>
      <c r="C179" s="890">
        <v>1850</v>
      </c>
      <c r="D179" s="891">
        <f t="shared" si="0"/>
        <v>0</v>
      </c>
      <c r="E179" s="58"/>
      <c r="F179"/>
      <c r="G179"/>
    </row>
    <row r="180" spans="1:8" ht="16.5" thickBot="1" x14ac:dyDescent="0.3">
      <c r="A180" s="889" t="s">
        <v>493</v>
      </c>
      <c r="B180" s="954"/>
      <c r="C180" s="890">
        <v>15250</v>
      </c>
      <c r="D180" s="891">
        <f t="shared" si="0"/>
        <v>0</v>
      </c>
      <c r="E180" s="58"/>
      <c r="F180"/>
      <c r="G180"/>
    </row>
    <row r="181" spans="1:8" ht="16.5" thickBot="1" x14ac:dyDescent="0.3">
      <c r="A181" s="1978" t="s">
        <v>2</v>
      </c>
      <c r="B181" s="1979"/>
      <c r="C181" s="1980"/>
      <c r="D181" s="892">
        <f>SUM(D171:D180)</f>
        <v>0</v>
      </c>
      <c r="E181" s="58"/>
      <c r="F181"/>
      <c r="G181"/>
    </row>
    <row r="182" spans="1:8" ht="15.75" x14ac:dyDescent="0.25">
      <c r="A182" s="949" t="s">
        <v>480</v>
      </c>
      <c r="B182" s="950"/>
      <c r="C182" s="950"/>
      <c r="D182" s="1973">
        <f>'reception carburant'!D51</f>
        <v>26081000</v>
      </c>
      <c r="E182" s="58"/>
      <c r="F182"/>
      <c r="G182"/>
    </row>
    <row r="183" spans="1:8" ht="15.75" x14ac:dyDescent="0.25">
      <c r="A183" s="951"/>
      <c r="B183" s="952"/>
      <c r="C183" s="952"/>
      <c r="D183" s="1974"/>
      <c r="E183" s="58"/>
      <c r="F183"/>
      <c r="G183"/>
    </row>
    <row r="184" spans="1:8" ht="15.75" x14ac:dyDescent="0.25">
      <c r="A184" s="105" t="s">
        <v>599</v>
      </c>
      <c r="B184" s="66">
        <v>-5000</v>
      </c>
      <c r="C184" s="67">
        <v>630</v>
      </c>
      <c r="D184" s="106">
        <f>B184*C184</f>
        <v>-3150000</v>
      </c>
      <c r="E184" s="58"/>
      <c r="F184"/>
      <c r="G184"/>
    </row>
    <row r="185" spans="1:8" ht="16.5" thickBot="1" x14ac:dyDescent="0.3">
      <c r="A185" s="105" t="s">
        <v>600</v>
      </c>
      <c r="B185" s="68">
        <v>-5000</v>
      </c>
      <c r="C185" s="69">
        <v>575</v>
      </c>
      <c r="D185" s="108">
        <f>B185*C185</f>
        <v>-2875000</v>
      </c>
      <c r="E185" s="58"/>
      <c r="F185"/>
      <c r="G185"/>
    </row>
    <row r="186" spans="1:8" ht="16.5" thickBot="1" x14ac:dyDescent="0.3">
      <c r="A186" s="1971" t="s">
        <v>42</v>
      </c>
      <c r="B186" s="1972"/>
      <c r="C186" s="1972"/>
      <c r="D186" s="102">
        <f>SUM(D183:D185)</f>
        <v>-6025000</v>
      </c>
      <c r="E186" s="58"/>
      <c r="F186"/>
      <c r="G186"/>
    </row>
    <row r="187" spans="1:8" ht="16.5" thickBot="1" x14ac:dyDescent="0.3">
      <c r="A187" s="1965" t="s">
        <v>48</v>
      </c>
      <c r="B187" s="1966"/>
      <c r="C187" s="1967"/>
      <c r="D187" s="142">
        <f>+D8+D18+D51+D80+D91+D96+D101+D149-D154-D159-D164-D169-D170-D181-D182-D183-D184-D185</f>
        <v>25274855</v>
      </c>
      <c r="E187" s="58"/>
      <c r="F187" s="50"/>
      <c r="G187" s="50"/>
      <c r="H187"/>
    </row>
    <row r="188" spans="1:8" ht="16.5" thickBot="1" x14ac:dyDescent="0.3">
      <c r="A188" s="1962" t="s">
        <v>49</v>
      </c>
      <c r="B188" s="1963"/>
      <c r="C188" s="1964"/>
      <c r="D188" s="143">
        <v>33402268</v>
      </c>
      <c r="E188" s="58"/>
      <c r="F188"/>
      <c r="G188"/>
    </row>
    <row r="189" spans="1:8" ht="16.5" thickBot="1" x14ac:dyDescent="0.3">
      <c r="A189" s="1957" t="s">
        <v>7</v>
      </c>
      <c r="B189" s="1958"/>
      <c r="C189" s="1958"/>
      <c r="D189" s="109">
        <f>+D187-D188</f>
        <v>-8127413</v>
      </c>
      <c r="E189" s="58"/>
      <c r="F189"/>
      <c r="G189"/>
    </row>
    <row r="190" spans="1:8" x14ac:dyDescent="0.25">
      <c r="B190" s="46"/>
      <c r="C190" s="46"/>
      <c r="D190" s="46"/>
      <c r="E190" s="58"/>
      <c r="F190"/>
      <c r="G190"/>
    </row>
    <row r="191" spans="1:8" x14ac:dyDescent="0.25">
      <c r="B191" s="46"/>
      <c r="C191" s="46"/>
      <c r="D191" s="46"/>
      <c r="E191" s="58"/>
      <c r="F191"/>
      <c r="G191"/>
    </row>
    <row r="192" spans="1:8" x14ac:dyDescent="0.25">
      <c r="B192" s="46"/>
      <c r="C192" s="46"/>
      <c r="D192" s="46"/>
      <c r="E192" s="58"/>
      <c r="F192"/>
      <c r="G192"/>
    </row>
    <row r="193" spans="2:8" x14ac:dyDescent="0.25">
      <c r="B193" s="46"/>
      <c r="C193" s="46"/>
      <c r="D193" s="46"/>
      <c r="E193" s="58"/>
      <c r="F193"/>
      <c r="G193"/>
    </row>
    <row r="194" spans="2:8" x14ac:dyDescent="0.25">
      <c r="B194" s="46"/>
      <c r="C194" s="46"/>
      <c r="D194" s="46"/>
      <c r="E194" s="58"/>
      <c r="F194"/>
      <c r="G194"/>
    </row>
    <row r="195" spans="2:8" x14ac:dyDescent="0.25">
      <c r="B195" s="46"/>
      <c r="C195" s="46"/>
      <c r="D195" s="46"/>
      <c r="E195" s="58"/>
      <c r="F195"/>
      <c r="G195"/>
    </row>
    <row r="196" spans="2:8" x14ac:dyDescent="0.25">
      <c r="B196" s="46"/>
      <c r="C196" s="46"/>
      <c r="D196" s="46"/>
      <c r="E196" s="58"/>
      <c r="F196"/>
      <c r="G196"/>
    </row>
    <row r="197" spans="2:8" x14ac:dyDescent="0.25">
      <c r="B197" s="46"/>
      <c r="C197" s="46"/>
      <c r="D197" s="46"/>
      <c r="E197" s="58"/>
      <c r="F197"/>
      <c r="G197"/>
    </row>
    <row r="198" spans="2:8" x14ac:dyDescent="0.25">
      <c r="B198" s="46"/>
      <c r="C198" s="46"/>
      <c r="D198" s="46"/>
      <c r="E198" s="58"/>
      <c r="F198" s="50"/>
      <c r="G198" s="50"/>
      <c r="H198"/>
    </row>
    <row r="199" spans="2:8" x14ac:dyDescent="0.25">
      <c r="E199"/>
      <c r="F199"/>
      <c r="G199"/>
    </row>
    <row r="200" spans="2:8" x14ac:dyDescent="0.25">
      <c r="E200"/>
      <c r="F200"/>
      <c r="G200"/>
    </row>
    <row r="201" spans="2:8" x14ac:dyDescent="0.25">
      <c r="E201"/>
      <c r="F201"/>
      <c r="G201"/>
    </row>
    <row r="202" spans="2:8" x14ac:dyDescent="0.25">
      <c r="E202"/>
      <c r="F202"/>
      <c r="G202"/>
    </row>
    <row r="203" spans="2:8" x14ac:dyDescent="0.25">
      <c r="E203"/>
      <c r="F203"/>
      <c r="G203"/>
    </row>
    <row r="204" spans="2:8" x14ac:dyDescent="0.25">
      <c r="E204"/>
      <c r="F204"/>
      <c r="G204"/>
    </row>
    <row r="205" spans="2:8" x14ac:dyDescent="0.25">
      <c r="E205"/>
      <c r="F205"/>
      <c r="G205"/>
    </row>
    <row r="206" spans="2:8" x14ac:dyDescent="0.25">
      <c r="E206"/>
      <c r="F206"/>
      <c r="G206"/>
    </row>
    <row r="207" spans="2:8" x14ac:dyDescent="0.25">
      <c r="E207"/>
      <c r="F207"/>
      <c r="G207"/>
    </row>
    <row r="208" spans="2:8" x14ac:dyDescent="0.25">
      <c r="E208"/>
      <c r="F208"/>
      <c r="G208"/>
    </row>
    <row r="209" spans="1:8" x14ac:dyDescent="0.25">
      <c r="E209" s="50"/>
      <c r="F209" s="50"/>
      <c r="G209" s="50"/>
      <c r="H209"/>
    </row>
    <row r="210" spans="1:8" x14ac:dyDescent="0.25">
      <c r="A210" s="51"/>
      <c r="E210"/>
      <c r="F210"/>
      <c r="G210"/>
    </row>
    <row r="211" spans="1:8" x14ac:dyDescent="0.25">
      <c r="A211" s="51"/>
      <c r="B211" s="59"/>
      <c r="C211" s="50"/>
      <c r="D211" s="50"/>
      <c r="E211"/>
      <c r="F211"/>
      <c r="G211"/>
    </row>
    <row r="212" spans="1:8" x14ac:dyDescent="0.25">
      <c r="E212"/>
      <c r="F212"/>
      <c r="G212"/>
    </row>
    <row r="213" spans="1:8" x14ac:dyDescent="0.25">
      <c r="E213"/>
      <c r="F213"/>
      <c r="G213"/>
    </row>
    <row r="214" spans="1:8" x14ac:dyDescent="0.25">
      <c r="E214"/>
      <c r="F214"/>
      <c r="G214"/>
    </row>
    <row r="215" spans="1:8" x14ac:dyDescent="0.25">
      <c r="E215"/>
      <c r="F215"/>
      <c r="G215"/>
    </row>
    <row r="216" spans="1:8" x14ac:dyDescent="0.25">
      <c r="E216"/>
      <c r="F216"/>
      <c r="G216"/>
    </row>
    <row r="217" spans="1:8" x14ac:dyDescent="0.25">
      <c r="E217"/>
      <c r="F217"/>
      <c r="G217"/>
    </row>
    <row r="218" spans="1:8" x14ac:dyDescent="0.25">
      <c r="E218"/>
      <c r="F218"/>
      <c r="G218"/>
    </row>
    <row r="219" spans="1:8" x14ac:dyDescent="0.25">
      <c r="E219"/>
      <c r="F219"/>
      <c r="G219"/>
    </row>
    <row r="220" spans="1:8" x14ac:dyDescent="0.25">
      <c r="E220" s="50"/>
      <c r="F220" s="50"/>
      <c r="G220" s="50"/>
      <c r="H220"/>
    </row>
    <row r="221" spans="1:8" x14ac:dyDescent="0.25">
      <c r="E221"/>
      <c r="F221"/>
      <c r="G221"/>
    </row>
    <row r="222" spans="1:8" x14ac:dyDescent="0.25">
      <c r="D222" s="50"/>
      <c r="E222"/>
      <c r="F222"/>
      <c r="G222"/>
    </row>
    <row r="223" spans="1:8" x14ac:dyDescent="0.25">
      <c r="E223"/>
      <c r="F223"/>
      <c r="G223"/>
    </row>
    <row r="224" spans="1:8" x14ac:dyDescent="0.25">
      <c r="E224"/>
      <c r="F224"/>
      <c r="G224"/>
    </row>
    <row r="225" spans="4:8" x14ac:dyDescent="0.25">
      <c r="E225"/>
      <c r="F225"/>
      <c r="G225"/>
    </row>
    <row r="226" spans="4:8" x14ac:dyDescent="0.25">
      <c r="E226"/>
      <c r="F226"/>
      <c r="G226"/>
    </row>
    <row r="227" spans="4:8" x14ac:dyDescent="0.25">
      <c r="E227"/>
      <c r="F227"/>
      <c r="G227"/>
    </row>
    <row r="228" spans="4:8" x14ac:dyDescent="0.25">
      <c r="E228"/>
      <c r="F228"/>
      <c r="G228"/>
    </row>
    <row r="229" spans="4:8" x14ac:dyDescent="0.25">
      <c r="E229"/>
      <c r="F229"/>
      <c r="G229"/>
    </row>
    <row r="230" spans="4:8" x14ac:dyDescent="0.25">
      <c r="E230"/>
      <c r="F230"/>
      <c r="G230"/>
    </row>
    <row r="231" spans="4:8" x14ac:dyDescent="0.25">
      <c r="E231" s="50"/>
      <c r="F231" s="50"/>
      <c r="G231" s="50"/>
      <c r="H231"/>
    </row>
    <row r="232" spans="4:8" x14ac:dyDescent="0.25">
      <c r="E232"/>
      <c r="F232"/>
      <c r="G232"/>
    </row>
    <row r="233" spans="4:8" x14ac:dyDescent="0.25">
      <c r="D233" s="50"/>
      <c r="E233"/>
      <c r="F233"/>
      <c r="G233"/>
    </row>
    <row r="234" spans="4:8" x14ac:dyDescent="0.25">
      <c r="E234"/>
      <c r="F234"/>
      <c r="G234"/>
    </row>
    <row r="235" spans="4:8" x14ac:dyDescent="0.25">
      <c r="E235"/>
      <c r="F235"/>
      <c r="G235"/>
    </row>
    <row r="236" spans="4:8" x14ac:dyDescent="0.25">
      <c r="E236"/>
      <c r="F236"/>
      <c r="G236"/>
    </row>
    <row r="237" spans="4:8" x14ac:dyDescent="0.25">
      <c r="E237"/>
      <c r="F237"/>
      <c r="G237"/>
    </row>
    <row r="238" spans="4:8" x14ac:dyDescent="0.25">
      <c r="E238"/>
      <c r="F238"/>
      <c r="G238"/>
    </row>
    <row r="239" spans="4:8" x14ac:dyDescent="0.25">
      <c r="E239"/>
      <c r="F239"/>
      <c r="G239"/>
    </row>
    <row r="240" spans="4:8" x14ac:dyDescent="0.25">
      <c r="E240"/>
      <c r="F240"/>
      <c r="G240"/>
    </row>
    <row r="241" spans="4:8" x14ac:dyDescent="0.25">
      <c r="E241"/>
      <c r="F241"/>
      <c r="G241"/>
    </row>
    <row r="242" spans="4:8" x14ac:dyDescent="0.25">
      <c r="E242" s="50"/>
      <c r="F242" s="50"/>
      <c r="G242" s="50"/>
      <c r="H242"/>
    </row>
    <row r="243" spans="4:8" x14ac:dyDescent="0.25">
      <c r="E243"/>
      <c r="F243"/>
      <c r="G243"/>
    </row>
    <row r="244" spans="4:8" x14ac:dyDescent="0.25">
      <c r="D244" s="50"/>
      <c r="E244"/>
      <c r="F244"/>
      <c r="G244"/>
    </row>
    <row r="245" spans="4:8" x14ac:dyDescent="0.25">
      <c r="E245"/>
      <c r="F245"/>
      <c r="G245"/>
    </row>
    <row r="246" spans="4:8" x14ac:dyDescent="0.25">
      <c r="E246"/>
      <c r="F246"/>
      <c r="G246"/>
    </row>
    <row r="247" spans="4:8" x14ac:dyDescent="0.25">
      <c r="E247"/>
      <c r="F247"/>
      <c r="G247"/>
    </row>
    <row r="248" spans="4:8" x14ac:dyDescent="0.25">
      <c r="E248"/>
      <c r="F248"/>
      <c r="G248"/>
    </row>
    <row r="249" spans="4:8" x14ac:dyDescent="0.25">
      <c r="E249"/>
      <c r="F249"/>
      <c r="G249"/>
    </row>
    <row r="250" spans="4:8" x14ac:dyDescent="0.25">
      <c r="E250"/>
      <c r="F250"/>
      <c r="G250"/>
    </row>
    <row r="251" spans="4:8" x14ac:dyDescent="0.25">
      <c r="E251"/>
      <c r="F251"/>
      <c r="G251"/>
    </row>
    <row r="252" spans="4:8" x14ac:dyDescent="0.25">
      <c r="E252"/>
      <c r="F252"/>
      <c r="G252"/>
    </row>
    <row r="253" spans="4:8" x14ac:dyDescent="0.25">
      <c r="E253" s="50"/>
      <c r="F253" s="50"/>
      <c r="G253" s="50"/>
      <c r="H253"/>
    </row>
    <row r="254" spans="4:8" x14ac:dyDescent="0.25">
      <c r="E254"/>
      <c r="F254"/>
      <c r="G254"/>
    </row>
    <row r="255" spans="4:8" x14ac:dyDescent="0.25">
      <c r="D255" s="50"/>
      <c r="E255"/>
      <c r="F255"/>
      <c r="G255"/>
    </row>
    <row r="256" spans="4:8" x14ac:dyDescent="0.25">
      <c r="E256"/>
      <c r="F256"/>
      <c r="G256"/>
    </row>
    <row r="257" spans="4:8" x14ac:dyDescent="0.25">
      <c r="E257"/>
      <c r="F257"/>
      <c r="G257"/>
    </row>
    <row r="258" spans="4:8" x14ac:dyDescent="0.25">
      <c r="E258"/>
      <c r="F258"/>
      <c r="G258"/>
    </row>
    <row r="259" spans="4:8" x14ac:dyDescent="0.25">
      <c r="E259"/>
      <c r="F259"/>
      <c r="G259"/>
    </row>
    <row r="260" spans="4:8" x14ac:dyDescent="0.25">
      <c r="E260"/>
      <c r="F260"/>
      <c r="G260"/>
    </row>
    <row r="261" spans="4:8" x14ac:dyDescent="0.25">
      <c r="E261"/>
      <c r="F261"/>
      <c r="G261"/>
    </row>
    <row r="262" spans="4:8" x14ac:dyDescent="0.25">
      <c r="E262"/>
      <c r="F262"/>
      <c r="G262"/>
    </row>
    <row r="263" spans="4:8" x14ac:dyDescent="0.25">
      <c r="E263"/>
      <c r="F263"/>
      <c r="G263"/>
    </row>
    <row r="264" spans="4:8" x14ac:dyDescent="0.25">
      <c r="E264" s="50"/>
      <c r="F264" s="50"/>
      <c r="G264" s="50"/>
      <c r="H264"/>
    </row>
    <row r="265" spans="4:8" x14ac:dyDescent="0.25">
      <c r="E265"/>
      <c r="F265"/>
      <c r="G265"/>
    </row>
    <row r="266" spans="4:8" x14ac:dyDescent="0.25">
      <c r="D266" s="50"/>
      <c r="E266"/>
      <c r="F266"/>
      <c r="G266"/>
    </row>
    <row r="267" spans="4:8" x14ac:dyDescent="0.25">
      <c r="E267"/>
      <c r="F267"/>
      <c r="G267"/>
    </row>
    <row r="268" spans="4:8" x14ac:dyDescent="0.25">
      <c r="E268"/>
      <c r="F268"/>
      <c r="G268"/>
    </row>
    <row r="269" spans="4:8" x14ac:dyDescent="0.25">
      <c r="E269"/>
      <c r="F269"/>
      <c r="G269"/>
    </row>
    <row r="270" spans="4:8" x14ac:dyDescent="0.25">
      <c r="E270"/>
      <c r="F270"/>
      <c r="G270"/>
    </row>
    <row r="271" spans="4:8" x14ac:dyDescent="0.25">
      <c r="E271"/>
      <c r="F271"/>
      <c r="G271"/>
    </row>
    <row r="272" spans="4:8" x14ac:dyDescent="0.25">
      <c r="E272"/>
      <c r="F272"/>
      <c r="G272"/>
    </row>
    <row r="273" spans="4:8" x14ac:dyDescent="0.25">
      <c r="E273"/>
      <c r="F273"/>
      <c r="G273"/>
    </row>
    <row r="274" spans="4:8" x14ac:dyDescent="0.25">
      <c r="E274"/>
      <c r="F274"/>
      <c r="G274"/>
    </row>
    <row r="275" spans="4:8" x14ac:dyDescent="0.25">
      <c r="E275" s="50"/>
      <c r="F275" s="50"/>
      <c r="G275" s="50"/>
      <c r="H275"/>
    </row>
    <row r="276" spans="4:8" x14ac:dyDescent="0.25">
      <c r="E276"/>
      <c r="F276"/>
      <c r="G276"/>
    </row>
    <row r="277" spans="4:8" x14ac:dyDescent="0.25">
      <c r="D277" s="50"/>
      <c r="E277"/>
      <c r="F277"/>
      <c r="G277"/>
    </row>
    <row r="278" spans="4:8" x14ac:dyDescent="0.25">
      <c r="E278"/>
      <c r="F278"/>
      <c r="G278"/>
    </row>
    <row r="279" spans="4:8" x14ac:dyDescent="0.25">
      <c r="E279"/>
      <c r="F279"/>
      <c r="G279"/>
    </row>
    <row r="280" spans="4:8" x14ac:dyDescent="0.25">
      <c r="E280"/>
      <c r="F280"/>
      <c r="G280"/>
    </row>
    <row r="281" spans="4:8" x14ac:dyDescent="0.25">
      <c r="E281"/>
      <c r="F281"/>
      <c r="G281"/>
    </row>
    <row r="282" spans="4:8" x14ac:dyDescent="0.25">
      <c r="E282"/>
      <c r="F282"/>
      <c r="G282"/>
    </row>
    <row r="283" spans="4:8" x14ac:dyDescent="0.25">
      <c r="E283"/>
      <c r="F283"/>
      <c r="G283"/>
    </row>
    <row r="284" spans="4:8" x14ac:dyDescent="0.25">
      <c r="E284"/>
      <c r="F284"/>
      <c r="G284"/>
    </row>
    <row r="285" spans="4:8" x14ac:dyDescent="0.25">
      <c r="E285"/>
      <c r="F285"/>
      <c r="G285"/>
    </row>
    <row r="286" spans="4:8" x14ac:dyDescent="0.25">
      <c r="E286" s="50"/>
      <c r="F286" s="50"/>
      <c r="G286" s="50"/>
      <c r="H286"/>
    </row>
    <row r="287" spans="4:8" x14ac:dyDescent="0.25">
      <c r="E287"/>
      <c r="F287"/>
      <c r="G287"/>
    </row>
    <row r="288" spans="4:8" x14ac:dyDescent="0.25">
      <c r="D288" s="50"/>
      <c r="E288"/>
      <c r="F288"/>
      <c r="G288"/>
    </row>
    <row r="289" spans="4:8" x14ac:dyDescent="0.25">
      <c r="E289"/>
      <c r="F289"/>
      <c r="G289"/>
    </row>
    <row r="290" spans="4:8" x14ac:dyDescent="0.25">
      <c r="E290"/>
      <c r="F290"/>
      <c r="G290"/>
    </row>
    <row r="291" spans="4:8" x14ac:dyDescent="0.25">
      <c r="E291"/>
      <c r="F291"/>
      <c r="G291"/>
    </row>
    <row r="292" spans="4:8" x14ac:dyDescent="0.25">
      <c r="E292"/>
      <c r="F292"/>
      <c r="G292"/>
    </row>
    <row r="293" spans="4:8" x14ac:dyDescent="0.25">
      <c r="E293"/>
      <c r="F293"/>
      <c r="G293"/>
    </row>
    <row r="294" spans="4:8" x14ac:dyDescent="0.25">
      <c r="E294"/>
      <c r="F294"/>
      <c r="G294"/>
    </row>
    <row r="295" spans="4:8" x14ac:dyDescent="0.25">
      <c r="E295"/>
      <c r="F295"/>
      <c r="G295"/>
    </row>
    <row r="296" spans="4:8" x14ac:dyDescent="0.25">
      <c r="E296"/>
      <c r="F296"/>
      <c r="G296"/>
    </row>
    <row r="297" spans="4:8" x14ac:dyDescent="0.25">
      <c r="E297" s="50"/>
      <c r="F297" s="50"/>
      <c r="G297" s="50"/>
      <c r="H297"/>
    </row>
    <row r="298" spans="4:8" x14ac:dyDescent="0.25">
      <c r="E298"/>
      <c r="F298"/>
      <c r="G298"/>
    </row>
    <row r="299" spans="4:8" x14ac:dyDescent="0.25">
      <c r="D299" s="50"/>
      <c r="E299"/>
      <c r="F299"/>
      <c r="G299"/>
    </row>
    <row r="300" spans="4:8" x14ac:dyDescent="0.25">
      <c r="E300"/>
      <c r="F300"/>
      <c r="G300"/>
    </row>
    <row r="301" spans="4:8" x14ac:dyDescent="0.25">
      <c r="E301"/>
      <c r="F301"/>
      <c r="G301"/>
    </row>
    <row r="302" spans="4:8" x14ac:dyDescent="0.25">
      <c r="E302"/>
      <c r="F302"/>
      <c r="G302"/>
    </row>
    <row r="303" spans="4:8" x14ac:dyDescent="0.25">
      <c r="E303"/>
      <c r="F303"/>
      <c r="G303"/>
    </row>
    <row r="304" spans="4:8" x14ac:dyDescent="0.25">
      <c r="E304"/>
      <c r="F304"/>
      <c r="G304"/>
    </row>
    <row r="305" spans="4:8" x14ac:dyDescent="0.25">
      <c r="E305"/>
      <c r="F305"/>
      <c r="G305"/>
    </row>
    <row r="306" spans="4:8" x14ac:dyDescent="0.25">
      <c r="E306"/>
      <c r="F306"/>
      <c r="G306"/>
    </row>
    <row r="307" spans="4:8" x14ac:dyDescent="0.25">
      <c r="E307"/>
      <c r="F307"/>
      <c r="G307"/>
    </row>
    <row r="308" spans="4:8" x14ac:dyDescent="0.25">
      <c r="E308" s="50"/>
      <c r="F308" s="50"/>
      <c r="G308" s="50"/>
      <c r="H308"/>
    </row>
    <row r="309" spans="4:8" x14ac:dyDescent="0.25">
      <c r="E309"/>
      <c r="F309"/>
      <c r="G309"/>
    </row>
    <row r="310" spans="4:8" x14ac:dyDescent="0.25">
      <c r="D310" s="50"/>
      <c r="E310"/>
      <c r="F310"/>
      <c r="G310"/>
    </row>
    <row r="311" spans="4:8" x14ac:dyDescent="0.25">
      <c r="E311"/>
      <c r="F311"/>
      <c r="G311"/>
    </row>
    <row r="312" spans="4:8" x14ac:dyDescent="0.25">
      <c r="E312"/>
      <c r="F312"/>
      <c r="G312"/>
    </row>
    <row r="313" spans="4:8" x14ac:dyDescent="0.25">
      <c r="E313"/>
      <c r="F313"/>
      <c r="G313"/>
    </row>
    <row r="314" spans="4:8" x14ac:dyDescent="0.25">
      <c r="E314"/>
      <c r="F314"/>
      <c r="G314"/>
    </row>
    <row r="315" spans="4:8" x14ac:dyDescent="0.25">
      <c r="E315"/>
      <c r="F315"/>
      <c r="G315"/>
    </row>
    <row r="316" spans="4:8" x14ac:dyDescent="0.25">
      <c r="E316"/>
      <c r="F316"/>
      <c r="G316"/>
    </row>
    <row r="317" spans="4:8" x14ac:dyDescent="0.25">
      <c r="E317"/>
      <c r="F317"/>
      <c r="G317"/>
    </row>
    <row r="318" spans="4:8" x14ac:dyDescent="0.25">
      <c r="E318"/>
      <c r="F318"/>
      <c r="G318"/>
    </row>
    <row r="319" spans="4:8" x14ac:dyDescent="0.25">
      <c r="E319" s="50"/>
      <c r="F319" s="50"/>
      <c r="G319" s="50"/>
      <c r="H319"/>
    </row>
    <row r="320" spans="4:8" x14ac:dyDescent="0.25">
      <c r="E320"/>
      <c r="F320"/>
      <c r="G320"/>
    </row>
    <row r="321" spans="4:8" x14ac:dyDescent="0.25">
      <c r="D321" s="50"/>
      <c r="E321"/>
      <c r="F321"/>
      <c r="G321"/>
    </row>
    <row r="322" spans="4:8" x14ac:dyDescent="0.25">
      <c r="E322"/>
      <c r="F322"/>
      <c r="G322"/>
    </row>
    <row r="323" spans="4:8" x14ac:dyDescent="0.25">
      <c r="E323"/>
      <c r="F323"/>
      <c r="G323"/>
    </row>
    <row r="324" spans="4:8" x14ac:dyDescent="0.25">
      <c r="E324"/>
      <c r="F324"/>
      <c r="G324"/>
    </row>
    <row r="325" spans="4:8" x14ac:dyDescent="0.25">
      <c r="E325"/>
      <c r="F325"/>
      <c r="G325"/>
    </row>
    <row r="326" spans="4:8" x14ac:dyDescent="0.25">
      <c r="E326"/>
      <c r="F326"/>
      <c r="G326"/>
    </row>
    <row r="327" spans="4:8" x14ac:dyDescent="0.25">
      <c r="E327"/>
      <c r="F327"/>
      <c r="G327"/>
    </row>
    <row r="328" spans="4:8" x14ac:dyDescent="0.25">
      <c r="E328"/>
      <c r="F328"/>
      <c r="G328"/>
    </row>
    <row r="329" spans="4:8" x14ac:dyDescent="0.25">
      <c r="E329"/>
      <c r="F329"/>
      <c r="G329"/>
    </row>
    <row r="330" spans="4:8" x14ac:dyDescent="0.25">
      <c r="E330" s="50"/>
      <c r="F330" s="50"/>
      <c r="G330" s="50"/>
      <c r="H330"/>
    </row>
    <row r="331" spans="4:8" x14ac:dyDescent="0.25">
      <c r="E331"/>
      <c r="F331"/>
      <c r="G331"/>
    </row>
    <row r="332" spans="4:8" x14ac:dyDescent="0.25">
      <c r="D332" s="50"/>
      <c r="E332"/>
      <c r="F332"/>
      <c r="G332"/>
    </row>
    <row r="333" spans="4:8" x14ac:dyDescent="0.25">
      <c r="E333"/>
      <c r="F333"/>
      <c r="G333"/>
    </row>
    <row r="334" spans="4:8" x14ac:dyDescent="0.25">
      <c r="E334"/>
      <c r="F334"/>
      <c r="G334"/>
    </row>
    <row r="335" spans="4:8" x14ac:dyDescent="0.25">
      <c r="E335"/>
      <c r="F335"/>
      <c r="G335"/>
    </row>
    <row r="336" spans="4:8" x14ac:dyDescent="0.25">
      <c r="E336"/>
      <c r="F336"/>
      <c r="G336"/>
    </row>
    <row r="337" spans="4:8" x14ac:dyDescent="0.25">
      <c r="E337"/>
      <c r="F337"/>
      <c r="G337"/>
    </row>
    <row r="338" spans="4:8" x14ac:dyDescent="0.25">
      <c r="E338"/>
      <c r="F338"/>
      <c r="G338"/>
    </row>
    <row r="339" spans="4:8" x14ac:dyDescent="0.25">
      <c r="E339"/>
      <c r="F339"/>
      <c r="G339"/>
    </row>
    <row r="340" spans="4:8" x14ac:dyDescent="0.25">
      <c r="E340"/>
      <c r="F340"/>
      <c r="G340"/>
    </row>
    <row r="341" spans="4:8" x14ac:dyDescent="0.25">
      <c r="E341" s="50"/>
      <c r="F341" s="50"/>
      <c r="G341" s="50"/>
      <c r="H341"/>
    </row>
    <row r="342" spans="4:8" x14ac:dyDescent="0.25">
      <c r="E342"/>
      <c r="F342"/>
      <c r="G342"/>
    </row>
    <row r="343" spans="4:8" x14ac:dyDescent="0.25">
      <c r="D343" s="50"/>
      <c r="E343"/>
      <c r="F343"/>
      <c r="G343"/>
    </row>
    <row r="344" spans="4:8" x14ac:dyDescent="0.25">
      <c r="E344"/>
      <c r="F344"/>
      <c r="G344"/>
    </row>
    <row r="345" spans="4:8" x14ac:dyDescent="0.25">
      <c r="E345"/>
      <c r="F345"/>
      <c r="G345"/>
    </row>
    <row r="346" spans="4:8" x14ac:dyDescent="0.25">
      <c r="E346"/>
      <c r="F346"/>
      <c r="G346"/>
    </row>
    <row r="347" spans="4:8" x14ac:dyDescent="0.25">
      <c r="E347"/>
      <c r="F347"/>
      <c r="G347"/>
    </row>
    <row r="348" spans="4:8" x14ac:dyDescent="0.25">
      <c r="E348"/>
      <c r="F348"/>
      <c r="G348"/>
    </row>
    <row r="349" spans="4:8" x14ac:dyDescent="0.25">
      <c r="E349"/>
      <c r="F349"/>
      <c r="G349"/>
    </row>
    <row r="350" spans="4:8" x14ac:dyDescent="0.25">
      <c r="E350"/>
      <c r="F350"/>
      <c r="G350"/>
    </row>
    <row r="351" spans="4:8" x14ac:dyDescent="0.25">
      <c r="E351"/>
      <c r="F351"/>
      <c r="G351"/>
    </row>
    <row r="352" spans="4:8" x14ac:dyDescent="0.25">
      <c r="E352" s="50"/>
      <c r="F352" s="50"/>
      <c r="G352" s="50"/>
      <c r="H352"/>
    </row>
    <row r="353" spans="4:8" x14ac:dyDescent="0.25">
      <c r="E353"/>
      <c r="F353"/>
      <c r="G353"/>
    </row>
    <row r="354" spans="4:8" x14ac:dyDescent="0.25">
      <c r="D354" s="50"/>
      <c r="E354"/>
      <c r="F354"/>
      <c r="G354"/>
    </row>
    <row r="355" spans="4:8" x14ac:dyDescent="0.25">
      <c r="E355"/>
      <c r="F355"/>
      <c r="G355"/>
    </row>
    <row r="356" spans="4:8" x14ac:dyDescent="0.25">
      <c r="E356"/>
      <c r="F356"/>
      <c r="G356"/>
    </row>
    <row r="357" spans="4:8" x14ac:dyDescent="0.25">
      <c r="E357"/>
      <c r="F357"/>
      <c r="G357"/>
    </row>
    <row r="358" spans="4:8" x14ac:dyDescent="0.25">
      <c r="E358"/>
      <c r="F358"/>
      <c r="G358"/>
    </row>
    <row r="359" spans="4:8" x14ac:dyDescent="0.25">
      <c r="E359"/>
      <c r="F359"/>
      <c r="G359"/>
    </row>
    <row r="360" spans="4:8" x14ac:dyDescent="0.25">
      <c r="E360"/>
      <c r="F360"/>
      <c r="G360"/>
    </row>
    <row r="361" spans="4:8" x14ac:dyDescent="0.25">
      <c r="E361"/>
      <c r="F361"/>
      <c r="G361"/>
    </row>
    <row r="362" spans="4:8" x14ac:dyDescent="0.25">
      <c r="E362"/>
      <c r="F362"/>
      <c r="G362"/>
    </row>
    <row r="363" spans="4:8" x14ac:dyDescent="0.25">
      <c r="E363" s="50"/>
      <c r="F363" s="50"/>
      <c r="G363" s="50"/>
      <c r="H363"/>
    </row>
    <row r="365" spans="4:8" x14ac:dyDescent="0.25">
      <c r="D365" s="50"/>
    </row>
    <row r="376" spans="4:4" x14ac:dyDescent="0.25">
      <c r="D376" s="50"/>
    </row>
    <row r="387" spans="4:4" x14ac:dyDescent="0.25">
      <c r="D387" s="50"/>
    </row>
    <row r="398" spans="4:4" x14ac:dyDescent="0.25">
      <c r="D398" s="50"/>
    </row>
    <row r="409" spans="4:4" x14ac:dyDescent="0.25">
      <c r="D409" s="50"/>
    </row>
    <row r="420" spans="4:4" x14ac:dyDescent="0.25">
      <c r="D420" s="50"/>
    </row>
  </sheetData>
  <mergeCells count="66">
    <mergeCell ref="A72:C72"/>
    <mergeCell ref="A75:C75"/>
    <mergeCell ref="A73:C73"/>
    <mergeCell ref="A70:C70"/>
    <mergeCell ref="A154:C154"/>
    <mergeCell ref="A150:D150"/>
    <mergeCell ref="A102:C102"/>
    <mergeCell ref="A106:C106"/>
    <mergeCell ref="A108:C108"/>
    <mergeCell ref="A76:C76"/>
    <mergeCell ref="A71:C71"/>
    <mergeCell ref="A78:C78"/>
    <mergeCell ref="A95:C95"/>
    <mergeCell ref="A80:C80"/>
    <mergeCell ref="A86:C86"/>
    <mergeCell ref="A94:C94"/>
    <mergeCell ref="A2:D2"/>
    <mergeCell ref="A7:C7"/>
    <mergeCell ref="A8:C8"/>
    <mergeCell ref="A59:C59"/>
    <mergeCell ref="A9:C9"/>
    <mergeCell ref="A18:C18"/>
    <mergeCell ref="A51:C51"/>
    <mergeCell ref="F59:J60"/>
    <mergeCell ref="A60:C60"/>
    <mergeCell ref="A61:D61"/>
    <mergeCell ref="A67:C67"/>
    <mergeCell ref="A68:C68"/>
    <mergeCell ref="A62:C62"/>
    <mergeCell ref="A63:C63"/>
    <mergeCell ref="A64:C64"/>
    <mergeCell ref="A65:C65"/>
    <mergeCell ref="A66:C66"/>
    <mergeCell ref="A69:C69"/>
    <mergeCell ref="A104:C104"/>
    <mergeCell ref="A149:C149"/>
    <mergeCell ref="A124:C124"/>
    <mergeCell ref="A126:C126"/>
    <mergeCell ref="A118:C118"/>
    <mergeCell ref="A120:C120"/>
    <mergeCell ref="A128:C128"/>
    <mergeCell ref="A114:C114"/>
    <mergeCell ref="A144:C144"/>
    <mergeCell ref="A142:C142"/>
    <mergeCell ref="A101:C101"/>
    <mergeCell ref="A91:C91"/>
    <mergeCell ref="A77:C77"/>
    <mergeCell ref="A87:C87"/>
    <mergeCell ref="A79:C79"/>
    <mergeCell ref="A96:C96"/>
    <mergeCell ref="A93:C93"/>
    <mergeCell ref="A81:C81"/>
    <mergeCell ref="A82:C82"/>
    <mergeCell ref="A92:C92"/>
    <mergeCell ref="A97:C97"/>
    <mergeCell ref="A189:C189"/>
    <mergeCell ref="A159:C159"/>
    <mergeCell ref="A188:C188"/>
    <mergeCell ref="A187:C187"/>
    <mergeCell ref="A165:D165"/>
    <mergeCell ref="A169:C169"/>
    <mergeCell ref="A186:C186"/>
    <mergeCell ref="D182:D183"/>
    <mergeCell ref="A170:C170"/>
    <mergeCell ref="A181:C181"/>
    <mergeCell ref="A135:C135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70"/>
  <sheetViews>
    <sheetView zoomScale="110" zoomScaleNormal="110" workbookViewId="0">
      <pane xSplit="1" ySplit="2" topLeftCell="F21" activePane="bottomRight" state="frozen"/>
      <selection pane="topRight" activeCell="B1" sqref="B1"/>
      <selection pane="bottomLeft" activeCell="A3" sqref="A3"/>
      <selection pane="bottomRight" activeCell="J34" sqref="J34:K34"/>
    </sheetView>
  </sheetViews>
  <sheetFormatPr baseColWidth="10" defaultRowHeight="15" x14ac:dyDescent="0.25"/>
  <cols>
    <col min="1" max="1" width="14" customWidth="1"/>
    <col min="2" max="2" width="14.7109375" style="276" customWidth="1"/>
    <col min="3" max="3" width="14.5703125" style="276" customWidth="1"/>
    <col min="4" max="4" width="16.42578125" style="51" customWidth="1"/>
    <col min="5" max="5" width="13.28515625" style="51" customWidth="1"/>
    <col min="6" max="6" width="24" customWidth="1"/>
    <col min="7" max="10" width="11.42578125" style="42"/>
    <col min="11" max="11" width="46" style="42" customWidth="1"/>
    <col min="12" max="76" width="11.42578125" style="42"/>
  </cols>
  <sheetData>
    <row r="1" spans="1:81" ht="31.5" customHeight="1" x14ac:dyDescent="0.3">
      <c r="A1" s="241"/>
      <c r="B1" s="242">
        <v>630</v>
      </c>
      <c r="C1" s="242">
        <v>575</v>
      </c>
      <c r="D1" s="243">
        <v>350</v>
      </c>
      <c r="E1" s="244"/>
      <c r="F1" s="2041" t="s">
        <v>460</v>
      </c>
      <c r="G1" s="2041"/>
      <c r="H1" s="2041"/>
      <c r="I1" s="2041"/>
      <c r="J1" s="2041"/>
      <c r="K1" s="2041"/>
      <c r="L1" s="1911" t="s">
        <v>122</v>
      </c>
      <c r="M1" s="1912"/>
      <c r="N1" s="1912"/>
      <c r="O1" s="1912"/>
      <c r="P1" s="1913"/>
      <c r="BY1" s="42"/>
      <c r="BZ1" s="42"/>
      <c r="CA1" s="42"/>
      <c r="CB1" s="42"/>
      <c r="CC1" s="42"/>
    </row>
    <row r="2" spans="1:81" ht="18.75" x14ac:dyDescent="0.3">
      <c r="A2" s="245" t="s">
        <v>4</v>
      </c>
      <c r="B2" s="246" t="s">
        <v>0</v>
      </c>
      <c r="C2" s="246" t="s">
        <v>3</v>
      </c>
      <c r="D2" s="247" t="s">
        <v>1</v>
      </c>
      <c r="E2" s="246" t="s">
        <v>138</v>
      </c>
      <c r="F2" s="248" t="s">
        <v>139</v>
      </c>
      <c r="G2" s="249" t="s">
        <v>140</v>
      </c>
      <c r="H2" s="250" t="s">
        <v>117</v>
      </c>
      <c r="I2" s="251" t="s">
        <v>141</v>
      </c>
      <c r="J2" s="252" t="s">
        <v>138</v>
      </c>
      <c r="K2" s="248" t="s">
        <v>142</v>
      </c>
      <c r="L2" s="32" t="s">
        <v>4</v>
      </c>
      <c r="M2" s="32" t="s">
        <v>0</v>
      </c>
      <c r="N2" s="32" t="s">
        <v>3</v>
      </c>
      <c r="O2" s="32" t="s">
        <v>1</v>
      </c>
      <c r="P2" s="32" t="s">
        <v>87</v>
      </c>
      <c r="BY2" s="42"/>
      <c r="BZ2" s="42"/>
      <c r="CA2" s="42"/>
      <c r="CB2" s="42"/>
      <c r="CC2" s="42"/>
    </row>
    <row r="3" spans="1:81" s="264" customFormat="1" ht="34.5" customHeight="1" x14ac:dyDescent="0.3">
      <c r="A3" s="253">
        <f>'ETAT  KEKEM'!A6</f>
        <v>44682</v>
      </c>
      <c r="B3" s="254">
        <f>'ETAT  KEKEM'!B6</f>
        <v>1783</v>
      </c>
      <c r="C3" s="254">
        <f>'ETAT  KEKEM'!C6</f>
        <v>508</v>
      </c>
      <c r="D3" s="255">
        <f>'ETAT  KEKEM'!D6</f>
        <v>148</v>
      </c>
      <c r="E3" s="256">
        <f>+B3+C3+D3</f>
        <v>2439</v>
      </c>
      <c r="F3" s="257">
        <f>A3</f>
        <v>44682</v>
      </c>
      <c r="G3" s="258">
        <v>0</v>
      </c>
      <c r="H3" s="259">
        <v>575</v>
      </c>
      <c r="I3" s="260">
        <f>'ETAT  KEKEM'!Q6</f>
        <v>0</v>
      </c>
      <c r="J3" s="261">
        <f>I3</f>
        <v>0</v>
      </c>
      <c r="K3" s="262"/>
      <c r="L3" s="179">
        <f>A3</f>
        <v>44682</v>
      </c>
      <c r="M3" s="110">
        <f>'equation de stock'!G14</f>
        <v>-43</v>
      </c>
      <c r="N3" s="110">
        <f>'equation de stock'!H14</f>
        <v>-32</v>
      </c>
      <c r="O3" s="110">
        <f>'equation de stock'!I14</f>
        <v>-31</v>
      </c>
      <c r="P3" s="110">
        <f t="shared" ref="P3:P24" si="0">+M3*630+N3*575+O3*350</f>
        <v>-56340</v>
      </c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63"/>
      <c r="AQ3" s="263"/>
      <c r="AR3" s="263"/>
      <c r="AS3" s="263"/>
      <c r="AT3" s="263"/>
      <c r="AU3" s="263"/>
      <c r="AV3" s="263"/>
      <c r="AW3" s="263"/>
      <c r="AX3" s="263"/>
      <c r="AY3" s="263"/>
      <c r="AZ3" s="263"/>
      <c r="BA3" s="263"/>
      <c r="BB3" s="263"/>
      <c r="BC3" s="263"/>
      <c r="BD3" s="263"/>
      <c r="BE3" s="263"/>
      <c r="BF3" s="263"/>
      <c r="BG3" s="263"/>
      <c r="BH3" s="263"/>
      <c r="BI3" s="263"/>
      <c r="BJ3" s="263"/>
      <c r="BK3" s="263"/>
      <c r="BL3" s="263"/>
      <c r="BM3" s="263"/>
      <c r="BN3" s="263"/>
      <c r="BO3" s="263"/>
      <c r="BP3" s="263"/>
      <c r="BQ3" s="263"/>
      <c r="BR3" s="263"/>
      <c r="BS3" s="263"/>
      <c r="BT3" s="263"/>
      <c r="BU3" s="263"/>
      <c r="BV3" s="263"/>
      <c r="BW3" s="263"/>
      <c r="BX3" s="263"/>
      <c r="BY3" s="263"/>
      <c r="BZ3" s="263"/>
      <c r="CA3" s="263"/>
      <c r="CB3" s="263"/>
      <c r="CC3" s="263"/>
    </row>
    <row r="4" spans="1:81" s="264" customFormat="1" ht="34.5" customHeight="1" x14ac:dyDescent="0.3">
      <c r="A4" s="253">
        <f>'ETAT  KEKEM'!A7</f>
        <v>44683</v>
      </c>
      <c r="B4" s="254">
        <f>'ETAT  KEKEM'!B7</f>
        <v>2277</v>
      </c>
      <c r="C4" s="254">
        <f>'ETAT  KEKEM'!C7</f>
        <v>772</v>
      </c>
      <c r="D4" s="255">
        <f>'ETAT  KEKEM'!D7</f>
        <v>143</v>
      </c>
      <c r="E4" s="256">
        <f t="shared" ref="E4:E33" si="1">+B4+C4+D4</f>
        <v>3192</v>
      </c>
      <c r="F4" s="257">
        <f t="shared" ref="F4:F32" si="2">A4</f>
        <v>44683</v>
      </c>
      <c r="G4" s="258">
        <f t="shared" ref="G4:G33" si="3">+I4/H4</f>
        <v>0</v>
      </c>
      <c r="H4" s="259">
        <v>575</v>
      </c>
      <c r="I4" s="260">
        <f>'ETAT  KEKEM'!Q7</f>
        <v>0</v>
      </c>
      <c r="J4" s="261">
        <f t="shared" ref="J4:J33" si="4">J3+I4</f>
        <v>0</v>
      </c>
      <c r="K4" s="262"/>
      <c r="L4" s="179">
        <f t="shared" ref="L4:L33" si="5">A4</f>
        <v>44683</v>
      </c>
      <c r="M4" s="110">
        <f>'equation de stock'!G15</f>
        <v>-36</v>
      </c>
      <c r="N4" s="110">
        <f>'equation de stock'!H15</f>
        <v>29</v>
      </c>
      <c r="O4" s="110">
        <f>'equation de stock'!I15</f>
        <v>6</v>
      </c>
      <c r="P4" s="110">
        <f t="shared" si="0"/>
        <v>-3905</v>
      </c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3"/>
      <c r="AY4" s="263"/>
      <c r="AZ4" s="263"/>
      <c r="BA4" s="263"/>
      <c r="BB4" s="263"/>
      <c r="BC4" s="263"/>
      <c r="BD4" s="263"/>
      <c r="BE4" s="263"/>
      <c r="BF4" s="263"/>
      <c r="BG4" s="263"/>
      <c r="BH4" s="263"/>
      <c r="BI4" s="263"/>
      <c r="BJ4" s="263"/>
      <c r="BK4" s="263"/>
      <c r="BL4" s="263"/>
      <c r="BM4" s="263"/>
      <c r="BN4" s="263"/>
      <c r="BO4" s="263"/>
      <c r="BP4" s="263"/>
      <c r="BQ4" s="263"/>
      <c r="BR4" s="263"/>
      <c r="BS4" s="263"/>
      <c r="BT4" s="263"/>
      <c r="BU4" s="263"/>
      <c r="BV4" s="263"/>
      <c r="BW4" s="263"/>
      <c r="BX4" s="263"/>
      <c r="BY4" s="263"/>
      <c r="BZ4" s="263"/>
      <c r="CA4" s="263"/>
      <c r="CB4" s="263"/>
      <c r="CC4" s="263"/>
    </row>
    <row r="5" spans="1:81" s="264" customFormat="1" ht="34.5" customHeight="1" x14ac:dyDescent="0.3">
      <c r="A5" s="253">
        <f>'ETAT  KEKEM'!A8</f>
        <v>44684</v>
      </c>
      <c r="B5" s="254">
        <f>'ETAT  KEKEM'!B8</f>
        <v>2215</v>
      </c>
      <c r="C5" s="254">
        <f>'ETAT  KEKEM'!C8</f>
        <v>427</v>
      </c>
      <c r="D5" s="255">
        <f>'ETAT  KEKEM'!D8</f>
        <v>99</v>
      </c>
      <c r="E5" s="256">
        <f t="shared" si="1"/>
        <v>2741</v>
      </c>
      <c r="F5" s="257">
        <f t="shared" si="2"/>
        <v>44684</v>
      </c>
      <c r="G5" s="258">
        <f t="shared" si="3"/>
        <v>0</v>
      </c>
      <c r="H5" s="259">
        <v>575</v>
      </c>
      <c r="I5" s="260">
        <f>'ETAT  KEKEM'!Q8</f>
        <v>0</v>
      </c>
      <c r="J5" s="261">
        <f t="shared" si="4"/>
        <v>0</v>
      </c>
      <c r="K5" s="262"/>
      <c r="L5" s="179">
        <f t="shared" si="5"/>
        <v>44684</v>
      </c>
      <c r="M5" s="110">
        <f>'equation de stock'!G16</f>
        <v>7</v>
      </c>
      <c r="N5" s="110">
        <f>'equation de stock'!H16</f>
        <v>33</v>
      </c>
      <c r="O5" s="110">
        <f>'equation de stock'!I16</f>
        <v>30</v>
      </c>
      <c r="P5" s="110">
        <f t="shared" si="0"/>
        <v>33885</v>
      </c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263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  <c r="BJ5" s="263"/>
      <c r="BK5" s="263"/>
      <c r="BL5" s="263"/>
      <c r="BM5" s="263"/>
      <c r="BN5" s="263"/>
      <c r="BO5" s="263"/>
      <c r="BP5" s="263"/>
      <c r="BQ5" s="263"/>
      <c r="BR5" s="263"/>
      <c r="BS5" s="263"/>
      <c r="BT5" s="263"/>
      <c r="BU5" s="263"/>
      <c r="BV5" s="263"/>
      <c r="BW5" s="263"/>
      <c r="BX5" s="263"/>
      <c r="BY5" s="263"/>
      <c r="BZ5" s="263"/>
      <c r="CA5" s="263"/>
      <c r="CB5" s="263"/>
      <c r="CC5" s="263"/>
    </row>
    <row r="6" spans="1:81" s="264" customFormat="1" ht="34.5" customHeight="1" x14ac:dyDescent="0.3">
      <c r="A6" s="253">
        <f>'ETAT  KEKEM'!A9</f>
        <v>44685</v>
      </c>
      <c r="B6" s="254">
        <f>'ETAT  KEKEM'!B9</f>
        <v>1988</v>
      </c>
      <c r="C6" s="254">
        <f>'ETAT  KEKEM'!C9</f>
        <v>1271</v>
      </c>
      <c r="D6" s="255">
        <f>'ETAT  KEKEM'!D9</f>
        <v>682</v>
      </c>
      <c r="E6" s="256">
        <f t="shared" si="1"/>
        <v>3941</v>
      </c>
      <c r="F6" s="257">
        <f t="shared" si="2"/>
        <v>44685</v>
      </c>
      <c r="G6" s="258">
        <f t="shared" si="3"/>
        <v>0</v>
      </c>
      <c r="H6" s="259">
        <v>575</v>
      </c>
      <c r="I6" s="260">
        <f>'ETAT  KEKEM'!Q9</f>
        <v>0</v>
      </c>
      <c r="J6" s="261">
        <f t="shared" si="4"/>
        <v>0</v>
      </c>
      <c r="K6" s="262"/>
      <c r="L6" s="179">
        <f t="shared" si="5"/>
        <v>44685</v>
      </c>
      <c r="M6" s="110">
        <f>'equation de stock'!G17</f>
        <v>14</v>
      </c>
      <c r="N6" s="110">
        <f>'equation de stock'!H17</f>
        <v>-143</v>
      </c>
      <c r="O6" s="110">
        <f>'equation de stock'!I17</f>
        <v>-66</v>
      </c>
      <c r="P6" s="110">
        <f t="shared" si="0"/>
        <v>-96505</v>
      </c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63"/>
      <c r="AO6" s="263"/>
      <c r="AP6" s="263"/>
      <c r="AQ6" s="263"/>
      <c r="AR6" s="263"/>
      <c r="AS6" s="263"/>
      <c r="AT6" s="263"/>
      <c r="AU6" s="263"/>
      <c r="AV6" s="263"/>
      <c r="AW6" s="263"/>
      <c r="AX6" s="263"/>
      <c r="AY6" s="263"/>
      <c r="AZ6" s="263"/>
      <c r="BA6" s="263"/>
      <c r="BB6" s="263"/>
      <c r="BC6" s="263"/>
      <c r="BD6" s="263"/>
      <c r="BE6" s="263"/>
      <c r="BF6" s="263"/>
      <c r="BG6" s="263"/>
      <c r="BH6" s="263"/>
      <c r="BI6" s="263"/>
      <c r="BJ6" s="263"/>
      <c r="BK6" s="263"/>
      <c r="BL6" s="263"/>
      <c r="BM6" s="263"/>
      <c r="BN6" s="263"/>
      <c r="BO6" s="263"/>
      <c r="BP6" s="263"/>
      <c r="BQ6" s="263"/>
      <c r="BR6" s="263"/>
      <c r="BS6" s="263"/>
      <c r="BT6" s="263"/>
      <c r="BU6" s="263"/>
      <c r="BV6" s="263"/>
      <c r="BW6" s="263"/>
      <c r="BX6" s="263"/>
      <c r="BY6" s="263"/>
      <c r="BZ6" s="263"/>
      <c r="CA6" s="263"/>
      <c r="CB6" s="263"/>
      <c r="CC6" s="263"/>
    </row>
    <row r="7" spans="1:81" s="264" customFormat="1" ht="34.5" customHeight="1" x14ac:dyDescent="0.3">
      <c r="A7" s="253">
        <f>'ETAT  KEKEM'!A10</f>
        <v>44686</v>
      </c>
      <c r="B7" s="254">
        <f>'ETAT  KEKEM'!B10</f>
        <v>1781</v>
      </c>
      <c r="C7" s="254">
        <f>'ETAT  KEKEM'!C10</f>
        <v>1048</v>
      </c>
      <c r="D7" s="255">
        <f>'ETAT  KEKEM'!D10</f>
        <v>84</v>
      </c>
      <c r="E7" s="256">
        <f t="shared" si="1"/>
        <v>2913</v>
      </c>
      <c r="F7" s="257">
        <f t="shared" si="2"/>
        <v>44686</v>
      </c>
      <c r="G7" s="258">
        <v>0</v>
      </c>
      <c r="H7" s="259">
        <v>575</v>
      </c>
      <c r="I7" s="260">
        <f>'ETAT  KEKEM'!Q10</f>
        <v>23320</v>
      </c>
      <c r="J7" s="261">
        <f t="shared" si="4"/>
        <v>23320</v>
      </c>
      <c r="K7" s="262"/>
      <c r="L7" s="179">
        <f t="shared" si="5"/>
        <v>44686</v>
      </c>
      <c r="M7" s="110">
        <f>'equation de stock'!G18</f>
        <v>0</v>
      </c>
      <c r="N7" s="110">
        <f>'equation de stock'!H18</f>
        <v>-37</v>
      </c>
      <c r="O7" s="110">
        <f>'equation de stock'!I18</f>
        <v>9</v>
      </c>
      <c r="P7" s="110">
        <f t="shared" si="0"/>
        <v>-18125</v>
      </c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  <c r="BA7" s="263"/>
      <c r="BB7" s="263"/>
      <c r="BC7" s="263"/>
      <c r="BD7" s="263"/>
      <c r="BE7" s="263"/>
      <c r="BF7" s="263"/>
      <c r="BG7" s="263"/>
      <c r="BH7" s="263"/>
      <c r="BI7" s="263"/>
      <c r="BJ7" s="263"/>
      <c r="BK7" s="263"/>
      <c r="BL7" s="263"/>
      <c r="BM7" s="263"/>
      <c r="BN7" s="263"/>
      <c r="BO7" s="263"/>
      <c r="BP7" s="263"/>
      <c r="BQ7" s="263"/>
      <c r="BR7" s="263"/>
      <c r="BS7" s="263"/>
      <c r="BT7" s="263"/>
      <c r="BU7" s="263"/>
      <c r="BV7" s="263"/>
      <c r="BW7" s="263"/>
      <c r="BX7" s="263"/>
      <c r="BY7" s="263"/>
      <c r="BZ7" s="263"/>
      <c r="CA7" s="263"/>
      <c r="CB7" s="263"/>
      <c r="CC7" s="263"/>
    </row>
    <row r="8" spans="1:81" s="264" customFormat="1" ht="34.5" customHeight="1" x14ac:dyDescent="0.3">
      <c r="A8" s="253">
        <f>'ETAT  KEKEM'!A11</f>
        <v>44687</v>
      </c>
      <c r="B8" s="254">
        <f>'ETAT  KEKEM'!B11</f>
        <v>2567</v>
      </c>
      <c r="C8" s="254">
        <f>'ETAT  KEKEM'!C11</f>
        <v>1059</v>
      </c>
      <c r="D8" s="255">
        <f>'ETAT  KEKEM'!D11</f>
        <v>156</v>
      </c>
      <c r="E8" s="256">
        <f t="shared" si="1"/>
        <v>3782</v>
      </c>
      <c r="F8" s="257">
        <f t="shared" si="2"/>
        <v>44687</v>
      </c>
      <c r="G8" s="258">
        <f t="shared" si="3"/>
        <v>0</v>
      </c>
      <c r="H8" s="259">
        <v>575</v>
      </c>
      <c r="I8" s="260">
        <f>'ETAT  KEKEM'!Q11</f>
        <v>0</v>
      </c>
      <c r="J8" s="261">
        <f t="shared" si="4"/>
        <v>23320</v>
      </c>
      <c r="K8" s="262"/>
      <c r="L8" s="179">
        <f t="shared" si="5"/>
        <v>44687</v>
      </c>
      <c r="M8" s="110">
        <f>'equation de stock'!G19</f>
        <v>-12</v>
      </c>
      <c r="N8" s="110">
        <f>'equation de stock'!H19</f>
        <v>-7</v>
      </c>
      <c r="O8" s="110">
        <f>'equation de stock'!I19</f>
        <v>56</v>
      </c>
      <c r="P8" s="110">
        <f t="shared" si="0"/>
        <v>8015</v>
      </c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  <c r="AI8" s="263"/>
      <c r="AJ8" s="263"/>
      <c r="AK8" s="263"/>
      <c r="AL8" s="263"/>
      <c r="AM8" s="263"/>
      <c r="AN8" s="263"/>
      <c r="AO8" s="263"/>
      <c r="AP8" s="263"/>
      <c r="AQ8" s="263"/>
      <c r="AR8" s="263"/>
      <c r="AS8" s="263"/>
      <c r="AT8" s="263"/>
      <c r="AU8" s="263"/>
      <c r="AV8" s="263"/>
      <c r="AW8" s="263"/>
      <c r="AX8" s="263"/>
      <c r="AY8" s="263"/>
      <c r="AZ8" s="263"/>
      <c r="BA8" s="263"/>
      <c r="BB8" s="263"/>
      <c r="BC8" s="263"/>
      <c r="BD8" s="263"/>
      <c r="BE8" s="263"/>
      <c r="BF8" s="263"/>
      <c r="BG8" s="263"/>
      <c r="BH8" s="263"/>
      <c r="BI8" s="263"/>
      <c r="BJ8" s="263"/>
      <c r="BK8" s="263"/>
      <c r="BL8" s="263"/>
      <c r="BM8" s="263"/>
      <c r="BN8" s="263"/>
      <c r="BO8" s="263"/>
      <c r="BP8" s="263"/>
      <c r="BQ8" s="263"/>
      <c r="BR8" s="263"/>
      <c r="BS8" s="263"/>
      <c r="BT8" s="263"/>
      <c r="BU8" s="263"/>
      <c r="BV8" s="263"/>
      <c r="BW8" s="263"/>
      <c r="BX8" s="263"/>
      <c r="BY8" s="263"/>
      <c r="BZ8" s="263"/>
      <c r="CA8" s="263"/>
      <c r="CB8" s="263"/>
      <c r="CC8" s="263"/>
    </row>
    <row r="9" spans="1:81" s="264" customFormat="1" ht="34.5" customHeight="1" x14ac:dyDescent="0.3">
      <c r="A9" s="253">
        <f>'ETAT  KEKEM'!A12</f>
        <v>44688</v>
      </c>
      <c r="B9" s="254">
        <f>'ETAT  KEKEM'!B12</f>
        <v>2546</v>
      </c>
      <c r="C9" s="254">
        <f>'ETAT  KEKEM'!C12</f>
        <v>1022</v>
      </c>
      <c r="D9" s="255">
        <f>'ETAT  KEKEM'!D12</f>
        <v>164</v>
      </c>
      <c r="E9" s="256">
        <f t="shared" si="1"/>
        <v>3732</v>
      </c>
      <c r="F9" s="257">
        <f t="shared" si="2"/>
        <v>44688</v>
      </c>
      <c r="G9" s="258">
        <f t="shared" si="3"/>
        <v>0</v>
      </c>
      <c r="H9" s="259">
        <v>575</v>
      </c>
      <c r="I9" s="260">
        <f>'ETAT  KEKEM'!Q12</f>
        <v>0</v>
      </c>
      <c r="J9" s="261">
        <f t="shared" si="4"/>
        <v>23320</v>
      </c>
      <c r="K9" s="262"/>
      <c r="L9" s="179">
        <f t="shared" si="5"/>
        <v>44688</v>
      </c>
      <c r="M9" s="110">
        <f>'equation de stock'!G20</f>
        <v>-47</v>
      </c>
      <c r="N9" s="110">
        <f>'equation de stock'!H20</f>
        <v>7</v>
      </c>
      <c r="O9" s="110">
        <f>'equation de stock'!I20</f>
        <v>-14</v>
      </c>
      <c r="P9" s="110">
        <f t="shared" si="0"/>
        <v>-30485</v>
      </c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63"/>
      <c r="AO9" s="263"/>
      <c r="AP9" s="263"/>
      <c r="AQ9" s="263"/>
      <c r="AR9" s="263"/>
      <c r="AS9" s="263"/>
      <c r="AT9" s="263"/>
      <c r="AU9" s="263"/>
      <c r="AV9" s="263"/>
      <c r="AW9" s="263"/>
      <c r="AX9" s="263"/>
      <c r="AY9" s="263"/>
      <c r="AZ9" s="263"/>
      <c r="BA9" s="263"/>
      <c r="BB9" s="263"/>
      <c r="BC9" s="263"/>
      <c r="BD9" s="263"/>
      <c r="BE9" s="263"/>
      <c r="BF9" s="263"/>
      <c r="BG9" s="263"/>
      <c r="BH9" s="263"/>
      <c r="BI9" s="263"/>
      <c r="BJ9" s="263"/>
      <c r="BK9" s="263"/>
      <c r="BL9" s="263"/>
      <c r="BM9" s="263"/>
      <c r="BN9" s="263"/>
      <c r="BO9" s="263"/>
      <c r="BP9" s="263"/>
      <c r="BQ9" s="263"/>
      <c r="BR9" s="263"/>
      <c r="BS9" s="263"/>
      <c r="BT9" s="263"/>
      <c r="BU9" s="263"/>
      <c r="BV9" s="263"/>
      <c r="BW9" s="263"/>
      <c r="BX9" s="263"/>
      <c r="BY9" s="263"/>
      <c r="BZ9" s="263"/>
      <c r="CA9" s="263"/>
      <c r="CB9" s="263"/>
      <c r="CC9" s="263"/>
    </row>
    <row r="10" spans="1:81" s="264" customFormat="1" ht="34.5" customHeight="1" x14ac:dyDescent="0.3">
      <c r="A10" s="253">
        <f>'ETAT  KEKEM'!A13</f>
        <v>44689</v>
      </c>
      <c r="B10" s="254">
        <f>'ETAT  KEKEM'!B13</f>
        <v>2042</v>
      </c>
      <c r="C10" s="254">
        <f>'ETAT  KEKEM'!C13</f>
        <v>671</v>
      </c>
      <c r="D10" s="255">
        <f>'ETAT  KEKEM'!D13</f>
        <v>194</v>
      </c>
      <c r="E10" s="256">
        <f t="shared" si="1"/>
        <v>2907</v>
      </c>
      <c r="F10" s="257">
        <f t="shared" si="2"/>
        <v>44689</v>
      </c>
      <c r="G10" s="258">
        <f t="shared" si="3"/>
        <v>0</v>
      </c>
      <c r="H10" s="259">
        <v>575</v>
      </c>
      <c r="I10" s="260">
        <f>'ETAT  KEKEM'!Q13</f>
        <v>0</v>
      </c>
      <c r="J10" s="261">
        <f t="shared" si="4"/>
        <v>23320</v>
      </c>
      <c r="K10" s="262"/>
      <c r="L10" s="179">
        <f t="shared" si="5"/>
        <v>44689</v>
      </c>
      <c r="M10" s="110">
        <f>'equation de stock'!G21</f>
        <v>-37</v>
      </c>
      <c r="N10" s="110">
        <f>'equation de stock'!H21</f>
        <v>-14</v>
      </c>
      <c r="O10" s="110">
        <f>'equation de stock'!I21</f>
        <v>-11</v>
      </c>
      <c r="P10" s="110">
        <f t="shared" si="0"/>
        <v>-35210</v>
      </c>
      <c r="Q10" s="263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263"/>
      <c r="AN10" s="263"/>
      <c r="AO10" s="263"/>
      <c r="AP10" s="263"/>
      <c r="AQ10" s="263"/>
      <c r="AR10" s="263"/>
      <c r="AS10" s="263"/>
      <c r="AT10" s="263"/>
      <c r="AU10" s="263"/>
      <c r="AV10" s="263"/>
      <c r="AW10" s="263"/>
      <c r="AX10" s="263"/>
      <c r="AY10" s="263"/>
      <c r="AZ10" s="263"/>
      <c r="BA10" s="263"/>
      <c r="BB10" s="263"/>
      <c r="BC10" s="263"/>
      <c r="BD10" s="263"/>
      <c r="BE10" s="263"/>
      <c r="BF10" s="263"/>
      <c r="BG10" s="263"/>
      <c r="BH10" s="263"/>
      <c r="BI10" s="263"/>
      <c r="BJ10" s="263"/>
      <c r="BK10" s="263"/>
      <c r="BL10" s="263"/>
      <c r="BM10" s="263"/>
      <c r="BN10" s="263"/>
      <c r="BO10" s="263"/>
      <c r="BP10" s="263"/>
      <c r="BQ10" s="263"/>
      <c r="BR10" s="263"/>
      <c r="BS10" s="263"/>
      <c r="BT10" s="263"/>
      <c r="BU10" s="263"/>
      <c r="BV10" s="263"/>
      <c r="BW10" s="263"/>
      <c r="BX10" s="263"/>
      <c r="BY10" s="263"/>
      <c r="BZ10" s="263"/>
      <c r="CA10" s="263"/>
      <c r="CB10" s="263"/>
      <c r="CC10" s="263"/>
    </row>
    <row r="11" spans="1:81" s="264" customFormat="1" ht="34.5" customHeight="1" x14ac:dyDescent="0.3">
      <c r="A11" s="253">
        <f>'ETAT  KEKEM'!A14</f>
        <v>44690</v>
      </c>
      <c r="B11" s="254">
        <f>'ETAT  KEKEM'!B14</f>
        <v>1813</v>
      </c>
      <c r="C11" s="254">
        <f>'ETAT  KEKEM'!C14</f>
        <v>473</v>
      </c>
      <c r="D11" s="255">
        <f>'ETAT  KEKEM'!D14</f>
        <v>303</v>
      </c>
      <c r="E11" s="256">
        <f t="shared" si="1"/>
        <v>2589</v>
      </c>
      <c r="F11" s="257">
        <f t="shared" si="2"/>
        <v>44690</v>
      </c>
      <c r="G11" s="258">
        <f t="shared" si="3"/>
        <v>0</v>
      </c>
      <c r="H11" s="259">
        <v>575</v>
      </c>
      <c r="I11" s="260">
        <f>'ETAT  KEKEM'!Q14</f>
        <v>0</v>
      </c>
      <c r="J11" s="261">
        <f t="shared" si="4"/>
        <v>23320</v>
      </c>
      <c r="K11" s="262"/>
      <c r="L11" s="179">
        <f t="shared" si="5"/>
        <v>44690</v>
      </c>
      <c r="M11" s="110">
        <f>'equation de stock'!G22</f>
        <v>72</v>
      </c>
      <c r="N11" s="110">
        <f>'equation de stock'!H22</f>
        <v>46</v>
      </c>
      <c r="O11" s="110">
        <f>'equation de stock'!I22</f>
        <v>-8</v>
      </c>
      <c r="P11" s="110">
        <f t="shared" si="0"/>
        <v>69010</v>
      </c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3"/>
      <c r="AF11" s="263"/>
      <c r="AG11" s="263"/>
      <c r="AH11" s="263"/>
      <c r="AI11" s="263"/>
      <c r="AJ11" s="263"/>
      <c r="AK11" s="263"/>
      <c r="AL11" s="263"/>
      <c r="AM11" s="263"/>
      <c r="AN11" s="263"/>
      <c r="AO11" s="263"/>
      <c r="AP11" s="263"/>
      <c r="AQ11" s="263"/>
      <c r="AR11" s="263"/>
      <c r="AS11" s="263"/>
      <c r="AT11" s="263"/>
      <c r="AU11" s="263"/>
      <c r="AV11" s="263"/>
      <c r="AW11" s="263"/>
      <c r="AX11" s="263"/>
      <c r="AY11" s="263"/>
      <c r="AZ11" s="263"/>
      <c r="BA11" s="263"/>
      <c r="BB11" s="263"/>
      <c r="BC11" s="263"/>
      <c r="BD11" s="263"/>
      <c r="BE11" s="263"/>
      <c r="BF11" s="263"/>
      <c r="BG11" s="263"/>
      <c r="BH11" s="263"/>
      <c r="BI11" s="263"/>
      <c r="BJ11" s="263"/>
      <c r="BK11" s="263"/>
      <c r="BL11" s="263"/>
      <c r="BM11" s="263"/>
      <c r="BN11" s="263"/>
      <c r="BO11" s="263"/>
      <c r="BP11" s="263"/>
      <c r="BQ11" s="263"/>
      <c r="BR11" s="263"/>
      <c r="BS11" s="263"/>
      <c r="BT11" s="263"/>
      <c r="BU11" s="263"/>
      <c r="BV11" s="263"/>
      <c r="BW11" s="263"/>
      <c r="BX11" s="263"/>
      <c r="BY11" s="263"/>
      <c r="BZ11" s="263"/>
      <c r="CA11" s="263"/>
      <c r="CB11" s="263"/>
      <c r="CC11" s="263"/>
    </row>
    <row r="12" spans="1:81" s="264" customFormat="1" ht="34.5" customHeight="1" x14ac:dyDescent="0.3">
      <c r="A12" s="253">
        <f>'ETAT  KEKEM'!A15</f>
        <v>44691</v>
      </c>
      <c r="B12" s="254">
        <f>'ETAT  KEKEM'!B15</f>
        <v>2042</v>
      </c>
      <c r="C12" s="254">
        <f>'ETAT  KEKEM'!C15</f>
        <v>897</v>
      </c>
      <c r="D12" s="255">
        <f>'ETAT  KEKEM'!D15</f>
        <v>253</v>
      </c>
      <c r="E12" s="256">
        <f t="shared" si="1"/>
        <v>3192</v>
      </c>
      <c r="F12" s="257">
        <f t="shared" si="2"/>
        <v>44691</v>
      </c>
      <c r="G12" s="258">
        <f t="shared" si="3"/>
        <v>0</v>
      </c>
      <c r="H12" s="259">
        <v>575</v>
      </c>
      <c r="I12" s="260">
        <f>'ETAT  KEKEM'!Q15</f>
        <v>0</v>
      </c>
      <c r="J12" s="261">
        <f t="shared" si="4"/>
        <v>23320</v>
      </c>
      <c r="K12" s="262"/>
      <c r="L12" s="179">
        <f t="shared" si="5"/>
        <v>44691</v>
      </c>
      <c r="M12" s="110">
        <f>'equation de stock'!G23</f>
        <v>50</v>
      </c>
      <c r="N12" s="110">
        <f>'equation de stock'!H23</f>
        <v>-7</v>
      </c>
      <c r="O12" s="110">
        <f>'equation de stock'!I23</f>
        <v>-9</v>
      </c>
      <c r="P12" s="110">
        <f t="shared" si="0"/>
        <v>24325</v>
      </c>
      <c r="Q12" s="263"/>
      <c r="R12" s="288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3"/>
      <c r="AF12" s="263"/>
      <c r="AG12" s="263"/>
      <c r="AH12" s="263"/>
      <c r="AI12" s="263"/>
      <c r="AJ12" s="263"/>
      <c r="AK12" s="263"/>
      <c r="AL12" s="263"/>
      <c r="AM12" s="263"/>
      <c r="AN12" s="263"/>
      <c r="AO12" s="263"/>
      <c r="AP12" s="263"/>
      <c r="AQ12" s="263"/>
      <c r="AR12" s="263"/>
      <c r="AS12" s="263"/>
      <c r="AT12" s="263"/>
      <c r="AU12" s="263"/>
      <c r="AV12" s="263"/>
      <c r="AW12" s="263"/>
      <c r="AX12" s="263"/>
      <c r="AY12" s="263"/>
      <c r="AZ12" s="263"/>
      <c r="BA12" s="263"/>
      <c r="BB12" s="263"/>
      <c r="BC12" s="263"/>
      <c r="BD12" s="263"/>
      <c r="BE12" s="263"/>
      <c r="BF12" s="263"/>
      <c r="BG12" s="263"/>
      <c r="BH12" s="263"/>
      <c r="BI12" s="263"/>
      <c r="BJ12" s="263"/>
      <c r="BK12" s="263"/>
      <c r="BL12" s="263"/>
      <c r="BM12" s="263"/>
      <c r="BN12" s="263"/>
      <c r="BO12" s="263"/>
      <c r="BP12" s="263"/>
      <c r="BQ12" s="263"/>
      <c r="BR12" s="263"/>
      <c r="BS12" s="263"/>
      <c r="BT12" s="263"/>
      <c r="BU12" s="263"/>
      <c r="BV12" s="263"/>
      <c r="BW12" s="263"/>
      <c r="BX12" s="263"/>
      <c r="BY12" s="263"/>
      <c r="BZ12" s="263"/>
      <c r="CA12" s="263"/>
      <c r="CB12" s="263"/>
      <c r="CC12" s="263"/>
    </row>
    <row r="13" spans="1:81" s="264" customFormat="1" ht="34.5" customHeight="1" x14ac:dyDescent="0.3">
      <c r="A13" s="253">
        <f>'ETAT  KEKEM'!A16</f>
        <v>44692</v>
      </c>
      <c r="B13" s="254">
        <f>'ETAT  KEKEM'!B16</f>
        <v>1633</v>
      </c>
      <c r="C13" s="254">
        <f>'ETAT  KEKEM'!C16</f>
        <v>711</v>
      </c>
      <c r="D13" s="255">
        <f>'ETAT  KEKEM'!D16</f>
        <v>55</v>
      </c>
      <c r="E13" s="256">
        <f t="shared" si="1"/>
        <v>2399</v>
      </c>
      <c r="F13" s="257">
        <f t="shared" si="2"/>
        <v>44692</v>
      </c>
      <c r="G13" s="258">
        <f t="shared" si="3"/>
        <v>0</v>
      </c>
      <c r="H13" s="259">
        <v>575</v>
      </c>
      <c r="I13" s="260">
        <f>'ETAT  KEKEM'!Q16</f>
        <v>0</v>
      </c>
      <c r="J13" s="261">
        <f t="shared" si="4"/>
        <v>23320</v>
      </c>
      <c r="K13" s="262"/>
      <c r="L13" s="179">
        <f t="shared" si="5"/>
        <v>44692</v>
      </c>
      <c r="M13" s="110">
        <f>'equation de stock'!G24</f>
        <v>-16</v>
      </c>
      <c r="N13" s="110">
        <f>'equation de stock'!H24</f>
        <v>-22</v>
      </c>
      <c r="O13" s="110">
        <f>'equation de stock'!I24</f>
        <v>2</v>
      </c>
      <c r="P13" s="110">
        <f t="shared" si="0"/>
        <v>-22030</v>
      </c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3"/>
      <c r="AF13" s="263"/>
      <c r="AG13" s="263"/>
      <c r="AH13" s="263"/>
      <c r="AI13" s="263"/>
      <c r="AJ13" s="263"/>
      <c r="AK13" s="263"/>
      <c r="AL13" s="263"/>
      <c r="AM13" s="263"/>
      <c r="AN13" s="263"/>
      <c r="AO13" s="263"/>
      <c r="AP13" s="263"/>
      <c r="AQ13" s="263"/>
      <c r="AR13" s="263"/>
      <c r="AS13" s="263"/>
      <c r="AT13" s="263"/>
      <c r="AU13" s="263"/>
      <c r="AV13" s="263"/>
      <c r="AW13" s="263"/>
      <c r="AX13" s="263"/>
      <c r="AY13" s="263"/>
      <c r="AZ13" s="263"/>
      <c r="BA13" s="263"/>
      <c r="BB13" s="263"/>
      <c r="BC13" s="263"/>
      <c r="BD13" s="263"/>
      <c r="BE13" s="263"/>
      <c r="BF13" s="263"/>
      <c r="BG13" s="263"/>
      <c r="BH13" s="263"/>
      <c r="BI13" s="263"/>
      <c r="BJ13" s="263"/>
      <c r="BK13" s="263"/>
      <c r="BL13" s="263"/>
      <c r="BM13" s="263"/>
      <c r="BN13" s="263"/>
      <c r="BO13" s="263"/>
      <c r="BP13" s="263"/>
      <c r="BQ13" s="263"/>
      <c r="BR13" s="263"/>
      <c r="BS13" s="263"/>
      <c r="BT13" s="263"/>
      <c r="BU13" s="263"/>
      <c r="BV13" s="263"/>
      <c r="BW13" s="263"/>
      <c r="BX13" s="263"/>
      <c r="BY13" s="263"/>
      <c r="BZ13" s="263"/>
      <c r="CA13" s="263"/>
      <c r="CB13" s="263"/>
      <c r="CC13" s="263"/>
    </row>
    <row r="14" spans="1:81" s="264" customFormat="1" ht="34.5" customHeight="1" x14ac:dyDescent="0.3">
      <c r="A14" s="253">
        <f>'ETAT  KEKEM'!A17</f>
        <v>44693</v>
      </c>
      <c r="B14" s="254">
        <f>'ETAT  KEKEM'!B17</f>
        <v>1805</v>
      </c>
      <c r="C14" s="254">
        <f>'ETAT  KEKEM'!C17</f>
        <v>739</v>
      </c>
      <c r="D14" s="255">
        <f>'ETAT  KEKEM'!D17</f>
        <v>386</v>
      </c>
      <c r="E14" s="256">
        <f t="shared" si="1"/>
        <v>2930</v>
      </c>
      <c r="F14" s="257">
        <f t="shared" si="2"/>
        <v>44693</v>
      </c>
      <c r="G14" s="258">
        <f t="shared" si="3"/>
        <v>0</v>
      </c>
      <c r="H14" s="259">
        <v>575</v>
      </c>
      <c r="I14" s="260">
        <f>'ETAT  KEKEM'!Q17</f>
        <v>0</v>
      </c>
      <c r="J14" s="261">
        <f t="shared" si="4"/>
        <v>23320</v>
      </c>
      <c r="K14" s="262"/>
      <c r="L14" s="179">
        <f t="shared" si="5"/>
        <v>44693</v>
      </c>
      <c r="M14" s="110">
        <f>'equation de stock'!G25</f>
        <v>-86</v>
      </c>
      <c r="N14" s="110">
        <f>'equation de stock'!H25</f>
        <v>6</v>
      </c>
      <c r="O14" s="110">
        <f>'equation de stock'!I25</f>
        <v>15</v>
      </c>
      <c r="P14" s="110">
        <f t="shared" si="0"/>
        <v>-45480</v>
      </c>
      <c r="Q14" s="263"/>
      <c r="R14" s="288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63"/>
      <c r="AO14" s="263"/>
      <c r="AP14" s="263"/>
      <c r="AQ14" s="263"/>
      <c r="AR14" s="263"/>
      <c r="AS14" s="263"/>
      <c r="AT14" s="263"/>
      <c r="AU14" s="263"/>
      <c r="AV14" s="263"/>
      <c r="AW14" s="263"/>
      <c r="AX14" s="263"/>
      <c r="AY14" s="263"/>
      <c r="AZ14" s="263"/>
      <c r="BA14" s="263"/>
      <c r="BB14" s="263"/>
      <c r="BC14" s="263"/>
      <c r="BD14" s="263"/>
      <c r="BE14" s="263"/>
      <c r="BF14" s="263"/>
      <c r="BG14" s="263"/>
      <c r="BH14" s="263"/>
      <c r="BI14" s="263"/>
      <c r="BJ14" s="263"/>
      <c r="BK14" s="263"/>
      <c r="BL14" s="263"/>
      <c r="BM14" s="263"/>
      <c r="BN14" s="263"/>
      <c r="BO14" s="263"/>
      <c r="BP14" s="263"/>
      <c r="BQ14" s="263"/>
      <c r="BR14" s="263"/>
      <c r="BS14" s="263"/>
      <c r="BT14" s="263"/>
      <c r="BU14" s="263"/>
      <c r="BV14" s="263"/>
      <c r="BW14" s="263"/>
      <c r="BX14" s="263"/>
      <c r="BY14" s="263"/>
      <c r="BZ14" s="263"/>
      <c r="CA14" s="263"/>
      <c r="CB14" s="263"/>
      <c r="CC14" s="263"/>
    </row>
    <row r="15" spans="1:81" s="264" customFormat="1" ht="34.5" customHeight="1" x14ac:dyDescent="0.3">
      <c r="A15" s="253">
        <f>'ETAT  KEKEM'!A18</f>
        <v>44694</v>
      </c>
      <c r="B15" s="254">
        <f>'ETAT  KEKEM'!B18</f>
        <v>2052</v>
      </c>
      <c r="C15" s="254">
        <f>'ETAT  KEKEM'!C18</f>
        <v>703</v>
      </c>
      <c r="D15" s="255">
        <f>'ETAT  KEKEM'!D18</f>
        <v>188</v>
      </c>
      <c r="E15" s="256">
        <f t="shared" si="1"/>
        <v>2943</v>
      </c>
      <c r="F15" s="257">
        <f t="shared" si="2"/>
        <v>44694</v>
      </c>
      <c r="G15" s="258">
        <f t="shared" si="3"/>
        <v>0</v>
      </c>
      <c r="H15" s="259">
        <v>575</v>
      </c>
      <c r="I15" s="260">
        <f>'ETAT  KEKEM'!Q18</f>
        <v>0</v>
      </c>
      <c r="J15" s="261">
        <f t="shared" si="4"/>
        <v>23320</v>
      </c>
      <c r="K15" s="262"/>
      <c r="L15" s="179">
        <f t="shared" si="5"/>
        <v>44694</v>
      </c>
      <c r="M15" s="265">
        <f>'equation de stock'!G26</f>
        <v>-81</v>
      </c>
      <c r="N15" s="265">
        <f>'equation de stock'!H26</f>
        <v>20</v>
      </c>
      <c r="O15" s="265">
        <f>'equation de stock'!I26</f>
        <v>28</v>
      </c>
      <c r="P15" s="110">
        <f t="shared" si="0"/>
        <v>-29730</v>
      </c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/>
      <c r="AB15" s="263"/>
      <c r="AC15" s="263"/>
      <c r="AD15" s="263"/>
      <c r="AE15" s="263"/>
      <c r="AF15" s="263"/>
      <c r="AG15" s="263"/>
      <c r="AH15" s="263"/>
      <c r="AI15" s="263"/>
      <c r="AJ15" s="263"/>
      <c r="AK15" s="263"/>
      <c r="AL15" s="263"/>
      <c r="AM15" s="263"/>
      <c r="AN15" s="263"/>
      <c r="AO15" s="263"/>
      <c r="AP15" s="263"/>
      <c r="AQ15" s="263"/>
      <c r="AR15" s="263"/>
      <c r="AS15" s="263"/>
      <c r="AT15" s="263"/>
      <c r="AU15" s="263"/>
      <c r="AV15" s="263"/>
      <c r="AW15" s="263"/>
      <c r="AX15" s="263"/>
      <c r="AY15" s="263"/>
      <c r="AZ15" s="263"/>
      <c r="BA15" s="263"/>
      <c r="BB15" s="263"/>
      <c r="BC15" s="263"/>
      <c r="BD15" s="263"/>
      <c r="BE15" s="263"/>
      <c r="BF15" s="263"/>
      <c r="BG15" s="263"/>
      <c r="BH15" s="263"/>
      <c r="BI15" s="263"/>
      <c r="BJ15" s="263"/>
      <c r="BK15" s="263"/>
      <c r="BL15" s="263"/>
      <c r="BM15" s="263"/>
      <c r="BN15" s="263"/>
      <c r="BO15" s="263"/>
      <c r="BP15" s="263"/>
      <c r="BQ15" s="263"/>
      <c r="BR15" s="263"/>
      <c r="BS15" s="263"/>
      <c r="BT15" s="263"/>
      <c r="BU15" s="263"/>
      <c r="BV15" s="263"/>
      <c r="BW15" s="263"/>
      <c r="BX15" s="263"/>
      <c r="BY15" s="263"/>
      <c r="BZ15" s="263"/>
      <c r="CA15" s="263"/>
      <c r="CB15" s="263"/>
      <c r="CC15" s="263"/>
    </row>
    <row r="16" spans="1:81" s="264" customFormat="1" ht="34.5" customHeight="1" x14ac:dyDescent="0.3">
      <c r="A16" s="253">
        <f>'ETAT  KEKEM'!A19</f>
        <v>44695</v>
      </c>
      <c r="B16" s="254">
        <f>'ETAT  KEKEM'!B19</f>
        <v>0</v>
      </c>
      <c r="C16" s="254">
        <f>'ETAT  KEKEM'!C19</f>
        <v>0</v>
      </c>
      <c r="D16" s="255">
        <f>'ETAT  KEKEM'!D19</f>
        <v>0</v>
      </c>
      <c r="E16" s="256">
        <f t="shared" si="1"/>
        <v>0</v>
      </c>
      <c r="F16" s="257">
        <f t="shared" si="2"/>
        <v>44695</v>
      </c>
      <c r="G16" s="258">
        <f t="shared" si="3"/>
        <v>0</v>
      </c>
      <c r="H16" s="259">
        <v>575</v>
      </c>
      <c r="I16" s="260">
        <f>'ETAT  KEKEM'!Q19</f>
        <v>0</v>
      </c>
      <c r="J16" s="261">
        <f t="shared" si="4"/>
        <v>23320</v>
      </c>
      <c r="K16" s="262"/>
      <c r="L16" s="179">
        <f t="shared" si="5"/>
        <v>44695</v>
      </c>
      <c r="M16" s="265">
        <f>'equation de stock'!G27</f>
        <v>0</v>
      </c>
      <c r="N16" s="265">
        <f>'equation de stock'!H27</f>
        <v>0</v>
      </c>
      <c r="O16" s="265">
        <f>'equation de stock'!I27</f>
        <v>0</v>
      </c>
      <c r="P16" s="110">
        <f t="shared" si="0"/>
        <v>0</v>
      </c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  <c r="AB16" s="263"/>
      <c r="AC16" s="263"/>
      <c r="AD16" s="263"/>
      <c r="AE16" s="263"/>
      <c r="AF16" s="263"/>
      <c r="AG16" s="263"/>
      <c r="AH16" s="263"/>
      <c r="AI16" s="263"/>
      <c r="AJ16" s="263"/>
      <c r="AK16" s="263"/>
      <c r="AL16" s="263"/>
      <c r="AM16" s="263"/>
      <c r="AN16" s="263"/>
      <c r="AO16" s="263"/>
      <c r="AP16" s="263"/>
      <c r="AQ16" s="263"/>
      <c r="AR16" s="263"/>
      <c r="AS16" s="263"/>
      <c r="AT16" s="263"/>
      <c r="AU16" s="263"/>
      <c r="AV16" s="263"/>
      <c r="AW16" s="263"/>
      <c r="AX16" s="263"/>
      <c r="AY16" s="263"/>
      <c r="AZ16" s="263"/>
      <c r="BA16" s="263"/>
      <c r="BB16" s="263"/>
      <c r="BC16" s="263"/>
      <c r="BD16" s="263"/>
      <c r="BE16" s="263"/>
      <c r="BF16" s="263"/>
      <c r="BG16" s="263"/>
      <c r="BH16" s="263"/>
      <c r="BI16" s="263"/>
      <c r="BJ16" s="263"/>
      <c r="BK16" s="263"/>
      <c r="BL16" s="263"/>
      <c r="BM16" s="263"/>
      <c r="BN16" s="263"/>
      <c r="BO16" s="263"/>
      <c r="BP16" s="263"/>
      <c r="BQ16" s="263"/>
      <c r="BR16" s="263"/>
      <c r="BS16" s="263"/>
      <c r="BT16" s="263"/>
      <c r="BU16" s="263"/>
      <c r="BV16" s="263"/>
      <c r="BW16" s="263"/>
      <c r="BX16" s="263"/>
      <c r="BY16" s="263"/>
      <c r="BZ16" s="263"/>
      <c r="CA16" s="263"/>
      <c r="CB16" s="263"/>
      <c r="CC16" s="263"/>
    </row>
    <row r="17" spans="1:81" s="264" customFormat="1" ht="34.5" customHeight="1" x14ac:dyDescent="0.3">
      <c r="A17" s="253">
        <f>'ETAT  KEKEM'!A20</f>
        <v>44696</v>
      </c>
      <c r="B17" s="254">
        <f>'ETAT  KEKEM'!B20</f>
        <v>0</v>
      </c>
      <c r="C17" s="254">
        <f>'ETAT  KEKEM'!C20</f>
        <v>0</v>
      </c>
      <c r="D17" s="255">
        <f>'ETAT  KEKEM'!D20</f>
        <v>0</v>
      </c>
      <c r="E17" s="256">
        <f t="shared" si="1"/>
        <v>0</v>
      </c>
      <c r="F17" s="257">
        <f t="shared" si="2"/>
        <v>44696</v>
      </c>
      <c r="G17" s="258">
        <f t="shared" si="3"/>
        <v>0</v>
      </c>
      <c r="H17" s="259">
        <v>575</v>
      </c>
      <c r="I17" s="260">
        <f>'ETAT  KEKEM'!Q20</f>
        <v>0</v>
      </c>
      <c r="J17" s="261">
        <f t="shared" si="4"/>
        <v>23320</v>
      </c>
      <c r="K17" s="262"/>
      <c r="L17" s="179">
        <f t="shared" si="5"/>
        <v>44696</v>
      </c>
      <c r="M17" s="265">
        <f>'equation de stock'!G28</f>
        <v>0</v>
      </c>
      <c r="N17" s="265">
        <f>'equation de stock'!H28</f>
        <v>0</v>
      </c>
      <c r="O17" s="265">
        <f>'equation de stock'!I28</f>
        <v>0</v>
      </c>
      <c r="P17" s="110">
        <f t="shared" si="0"/>
        <v>0</v>
      </c>
      <c r="Q17" s="263"/>
      <c r="R17" s="263"/>
      <c r="S17" s="263"/>
      <c r="T17" s="263"/>
      <c r="U17" s="263"/>
      <c r="V17" s="263"/>
      <c r="W17" s="263"/>
      <c r="X17" s="263"/>
      <c r="Y17" s="263"/>
      <c r="Z17" s="263"/>
      <c r="AA17" s="263"/>
      <c r="AB17" s="263"/>
      <c r="AC17" s="263"/>
      <c r="AD17" s="263"/>
      <c r="AE17" s="263"/>
      <c r="AF17" s="263"/>
      <c r="AG17" s="263"/>
      <c r="AH17" s="263"/>
      <c r="AI17" s="263"/>
      <c r="AJ17" s="263"/>
      <c r="AK17" s="263"/>
      <c r="AL17" s="263"/>
      <c r="AM17" s="263"/>
      <c r="AN17" s="263"/>
      <c r="AO17" s="263"/>
      <c r="AP17" s="263"/>
      <c r="AQ17" s="263"/>
      <c r="AR17" s="263"/>
      <c r="AS17" s="263"/>
      <c r="AT17" s="263"/>
      <c r="AU17" s="263"/>
      <c r="AV17" s="263"/>
      <c r="AW17" s="263"/>
      <c r="AX17" s="263"/>
      <c r="AY17" s="263"/>
      <c r="AZ17" s="263"/>
      <c r="BA17" s="263"/>
      <c r="BB17" s="263"/>
      <c r="BC17" s="263"/>
      <c r="BD17" s="263"/>
      <c r="BE17" s="263"/>
      <c r="BF17" s="263"/>
      <c r="BG17" s="263"/>
      <c r="BH17" s="263"/>
      <c r="BI17" s="263"/>
      <c r="BJ17" s="263"/>
      <c r="BK17" s="263"/>
      <c r="BL17" s="263"/>
      <c r="BM17" s="263"/>
      <c r="BN17" s="263"/>
      <c r="BO17" s="263"/>
      <c r="BP17" s="263"/>
      <c r="BQ17" s="263"/>
      <c r="BR17" s="263"/>
      <c r="BS17" s="263"/>
      <c r="BT17" s="263"/>
      <c r="BU17" s="263"/>
      <c r="BV17" s="263"/>
      <c r="BW17" s="263"/>
      <c r="BX17" s="263"/>
      <c r="BY17" s="263"/>
      <c r="BZ17" s="263"/>
      <c r="CA17" s="263"/>
      <c r="CB17" s="263"/>
      <c r="CC17" s="263"/>
    </row>
    <row r="18" spans="1:81" s="264" customFormat="1" ht="34.5" customHeight="1" x14ac:dyDescent="0.3">
      <c r="A18" s="253">
        <f>'ETAT  KEKEM'!A21</f>
        <v>44697</v>
      </c>
      <c r="B18" s="254">
        <f>'ETAT  KEKEM'!B21</f>
        <v>0</v>
      </c>
      <c r="C18" s="254">
        <f>'ETAT  KEKEM'!C21</f>
        <v>0</v>
      </c>
      <c r="D18" s="255">
        <f>'ETAT  KEKEM'!D21</f>
        <v>0</v>
      </c>
      <c r="E18" s="256">
        <f t="shared" si="1"/>
        <v>0</v>
      </c>
      <c r="F18" s="257">
        <f t="shared" si="2"/>
        <v>44697</v>
      </c>
      <c r="G18" s="258">
        <f t="shared" si="3"/>
        <v>0</v>
      </c>
      <c r="H18" s="259">
        <v>575</v>
      </c>
      <c r="I18" s="260">
        <f>'ETAT  KEKEM'!Q21</f>
        <v>0</v>
      </c>
      <c r="J18" s="261">
        <f t="shared" si="4"/>
        <v>23320</v>
      </c>
      <c r="K18" s="262"/>
      <c r="L18" s="179">
        <f t="shared" si="5"/>
        <v>44697</v>
      </c>
      <c r="M18" s="265">
        <f>'equation de stock'!G29</f>
        <v>0</v>
      </c>
      <c r="N18" s="265">
        <f>'equation de stock'!H29</f>
        <v>0</v>
      </c>
      <c r="O18" s="265">
        <f>'equation de stock'!I29</f>
        <v>0</v>
      </c>
      <c r="P18" s="110">
        <f t="shared" si="0"/>
        <v>0</v>
      </c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  <c r="AG18" s="263"/>
      <c r="AH18" s="263"/>
      <c r="AI18" s="263"/>
      <c r="AJ18" s="263"/>
      <c r="AK18" s="263"/>
      <c r="AL18" s="263"/>
      <c r="AM18" s="263"/>
      <c r="AN18" s="263"/>
      <c r="AO18" s="263"/>
      <c r="AP18" s="263"/>
      <c r="AQ18" s="263"/>
      <c r="AR18" s="263"/>
      <c r="AS18" s="263"/>
      <c r="AT18" s="263"/>
      <c r="AU18" s="263"/>
      <c r="AV18" s="263"/>
      <c r="AW18" s="263"/>
      <c r="AX18" s="263"/>
      <c r="AY18" s="263"/>
      <c r="AZ18" s="263"/>
      <c r="BA18" s="263"/>
      <c r="BB18" s="263"/>
      <c r="BC18" s="263"/>
      <c r="BD18" s="263"/>
      <c r="BE18" s="263"/>
      <c r="BF18" s="263"/>
      <c r="BG18" s="263"/>
      <c r="BH18" s="263"/>
      <c r="BI18" s="263"/>
      <c r="BJ18" s="263"/>
      <c r="BK18" s="263"/>
      <c r="BL18" s="263"/>
      <c r="BM18" s="263"/>
      <c r="BN18" s="263"/>
      <c r="BO18" s="263"/>
      <c r="BP18" s="263"/>
      <c r="BQ18" s="263"/>
      <c r="BR18" s="263"/>
      <c r="BS18" s="263"/>
      <c r="BT18" s="263"/>
      <c r="BU18" s="263"/>
      <c r="BV18" s="263"/>
      <c r="BW18" s="263"/>
      <c r="BX18" s="263"/>
      <c r="BY18" s="263"/>
      <c r="BZ18" s="263"/>
      <c r="CA18" s="263"/>
      <c r="CB18" s="263"/>
      <c r="CC18" s="263"/>
    </row>
    <row r="19" spans="1:81" s="264" customFormat="1" ht="34.5" customHeight="1" x14ac:dyDescent="0.3">
      <c r="A19" s="253">
        <f>'ETAT  KEKEM'!A22</f>
        <v>44698</v>
      </c>
      <c r="B19" s="254">
        <f>'ETAT  KEKEM'!B22</f>
        <v>0</v>
      </c>
      <c r="C19" s="254">
        <f>'ETAT  KEKEM'!C22</f>
        <v>0</v>
      </c>
      <c r="D19" s="255">
        <f>'ETAT  KEKEM'!D22</f>
        <v>0</v>
      </c>
      <c r="E19" s="256">
        <f t="shared" si="1"/>
        <v>0</v>
      </c>
      <c r="F19" s="257">
        <f t="shared" si="2"/>
        <v>44698</v>
      </c>
      <c r="G19" s="258">
        <f t="shared" si="3"/>
        <v>0</v>
      </c>
      <c r="H19" s="259">
        <v>575</v>
      </c>
      <c r="I19" s="260">
        <f>'ETAT  KEKEM'!Q22</f>
        <v>0</v>
      </c>
      <c r="J19" s="261">
        <f t="shared" si="4"/>
        <v>23320</v>
      </c>
      <c r="K19" s="262"/>
      <c r="L19" s="179">
        <f t="shared" si="5"/>
        <v>44698</v>
      </c>
      <c r="M19" s="265">
        <f>'equation de stock'!G30</f>
        <v>0</v>
      </c>
      <c r="N19" s="265">
        <f>'equation de stock'!H30</f>
        <v>0</v>
      </c>
      <c r="O19" s="265">
        <f>'equation de stock'!I30</f>
        <v>0</v>
      </c>
      <c r="P19" s="110">
        <f t="shared" si="0"/>
        <v>0</v>
      </c>
      <c r="Q19" s="263"/>
      <c r="R19" s="263"/>
      <c r="S19" s="263"/>
      <c r="T19" s="263"/>
      <c r="U19" s="263"/>
      <c r="V19" s="263"/>
      <c r="W19" s="263"/>
      <c r="X19" s="263"/>
      <c r="Y19" s="263"/>
      <c r="Z19" s="263"/>
      <c r="AA19" s="263"/>
      <c r="AB19" s="263"/>
      <c r="AC19" s="263"/>
      <c r="AD19" s="263"/>
      <c r="AE19" s="263"/>
      <c r="AF19" s="263"/>
      <c r="AG19" s="263"/>
      <c r="AH19" s="263"/>
      <c r="AI19" s="263"/>
      <c r="AJ19" s="263"/>
      <c r="AK19" s="263"/>
      <c r="AL19" s="263"/>
      <c r="AM19" s="263"/>
      <c r="AN19" s="263"/>
      <c r="AO19" s="263"/>
      <c r="AP19" s="263"/>
      <c r="AQ19" s="263"/>
      <c r="AR19" s="263"/>
      <c r="AS19" s="263"/>
      <c r="AT19" s="263"/>
      <c r="AU19" s="263"/>
      <c r="AV19" s="263"/>
      <c r="AW19" s="263"/>
      <c r="AX19" s="263"/>
      <c r="AY19" s="263"/>
      <c r="AZ19" s="263"/>
      <c r="BA19" s="263"/>
      <c r="BB19" s="263"/>
      <c r="BC19" s="263"/>
      <c r="BD19" s="263"/>
      <c r="BE19" s="263"/>
      <c r="BF19" s="263"/>
      <c r="BG19" s="263"/>
      <c r="BH19" s="263"/>
      <c r="BI19" s="263"/>
      <c r="BJ19" s="263"/>
      <c r="BK19" s="263"/>
      <c r="BL19" s="263"/>
      <c r="BM19" s="263"/>
      <c r="BN19" s="263"/>
      <c r="BO19" s="263"/>
      <c r="BP19" s="263"/>
      <c r="BQ19" s="263"/>
      <c r="BR19" s="263"/>
      <c r="BS19" s="263"/>
      <c r="BT19" s="263"/>
      <c r="BU19" s="263"/>
      <c r="BV19" s="263"/>
      <c r="BW19" s="263"/>
      <c r="BX19" s="263"/>
      <c r="BY19" s="263"/>
      <c r="BZ19" s="263"/>
      <c r="CA19" s="263"/>
      <c r="CB19" s="263"/>
      <c r="CC19" s="263"/>
    </row>
    <row r="20" spans="1:81" s="264" customFormat="1" ht="30.75" customHeight="1" x14ac:dyDescent="0.3">
      <c r="A20" s="253">
        <f>'ETAT  KEKEM'!A23</f>
        <v>44699</v>
      </c>
      <c r="B20" s="254">
        <f>'ETAT  KEKEM'!B23</f>
        <v>0</v>
      </c>
      <c r="C20" s="254">
        <f>'ETAT  KEKEM'!C23</f>
        <v>0</v>
      </c>
      <c r="D20" s="255">
        <f>'ETAT  KEKEM'!D23</f>
        <v>0</v>
      </c>
      <c r="E20" s="256">
        <f t="shared" si="1"/>
        <v>0</v>
      </c>
      <c r="F20" s="257">
        <f t="shared" si="2"/>
        <v>44699</v>
      </c>
      <c r="G20" s="258">
        <f t="shared" si="3"/>
        <v>0</v>
      </c>
      <c r="H20" s="259">
        <v>575</v>
      </c>
      <c r="I20" s="260">
        <f>'ETAT  KEKEM'!Q23</f>
        <v>0</v>
      </c>
      <c r="J20" s="261">
        <f t="shared" si="4"/>
        <v>23320</v>
      </c>
      <c r="K20" s="262"/>
      <c r="L20" s="179">
        <f t="shared" si="5"/>
        <v>44699</v>
      </c>
      <c r="M20" s="265">
        <f>'equation de stock'!G31</f>
        <v>0</v>
      </c>
      <c r="N20" s="265">
        <f>'equation de stock'!H31</f>
        <v>0</v>
      </c>
      <c r="O20" s="265">
        <f>'equation de stock'!I31</f>
        <v>0</v>
      </c>
      <c r="P20" s="110">
        <f t="shared" si="0"/>
        <v>0</v>
      </c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63"/>
      <c r="AF20" s="263"/>
      <c r="AG20" s="263"/>
      <c r="AH20" s="263"/>
      <c r="AI20" s="263"/>
      <c r="AJ20" s="263"/>
      <c r="AK20" s="263"/>
      <c r="AL20" s="263"/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3"/>
      <c r="AX20" s="263"/>
      <c r="AY20" s="263"/>
      <c r="AZ20" s="263"/>
      <c r="BA20" s="263"/>
      <c r="BB20" s="263"/>
      <c r="BC20" s="263"/>
      <c r="BD20" s="263"/>
      <c r="BE20" s="263"/>
      <c r="BF20" s="263"/>
      <c r="BG20" s="263"/>
      <c r="BH20" s="263"/>
      <c r="BI20" s="263"/>
      <c r="BJ20" s="263"/>
      <c r="BK20" s="263"/>
      <c r="BL20" s="263"/>
      <c r="BM20" s="263"/>
      <c r="BN20" s="263"/>
      <c r="BO20" s="263"/>
      <c r="BP20" s="263"/>
      <c r="BQ20" s="263"/>
      <c r="BR20" s="263"/>
      <c r="BS20" s="263"/>
      <c r="BT20" s="263"/>
      <c r="BU20" s="263"/>
      <c r="BV20" s="263"/>
      <c r="BW20" s="263"/>
      <c r="BX20" s="263"/>
      <c r="BY20" s="263"/>
      <c r="BZ20" s="263"/>
      <c r="CA20" s="263"/>
      <c r="CB20" s="263"/>
      <c r="CC20" s="263"/>
    </row>
    <row r="21" spans="1:81" s="264" customFormat="1" ht="34.5" customHeight="1" x14ac:dyDescent="0.3">
      <c r="A21" s="253">
        <f>'ETAT  KEKEM'!A24</f>
        <v>44700</v>
      </c>
      <c r="B21" s="254">
        <f>'ETAT  KEKEM'!B24</f>
        <v>0</v>
      </c>
      <c r="C21" s="254">
        <f>'ETAT  KEKEM'!C24</f>
        <v>0</v>
      </c>
      <c r="D21" s="255">
        <f>'ETAT  KEKEM'!D24</f>
        <v>0</v>
      </c>
      <c r="E21" s="256">
        <f t="shared" si="1"/>
        <v>0</v>
      </c>
      <c r="F21" s="257">
        <f t="shared" si="2"/>
        <v>44700</v>
      </c>
      <c r="G21" s="258">
        <f t="shared" si="3"/>
        <v>0</v>
      </c>
      <c r="H21" s="259">
        <v>575</v>
      </c>
      <c r="I21" s="260">
        <f>'ETAT  KEKEM'!Q24</f>
        <v>0</v>
      </c>
      <c r="J21" s="261">
        <f t="shared" si="4"/>
        <v>23320</v>
      </c>
      <c r="K21" s="262"/>
      <c r="L21" s="179">
        <f t="shared" si="5"/>
        <v>44700</v>
      </c>
      <c r="M21" s="265">
        <f>'equation de stock'!G32</f>
        <v>0</v>
      </c>
      <c r="N21" s="265">
        <f>'equation de stock'!H32</f>
        <v>0</v>
      </c>
      <c r="O21" s="265">
        <f>'equation de stock'!I32</f>
        <v>0</v>
      </c>
      <c r="P21" s="110">
        <f t="shared" si="0"/>
        <v>0</v>
      </c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  <c r="AD21" s="263"/>
      <c r="AE21" s="263"/>
      <c r="AF21" s="263"/>
      <c r="AG21" s="263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3"/>
      <c r="AU21" s="263"/>
      <c r="AV21" s="263"/>
      <c r="AW21" s="263"/>
      <c r="AX21" s="263"/>
      <c r="AY21" s="263"/>
      <c r="AZ21" s="263"/>
      <c r="BA21" s="263"/>
      <c r="BB21" s="263"/>
      <c r="BC21" s="263"/>
      <c r="BD21" s="263"/>
      <c r="BE21" s="263"/>
      <c r="BF21" s="263"/>
      <c r="BG21" s="263"/>
      <c r="BH21" s="263"/>
      <c r="BI21" s="263"/>
      <c r="BJ21" s="263"/>
      <c r="BK21" s="263"/>
      <c r="BL21" s="263"/>
      <c r="BM21" s="263"/>
      <c r="BN21" s="263"/>
      <c r="BO21" s="263"/>
      <c r="BP21" s="263"/>
      <c r="BQ21" s="263"/>
      <c r="BR21" s="263"/>
      <c r="BS21" s="263"/>
      <c r="BT21" s="263"/>
      <c r="BU21" s="263"/>
      <c r="BV21" s="263"/>
      <c r="BW21" s="263"/>
      <c r="BX21" s="263"/>
      <c r="BY21" s="263"/>
      <c r="BZ21" s="263"/>
      <c r="CA21" s="263"/>
      <c r="CB21" s="263"/>
      <c r="CC21" s="263"/>
    </row>
    <row r="22" spans="1:81" s="264" customFormat="1" ht="27" customHeight="1" x14ac:dyDescent="0.3">
      <c r="A22" s="253">
        <f>'ETAT  KEKEM'!A25</f>
        <v>44701</v>
      </c>
      <c r="B22" s="254">
        <f>'ETAT  KEKEM'!B25</f>
        <v>0</v>
      </c>
      <c r="C22" s="254">
        <f>'ETAT  KEKEM'!C25</f>
        <v>0</v>
      </c>
      <c r="D22" s="255">
        <f>'ETAT  KEKEM'!D25</f>
        <v>0</v>
      </c>
      <c r="E22" s="256">
        <f t="shared" si="1"/>
        <v>0</v>
      </c>
      <c r="F22" s="257">
        <f t="shared" si="2"/>
        <v>44701</v>
      </c>
      <c r="G22" s="258">
        <f t="shared" si="3"/>
        <v>0</v>
      </c>
      <c r="H22" s="259">
        <v>575</v>
      </c>
      <c r="I22" s="260">
        <f>'ETAT  KEKEM'!Q25</f>
        <v>0</v>
      </c>
      <c r="J22" s="261">
        <f t="shared" si="4"/>
        <v>23320</v>
      </c>
      <c r="K22" s="262"/>
      <c r="L22" s="179">
        <f t="shared" si="5"/>
        <v>44701</v>
      </c>
      <c r="M22" s="265">
        <f>'equation de stock'!G33</f>
        <v>0</v>
      </c>
      <c r="N22" s="265">
        <f>'equation de stock'!H33</f>
        <v>0</v>
      </c>
      <c r="O22" s="265">
        <f>'equation de stock'!I33</f>
        <v>0</v>
      </c>
      <c r="P22" s="110">
        <f t="shared" si="0"/>
        <v>0</v>
      </c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63"/>
      <c r="AN22" s="263"/>
      <c r="AO22" s="263"/>
      <c r="AP22" s="263"/>
      <c r="AQ22" s="263"/>
      <c r="AR22" s="263"/>
      <c r="AS22" s="263"/>
      <c r="AT22" s="263"/>
      <c r="AU22" s="263"/>
      <c r="AV22" s="263"/>
      <c r="AW22" s="263"/>
      <c r="AX22" s="263"/>
      <c r="AY22" s="263"/>
      <c r="AZ22" s="263"/>
      <c r="BA22" s="263"/>
      <c r="BB22" s="263"/>
      <c r="BC22" s="263"/>
      <c r="BD22" s="263"/>
      <c r="BE22" s="263"/>
      <c r="BF22" s="263"/>
      <c r="BG22" s="263"/>
      <c r="BH22" s="263"/>
      <c r="BI22" s="263"/>
      <c r="BJ22" s="263"/>
      <c r="BK22" s="263"/>
      <c r="BL22" s="263"/>
      <c r="BM22" s="263"/>
      <c r="BN22" s="263"/>
      <c r="BO22" s="263"/>
      <c r="BP22" s="263"/>
      <c r="BQ22" s="263"/>
      <c r="BR22" s="263"/>
      <c r="BS22" s="263"/>
      <c r="BT22" s="263"/>
      <c r="BU22" s="263"/>
      <c r="BV22" s="263"/>
      <c r="BW22" s="263"/>
      <c r="BX22" s="263"/>
      <c r="BY22" s="263"/>
      <c r="BZ22" s="263"/>
      <c r="CA22" s="263"/>
      <c r="CB22" s="263"/>
      <c r="CC22" s="263"/>
    </row>
    <row r="23" spans="1:81" s="264" customFormat="1" ht="34.5" customHeight="1" x14ac:dyDescent="0.3">
      <c r="A23" s="253">
        <f>'ETAT  KEKEM'!A26</f>
        <v>44702</v>
      </c>
      <c r="B23" s="254">
        <f>'ETAT  KEKEM'!B26</f>
        <v>0</v>
      </c>
      <c r="C23" s="254">
        <f>'ETAT  KEKEM'!C26</f>
        <v>0</v>
      </c>
      <c r="D23" s="255">
        <f>'ETAT  KEKEM'!D26</f>
        <v>0</v>
      </c>
      <c r="E23" s="256">
        <f t="shared" si="1"/>
        <v>0</v>
      </c>
      <c r="F23" s="257">
        <f t="shared" si="2"/>
        <v>44702</v>
      </c>
      <c r="G23" s="258">
        <f t="shared" si="3"/>
        <v>0</v>
      </c>
      <c r="H23" s="259">
        <v>575</v>
      </c>
      <c r="I23" s="260">
        <f>'ETAT  KEKEM'!Q26</f>
        <v>0</v>
      </c>
      <c r="J23" s="261">
        <f t="shared" si="4"/>
        <v>23320</v>
      </c>
      <c r="K23" s="262"/>
      <c r="L23" s="179">
        <f t="shared" si="5"/>
        <v>44702</v>
      </c>
      <c r="M23" s="266">
        <f>'equation de stock'!G34</f>
        <v>0</v>
      </c>
      <c r="N23" s="266">
        <f>'equation de stock'!H34</f>
        <v>0</v>
      </c>
      <c r="O23" s="266">
        <f>'equation de stock'!I34</f>
        <v>0</v>
      </c>
      <c r="P23" s="110">
        <f t="shared" si="0"/>
        <v>0</v>
      </c>
      <c r="Q23" s="263"/>
      <c r="R23" s="263"/>
      <c r="S23" s="263"/>
      <c r="T23" s="263"/>
      <c r="U23" s="263"/>
      <c r="V23" s="263"/>
      <c r="W23" s="263"/>
      <c r="X23" s="263"/>
      <c r="Y23" s="263"/>
      <c r="Z23" s="263"/>
      <c r="AA23" s="263"/>
      <c r="AB23" s="263"/>
      <c r="AC23" s="263"/>
      <c r="AD23" s="263"/>
      <c r="AE23" s="263"/>
      <c r="AF23" s="263"/>
      <c r="AG23" s="263"/>
      <c r="AH23" s="263"/>
      <c r="AI23" s="263"/>
      <c r="AJ23" s="263"/>
      <c r="AK23" s="263"/>
      <c r="AL23" s="263"/>
      <c r="AM23" s="263"/>
      <c r="AN23" s="263"/>
      <c r="AO23" s="263"/>
      <c r="AP23" s="263"/>
      <c r="AQ23" s="263"/>
      <c r="AR23" s="263"/>
      <c r="AS23" s="263"/>
      <c r="AT23" s="263"/>
      <c r="AU23" s="263"/>
      <c r="AV23" s="263"/>
      <c r="AW23" s="263"/>
      <c r="AX23" s="263"/>
      <c r="AY23" s="263"/>
      <c r="AZ23" s="263"/>
      <c r="BA23" s="263"/>
      <c r="BB23" s="263"/>
      <c r="BC23" s="263"/>
      <c r="BD23" s="263"/>
      <c r="BE23" s="263"/>
      <c r="BF23" s="263"/>
      <c r="BG23" s="263"/>
      <c r="BH23" s="263"/>
      <c r="BI23" s="263"/>
      <c r="BJ23" s="263"/>
      <c r="BK23" s="263"/>
      <c r="BL23" s="263"/>
      <c r="BM23" s="263"/>
      <c r="BN23" s="263"/>
      <c r="BO23" s="263"/>
      <c r="BP23" s="263"/>
      <c r="BQ23" s="263"/>
      <c r="BR23" s="263"/>
      <c r="BS23" s="263"/>
      <c r="BT23" s="263"/>
      <c r="BU23" s="263"/>
      <c r="BV23" s="263"/>
      <c r="BW23" s="263"/>
      <c r="BX23" s="263"/>
      <c r="BY23" s="263"/>
      <c r="BZ23" s="263"/>
      <c r="CA23" s="263"/>
      <c r="CB23" s="263"/>
      <c r="CC23" s="263"/>
    </row>
    <row r="24" spans="1:81" s="264" customFormat="1" ht="29.25" customHeight="1" x14ac:dyDescent="0.3">
      <c r="A24" s="253">
        <f>'ETAT  KEKEM'!A27</f>
        <v>44703</v>
      </c>
      <c r="B24" s="254">
        <f>'ETAT  KEKEM'!B27</f>
        <v>0</v>
      </c>
      <c r="C24" s="254">
        <f>'ETAT  KEKEM'!C27</f>
        <v>0</v>
      </c>
      <c r="D24" s="255">
        <f>'ETAT  KEKEM'!D27</f>
        <v>0</v>
      </c>
      <c r="E24" s="256">
        <f t="shared" si="1"/>
        <v>0</v>
      </c>
      <c r="F24" s="257">
        <f t="shared" si="2"/>
        <v>44703</v>
      </c>
      <c r="G24" s="258">
        <f t="shared" si="3"/>
        <v>0</v>
      </c>
      <c r="H24" s="259">
        <v>575</v>
      </c>
      <c r="I24" s="260">
        <f>'ETAT  KEKEM'!Q27</f>
        <v>0</v>
      </c>
      <c r="J24" s="261">
        <f t="shared" si="4"/>
        <v>23320</v>
      </c>
      <c r="K24" s="262"/>
      <c r="L24" s="179">
        <f t="shared" si="5"/>
        <v>44703</v>
      </c>
      <c r="M24" s="266">
        <f>'equation de stock'!G35</f>
        <v>0</v>
      </c>
      <c r="N24" s="266">
        <f>'equation de stock'!H35</f>
        <v>0</v>
      </c>
      <c r="O24" s="266">
        <f>'equation de stock'!I35</f>
        <v>0</v>
      </c>
      <c r="P24" s="110">
        <f t="shared" si="0"/>
        <v>0</v>
      </c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  <c r="AB24" s="263"/>
      <c r="AC24" s="263"/>
      <c r="AD24" s="263"/>
      <c r="AE24" s="263"/>
      <c r="AF24" s="263"/>
      <c r="AG24" s="263"/>
      <c r="AH24" s="263"/>
      <c r="AI24" s="263"/>
      <c r="AJ24" s="263"/>
      <c r="AK24" s="263"/>
      <c r="AL24" s="263"/>
      <c r="AM24" s="263"/>
      <c r="AN24" s="263"/>
      <c r="AO24" s="263"/>
      <c r="AP24" s="263"/>
      <c r="AQ24" s="263"/>
      <c r="AR24" s="263"/>
      <c r="AS24" s="263"/>
      <c r="AT24" s="263"/>
      <c r="AU24" s="263"/>
      <c r="AV24" s="263"/>
      <c r="AW24" s="263"/>
      <c r="AX24" s="263"/>
      <c r="AY24" s="263"/>
      <c r="AZ24" s="263"/>
      <c r="BA24" s="263"/>
      <c r="BB24" s="263"/>
      <c r="BC24" s="263"/>
      <c r="BD24" s="263"/>
      <c r="BE24" s="263"/>
      <c r="BF24" s="263"/>
      <c r="BG24" s="263"/>
      <c r="BH24" s="263"/>
      <c r="BI24" s="263"/>
      <c r="BJ24" s="263"/>
      <c r="BK24" s="263"/>
      <c r="BL24" s="263"/>
      <c r="BM24" s="263"/>
      <c r="BN24" s="263"/>
      <c r="BO24" s="263"/>
      <c r="BP24" s="263"/>
      <c r="BQ24" s="263"/>
      <c r="BR24" s="263"/>
      <c r="BS24" s="263"/>
      <c r="BT24" s="263"/>
      <c r="BU24" s="263"/>
      <c r="BV24" s="263"/>
      <c r="BW24" s="263"/>
      <c r="BX24" s="263"/>
      <c r="BY24" s="263"/>
      <c r="BZ24" s="263"/>
      <c r="CA24" s="263"/>
      <c r="CB24" s="263"/>
      <c r="CC24" s="263"/>
    </row>
    <row r="25" spans="1:81" s="264" customFormat="1" ht="34.5" customHeight="1" x14ac:dyDescent="0.3">
      <c r="A25" s="253">
        <f>'ETAT  KEKEM'!A28</f>
        <v>44704</v>
      </c>
      <c r="B25" s="254">
        <f>'ETAT  KEKEM'!B28</f>
        <v>0</v>
      </c>
      <c r="C25" s="254">
        <f>'ETAT  KEKEM'!C28</f>
        <v>0</v>
      </c>
      <c r="D25" s="255">
        <f>'ETAT  KEKEM'!D28</f>
        <v>0</v>
      </c>
      <c r="E25" s="256">
        <f t="shared" si="1"/>
        <v>0</v>
      </c>
      <c r="F25" s="257">
        <f t="shared" si="2"/>
        <v>44704</v>
      </c>
      <c r="G25" s="258">
        <f t="shared" si="3"/>
        <v>0</v>
      </c>
      <c r="H25" s="259">
        <v>575</v>
      </c>
      <c r="I25" s="260">
        <f>'ETAT  KEKEM'!Q28</f>
        <v>0</v>
      </c>
      <c r="J25" s="261">
        <f t="shared" si="4"/>
        <v>23320</v>
      </c>
      <c r="K25" s="262"/>
      <c r="L25" s="179">
        <f t="shared" si="5"/>
        <v>44704</v>
      </c>
      <c r="M25" s="266">
        <f>'equation de stock'!G36</f>
        <v>0</v>
      </c>
      <c r="N25" s="266">
        <f>'equation de stock'!H36</f>
        <v>0</v>
      </c>
      <c r="O25" s="266">
        <f>'equation de stock'!I36</f>
        <v>0</v>
      </c>
      <c r="P25" s="110">
        <f>+M25*630+N25*575+O25*350</f>
        <v>0</v>
      </c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63"/>
      <c r="AD25" s="263"/>
      <c r="AE25" s="263"/>
      <c r="AF25" s="263"/>
      <c r="AG25" s="263"/>
      <c r="AH25" s="263"/>
      <c r="AI25" s="263"/>
      <c r="AJ25" s="263"/>
      <c r="AK25" s="263"/>
      <c r="AL25" s="263"/>
      <c r="AM25" s="263"/>
      <c r="AN25" s="263"/>
      <c r="AO25" s="263"/>
      <c r="AP25" s="263"/>
      <c r="AQ25" s="263"/>
      <c r="AR25" s="263"/>
      <c r="AS25" s="263"/>
      <c r="AT25" s="263"/>
      <c r="AU25" s="263"/>
      <c r="AV25" s="263"/>
      <c r="AW25" s="263"/>
      <c r="AX25" s="263"/>
      <c r="AY25" s="263"/>
      <c r="AZ25" s="263"/>
      <c r="BA25" s="263"/>
      <c r="BB25" s="263"/>
      <c r="BC25" s="263"/>
      <c r="BD25" s="263"/>
      <c r="BE25" s="263"/>
      <c r="BF25" s="263"/>
      <c r="BG25" s="263"/>
      <c r="BH25" s="263"/>
      <c r="BI25" s="263"/>
      <c r="BJ25" s="263"/>
      <c r="BK25" s="263"/>
      <c r="BL25" s="263"/>
      <c r="BM25" s="263"/>
      <c r="BN25" s="263"/>
      <c r="BO25" s="263"/>
      <c r="BP25" s="263"/>
      <c r="BQ25" s="263"/>
      <c r="BR25" s="263"/>
      <c r="BS25" s="263"/>
      <c r="BT25" s="263"/>
      <c r="BU25" s="263"/>
      <c r="BV25" s="263"/>
      <c r="BW25" s="263"/>
      <c r="BX25" s="263"/>
      <c r="BY25" s="263"/>
      <c r="BZ25" s="263"/>
      <c r="CA25" s="263"/>
      <c r="CB25" s="263"/>
      <c r="CC25" s="263"/>
    </row>
    <row r="26" spans="1:81" s="264" customFormat="1" ht="30" customHeight="1" x14ac:dyDescent="0.3">
      <c r="A26" s="253">
        <f>'ETAT  KEKEM'!A29</f>
        <v>44705</v>
      </c>
      <c r="B26" s="254">
        <f>'ETAT  KEKEM'!B29</f>
        <v>0</v>
      </c>
      <c r="C26" s="254">
        <f>'ETAT  KEKEM'!C29</f>
        <v>0</v>
      </c>
      <c r="D26" s="255">
        <f>'ETAT  KEKEM'!D29</f>
        <v>0</v>
      </c>
      <c r="E26" s="256">
        <f t="shared" si="1"/>
        <v>0</v>
      </c>
      <c r="F26" s="257">
        <f t="shared" si="2"/>
        <v>44705</v>
      </c>
      <c r="G26" s="258">
        <f t="shared" si="3"/>
        <v>0</v>
      </c>
      <c r="H26" s="259">
        <v>575</v>
      </c>
      <c r="I26" s="260">
        <f>'ETAT  KEKEM'!Q29</f>
        <v>0</v>
      </c>
      <c r="J26" s="261">
        <f t="shared" si="4"/>
        <v>23320</v>
      </c>
      <c r="K26" s="262"/>
      <c r="L26" s="179">
        <f t="shared" si="5"/>
        <v>44705</v>
      </c>
      <c r="M26" s="266">
        <f>'equation de stock'!G37</f>
        <v>0</v>
      </c>
      <c r="N26" s="266">
        <f>'equation de stock'!H37</f>
        <v>0</v>
      </c>
      <c r="O26" s="266">
        <f>'equation de stock'!I37</f>
        <v>0</v>
      </c>
      <c r="P26" s="110">
        <f t="shared" ref="P26:P33" si="6">+M26*630+N26*575+O26*350</f>
        <v>0</v>
      </c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63"/>
      <c r="AD26" s="263"/>
      <c r="AE26" s="263"/>
      <c r="AF26" s="263"/>
      <c r="AG26" s="263"/>
      <c r="AH26" s="263"/>
      <c r="AI26" s="263"/>
      <c r="AJ26" s="263"/>
      <c r="AK26" s="263"/>
      <c r="AL26" s="263"/>
      <c r="AM26" s="263"/>
      <c r="AN26" s="263"/>
      <c r="AO26" s="263"/>
      <c r="AP26" s="263"/>
      <c r="AQ26" s="263"/>
      <c r="AR26" s="263"/>
      <c r="AS26" s="263"/>
      <c r="AT26" s="263"/>
      <c r="AU26" s="263"/>
      <c r="AV26" s="263"/>
      <c r="AW26" s="263"/>
      <c r="AX26" s="263"/>
      <c r="AY26" s="263"/>
      <c r="AZ26" s="263"/>
      <c r="BA26" s="263"/>
      <c r="BB26" s="263"/>
      <c r="BC26" s="263"/>
      <c r="BD26" s="263"/>
      <c r="BE26" s="263"/>
      <c r="BF26" s="263"/>
      <c r="BG26" s="263"/>
      <c r="BH26" s="263"/>
      <c r="BI26" s="263"/>
      <c r="BJ26" s="263"/>
      <c r="BK26" s="263"/>
      <c r="BL26" s="263"/>
      <c r="BM26" s="263"/>
      <c r="BN26" s="263"/>
      <c r="BO26" s="263"/>
      <c r="BP26" s="263"/>
      <c r="BQ26" s="263"/>
      <c r="BR26" s="263"/>
      <c r="BS26" s="263"/>
      <c r="BT26" s="263"/>
      <c r="BU26" s="263"/>
      <c r="BV26" s="263"/>
      <c r="BW26" s="263"/>
      <c r="BX26" s="263"/>
      <c r="BY26" s="263"/>
      <c r="BZ26" s="263"/>
      <c r="CA26" s="263"/>
      <c r="CB26" s="263"/>
      <c r="CC26" s="263"/>
    </row>
    <row r="27" spans="1:81" s="264" customFormat="1" ht="34.5" customHeight="1" x14ac:dyDescent="0.3">
      <c r="A27" s="253">
        <f>'ETAT  KEKEM'!A30</f>
        <v>44706</v>
      </c>
      <c r="B27" s="254">
        <f>'ETAT  KEKEM'!B30</f>
        <v>0</v>
      </c>
      <c r="C27" s="254">
        <f>'ETAT  KEKEM'!C30</f>
        <v>0</v>
      </c>
      <c r="D27" s="255">
        <f>'ETAT  KEKEM'!D30</f>
        <v>0</v>
      </c>
      <c r="E27" s="256">
        <f t="shared" si="1"/>
        <v>0</v>
      </c>
      <c r="F27" s="257">
        <f t="shared" si="2"/>
        <v>44706</v>
      </c>
      <c r="G27" s="258">
        <f t="shared" si="3"/>
        <v>0</v>
      </c>
      <c r="H27" s="259">
        <v>575</v>
      </c>
      <c r="I27" s="260">
        <f>'ETAT  KEKEM'!Q30</f>
        <v>0</v>
      </c>
      <c r="J27" s="261">
        <f t="shared" si="4"/>
        <v>23320</v>
      </c>
      <c r="K27" s="262"/>
      <c r="L27" s="179">
        <f t="shared" si="5"/>
        <v>44706</v>
      </c>
      <c r="M27" s="266">
        <f>'equation de stock'!G38</f>
        <v>0</v>
      </c>
      <c r="N27" s="266">
        <f>'equation de stock'!H38</f>
        <v>0</v>
      </c>
      <c r="O27" s="266">
        <f>'equation de stock'!I38</f>
        <v>0</v>
      </c>
      <c r="P27" s="110">
        <f t="shared" si="6"/>
        <v>0</v>
      </c>
      <c r="Q27" s="263"/>
      <c r="R27" s="263"/>
      <c r="S27" s="263"/>
      <c r="T27" s="263"/>
      <c r="U27" s="263"/>
      <c r="V27" s="263"/>
      <c r="W27" s="263"/>
      <c r="X27" s="263"/>
      <c r="Y27" s="263"/>
      <c r="Z27" s="263"/>
      <c r="AA27" s="263"/>
      <c r="AB27" s="263"/>
      <c r="AC27" s="263"/>
      <c r="AD27" s="263"/>
      <c r="AE27" s="263"/>
      <c r="AF27" s="263"/>
      <c r="AG27" s="263"/>
      <c r="AH27" s="263"/>
      <c r="AI27" s="263"/>
      <c r="AJ27" s="263"/>
      <c r="AK27" s="263"/>
      <c r="AL27" s="263"/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3"/>
      <c r="AX27" s="263"/>
      <c r="AY27" s="263"/>
      <c r="AZ27" s="263"/>
      <c r="BA27" s="263"/>
      <c r="BB27" s="263"/>
      <c r="BC27" s="263"/>
      <c r="BD27" s="263"/>
      <c r="BE27" s="263"/>
      <c r="BF27" s="263"/>
      <c r="BG27" s="263"/>
      <c r="BH27" s="263"/>
      <c r="BI27" s="263"/>
      <c r="BJ27" s="263"/>
      <c r="BK27" s="263"/>
      <c r="BL27" s="263"/>
      <c r="BM27" s="263"/>
      <c r="BN27" s="263"/>
      <c r="BO27" s="263"/>
      <c r="BP27" s="263"/>
      <c r="BQ27" s="263"/>
      <c r="BR27" s="263"/>
      <c r="BS27" s="263"/>
      <c r="BT27" s="263"/>
      <c r="BU27" s="263"/>
      <c r="BV27" s="263"/>
      <c r="BW27" s="263"/>
      <c r="BX27" s="263"/>
      <c r="BY27" s="263"/>
      <c r="BZ27" s="263"/>
      <c r="CA27" s="263"/>
      <c r="CB27" s="263"/>
      <c r="CC27" s="263"/>
    </row>
    <row r="28" spans="1:81" s="264" customFormat="1" ht="31.5" customHeight="1" x14ac:dyDescent="0.3">
      <c r="A28" s="253">
        <f>'ETAT  KEKEM'!A31</f>
        <v>44707</v>
      </c>
      <c r="B28" s="254">
        <f>'ETAT  KEKEM'!B31</f>
        <v>0</v>
      </c>
      <c r="C28" s="254">
        <f>'ETAT  KEKEM'!C31</f>
        <v>0</v>
      </c>
      <c r="D28" s="255">
        <f>'ETAT  KEKEM'!D31</f>
        <v>0</v>
      </c>
      <c r="E28" s="256">
        <f t="shared" si="1"/>
        <v>0</v>
      </c>
      <c r="F28" s="257">
        <f t="shared" si="2"/>
        <v>44707</v>
      </c>
      <c r="G28" s="258">
        <f t="shared" si="3"/>
        <v>0</v>
      </c>
      <c r="H28" s="259">
        <v>575</v>
      </c>
      <c r="I28" s="260">
        <f>'ETAT  KEKEM'!Q31</f>
        <v>0</v>
      </c>
      <c r="J28" s="261">
        <f t="shared" si="4"/>
        <v>23320</v>
      </c>
      <c r="K28" s="262"/>
      <c r="L28" s="179">
        <f t="shared" si="5"/>
        <v>44707</v>
      </c>
      <c r="M28" s="266">
        <f>'equation de stock'!G39</f>
        <v>0</v>
      </c>
      <c r="N28" s="266">
        <f>'equation de stock'!H39</f>
        <v>0</v>
      </c>
      <c r="O28" s="266">
        <f>'equation de stock'!I39</f>
        <v>0</v>
      </c>
      <c r="P28" s="110">
        <f t="shared" si="6"/>
        <v>0</v>
      </c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  <c r="BJ28" s="263"/>
      <c r="BK28" s="263"/>
      <c r="BL28" s="263"/>
      <c r="BM28" s="263"/>
      <c r="BN28" s="263"/>
      <c r="BO28" s="263"/>
      <c r="BP28" s="263"/>
      <c r="BQ28" s="263"/>
      <c r="BR28" s="263"/>
      <c r="BS28" s="263"/>
      <c r="BT28" s="263"/>
      <c r="BU28" s="263"/>
      <c r="BV28" s="263"/>
      <c r="BW28" s="263"/>
      <c r="BX28" s="263"/>
      <c r="BY28" s="263"/>
      <c r="BZ28" s="263"/>
      <c r="CA28" s="263"/>
      <c r="CB28" s="263"/>
      <c r="CC28" s="263"/>
    </row>
    <row r="29" spans="1:81" s="264" customFormat="1" ht="34.5" customHeight="1" x14ac:dyDescent="0.3">
      <c r="A29" s="253">
        <f>'ETAT  KEKEM'!A32</f>
        <v>44708</v>
      </c>
      <c r="B29" s="254">
        <f>'ETAT  KEKEM'!B32</f>
        <v>0</v>
      </c>
      <c r="C29" s="254">
        <f>'ETAT  KEKEM'!C32</f>
        <v>0</v>
      </c>
      <c r="D29" s="255">
        <f>'ETAT  KEKEM'!D32</f>
        <v>0</v>
      </c>
      <c r="E29" s="256">
        <f t="shared" si="1"/>
        <v>0</v>
      </c>
      <c r="F29" s="257">
        <f t="shared" si="2"/>
        <v>44708</v>
      </c>
      <c r="G29" s="258">
        <f t="shared" si="3"/>
        <v>0</v>
      </c>
      <c r="H29" s="259">
        <v>575</v>
      </c>
      <c r="I29" s="260">
        <f>'ETAT  KEKEM'!Q32</f>
        <v>0</v>
      </c>
      <c r="J29" s="261">
        <f t="shared" si="4"/>
        <v>23320</v>
      </c>
      <c r="K29" s="262"/>
      <c r="L29" s="179">
        <f t="shared" si="5"/>
        <v>44708</v>
      </c>
      <c r="M29" s="266">
        <f>'equation de stock'!G40</f>
        <v>0</v>
      </c>
      <c r="N29" s="266">
        <f>'equation de stock'!H40</f>
        <v>0</v>
      </c>
      <c r="O29" s="266">
        <f>'equation de stock'!I40</f>
        <v>0</v>
      </c>
      <c r="P29" s="110">
        <f t="shared" si="6"/>
        <v>0</v>
      </c>
      <c r="Q29" s="263"/>
      <c r="R29" s="263"/>
      <c r="S29" s="263"/>
      <c r="T29" s="263"/>
      <c r="U29" s="263"/>
      <c r="V29" s="263"/>
      <c r="W29" s="263"/>
      <c r="X29" s="263"/>
      <c r="Y29" s="263"/>
      <c r="Z29" s="263"/>
      <c r="AA29" s="263"/>
      <c r="AB29" s="263"/>
      <c r="AC29" s="263"/>
      <c r="AD29" s="263"/>
      <c r="AE29" s="263"/>
      <c r="AF29" s="263"/>
      <c r="AG29" s="263"/>
      <c r="AH29" s="263"/>
      <c r="AI29" s="263"/>
      <c r="AJ29" s="263"/>
      <c r="AK29" s="263"/>
      <c r="AL29" s="263"/>
      <c r="AM29" s="263"/>
      <c r="AN29" s="263"/>
      <c r="AO29" s="263"/>
      <c r="AP29" s="263"/>
      <c r="AQ29" s="263"/>
      <c r="AR29" s="263"/>
      <c r="AS29" s="263"/>
      <c r="AT29" s="263"/>
      <c r="AU29" s="263"/>
      <c r="AV29" s="263"/>
      <c r="AW29" s="263"/>
      <c r="AX29" s="263"/>
      <c r="AY29" s="263"/>
      <c r="AZ29" s="263"/>
      <c r="BA29" s="263"/>
      <c r="BB29" s="263"/>
      <c r="BC29" s="263"/>
      <c r="BD29" s="263"/>
      <c r="BE29" s="263"/>
      <c r="BF29" s="263"/>
      <c r="BG29" s="263"/>
      <c r="BH29" s="263"/>
      <c r="BI29" s="263"/>
      <c r="BJ29" s="263"/>
      <c r="BK29" s="263"/>
      <c r="BL29" s="263"/>
      <c r="BM29" s="263"/>
      <c r="BN29" s="263"/>
      <c r="BO29" s="263"/>
      <c r="BP29" s="263"/>
      <c r="BQ29" s="263"/>
      <c r="BR29" s="263"/>
      <c r="BS29" s="263"/>
      <c r="BT29" s="263"/>
      <c r="BU29" s="263"/>
      <c r="BV29" s="263"/>
      <c r="BW29" s="263"/>
      <c r="BX29" s="263"/>
      <c r="BY29" s="263"/>
      <c r="BZ29" s="263"/>
      <c r="CA29" s="263"/>
      <c r="CB29" s="263"/>
      <c r="CC29" s="263"/>
    </row>
    <row r="30" spans="1:81" s="264" customFormat="1" ht="30" customHeight="1" x14ac:dyDescent="0.3">
      <c r="A30" s="253">
        <f>'ETAT  KEKEM'!A33</f>
        <v>44709</v>
      </c>
      <c r="B30" s="254">
        <f>'ETAT  KEKEM'!B33</f>
        <v>0</v>
      </c>
      <c r="C30" s="254">
        <f>'ETAT  KEKEM'!C33</f>
        <v>0</v>
      </c>
      <c r="D30" s="255">
        <f>'ETAT  KEKEM'!D33</f>
        <v>0</v>
      </c>
      <c r="E30" s="256">
        <f t="shared" si="1"/>
        <v>0</v>
      </c>
      <c r="F30" s="257">
        <f t="shared" si="2"/>
        <v>44709</v>
      </c>
      <c r="G30" s="258">
        <f t="shared" si="3"/>
        <v>0</v>
      </c>
      <c r="H30" s="259">
        <v>575</v>
      </c>
      <c r="I30" s="260">
        <f>'ETAT  KEKEM'!Q33</f>
        <v>0</v>
      </c>
      <c r="J30" s="261">
        <f t="shared" si="4"/>
        <v>23320</v>
      </c>
      <c r="K30" s="262"/>
      <c r="L30" s="179">
        <f t="shared" si="5"/>
        <v>44709</v>
      </c>
      <c r="M30" s="266">
        <f>'equation de stock'!G41</f>
        <v>0</v>
      </c>
      <c r="N30" s="266">
        <f>'equation de stock'!H41</f>
        <v>0</v>
      </c>
      <c r="O30" s="266">
        <f>'equation de stock'!I41</f>
        <v>0</v>
      </c>
      <c r="P30" s="110">
        <f t="shared" si="6"/>
        <v>0</v>
      </c>
      <c r="Q30" s="263"/>
      <c r="R30" s="263"/>
      <c r="S30" s="263"/>
      <c r="T30" s="263"/>
      <c r="U30" s="263"/>
      <c r="V30" s="263"/>
      <c r="W30" s="263"/>
      <c r="X30" s="263"/>
      <c r="Y30" s="263"/>
      <c r="Z30" s="263"/>
      <c r="AA30" s="263"/>
      <c r="AB30" s="263"/>
      <c r="AC30" s="263"/>
      <c r="AD30" s="263"/>
      <c r="AE30" s="263"/>
      <c r="AF30" s="263"/>
      <c r="AG30" s="263"/>
      <c r="AH30" s="263"/>
      <c r="AI30" s="263"/>
      <c r="AJ30" s="263"/>
      <c r="AK30" s="263"/>
      <c r="AL30" s="263"/>
      <c r="AM30" s="263"/>
      <c r="AN30" s="263"/>
      <c r="AO30" s="263"/>
      <c r="AP30" s="263"/>
      <c r="AQ30" s="263"/>
      <c r="AR30" s="263"/>
      <c r="AS30" s="263"/>
      <c r="AT30" s="263"/>
      <c r="AU30" s="263"/>
      <c r="AV30" s="263"/>
      <c r="AW30" s="263"/>
      <c r="AX30" s="263"/>
      <c r="AY30" s="263"/>
      <c r="AZ30" s="263"/>
      <c r="BA30" s="263"/>
      <c r="BB30" s="263"/>
      <c r="BC30" s="263"/>
      <c r="BD30" s="263"/>
      <c r="BE30" s="263"/>
      <c r="BF30" s="263"/>
      <c r="BG30" s="263"/>
      <c r="BH30" s="263"/>
      <c r="BI30" s="263"/>
      <c r="BJ30" s="263"/>
      <c r="BK30" s="263"/>
      <c r="BL30" s="263"/>
      <c r="BM30" s="263"/>
      <c r="BN30" s="263"/>
      <c r="BO30" s="263"/>
      <c r="BP30" s="263"/>
      <c r="BQ30" s="263"/>
      <c r="BR30" s="263"/>
      <c r="BS30" s="263"/>
      <c r="BT30" s="263"/>
      <c r="BU30" s="263"/>
      <c r="BV30" s="263"/>
      <c r="BW30" s="263"/>
      <c r="BX30" s="263"/>
      <c r="BY30" s="263"/>
      <c r="BZ30" s="263"/>
      <c r="CA30" s="263"/>
      <c r="CB30" s="263"/>
      <c r="CC30" s="263"/>
    </row>
    <row r="31" spans="1:81" s="264" customFormat="1" ht="34.5" customHeight="1" x14ac:dyDescent="0.3">
      <c r="A31" s="253">
        <f>'ETAT  KEKEM'!A34</f>
        <v>44710</v>
      </c>
      <c r="B31" s="254">
        <f>'ETAT  KEKEM'!B34</f>
        <v>0</v>
      </c>
      <c r="C31" s="254">
        <f>'ETAT  KEKEM'!C34</f>
        <v>0</v>
      </c>
      <c r="D31" s="267">
        <f>'ETAT  KEKEM'!D34</f>
        <v>0</v>
      </c>
      <c r="E31" s="256">
        <f t="shared" si="1"/>
        <v>0</v>
      </c>
      <c r="F31" s="257">
        <f t="shared" si="2"/>
        <v>44710</v>
      </c>
      <c r="G31" s="258">
        <f t="shared" si="3"/>
        <v>0</v>
      </c>
      <c r="H31" s="259">
        <v>575</v>
      </c>
      <c r="I31" s="260">
        <f>'ETAT  KEKEM'!Q34</f>
        <v>0</v>
      </c>
      <c r="J31" s="261">
        <f t="shared" si="4"/>
        <v>23320</v>
      </c>
      <c r="K31" s="262"/>
      <c r="L31" s="179">
        <f t="shared" si="5"/>
        <v>44710</v>
      </c>
      <c r="M31" s="266">
        <f>'equation de stock'!G42</f>
        <v>0</v>
      </c>
      <c r="N31" s="266">
        <f>'equation de stock'!H42</f>
        <v>0</v>
      </c>
      <c r="O31" s="266">
        <f>'equation de stock'!I42</f>
        <v>0</v>
      </c>
      <c r="P31" s="110">
        <f t="shared" si="6"/>
        <v>0</v>
      </c>
      <c r="Q31" s="263"/>
      <c r="R31" s="263"/>
      <c r="S31" s="263"/>
      <c r="T31" s="263"/>
      <c r="U31" s="263"/>
      <c r="V31" s="263"/>
      <c r="W31" s="263"/>
      <c r="X31" s="263"/>
      <c r="Y31" s="263"/>
      <c r="Z31" s="263"/>
      <c r="AA31" s="263"/>
      <c r="AB31" s="263"/>
      <c r="AC31" s="263"/>
      <c r="AD31" s="263"/>
      <c r="AE31" s="263"/>
      <c r="AF31" s="263"/>
      <c r="AG31" s="263"/>
      <c r="AH31" s="263"/>
      <c r="AI31" s="263"/>
      <c r="AJ31" s="263"/>
      <c r="AK31" s="263"/>
      <c r="AL31" s="263"/>
      <c r="AM31" s="263"/>
      <c r="AN31" s="263"/>
      <c r="AO31" s="263"/>
      <c r="AP31" s="263"/>
      <c r="AQ31" s="263"/>
      <c r="AR31" s="263"/>
      <c r="AS31" s="263"/>
      <c r="AT31" s="263"/>
      <c r="AU31" s="263"/>
      <c r="AV31" s="263"/>
      <c r="AW31" s="263"/>
      <c r="AX31" s="263"/>
      <c r="AY31" s="263"/>
      <c r="AZ31" s="263"/>
      <c r="BA31" s="263"/>
      <c r="BB31" s="263"/>
      <c r="BC31" s="263"/>
      <c r="BD31" s="263"/>
      <c r="BE31" s="263"/>
      <c r="BF31" s="263"/>
      <c r="BG31" s="263"/>
      <c r="BH31" s="263"/>
      <c r="BI31" s="263"/>
      <c r="BJ31" s="263"/>
      <c r="BK31" s="263"/>
      <c r="BL31" s="263"/>
      <c r="BM31" s="263"/>
      <c r="BN31" s="263"/>
      <c r="BO31" s="263"/>
      <c r="BP31" s="263"/>
      <c r="BQ31" s="263"/>
      <c r="BR31" s="263"/>
      <c r="BS31" s="263"/>
      <c r="BT31" s="263"/>
      <c r="BU31" s="263"/>
      <c r="BV31" s="263"/>
      <c r="BW31" s="263"/>
      <c r="BX31" s="263"/>
      <c r="BY31" s="263"/>
      <c r="BZ31" s="263"/>
      <c r="CA31" s="263"/>
      <c r="CB31" s="263"/>
      <c r="CC31" s="263"/>
    </row>
    <row r="32" spans="1:81" s="264" customFormat="1" ht="34.5" customHeight="1" x14ac:dyDescent="0.3">
      <c r="A32" s="253">
        <f>'ETAT  KEKEM'!A35</f>
        <v>44711</v>
      </c>
      <c r="B32" s="254">
        <f>'ETAT  KEKEM'!B35</f>
        <v>0</v>
      </c>
      <c r="C32" s="254">
        <f>'ETAT  KEKEM'!C35</f>
        <v>0</v>
      </c>
      <c r="D32" s="267">
        <f>'ETAT  KEKEM'!D35</f>
        <v>0</v>
      </c>
      <c r="E32" s="256">
        <f t="shared" si="1"/>
        <v>0</v>
      </c>
      <c r="F32" s="257">
        <f t="shared" si="2"/>
        <v>44711</v>
      </c>
      <c r="G32" s="258">
        <f t="shared" si="3"/>
        <v>0</v>
      </c>
      <c r="H32" s="259">
        <v>575</v>
      </c>
      <c r="I32" s="260">
        <f>'ETAT  KEKEM'!Q35</f>
        <v>0</v>
      </c>
      <c r="J32" s="261">
        <f t="shared" si="4"/>
        <v>23320</v>
      </c>
      <c r="K32" s="262"/>
      <c r="L32" s="179">
        <f t="shared" si="5"/>
        <v>44711</v>
      </c>
      <c r="M32" s="266">
        <f>'equation de stock'!G43</f>
        <v>0</v>
      </c>
      <c r="N32" s="266">
        <f>'equation de stock'!H43</f>
        <v>0</v>
      </c>
      <c r="O32" s="266">
        <f>'equation de stock'!I43</f>
        <v>0</v>
      </c>
      <c r="P32" s="110">
        <f t="shared" si="6"/>
        <v>0</v>
      </c>
      <c r="Q32" s="263"/>
      <c r="R32" s="263"/>
      <c r="S32" s="263"/>
      <c r="T32" s="263"/>
      <c r="U32" s="263"/>
      <c r="V32" s="263"/>
      <c r="W32" s="263"/>
      <c r="X32" s="263"/>
      <c r="Y32" s="263"/>
      <c r="Z32" s="263"/>
      <c r="AA32" s="263"/>
      <c r="AB32" s="263"/>
      <c r="AC32" s="263"/>
      <c r="AD32" s="263"/>
      <c r="AE32" s="263"/>
      <c r="AF32" s="263"/>
      <c r="AG32" s="263"/>
      <c r="AH32" s="263"/>
      <c r="AI32" s="263"/>
      <c r="AJ32" s="263"/>
      <c r="AK32" s="263"/>
      <c r="AL32" s="263"/>
      <c r="AM32" s="263"/>
      <c r="AN32" s="263"/>
      <c r="AO32" s="263"/>
      <c r="AP32" s="263"/>
      <c r="AQ32" s="263"/>
      <c r="AR32" s="263"/>
      <c r="AS32" s="263"/>
      <c r="AT32" s="263"/>
      <c r="AU32" s="263"/>
      <c r="AV32" s="263"/>
      <c r="AW32" s="263"/>
      <c r="AX32" s="263"/>
      <c r="AY32" s="263"/>
      <c r="AZ32" s="263"/>
      <c r="BA32" s="263"/>
      <c r="BB32" s="263"/>
      <c r="BC32" s="263"/>
      <c r="BD32" s="263"/>
      <c r="BE32" s="263"/>
      <c r="BF32" s="263"/>
      <c r="BG32" s="263"/>
      <c r="BH32" s="263"/>
      <c r="BI32" s="263"/>
      <c r="BJ32" s="263"/>
      <c r="BK32" s="263"/>
      <c r="BL32" s="263"/>
      <c r="BM32" s="263"/>
      <c r="BN32" s="263"/>
      <c r="BO32" s="263"/>
      <c r="BP32" s="263"/>
      <c r="BQ32" s="263"/>
      <c r="BR32" s="263"/>
      <c r="BS32" s="263"/>
      <c r="BT32" s="263"/>
      <c r="BU32" s="263"/>
      <c r="BV32" s="263"/>
      <c r="BW32" s="263"/>
      <c r="BX32" s="263"/>
      <c r="BY32" s="263"/>
      <c r="BZ32" s="263"/>
      <c r="CA32" s="263"/>
      <c r="CB32" s="263"/>
      <c r="CC32" s="263"/>
    </row>
    <row r="33" spans="1:81" s="264" customFormat="1" ht="27.75" customHeight="1" thickBot="1" x14ac:dyDescent="0.35">
      <c r="A33" s="253">
        <f>'ETAT  KEKEM'!A36</f>
        <v>44712</v>
      </c>
      <c r="B33" s="254">
        <f>'ETAT  KEKEM'!B36</f>
        <v>0</v>
      </c>
      <c r="C33" s="254">
        <f>'ETAT  KEKEM'!C36</f>
        <v>0</v>
      </c>
      <c r="D33" s="267">
        <f>'ETAT  KEKEM'!D36</f>
        <v>0</v>
      </c>
      <c r="E33" s="256">
        <f t="shared" si="1"/>
        <v>0</v>
      </c>
      <c r="F33" s="257">
        <v>43251</v>
      </c>
      <c r="G33" s="258">
        <f t="shared" si="3"/>
        <v>0</v>
      </c>
      <c r="H33" s="259">
        <v>575</v>
      </c>
      <c r="I33" s="260">
        <f>'ETAT  KEKEM'!Q36</f>
        <v>0</v>
      </c>
      <c r="J33" s="261">
        <f t="shared" si="4"/>
        <v>23320</v>
      </c>
      <c r="K33" s="262"/>
      <c r="L33" s="179">
        <f t="shared" si="5"/>
        <v>44712</v>
      </c>
      <c r="M33" s="110">
        <f>'equation de stock'!G44</f>
        <v>0</v>
      </c>
      <c r="N33" s="110">
        <f>'equation de stock'!H44</f>
        <v>0</v>
      </c>
      <c r="O33" s="268">
        <f>'equation de stock'!I44</f>
        <v>0</v>
      </c>
      <c r="P33" s="110">
        <f t="shared" si="6"/>
        <v>0</v>
      </c>
      <c r="Q33" s="263"/>
      <c r="R33" s="263"/>
      <c r="S33" s="263"/>
      <c r="T33" s="263"/>
      <c r="U33" s="263"/>
      <c r="V33" s="263"/>
      <c r="W33" s="263"/>
      <c r="X33" s="263"/>
      <c r="Y33" s="263"/>
      <c r="Z33" s="263"/>
      <c r="AA33" s="263"/>
      <c r="AB33" s="263"/>
      <c r="AC33" s="263"/>
      <c r="AD33" s="263"/>
      <c r="AE33" s="263"/>
      <c r="AF33" s="263"/>
      <c r="AG33" s="263"/>
      <c r="AH33" s="263"/>
      <c r="AI33" s="263"/>
      <c r="AJ33" s="263"/>
      <c r="AK33" s="263"/>
      <c r="AL33" s="263"/>
      <c r="AM33" s="263"/>
      <c r="AN33" s="263"/>
      <c r="AO33" s="263"/>
      <c r="AP33" s="263"/>
      <c r="AQ33" s="263"/>
      <c r="AR33" s="263"/>
      <c r="AS33" s="263"/>
      <c r="AT33" s="263"/>
      <c r="AU33" s="263"/>
      <c r="AV33" s="263"/>
      <c r="AW33" s="263"/>
      <c r="AX33" s="263"/>
      <c r="AY33" s="263"/>
      <c r="AZ33" s="263"/>
      <c r="BA33" s="263"/>
      <c r="BB33" s="263"/>
      <c r="BC33" s="263"/>
      <c r="BD33" s="263"/>
      <c r="BE33" s="263"/>
      <c r="BF33" s="263"/>
      <c r="BG33" s="263"/>
      <c r="BH33" s="263"/>
      <c r="BI33" s="263"/>
      <c r="BJ33" s="263"/>
      <c r="BK33" s="263"/>
      <c r="BL33" s="263"/>
      <c r="BM33" s="263"/>
      <c r="BN33" s="263"/>
      <c r="BO33" s="263"/>
      <c r="BP33" s="263"/>
      <c r="BQ33" s="263"/>
      <c r="BR33" s="263"/>
      <c r="BS33" s="263"/>
      <c r="BT33" s="263"/>
      <c r="BU33" s="263"/>
      <c r="BV33" s="263"/>
      <c r="BW33" s="263"/>
      <c r="BX33" s="263"/>
      <c r="BY33" s="263"/>
      <c r="BZ33" s="263"/>
      <c r="CA33" s="263"/>
      <c r="CB33" s="263"/>
      <c r="CC33" s="263"/>
    </row>
    <row r="34" spans="1:81" s="42" customFormat="1" ht="24" customHeight="1" thickBot="1" x14ac:dyDescent="0.35">
      <c r="A34" s="269" t="s">
        <v>2</v>
      </c>
      <c r="B34" s="270">
        <f>SUM(B3:B33)</f>
        <v>26544</v>
      </c>
      <c r="C34" s="270">
        <f>SUM(C3:C33)</f>
        <v>10301</v>
      </c>
      <c r="D34" s="271">
        <f>SUM(D3:D33)</f>
        <v>2855</v>
      </c>
      <c r="E34" s="272">
        <f>SUM(E3:E33)</f>
        <v>39700</v>
      </c>
      <c r="F34" s="281"/>
      <c r="G34" s="282">
        <f>+SUM(G3:G33)</f>
        <v>0</v>
      </c>
      <c r="H34" s="282"/>
      <c r="I34" s="283"/>
      <c r="J34" s="2042"/>
      <c r="K34" s="2043"/>
      <c r="L34" s="36" t="s">
        <v>2</v>
      </c>
      <c r="M34" s="273">
        <f>SUM(M3:M33)</f>
        <v>-215</v>
      </c>
      <c r="N34" s="273">
        <f>SUM(N3:N33)</f>
        <v>-121</v>
      </c>
      <c r="O34" s="273">
        <f>SUM(O3:O33)</f>
        <v>7</v>
      </c>
      <c r="P34" s="110">
        <f>+M34*630+N34*575+O34*350</f>
        <v>-202575</v>
      </c>
    </row>
    <row r="35" spans="1:81" s="42" customFormat="1" x14ac:dyDescent="0.25">
      <c r="B35" s="274"/>
      <c r="C35" s="274"/>
      <c r="D35" s="275"/>
      <c r="E35" s="275"/>
      <c r="G35" s="274"/>
      <c r="H35" s="274"/>
      <c r="I35" s="275"/>
      <c r="J35" s="275"/>
    </row>
    <row r="36" spans="1:81" s="42" customFormat="1" x14ac:dyDescent="0.25">
      <c r="B36" s="274"/>
      <c r="C36" s="274"/>
      <c r="D36" s="275"/>
      <c r="E36" s="275"/>
      <c r="G36" s="274">
        <f>3.5*80.9</f>
        <v>283.15000000000003</v>
      </c>
      <c r="H36" s="274"/>
      <c r="I36" s="275"/>
      <c r="J36" s="275"/>
    </row>
    <row r="37" spans="1:81" s="42" customFormat="1" x14ac:dyDescent="0.25">
      <c r="B37" s="274"/>
      <c r="C37" s="274"/>
      <c r="D37" s="275"/>
      <c r="E37" s="275"/>
      <c r="G37" s="274"/>
      <c r="H37" s="274"/>
      <c r="I37" s="275"/>
      <c r="J37" s="275"/>
    </row>
    <row r="38" spans="1:81" s="42" customFormat="1" x14ac:dyDescent="0.25">
      <c r="B38" s="274"/>
      <c r="C38" s="274"/>
      <c r="D38" s="275"/>
      <c r="E38" s="275"/>
      <c r="G38" s="274"/>
      <c r="H38" s="274"/>
      <c r="I38" s="275"/>
      <c r="J38" s="275"/>
    </row>
    <row r="39" spans="1:81" s="42" customFormat="1" x14ac:dyDescent="0.25">
      <c r="B39" s="274"/>
      <c r="C39" s="274"/>
      <c r="D39" s="275"/>
      <c r="E39" s="275"/>
    </row>
    <row r="40" spans="1:81" s="42" customFormat="1" x14ac:dyDescent="0.25">
      <c r="B40" s="274"/>
      <c r="C40" s="274"/>
      <c r="D40" s="275"/>
      <c r="E40" s="275"/>
    </row>
    <row r="41" spans="1:81" s="42" customFormat="1" x14ac:dyDescent="0.25">
      <c r="B41" s="274"/>
      <c r="C41" s="274"/>
      <c r="D41" s="275"/>
      <c r="E41" s="275"/>
    </row>
    <row r="42" spans="1:81" s="42" customFormat="1" x14ac:dyDescent="0.25">
      <c r="B42" s="274"/>
      <c r="C42" s="274"/>
      <c r="D42" s="275"/>
      <c r="E42" s="275"/>
    </row>
    <row r="43" spans="1:81" s="42" customFormat="1" x14ac:dyDescent="0.25">
      <c r="B43" s="274"/>
      <c r="C43" s="274"/>
      <c r="D43" s="275"/>
      <c r="E43" s="275"/>
    </row>
    <row r="44" spans="1:81" s="42" customFormat="1" x14ac:dyDescent="0.25">
      <c r="B44" s="274"/>
      <c r="C44" s="274"/>
      <c r="D44" s="275"/>
      <c r="E44" s="275"/>
    </row>
    <row r="45" spans="1:81" s="42" customFormat="1" x14ac:dyDescent="0.25">
      <c r="B45" s="274"/>
      <c r="C45" s="274"/>
      <c r="D45" s="275"/>
      <c r="E45" s="275"/>
    </row>
    <row r="46" spans="1:81" s="42" customFormat="1" x14ac:dyDescent="0.25">
      <c r="B46" s="274"/>
      <c r="C46" s="274"/>
      <c r="D46" s="275"/>
      <c r="E46" s="275"/>
    </row>
    <row r="47" spans="1:81" s="42" customFormat="1" x14ac:dyDescent="0.25">
      <c r="B47" s="274"/>
      <c r="C47" s="274"/>
      <c r="D47" s="275"/>
      <c r="E47" s="275"/>
    </row>
    <row r="48" spans="1:81" s="42" customFormat="1" x14ac:dyDescent="0.25">
      <c r="B48" s="274"/>
      <c r="C48" s="274"/>
      <c r="D48" s="275"/>
      <c r="E48" s="275"/>
    </row>
    <row r="49" spans="2:5" s="42" customFormat="1" x14ac:dyDescent="0.25">
      <c r="B49" s="274"/>
      <c r="C49" s="274"/>
      <c r="D49" s="275"/>
      <c r="E49" s="275"/>
    </row>
    <row r="50" spans="2:5" s="42" customFormat="1" x14ac:dyDescent="0.25">
      <c r="B50" s="274"/>
      <c r="C50" s="274"/>
      <c r="D50" s="275"/>
      <c r="E50" s="275"/>
    </row>
    <row r="51" spans="2:5" s="42" customFormat="1" x14ac:dyDescent="0.25">
      <c r="B51" s="274"/>
      <c r="C51" s="274"/>
      <c r="D51" s="275"/>
      <c r="E51" s="275"/>
    </row>
    <row r="52" spans="2:5" s="42" customFormat="1" x14ac:dyDescent="0.25">
      <c r="B52" s="274"/>
      <c r="C52" s="274"/>
      <c r="D52" s="275"/>
      <c r="E52" s="275"/>
    </row>
    <row r="53" spans="2:5" s="42" customFormat="1" x14ac:dyDescent="0.25">
      <c r="B53" s="274"/>
      <c r="C53" s="274"/>
      <c r="D53" s="275"/>
      <c r="E53" s="275"/>
    </row>
    <row r="54" spans="2:5" s="42" customFormat="1" x14ac:dyDescent="0.25">
      <c r="B54" s="274"/>
      <c r="C54" s="274"/>
      <c r="D54" s="275"/>
      <c r="E54" s="275"/>
    </row>
    <row r="55" spans="2:5" s="42" customFormat="1" x14ac:dyDescent="0.25">
      <c r="B55" s="274"/>
      <c r="C55" s="274"/>
      <c r="D55" s="275"/>
      <c r="E55" s="275"/>
    </row>
    <row r="56" spans="2:5" s="42" customFormat="1" x14ac:dyDescent="0.25">
      <c r="B56" s="274"/>
      <c r="C56" s="274"/>
      <c r="D56" s="275"/>
      <c r="E56" s="275"/>
    </row>
    <row r="57" spans="2:5" s="42" customFormat="1" x14ac:dyDescent="0.25">
      <c r="B57" s="274"/>
      <c r="C57" s="274"/>
      <c r="D57" s="275"/>
      <c r="E57" s="275"/>
    </row>
    <row r="58" spans="2:5" s="42" customFormat="1" x14ac:dyDescent="0.25">
      <c r="B58" s="274"/>
      <c r="C58" s="274"/>
      <c r="D58" s="275"/>
      <c r="E58" s="275"/>
    </row>
    <row r="59" spans="2:5" s="42" customFormat="1" x14ac:dyDescent="0.25">
      <c r="B59" s="274"/>
      <c r="C59" s="274"/>
      <c r="D59" s="275"/>
      <c r="E59" s="275"/>
    </row>
    <row r="60" spans="2:5" s="42" customFormat="1" x14ac:dyDescent="0.25">
      <c r="B60" s="274"/>
      <c r="C60" s="274"/>
      <c r="D60" s="275"/>
      <c r="E60" s="275"/>
    </row>
    <row r="61" spans="2:5" s="42" customFormat="1" x14ac:dyDescent="0.25">
      <c r="B61" s="274"/>
      <c r="C61" s="274"/>
      <c r="D61" s="275"/>
      <c r="E61" s="275"/>
    </row>
    <row r="62" spans="2:5" s="42" customFormat="1" x14ac:dyDescent="0.25">
      <c r="B62" s="274"/>
      <c r="C62" s="274"/>
      <c r="D62" s="275"/>
      <c r="E62" s="275"/>
    </row>
    <row r="63" spans="2:5" s="42" customFormat="1" x14ac:dyDescent="0.25">
      <c r="B63" s="274"/>
      <c r="C63" s="274"/>
      <c r="D63" s="275"/>
      <c r="E63" s="275"/>
    </row>
    <row r="64" spans="2:5" s="42" customFormat="1" x14ac:dyDescent="0.25">
      <c r="B64" s="274"/>
      <c r="C64" s="274"/>
      <c r="D64" s="275"/>
      <c r="E64" s="275"/>
    </row>
    <row r="65" spans="2:5" s="42" customFormat="1" x14ac:dyDescent="0.25">
      <c r="B65" s="274"/>
      <c r="C65" s="274"/>
      <c r="D65" s="275"/>
      <c r="E65" s="275"/>
    </row>
    <row r="66" spans="2:5" s="42" customFormat="1" x14ac:dyDescent="0.25">
      <c r="B66" s="274"/>
      <c r="C66" s="274"/>
      <c r="D66" s="275"/>
      <c r="E66" s="275"/>
    </row>
    <row r="67" spans="2:5" s="42" customFormat="1" x14ac:dyDescent="0.25">
      <c r="B67" s="274"/>
      <c r="C67" s="274"/>
      <c r="D67" s="275"/>
      <c r="E67" s="275"/>
    </row>
    <row r="68" spans="2:5" s="42" customFormat="1" x14ac:dyDescent="0.25">
      <c r="B68" s="274"/>
      <c r="C68" s="274"/>
      <c r="D68" s="275"/>
      <c r="E68" s="275"/>
    </row>
    <row r="69" spans="2:5" s="42" customFormat="1" x14ac:dyDescent="0.25">
      <c r="B69" s="274"/>
      <c r="C69" s="274"/>
      <c r="D69" s="275"/>
      <c r="E69" s="275"/>
    </row>
    <row r="70" spans="2:5" s="42" customFormat="1" x14ac:dyDescent="0.25">
      <c r="B70" s="274"/>
      <c r="C70" s="274"/>
      <c r="D70" s="275"/>
      <c r="E70" s="275"/>
    </row>
    <row r="71" spans="2:5" s="42" customFormat="1" x14ac:dyDescent="0.25">
      <c r="B71" s="274"/>
      <c r="C71" s="274"/>
      <c r="D71" s="275"/>
      <c r="E71" s="275"/>
    </row>
    <row r="72" spans="2:5" s="42" customFormat="1" x14ac:dyDescent="0.25">
      <c r="B72" s="274"/>
      <c r="C72" s="274"/>
      <c r="D72" s="275"/>
      <c r="E72" s="275"/>
    </row>
    <row r="73" spans="2:5" s="42" customFormat="1" x14ac:dyDescent="0.25">
      <c r="B73" s="274"/>
      <c r="C73" s="274"/>
      <c r="D73" s="275"/>
      <c r="E73" s="275"/>
    </row>
    <row r="74" spans="2:5" s="42" customFormat="1" x14ac:dyDescent="0.25">
      <c r="B74" s="274"/>
      <c r="C74" s="274"/>
      <c r="D74" s="275"/>
      <c r="E74" s="275"/>
    </row>
    <row r="75" spans="2:5" s="42" customFormat="1" x14ac:dyDescent="0.25">
      <c r="B75" s="274"/>
      <c r="C75" s="274"/>
      <c r="D75" s="275"/>
      <c r="E75" s="275"/>
    </row>
    <row r="76" spans="2:5" s="42" customFormat="1" x14ac:dyDescent="0.25">
      <c r="B76" s="274"/>
      <c r="C76" s="274"/>
      <c r="D76" s="275"/>
      <c r="E76" s="275"/>
    </row>
    <row r="77" spans="2:5" s="42" customFormat="1" x14ac:dyDescent="0.25">
      <c r="B77" s="274"/>
      <c r="C77" s="274"/>
      <c r="D77" s="275"/>
      <c r="E77" s="275"/>
    </row>
    <row r="78" spans="2:5" s="42" customFormat="1" x14ac:dyDescent="0.25">
      <c r="B78" s="274"/>
      <c r="C78" s="274"/>
      <c r="D78" s="275"/>
      <c r="E78" s="275"/>
    </row>
    <row r="79" spans="2:5" s="42" customFormat="1" x14ac:dyDescent="0.25">
      <c r="B79" s="274"/>
      <c r="C79" s="274"/>
      <c r="D79" s="275"/>
      <c r="E79" s="275"/>
    </row>
    <row r="80" spans="2:5" s="42" customFormat="1" x14ac:dyDescent="0.25">
      <c r="B80" s="274"/>
      <c r="C80" s="274"/>
      <c r="D80" s="275"/>
      <c r="E80" s="275"/>
    </row>
    <row r="81" spans="2:5" s="42" customFormat="1" x14ac:dyDescent="0.25">
      <c r="B81" s="274"/>
      <c r="C81" s="274"/>
      <c r="D81" s="275"/>
      <c r="E81" s="275"/>
    </row>
    <row r="82" spans="2:5" s="42" customFormat="1" x14ac:dyDescent="0.25">
      <c r="B82" s="274"/>
      <c r="C82" s="274"/>
      <c r="D82" s="275"/>
      <c r="E82" s="275"/>
    </row>
    <row r="83" spans="2:5" s="42" customFormat="1" x14ac:dyDescent="0.25">
      <c r="B83" s="274"/>
      <c r="C83" s="274"/>
      <c r="D83" s="275"/>
      <c r="E83" s="275"/>
    </row>
    <row r="84" spans="2:5" s="42" customFormat="1" x14ac:dyDescent="0.25">
      <c r="B84" s="274"/>
      <c r="C84" s="274"/>
      <c r="D84" s="275"/>
      <c r="E84" s="275"/>
    </row>
    <row r="85" spans="2:5" s="42" customFormat="1" x14ac:dyDescent="0.25">
      <c r="B85" s="274"/>
      <c r="C85" s="274"/>
      <c r="D85" s="275"/>
      <c r="E85" s="275"/>
    </row>
    <row r="86" spans="2:5" s="42" customFormat="1" x14ac:dyDescent="0.25">
      <c r="B86" s="274"/>
      <c r="C86" s="274"/>
      <c r="D86" s="275"/>
      <c r="E86" s="275"/>
    </row>
    <row r="87" spans="2:5" s="42" customFormat="1" x14ac:dyDescent="0.25">
      <c r="B87" s="274"/>
      <c r="C87" s="274"/>
      <c r="D87" s="275"/>
      <c r="E87" s="275"/>
    </row>
    <row r="88" spans="2:5" s="42" customFormat="1" x14ac:dyDescent="0.25">
      <c r="B88" s="274"/>
      <c r="C88" s="274"/>
      <c r="D88" s="275"/>
      <c r="E88" s="275"/>
    </row>
    <row r="89" spans="2:5" s="42" customFormat="1" x14ac:dyDescent="0.25">
      <c r="B89" s="274"/>
      <c r="C89" s="274"/>
      <c r="D89" s="275"/>
      <c r="E89" s="275"/>
    </row>
    <row r="90" spans="2:5" s="42" customFormat="1" x14ac:dyDescent="0.25">
      <c r="B90" s="274"/>
      <c r="C90" s="274"/>
      <c r="D90" s="275"/>
      <c r="E90" s="275"/>
    </row>
    <row r="91" spans="2:5" s="42" customFormat="1" x14ac:dyDescent="0.25">
      <c r="B91" s="274"/>
      <c r="C91" s="274"/>
      <c r="D91" s="275"/>
      <c r="E91" s="275"/>
    </row>
    <row r="92" spans="2:5" s="42" customFormat="1" x14ac:dyDescent="0.25">
      <c r="B92" s="274"/>
      <c r="C92" s="274"/>
      <c r="D92" s="275"/>
      <c r="E92" s="275"/>
    </row>
    <row r="93" spans="2:5" s="42" customFormat="1" x14ac:dyDescent="0.25">
      <c r="B93" s="274"/>
      <c r="C93" s="274"/>
      <c r="D93" s="275"/>
      <c r="E93" s="275"/>
    </row>
    <row r="94" spans="2:5" s="42" customFormat="1" x14ac:dyDescent="0.25">
      <c r="B94" s="274"/>
      <c r="C94" s="274"/>
      <c r="D94" s="275"/>
      <c r="E94" s="275"/>
    </row>
    <row r="95" spans="2:5" s="42" customFormat="1" x14ac:dyDescent="0.25">
      <c r="B95" s="274"/>
      <c r="C95" s="274"/>
      <c r="D95" s="275"/>
      <c r="E95" s="275"/>
    </row>
    <row r="96" spans="2:5" s="42" customFormat="1" x14ac:dyDescent="0.25">
      <c r="B96" s="274"/>
      <c r="C96" s="274"/>
      <c r="D96" s="275"/>
      <c r="E96" s="275"/>
    </row>
    <row r="97" spans="2:5" s="42" customFormat="1" x14ac:dyDescent="0.25">
      <c r="B97" s="274"/>
      <c r="C97" s="274"/>
      <c r="D97" s="275"/>
      <c r="E97" s="275"/>
    </row>
    <row r="98" spans="2:5" s="42" customFormat="1" x14ac:dyDescent="0.25">
      <c r="B98" s="274"/>
      <c r="C98" s="274"/>
      <c r="D98" s="275"/>
      <c r="E98" s="275"/>
    </row>
    <row r="99" spans="2:5" s="42" customFormat="1" x14ac:dyDescent="0.25">
      <c r="B99" s="274"/>
      <c r="C99" s="274"/>
      <c r="D99" s="275"/>
      <c r="E99" s="275"/>
    </row>
    <row r="100" spans="2:5" s="42" customFormat="1" x14ac:dyDescent="0.25">
      <c r="B100" s="274"/>
      <c r="C100" s="274"/>
      <c r="D100" s="275"/>
      <c r="E100" s="275"/>
    </row>
    <row r="101" spans="2:5" s="42" customFormat="1" x14ac:dyDescent="0.25">
      <c r="B101" s="274"/>
      <c r="C101" s="274"/>
      <c r="D101" s="275"/>
      <c r="E101" s="275"/>
    </row>
    <row r="102" spans="2:5" s="42" customFormat="1" x14ac:dyDescent="0.25">
      <c r="B102" s="274"/>
      <c r="C102" s="274"/>
      <c r="D102" s="275"/>
      <c r="E102" s="275"/>
    </row>
    <row r="103" spans="2:5" s="42" customFormat="1" x14ac:dyDescent="0.25">
      <c r="B103" s="274"/>
      <c r="C103" s="274"/>
      <c r="D103" s="275"/>
      <c r="E103" s="275"/>
    </row>
    <row r="104" spans="2:5" s="42" customFormat="1" x14ac:dyDescent="0.25">
      <c r="B104" s="274"/>
      <c r="C104" s="274"/>
      <c r="D104" s="275"/>
      <c r="E104" s="275"/>
    </row>
    <row r="105" spans="2:5" s="42" customFormat="1" x14ac:dyDescent="0.25">
      <c r="B105" s="274"/>
      <c r="C105" s="274"/>
      <c r="D105" s="275"/>
      <c r="E105" s="275"/>
    </row>
    <row r="106" spans="2:5" s="42" customFormat="1" x14ac:dyDescent="0.25">
      <c r="B106" s="274"/>
      <c r="C106" s="274"/>
      <c r="D106" s="275"/>
      <c r="E106" s="275"/>
    </row>
    <row r="107" spans="2:5" s="42" customFormat="1" x14ac:dyDescent="0.25">
      <c r="B107" s="274"/>
      <c r="C107" s="274"/>
      <c r="D107" s="275"/>
      <c r="E107" s="275"/>
    </row>
    <row r="108" spans="2:5" s="42" customFormat="1" x14ac:dyDescent="0.25">
      <c r="B108" s="274"/>
      <c r="C108" s="274"/>
      <c r="D108" s="275"/>
      <c r="E108" s="275"/>
    </row>
    <row r="109" spans="2:5" s="42" customFormat="1" x14ac:dyDescent="0.25">
      <c r="B109" s="274"/>
      <c r="C109" s="274"/>
      <c r="D109" s="275"/>
      <c r="E109" s="275"/>
    </row>
    <row r="110" spans="2:5" s="42" customFormat="1" x14ac:dyDescent="0.25">
      <c r="B110" s="274"/>
      <c r="C110" s="274"/>
      <c r="D110" s="275"/>
      <c r="E110" s="275"/>
    </row>
    <row r="111" spans="2:5" s="42" customFormat="1" x14ac:dyDescent="0.25">
      <c r="B111" s="274"/>
      <c r="C111" s="274"/>
      <c r="D111" s="275"/>
      <c r="E111" s="275"/>
    </row>
    <row r="112" spans="2:5" s="42" customFormat="1" x14ac:dyDescent="0.25">
      <c r="B112" s="274"/>
      <c r="C112" s="274"/>
      <c r="D112" s="275"/>
      <c r="E112" s="275"/>
    </row>
    <row r="113" spans="2:5" s="42" customFormat="1" x14ac:dyDescent="0.25">
      <c r="B113" s="274"/>
      <c r="C113" s="274"/>
      <c r="D113" s="275"/>
      <c r="E113" s="275"/>
    </row>
    <row r="114" spans="2:5" s="42" customFormat="1" x14ac:dyDescent="0.25">
      <c r="B114" s="274"/>
      <c r="C114" s="274"/>
      <c r="D114" s="275"/>
      <c r="E114" s="275"/>
    </row>
    <row r="115" spans="2:5" s="42" customFormat="1" x14ac:dyDescent="0.25">
      <c r="B115" s="274"/>
      <c r="C115" s="274"/>
      <c r="D115" s="275"/>
      <c r="E115" s="275"/>
    </row>
    <row r="116" spans="2:5" s="42" customFormat="1" x14ac:dyDescent="0.25">
      <c r="B116" s="274"/>
      <c r="C116" s="274"/>
      <c r="D116" s="275"/>
      <c r="E116" s="275"/>
    </row>
    <row r="117" spans="2:5" s="42" customFormat="1" x14ac:dyDescent="0.25">
      <c r="B117" s="274"/>
      <c r="C117" s="274"/>
      <c r="D117" s="275"/>
      <c r="E117" s="275"/>
    </row>
    <row r="118" spans="2:5" s="42" customFormat="1" x14ac:dyDescent="0.25">
      <c r="B118" s="274"/>
      <c r="C118" s="274"/>
      <c r="D118" s="275"/>
      <c r="E118" s="275"/>
    </row>
    <row r="119" spans="2:5" s="42" customFormat="1" x14ac:dyDescent="0.25">
      <c r="B119" s="274"/>
      <c r="C119" s="274"/>
      <c r="D119" s="275"/>
      <c r="E119" s="275"/>
    </row>
    <row r="120" spans="2:5" s="42" customFormat="1" x14ac:dyDescent="0.25">
      <c r="B120" s="274"/>
      <c r="C120" s="274"/>
      <c r="D120" s="275"/>
      <c r="E120" s="275"/>
    </row>
    <row r="121" spans="2:5" s="42" customFormat="1" x14ac:dyDescent="0.25">
      <c r="B121" s="274"/>
      <c r="C121" s="274"/>
      <c r="D121" s="275"/>
      <c r="E121" s="275"/>
    </row>
    <row r="122" spans="2:5" s="42" customFormat="1" x14ac:dyDescent="0.25">
      <c r="B122" s="274"/>
      <c r="C122" s="274"/>
      <c r="D122" s="275"/>
      <c r="E122" s="275"/>
    </row>
    <row r="123" spans="2:5" s="42" customFormat="1" x14ac:dyDescent="0.25">
      <c r="B123" s="274"/>
      <c r="C123" s="274"/>
      <c r="D123" s="275"/>
      <c r="E123" s="275"/>
    </row>
    <row r="124" spans="2:5" s="42" customFormat="1" x14ac:dyDescent="0.25">
      <c r="B124" s="274"/>
      <c r="C124" s="274"/>
      <c r="D124" s="275"/>
      <c r="E124" s="275"/>
    </row>
    <row r="125" spans="2:5" s="42" customFormat="1" x14ac:dyDescent="0.25">
      <c r="B125" s="274"/>
      <c r="C125" s="274"/>
      <c r="D125" s="275"/>
      <c r="E125" s="275"/>
    </row>
    <row r="126" spans="2:5" s="42" customFormat="1" x14ac:dyDescent="0.25">
      <c r="B126" s="274"/>
      <c r="C126" s="274"/>
      <c r="D126" s="275"/>
      <c r="E126" s="275"/>
    </row>
    <row r="127" spans="2:5" s="42" customFormat="1" x14ac:dyDescent="0.25">
      <c r="B127" s="274"/>
      <c r="C127" s="274"/>
      <c r="D127" s="275"/>
      <c r="E127" s="275"/>
    </row>
    <row r="128" spans="2:5" s="42" customFormat="1" x14ac:dyDescent="0.25">
      <c r="B128" s="274"/>
      <c r="C128" s="274"/>
      <c r="D128" s="275"/>
      <c r="E128" s="275"/>
    </row>
    <row r="129" spans="2:5" s="42" customFormat="1" x14ac:dyDescent="0.25">
      <c r="B129" s="274"/>
      <c r="C129" s="274"/>
      <c r="D129" s="275"/>
      <c r="E129" s="275"/>
    </row>
    <row r="130" spans="2:5" s="42" customFormat="1" x14ac:dyDescent="0.25">
      <c r="B130" s="274"/>
      <c r="C130" s="274"/>
      <c r="D130" s="275"/>
      <c r="E130" s="275"/>
    </row>
    <row r="131" spans="2:5" s="42" customFormat="1" x14ac:dyDescent="0.25">
      <c r="B131" s="274"/>
      <c r="C131" s="274"/>
      <c r="D131" s="275"/>
      <c r="E131" s="275"/>
    </row>
    <row r="132" spans="2:5" s="42" customFormat="1" x14ac:dyDescent="0.25">
      <c r="B132" s="274"/>
      <c r="C132" s="274"/>
      <c r="D132" s="275"/>
      <c r="E132" s="275"/>
    </row>
    <row r="133" spans="2:5" s="42" customFormat="1" x14ac:dyDescent="0.25">
      <c r="B133" s="274"/>
      <c r="C133" s="274"/>
      <c r="D133" s="275"/>
      <c r="E133" s="275"/>
    </row>
    <row r="134" spans="2:5" s="42" customFormat="1" x14ac:dyDescent="0.25">
      <c r="B134" s="274"/>
      <c r="C134" s="274"/>
      <c r="D134" s="275"/>
      <c r="E134" s="275"/>
    </row>
    <row r="135" spans="2:5" s="42" customFormat="1" x14ac:dyDescent="0.25">
      <c r="B135" s="274"/>
      <c r="C135" s="274"/>
      <c r="D135" s="275"/>
      <c r="E135" s="275"/>
    </row>
    <row r="136" spans="2:5" s="42" customFormat="1" x14ac:dyDescent="0.25">
      <c r="B136" s="274"/>
      <c r="C136" s="274"/>
      <c r="D136" s="275"/>
      <c r="E136" s="275"/>
    </row>
    <row r="137" spans="2:5" s="42" customFormat="1" x14ac:dyDescent="0.25">
      <c r="B137" s="274"/>
      <c r="C137" s="274"/>
      <c r="D137" s="275"/>
      <c r="E137" s="275"/>
    </row>
    <row r="138" spans="2:5" s="42" customFormat="1" x14ac:dyDescent="0.25">
      <c r="B138" s="274"/>
      <c r="C138" s="274"/>
      <c r="D138" s="275"/>
      <c r="E138" s="275"/>
    </row>
    <row r="139" spans="2:5" s="42" customFormat="1" x14ac:dyDescent="0.25">
      <c r="B139" s="274"/>
      <c r="C139" s="274"/>
      <c r="D139" s="275"/>
      <c r="E139" s="275"/>
    </row>
    <row r="140" spans="2:5" s="42" customFormat="1" x14ac:dyDescent="0.25">
      <c r="B140" s="274"/>
      <c r="C140" s="274"/>
      <c r="D140" s="275"/>
      <c r="E140" s="275"/>
    </row>
    <row r="141" spans="2:5" s="42" customFormat="1" x14ac:dyDescent="0.25">
      <c r="B141" s="274"/>
      <c r="C141" s="274"/>
      <c r="D141" s="275"/>
      <c r="E141" s="275"/>
    </row>
    <row r="142" spans="2:5" s="42" customFormat="1" x14ac:dyDescent="0.25">
      <c r="B142" s="274"/>
      <c r="C142" s="274"/>
      <c r="D142" s="275"/>
      <c r="E142" s="275"/>
    </row>
    <row r="143" spans="2:5" s="42" customFormat="1" x14ac:dyDescent="0.25">
      <c r="B143" s="274"/>
      <c r="C143" s="274"/>
      <c r="D143" s="275"/>
      <c r="E143" s="275"/>
    </row>
    <row r="144" spans="2:5" s="42" customFormat="1" x14ac:dyDescent="0.25">
      <c r="B144" s="274"/>
      <c r="C144" s="274"/>
      <c r="D144" s="275"/>
      <c r="E144" s="275"/>
    </row>
    <row r="145" spans="2:5" s="42" customFormat="1" x14ac:dyDescent="0.25">
      <c r="B145" s="274"/>
      <c r="C145" s="274"/>
      <c r="D145" s="275"/>
      <c r="E145" s="275"/>
    </row>
    <row r="146" spans="2:5" s="42" customFormat="1" x14ac:dyDescent="0.25">
      <c r="B146" s="274"/>
      <c r="C146" s="274"/>
      <c r="D146" s="275"/>
      <c r="E146" s="275"/>
    </row>
    <row r="147" spans="2:5" s="42" customFormat="1" x14ac:dyDescent="0.25">
      <c r="B147" s="274"/>
      <c r="C147" s="274"/>
      <c r="D147" s="275"/>
      <c r="E147" s="275"/>
    </row>
    <row r="148" spans="2:5" s="42" customFormat="1" x14ac:dyDescent="0.25">
      <c r="B148" s="274"/>
      <c r="C148" s="274"/>
      <c r="D148" s="275"/>
      <c r="E148" s="275"/>
    </row>
    <row r="149" spans="2:5" s="42" customFormat="1" x14ac:dyDescent="0.25">
      <c r="B149" s="274"/>
      <c r="C149" s="274"/>
      <c r="D149" s="275"/>
      <c r="E149" s="275"/>
    </row>
    <row r="150" spans="2:5" s="42" customFormat="1" x14ac:dyDescent="0.25">
      <c r="B150" s="274"/>
      <c r="C150" s="274"/>
      <c r="D150" s="275"/>
      <c r="E150" s="275"/>
    </row>
    <row r="151" spans="2:5" s="42" customFormat="1" x14ac:dyDescent="0.25">
      <c r="B151" s="274"/>
      <c r="C151" s="274"/>
      <c r="D151" s="275"/>
      <c r="E151" s="275"/>
    </row>
    <row r="152" spans="2:5" s="42" customFormat="1" x14ac:dyDescent="0.25">
      <c r="B152" s="274"/>
      <c r="C152" s="274"/>
      <c r="D152" s="275"/>
      <c r="E152" s="275"/>
    </row>
    <row r="153" spans="2:5" s="42" customFormat="1" x14ac:dyDescent="0.25">
      <c r="B153" s="274"/>
      <c r="C153" s="274"/>
      <c r="D153" s="275"/>
      <c r="E153" s="275"/>
    </row>
    <row r="154" spans="2:5" s="42" customFormat="1" x14ac:dyDescent="0.25">
      <c r="B154" s="274"/>
      <c r="C154" s="274"/>
      <c r="D154" s="275"/>
      <c r="E154" s="275"/>
    </row>
    <row r="155" spans="2:5" s="42" customFormat="1" x14ac:dyDescent="0.25">
      <c r="B155" s="274"/>
      <c r="C155" s="274"/>
      <c r="D155" s="275"/>
      <c r="E155" s="275"/>
    </row>
    <row r="156" spans="2:5" s="42" customFormat="1" x14ac:dyDescent="0.25">
      <c r="B156" s="274"/>
      <c r="C156" s="274"/>
      <c r="D156" s="275"/>
      <c r="E156" s="275"/>
    </row>
    <row r="157" spans="2:5" s="42" customFormat="1" x14ac:dyDescent="0.25">
      <c r="B157" s="274"/>
      <c r="C157" s="274"/>
      <c r="D157" s="275"/>
      <c r="E157" s="275"/>
    </row>
    <row r="158" spans="2:5" s="42" customFormat="1" x14ac:dyDescent="0.25">
      <c r="B158" s="274"/>
      <c r="C158" s="274"/>
      <c r="D158" s="275"/>
      <c r="E158" s="275"/>
    </row>
    <row r="159" spans="2:5" s="42" customFormat="1" x14ac:dyDescent="0.25">
      <c r="B159" s="274"/>
      <c r="C159" s="274"/>
      <c r="D159" s="275"/>
      <c r="E159" s="275"/>
    </row>
    <row r="160" spans="2:5" s="42" customFormat="1" x14ac:dyDescent="0.25">
      <c r="B160" s="274"/>
      <c r="C160" s="274"/>
      <c r="D160" s="275"/>
      <c r="E160" s="275"/>
    </row>
    <row r="161" spans="1:5" s="42" customFormat="1" x14ac:dyDescent="0.25">
      <c r="B161" s="274"/>
      <c r="C161" s="274"/>
      <c r="D161" s="275"/>
      <c r="E161" s="275"/>
    </row>
    <row r="162" spans="1:5" s="42" customFormat="1" x14ac:dyDescent="0.25">
      <c r="B162" s="274"/>
      <c r="C162" s="274"/>
      <c r="D162" s="275"/>
      <c r="E162" s="275"/>
    </row>
    <row r="163" spans="1:5" s="42" customFormat="1" x14ac:dyDescent="0.25">
      <c r="B163" s="274"/>
      <c r="C163" s="274"/>
      <c r="D163" s="275"/>
      <c r="E163" s="275"/>
    </row>
    <row r="164" spans="1:5" s="42" customFormat="1" x14ac:dyDescent="0.25">
      <c r="B164" s="274"/>
      <c r="C164" s="274"/>
      <c r="D164" s="275"/>
      <c r="E164" s="275"/>
    </row>
    <row r="165" spans="1:5" s="42" customFormat="1" x14ac:dyDescent="0.25">
      <c r="B165" s="274"/>
      <c r="C165" s="274"/>
      <c r="D165" s="275"/>
      <c r="E165" s="275"/>
    </row>
    <row r="166" spans="1:5" s="42" customFormat="1" x14ac:dyDescent="0.25">
      <c r="B166" s="274"/>
      <c r="C166" s="274"/>
      <c r="D166" s="275"/>
      <c r="E166" s="275"/>
    </row>
    <row r="167" spans="1:5" s="42" customFormat="1" x14ac:dyDescent="0.25">
      <c r="A167"/>
      <c r="B167" s="276"/>
      <c r="C167" s="276"/>
      <c r="D167" s="51"/>
      <c r="E167" s="51"/>
    </row>
    <row r="168" spans="1:5" s="42" customFormat="1" x14ac:dyDescent="0.25">
      <c r="A168"/>
      <c r="B168" s="276"/>
      <c r="C168" s="276"/>
      <c r="D168" s="51"/>
      <c r="E168" s="51"/>
    </row>
    <row r="169" spans="1:5" s="42" customFormat="1" x14ac:dyDescent="0.25">
      <c r="A169"/>
      <c r="B169" s="276"/>
      <c r="C169" s="276"/>
      <c r="D169" s="51"/>
      <c r="E169" s="51"/>
    </row>
    <row r="170" spans="1:5" s="42" customFormat="1" x14ac:dyDescent="0.25">
      <c r="A170"/>
      <c r="B170" s="276"/>
      <c r="C170" s="276"/>
      <c r="D170" s="51"/>
      <c r="E170" s="51"/>
    </row>
  </sheetData>
  <mergeCells count="3">
    <mergeCell ref="F1:K1"/>
    <mergeCell ref="L1:P1"/>
    <mergeCell ref="J34:K3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workbookViewId="0">
      <pane ySplit="3" topLeftCell="A4" activePane="bottomLeft" state="frozen"/>
      <selection pane="bottomLeft" activeCell="A2" sqref="A2:K17"/>
    </sheetView>
  </sheetViews>
  <sheetFormatPr baseColWidth="10" defaultColWidth="11.42578125" defaultRowHeight="18.75" x14ac:dyDescent="0.3"/>
  <cols>
    <col min="1" max="1" width="23.5703125" style="1" customWidth="1"/>
    <col min="2" max="2" width="14.140625" style="1" customWidth="1"/>
    <col min="3" max="3" width="13.85546875" style="1" customWidth="1"/>
    <col min="4" max="4" width="11.140625" style="1" customWidth="1"/>
    <col min="5" max="5" width="13.85546875" style="1" customWidth="1"/>
    <col min="6" max="6" width="16.140625" style="1" customWidth="1"/>
    <col min="7" max="7" width="19.140625" style="1" customWidth="1"/>
    <col min="8" max="8" width="19.42578125" style="1" hidden="1" customWidth="1"/>
    <col min="9" max="9" width="19.42578125" style="216" customWidth="1"/>
    <col min="10" max="10" width="22.140625" style="1" customWidth="1"/>
    <col min="11" max="11" width="27.140625" style="2" customWidth="1"/>
    <col min="12" max="13" width="11.42578125" style="1" customWidth="1"/>
    <col min="14" max="14" width="21.85546875" style="1" customWidth="1"/>
    <col min="15" max="16384" width="11.42578125" style="1"/>
  </cols>
  <sheetData>
    <row r="1" spans="1:14" s="14" customFormat="1" ht="7.5" customHeight="1" thickBot="1" x14ac:dyDescent="0.75">
      <c r="A1" s="2051" t="s">
        <v>15</v>
      </c>
      <c r="B1" s="2051"/>
      <c r="C1" s="2051"/>
      <c r="D1" s="2051"/>
      <c r="E1" s="11"/>
      <c r="F1" s="12"/>
      <c r="G1" s="13"/>
      <c r="H1" s="15"/>
      <c r="I1" s="219"/>
      <c r="J1" s="16"/>
      <c r="K1" s="17"/>
    </row>
    <row r="2" spans="1:14" ht="42" customHeight="1" thickBot="1" x14ac:dyDescent="0.35">
      <c r="A2" s="4" t="s">
        <v>4</v>
      </c>
      <c r="B2" s="2052" t="s">
        <v>5</v>
      </c>
      <c r="C2" s="2053"/>
      <c r="D2" s="2053"/>
      <c r="E2" s="2054"/>
      <c r="F2" s="2055" t="s">
        <v>160</v>
      </c>
      <c r="G2" s="2055" t="s">
        <v>2</v>
      </c>
      <c r="H2" s="2046" t="s">
        <v>6</v>
      </c>
      <c r="I2" s="2048" t="s">
        <v>16</v>
      </c>
      <c r="J2" s="2050" t="s">
        <v>7</v>
      </c>
      <c r="K2" s="2044" t="s">
        <v>161</v>
      </c>
      <c r="L2" s="2"/>
    </row>
    <row r="3" spans="1:14" ht="62.25" customHeight="1" thickBot="1" x14ac:dyDescent="0.35">
      <c r="A3" s="4" t="s">
        <v>4</v>
      </c>
      <c r="B3" s="289" t="s">
        <v>0</v>
      </c>
      <c r="C3" s="290" t="s">
        <v>3</v>
      </c>
      <c r="D3" s="289" t="s">
        <v>1</v>
      </c>
      <c r="E3" s="291" t="s">
        <v>2</v>
      </c>
      <c r="F3" s="2056"/>
      <c r="G3" s="2056"/>
      <c r="H3" s="2047"/>
      <c r="I3" s="2049"/>
      <c r="J3" s="2050"/>
      <c r="K3" s="2045"/>
      <c r="L3" s="2"/>
    </row>
    <row r="4" spans="1:14" ht="19.5" thickBot="1" x14ac:dyDescent="0.35">
      <c r="A4" s="5">
        <v>42736</v>
      </c>
      <c r="B4" s="318">
        <v>1860</v>
      </c>
      <c r="C4" s="318">
        <v>4352</v>
      </c>
      <c r="D4" s="318">
        <v>55</v>
      </c>
      <c r="E4" s="18">
        <v>6267</v>
      </c>
      <c r="F4" s="323">
        <v>18275</v>
      </c>
      <c r="G4" s="19">
        <v>3711725</v>
      </c>
      <c r="H4" s="287"/>
      <c r="I4" s="292">
        <v>3669000</v>
      </c>
      <c r="J4" s="294">
        <v>-42900</v>
      </c>
      <c r="K4" s="6" t="s">
        <v>162</v>
      </c>
      <c r="N4" s="10"/>
    </row>
    <row r="5" spans="1:14" ht="20.25" customHeight="1" thickBot="1" x14ac:dyDescent="0.35">
      <c r="A5" s="5">
        <v>42737</v>
      </c>
      <c r="B5" s="318">
        <v>3112</v>
      </c>
      <c r="C5" s="318">
        <v>3033</v>
      </c>
      <c r="D5" s="318">
        <v>138</v>
      </c>
      <c r="E5" s="20">
        <v>6283</v>
      </c>
      <c r="F5" s="323">
        <v>9250</v>
      </c>
      <c r="G5" s="19">
        <v>3762085</v>
      </c>
      <c r="H5" s="287"/>
      <c r="I5" s="292">
        <v>3764500</v>
      </c>
      <c r="J5" s="294">
        <v>2465</v>
      </c>
      <c r="K5" s="6" t="s">
        <v>163</v>
      </c>
      <c r="N5" s="10"/>
    </row>
    <row r="6" spans="1:14" ht="20.25" customHeight="1" thickBot="1" x14ac:dyDescent="0.35">
      <c r="A6" s="5">
        <v>42738</v>
      </c>
      <c r="B6" s="318">
        <v>3168</v>
      </c>
      <c r="C6" s="318">
        <v>3733</v>
      </c>
      <c r="D6" s="318">
        <v>440</v>
      </c>
      <c r="E6" s="20">
        <v>7341</v>
      </c>
      <c r="F6" s="323">
        <v>20800</v>
      </c>
      <c r="G6" s="19">
        <v>4317115</v>
      </c>
      <c r="H6" s="287"/>
      <c r="I6" s="293">
        <v>4314000</v>
      </c>
      <c r="J6" s="294">
        <v>-2890</v>
      </c>
      <c r="K6" s="6" t="s">
        <v>164</v>
      </c>
      <c r="N6" s="10"/>
    </row>
    <row r="7" spans="1:14" s="216" customFormat="1" ht="19.5" thickBot="1" x14ac:dyDescent="0.35">
      <c r="A7" s="5">
        <v>42739</v>
      </c>
      <c r="B7" s="318">
        <v>2781</v>
      </c>
      <c r="C7" s="318">
        <v>3580</v>
      </c>
      <c r="D7" s="318">
        <v>160</v>
      </c>
      <c r="E7" s="20">
        <v>6521</v>
      </c>
      <c r="F7" s="323">
        <v>15675</v>
      </c>
      <c r="G7" s="215">
        <v>3882205</v>
      </c>
      <c r="H7" s="287"/>
      <c r="I7" s="293">
        <v>3882000</v>
      </c>
      <c r="J7" s="294">
        <v>-130</v>
      </c>
      <c r="K7" s="205" t="s">
        <v>165</v>
      </c>
      <c r="N7" s="217"/>
    </row>
    <row r="8" spans="1:14" s="3" customFormat="1" ht="19.5" customHeight="1" thickBot="1" x14ac:dyDescent="0.35">
      <c r="A8" s="5">
        <v>42740</v>
      </c>
      <c r="B8" s="318">
        <v>3259</v>
      </c>
      <c r="C8" s="318">
        <v>6136</v>
      </c>
      <c r="D8" s="318">
        <v>269</v>
      </c>
      <c r="E8" s="20">
        <v>9664</v>
      </c>
      <c r="F8" s="323">
        <v>11100</v>
      </c>
      <c r="G8" s="19">
        <v>5686620</v>
      </c>
      <c r="H8" s="287"/>
      <c r="I8" s="293">
        <v>5612000</v>
      </c>
      <c r="J8" s="294">
        <v>-74395</v>
      </c>
      <c r="K8" s="7" t="s">
        <v>166</v>
      </c>
      <c r="N8" s="25"/>
    </row>
    <row r="9" spans="1:14" s="3" customFormat="1" ht="20.25" customHeight="1" thickBot="1" x14ac:dyDescent="0.35">
      <c r="A9" s="5">
        <v>42741</v>
      </c>
      <c r="B9" s="318">
        <v>3948</v>
      </c>
      <c r="C9" s="318">
        <v>7300</v>
      </c>
      <c r="D9" s="318">
        <v>197</v>
      </c>
      <c r="E9" s="20">
        <v>11445</v>
      </c>
      <c r="F9" s="323">
        <v>30700</v>
      </c>
      <c r="G9" s="19">
        <v>6784390</v>
      </c>
      <c r="H9" s="287"/>
      <c r="I9" s="293">
        <v>6781500</v>
      </c>
      <c r="J9" s="294">
        <v>-2840</v>
      </c>
      <c r="K9" s="7" t="s">
        <v>167</v>
      </c>
      <c r="N9" s="25"/>
    </row>
    <row r="10" spans="1:14" s="3" customFormat="1" ht="20.25" customHeight="1" thickBot="1" x14ac:dyDescent="0.35">
      <c r="A10" s="5">
        <v>42742</v>
      </c>
      <c r="B10" s="319">
        <v>4064</v>
      </c>
      <c r="C10" s="319">
        <v>8616</v>
      </c>
      <c r="D10" s="320">
        <v>298</v>
      </c>
      <c r="E10" s="21">
        <v>12978</v>
      </c>
      <c r="F10" s="323">
        <v>33725</v>
      </c>
      <c r="G10" s="19">
        <v>7652545</v>
      </c>
      <c r="H10" s="287"/>
      <c r="I10" s="293">
        <v>7651000</v>
      </c>
      <c r="J10" s="294">
        <v>-1570</v>
      </c>
      <c r="K10" s="7" t="s">
        <v>168</v>
      </c>
      <c r="N10" s="25"/>
    </row>
    <row r="11" spans="1:14" s="3" customFormat="1" ht="20.25" customHeight="1" thickBot="1" x14ac:dyDescent="0.35">
      <c r="A11" s="5">
        <v>42743</v>
      </c>
      <c r="B11" s="319">
        <v>3960</v>
      </c>
      <c r="C11" s="319">
        <v>3845</v>
      </c>
      <c r="D11" s="320">
        <v>182</v>
      </c>
      <c r="E11" s="21">
        <v>7987</v>
      </c>
      <c r="F11" s="323">
        <v>9250</v>
      </c>
      <c r="G11" s="19">
        <v>4778625</v>
      </c>
      <c r="H11" s="287"/>
      <c r="I11" s="292">
        <v>4778500</v>
      </c>
      <c r="J11" s="294">
        <v>-25</v>
      </c>
      <c r="K11" s="7" t="s">
        <v>169</v>
      </c>
      <c r="M11" s="8"/>
      <c r="N11" s="25"/>
    </row>
    <row r="12" spans="1:14" ht="19.5" customHeight="1" thickBot="1" x14ac:dyDescent="0.35">
      <c r="A12" s="5">
        <v>42744</v>
      </c>
      <c r="B12" s="319">
        <v>2542</v>
      </c>
      <c r="C12" s="319">
        <v>4095</v>
      </c>
      <c r="D12" s="320">
        <v>124</v>
      </c>
      <c r="E12" s="20">
        <v>6761</v>
      </c>
      <c r="F12" s="323">
        <v>20800</v>
      </c>
      <c r="G12" s="19">
        <v>4020285</v>
      </c>
      <c r="H12" s="287"/>
      <c r="I12" s="292">
        <v>3971000</v>
      </c>
      <c r="J12" s="294">
        <v>-49460</v>
      </c>
      <c r="K12" s="6" t="s">
        <v>170</v>
      </c>
      <c r="N12" s="9"/>
    </row>
    <row r="13" spans="1:14" ht="19.5" thickBot="1" x14ac:dyDescent="0.35">
      <c r="A13" s="5">
        <v>42745</v>
      </c>
      <c r="B13" s="319">
        <v>2303</v>
      </c>
      <c r="C13" s="319">
        <v>5027</v>
      </c>
      <c r="D13" s="320">
        <v>205</v>
      </c>
      <c r="E13" s="20">
        <v>7535</v>
      </c>
      <c r="F13" s="323">
        <v>11275</v>
      </c>
      <c r="G13" s="19">
        <v>4424440</v>
      </c>
      <c r="H13" s="287"/>
      <c r="I13" s="292">
        <v>4415500</v>
      </c>
      <c r="J13" s="294">
        <v>-9040</v>
      </c>
      <c r="K13" s="6" t="s">
        <v>171</v>
      </c>
      <c r="N13" s="9"/>
    </row>
    <row r="14" spans="1:14" s="216" customFormat="1" ht="19.5" thickBot="1" x14ac:dyDescent="0.35">
      <c r="A14" s="5">
        <v>42746</v>
      </c>
      <c r="B14" s="319">
        <v>2103</v>
      </c>
      <c r="C14" s="319">
        <v>7486</v>
      </c>
      <c r="D14" s="320">
        <v>129</v>
      </c>
      <c r="E14" s="214">
        <v>9718</v>
      </c>
      <c r="F14" s="323">
        <v>24650</v>
      </c>
      <c r="G14" s="19">
        <v>5699140</v>
      </c>
      <c r="H14" s="287"/>
      <c r="I14" s="292">
        <v>5695500</v>
      </c>
      <c r="J14" s="294">
        <v>-3590</v>
      </c>
      <c r="K14" s="205" t="s">
        <v>172</v>
      </c>
      <c r="N14" s="218"/>
    </row>
    <row r="15" spans="1:14" ht="19.5" thickBot="1" x14ac:dyDescent="0.35">
      <c r="A15" s="5">
        <v>42747</v>
      </c>
      <c r="B15" s="319">
        <v>2493</v>
      </c>
      <c r="C15" s="319">
        <v>5741</v>
      </c>
      <c r="D15" s="320">
        <v>240</v>
      </c>
      <c r="E15" s="20">
        <v>8474</v>
      </c>
      <c r="F15" s="323">
        <v>102475</v>
      </c>
      <c r="G15" s="19">
        <v>5058140</v>
      </c>
      <c r="H15" s="287"/>
      <c r="I15" s="325">
        <v>4942500</v>
      </c>
      <c r="J15" s="294">
        <v>-115540</v>
      </c>
      <c r="K15" s="6" t="s">
        <v>173</v>
      </c>
      <c r="N15" s="9"/>
    </row>
    <row r="16" spans="1:14" ht="20.25" customHeight="1" thickBot="1" x14ac:dyDescent="0.35">
      <c r="A16" s="306" t="s">
        <v>159</v>
      </c>
      <c r="B16" s="321">
        <v>1626</v>
      </c>
      <c r="C16" s="321">
        <v>3664</v>
      </c>
      <c r="D16" s="322">
        <v>78</v>
      </c>
      <c r="E16" s="307">
        <v>5368</v>
      </c>
      <c r="F16" s="324">
        <v>33300</v>
      </c>
      <c r="G16" s="308">
        <v>3191780</v>
      </c>
      <c r="H16" s="309"/>
      <c r="I16" s="326">
        <v>2702125</v>
      </c>
      <c r="J16" s="310">
        <v>-492655</v>
      </c>
      <c r="K16" s="311" t="s">
        <v>174</v>
      </c>
      <c r="N16" s="9"/>
    </row>
    <row r="17" spans="1:11" ht="19.5" thickBot="1" x14ac:dyDescent="0.35">
      <c r="A17" s="312" t="s">
        <v>12</v>
      </c>
      <c r="B17" s="313">
        <v>37219</v>
      </c>
      <c r="C17" s="314">
        <v>66608</v>
      </c>
      <c r="D17" s="314">
        <v>2515</v>
      </c>
      <c r="E17" s="315">
        <v>106342</v>
      </c>
      <c r="F17" s="315">
        <v>341275</v>
      </c>
      <c r="G17" s="313">
        <v>62969095</v>
      </c>
      <c r="H17" s="314">
        <v>0</v>
      </c>
      <c r="I17" s="305">
        <v>59477000</v>
      </c>
      <c r="J17" s="316">
        <v>-3491695</v>
      </c>
      <c r="K17" s="317"/>
    </row>
    <row r="18" spans="1:11" x14ac:dyDescent="0.3">
      <c r="F18" s="22"/>
      <c r="G18" s="22"/>
      <c r="H18" s="23"/>
      <c r="I18" s="23"/>
      <c r="J18" s="22"/>
    </row>
    <row r="19" spans="1:11" x14ac:dyDescent="0.3">
      <c r="F19" s="22"/>
      <c r="G19" s="22"/>
      <c r="H19" s="23"/>
      <c r="I19" s="23"/>
      <c r="J19" s="22"/>
    </row>
    <row r="20" spans="1:11" x14ac:dyDescent="0.3">
      <c r="F20" s="22"/>
      <c r="G20" s="22"/>
      <c r="H20" s="23"/>
      <c r="I20" s="23"/>
      <c r="J20" s="22"/>
    </row>
    <row r="21" spans="1:11" x14ac:dyDescent="0.3">
      <c r="F21" s="22"/>
      <c r="G21" s="22"/>
      <c r="H21" s="23"/>
      <c r="I21" s="23"/>
      <c r="J21" s="22"/>
    </row>
    <row r="22" spans="1:11" x14ac:dyDescent="0.3">
      <c r="F22" s="22"/>
      <c r="G22" s="24"/>
      <c r="H22" s="24"/>
      <c r="I22" s="24"/>
      <c r="J22" s="24"/>
    </row>
    <row r="23" spans="1:11" x14ac:dyDescent="0.3">
      <c r="H23" s="10"/>
      <c r="I23" s="217"/>
      <c r="J23" s="10"/>
    </row>
    <row r="24" spans="1:11" x14ac:dyDescent="0.3">
      <c r="H24" s="10"/>
      <c r="I24" s="217"/>
      <c r="J24" s="10"/>
    </row>
    <row r="25" spans="1:11" x14ac:dyDescent="0.3">
      <c r="H25" s="10"/>
      <c r="I25" s="217"/>
      <c r="J25" s="10"/>
    </row>
    <row r="26" spans="1:11" x14ac:dyDescent="0.3">
      <c r="H26" s="10"/>
      <c r="I26" s="217"/>
      <c r="J26" s="10"/>
    </row>
    <row r="27" spans="1:11" x14ac:dyDescent="0.3">
      <c r="H27" s="10"/>
      <c r="I27" s="217"/>
      <c r="J27" s="10"/>
    </row>
    <row r="28" spans="1:11" x14ac:dyDescent="0.3">
      <c r="H28" s="10"/>
      <c r="I28" s="217"/>
      <c r="J28" s="10"/>
    </row>
    <row r="29" spans="1:11" x14ac:dyDescent="0.3">
      <c r="H29" s="10"/>
      <c r="I29" s="217"/>
      <c r="J29" s="10"/>
    </row>
    <row r="30" spans="1:11" ht="15" customHeight="1" x14ac:dyDescent="0.3">
      <c r="H30" s="10"/>
      <c r="I30" s="217"/>
      <c r="J30" s="10"/>
    </row>
    <row r="31" spans="1:11" ht="15.75" customHeight="1" x14ac:dyDescent="0.3">
      <c r="H31" s="10"/>
      <c r="I31" s="217"/>
      <c r="J31" s="10"/>
    </row>
    <row r="32" spans="1:11" x14ac:dyDescent="0.3">
      <c r="H32" s="10"/>
      <c r="I32" s="217"/>
      <c r="J32" s="10"/>
    </row>
    <row r="33" spans="8:10" x14ac:dyDescent="0.3">
      <c r="H33" s="10"/>
      <c r="I33" s="217"/>
      <c r="J33" s="10"/>
    </row>
    <row r="34" spans="8:10" x14ac:dyDescent="0.3">
      <c r="H34" s="10"/>
      <c r="I34" s="217"/>
      <c r="J34" s="10"/>
    </row>
    <row r="35" spans="8:10" x14ac:dyDescent="0.3">
      <c r="H35" s="10"/>
      <c r="I35" s="217"/>
      <c r="J35" s="10"/>
    </row>
    <row r="36" spans="8:10" x14ac:dyDescent="0.3">
      <c r="H36" s="10"/>
      <c r="I36" s="217"/>
      <c r="J36" s="10"/>
    </row>
    <row r="45" spans="8:10" ht="15" customHeight="1" x14ac:dyDescent="0.3"/>
    <row r="46" spans="8:10" ht="15.75" customHeight="1" x14ac:dyDescent="0.3"/>
    <row r="57" ht="15" customHeight="1" x14ac:dyDescent="0.3"/>
    <row r="58" ht="15.75" customHeight="1" x14ac:dyDescent="0.3"/>
    <row r="69" ht="15" customHeight="1" x14ac:dyDescent="0.3"/>
    <row r="70" ht="15.75" customHeight="1" x14ac:dyDescent="0.3"/>
    <row r="81" ht="15" customHeight="1" x14ac:dyDescent="0.3"/>
    <row r="82" ht="15.75" customHeight="1" x14ac:dyDescent="0.3"/>
    <row r="93" ht="15" customHeight="1" x14ac:dyDescent="0.3"/>
    <row r="94" ht="15.75" customHeight="1" x14ac:dyDescent="0.3"/>
    <row r="105" ht="15" customHeight="1" x14ac:dyDescent="0.3"/>
    <row r="106" ht="15.75" customHeight="1" x14ac:dyDescent="0.3"/>
    <row r="117" ht="15" customHeight="1" x14ac:dyDescent="0.3"/>
    <row r="118" ht="15.75" customHeight="1" x14ac:dyDescent="0.3"/>
    <row r="129" ht="15" customHeight="1" x14ac:dyDescent="0.3"/>
    <row r="130" ht="15.75" customHeight="1" x14ac:dyDescent="0.3"/>
    <row r="141" ht="15" customHeight="1" x14ac:dyDescent="0.3"/>
    <row r="142" ht="15.75" customHeight="1" x14ac:dyDescent="0.3"/>
    <row r="153" ht="15" customHeight="1" x14ac:dyDescent="0.3"/>
    <row r="154" ht="15.75" customHeight="1" x14ac:dyDescent="0.3"/>
    <row r="165" ht="15" customHeight="1" x14ac:dyDescent="0.3"/>
    <row r="166" ht="15.75" customHeight="1" x14ac:dyDescent="0.3"/>
    <row r="177" ht="15" customHeight="1" x14ac:dyDescent="0.3"/>
    <row r="178" ht="15.75" customHeight="1" x14ac:dyDescent="0.3"/>
    <row r="189" ht="15" customHeight="1" x14ac:dyDescent="0.3"/>
    <row r="190" ht="15.75" customHeight="1" x14ac:dyDescent="0.3"/>
    <row r="201" ht="15" customHeight="1" x14ac:dyDescent="0.3"/>
    <row r="202" ht="15.75" customHeight="1" x14ac:dyDescent="0.3"/>
    <row r="211" ht="30.75" customHeight="1" x14ac:dyDescent="0.3"/>
    <row r="212" ht="46.5" customHeight="1" x14ac:dyDescent="0.3"/>
    <row r="213" ht="46.5" customHeight="1" x14ac:dyDescent="0.3"/>
    <row r="214" ht="46.5" customHeight="1" x14ac:dyDescent="0.3"/>
  </sheetData>
  <mergeCells count="8">
    <mergeCell ref="K2:K3"/>
    <mergeCell ref="H2:H3"/>
    <mergeCell ref="I2:I3"/>
    <mergeCell ref="J2:J3"/>
    <mergeCell ref="A1:D1"/>
    <mergeCell ref="B2:E2"/>
    <mergeCell ref="G2:G3"/>
    <mergeCell ref="F2:F3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J11" sqref="J11:J14"/>
    </sheetView>
  </sheetViews>
  <sheetFormatPr baseColWidth="10" defaultColWidth="11.42578125" defaultRowHeight="14.25" x14ac:dyDescent="0.2"/>
  <cols>
    <col min="1" max="1" width="22.42578125" style="111" customWidth="1"/>
    <col min="2" max="2" width="10" style="111" bestFit="1" customWidth="1"/>
    <col min="3" max="3" width="9.42578125" style="111" bestFit="1" customWidth="1"/>
    <col min="4" max="4" width="9.140625" style="111" bestFit="1" customWidth="1"/>
    <col min="5" max="5" width="12.85546875" style="111" bestFit="1" customWidth="1"/>
    <col min="6" max="6" width="12.5703125" style="111" bestFit="1" customWidth="1"/>
    <col min="7" max="7" width="13.85546875" style="111" customWidth="1"/>
    <col min="8" max="9" width="21.42578125" style="111" customWidth="1"/>
    <col min="10" max="11" width="11.42578125" style="118"/>
    <col min="12" max="16384" width="11.42578125" style="111"/>
  </cols>
  <sheetData>
    <row r="1" spans="1:12" ht="22.5" customHeight="1" thickBot="1" x14ac:dyDescent="0.3">
      <c r="A1" s="2060" t="s">
        <v>175</v>
      </c>
      <c r="B1" s="2061"/>
      <c r="C1" s="2061"/>
      <c r="D1" s="2061"/>
      <c r="E1" s="2061"/>
      <c r="F1" s="2061"/>
      <c r="G1" s="2061"/>
      <c r="H1" s="2061"/>
      <c r="I1" s="2062"/>
    </row>
    <row r="2" spans="1:12" x14ac:dyDescent="0.2">
      <c r="A2" s="117" t="s">
        <v>81</v>
      </c>
      <c r="B2" s="122" t="s">
        <v>82</v>
      </c>
      <c r="C2" s="122" t="s">
        <v>83</v>
      </c>
      <c r="D2" s="122" t="s">
        <v>84</v>
      </c>
      <c r="E2" s="122" t="s">
        <v>85</v>
      </c>
      <c r="F2" s="122" t="s">
        <v>86</v>
      </c>
      <c r="G2" s="122" t="s">
        <v>7</v>
      </c>
      <c r="H2" s="126" t="s">
        <v>39</v>
      </c>
      <c r="I2" s="295" t="s">
        <v>176</v>
      </c>
      <c r="L2" s="118"/>
    </row>
    <row r="3" spans="1:12" ht="20.25" x14ac:dyDescent="0.3">
      <c r="A3" s="296" t="s">
        <v>55</v>
      </c>
      <c r="B3" s="300">
        <v>4</v>
      </c>
      <c r="C3" s="112">
        <v>0</v>
      </c>
      <c r="D3" s="112">
        <f>+'SUIVI LUBRIFIANT'!AH3</f>
        <v>0</v>
      </c>
      <c r="E3" s="227">
        <f t="shared" ref="E3:E24" si="0">+B3+C3-D3</f>
        <v>4</v>
      </c>
      <c r="F3" s="303">
        <v>4</v>
      </c>
      <c r="G3" s="277">
        <f>+F3-E3</f>
        <v>0</v>
      </c>
      <c r="H3" s="237">
        <v>34250</v>
      </c>
      <c r="I3" s="299">
        <f>+H3*F3</f>
        <v>137000</v>
      </c>
      <c r="L3" s="118"/>
    </row>
    <row r="4" spans="1:12" ht="20.25" x14ac:dyDescent="0.3">
      <c r="A4" s="296" t="s">
        <v>57</v>
      </c>
      <c r="B4" s="300">
        <v>5</v>
      </c>
      <c r="C4" s="112">
        <v>0</v>
      </c>
      <c r="D4" s="112">
        <f>+'SUIVI LUBRIFIANT'!AH4</f>
        <v>0</v>
      </c>
      <c r="E4" s="227">
        <f t="shared" si="0"/>
        <v>5</v>
      </c>
      <c r="F4" s="303">
        <v>5</v>
      </c>
      <c r="G4" s="277">
        <f t="shared" ref="G4:G24" si="1">+F4-E4</f>
        <v>0</v>
      </c>
      <c r="H4" s="237">
        <v>22750</v>
      </c>
      <c r="I4" s="299">
        <f t="shared" ref="I4:I24" si="2">+H4*F4</f>
        <v>113750</v>
      </c>
      <c r="L4" s="118"/>
    </row>
    <row r="5" spans="1:12" ht="20.25" x14ac:dyDescent="0.3">
      <c r="A5" s="296" t="s">
        <v>58</v>
      </c>
      <c r="B5" s="300">
        <v>9</v>
      </c>
      <c r="C5" s="112">
        <v>0</v>
      </c>
      <c r="D5" s="112">
        <f>+'SUIVI LUBRIFIANT'!AH5</f>
        <v>0</v>
      </c>
      <c r="E5" s="227">
        <f t="shared" si="0"/>
        <v>9</v>
      </c>
      <c r="F5" s="303">
        <f>9-1-1</f>
        <v>7</v>
      </c>
      <c r="G5" s="277">
        <f t="shared" si="1"/>
        <v>-2</v>
      </c>
      <c r="H5" s="237">
        <v>15250</v>
      </c>
      <c r="I5" s="299">
        <f t="shared" si="2"/>
        <v>106750</v>
      </c>
      <c r="J5" s="120"/>
      <c r="L5" s="118"/>
    </row>
    <row r="6" spans="1:12" ht="20.25" x14ac:dyDescent="0.3">
      <c r="A6" s="296" t="s">
        <v>59</v>
      </c>
      <c r="B6" s="300">
        <v>3</v>
      </c>
      <c r="C6" s="112">
        <v>0</v>
      </c>
      <c r="D6" s="112">
        <f>+'SUIVI LUBRIFIANT'!AH6</f>
        <v>0</v>
      </c>
      <c r="E6" s="227">
        <f t="shared" si="0"/>
        <v>3</v>
      </c>
      <c r="F6" s="303">
        <f>3-1</f>
        <v>2</v>
      </c>
      <c r="G6" s="277">
        <f t="shared" si="1"/>
        <v>-1</v>
      </c>
      <c r="H6" s="237">
        <v>22250</v>
      </c>
      <c r="I6" s="299">
        <f t="shared" si="2"/>
        <v>44500</v>
      </c>
      <c r="L6" s="118"/>
    </row>
    <row r="7" spans="1:12" ht="20.25" x14ac:dyDescent="0.3">
      <c r="A7" s="296" t="s">
        <v>60</v>
      </c>
      <c r="B7" s="300">
        <v>21</v>
      </c>
      <c r="C7" s="112">
        <v>0</v>
      </c>
      <c r="D7" s="112">
        <f>+'SUIVI LUBRIFIANT'!AH7</f>
        <v>0</v>
      </c>
      <c r="E7" s="227">
        <f t="shared" si="0"/>
        <v>21</v>
      </c>
      <c r="F7" s="303">
        <f>21-3-2-2-1-1</f>
        <v>12</v>
      </c>
      <c r="G7" s="277">
        <f t="shared" si="1"/>
        <v>-9</v>
      </c>
      <c r="H7" s="237">
        <v>2025</v>
      </c>
      <c r="I7" s="299">
        <f t="shared" si="2"/>
        <v>24300</v>
      </c>
      <c r="L7" s="118"/>
    </row>
    <row r="8" spans="1:12" ht="20.25" x14ac:dyDescent="0.3">
      <c r="A8" s="297" t="s">
        <v>62</v>
      </c>
      <c r="B8" s="300">
        <v>9</v>
      </c>
      <c r="C8" s="112">
        <v>0</v>
      </c>
      <c r="D8" s="112">
        <f>+'SUIVI LUBRIFIANT'!AH8</f>
        <v>1</v>
      </c>
      <c r="E8" s="227">
        <f t="shared" si="0"/>
        <v>8</v>
      </c>
      <c r="F8" s="303">
        <v>6</v>
      </c>
      <c r="G8" s="277">
        <f t="shared" si="1"/>
        <v>-2</v>
      </c>
      <c r="H8" s="237">
        <v>12950</v>
      </c>
      <c r="I8" s="299">
        <f t="shared" si="2"/>
        <v>77700</v>
      </c>
      <c r="J8" s="120">
        <f>+G8*H8</f>
        <v>-25900</v>
      </c>
      <c r="L8" s="118"/>
    </row>
    <row r="9" spans="1:12" s="114" customFormat="1" ht="20.25" x14ac:dyDescent="0.3">
      <c r="A9" s="296" t="s">
        <v>63</v>
      </c>
      <c r="B9" s="300">
        <v>39</v>
      </c>
      <c r="C9" s="112">
        <v>0</v>
      </c>
      <c r="D9" s="112">
        <f>+'SUIVI LUBRIFIANT'!AH9</f>
        <v>0</v>
      </c>
      <c r="E9" s="227">
        <f t="shared" si="0"/>
        <v>39</v>
      </c>
      <c r="F9" s="303">
        <v>38</v>
      </c>
      <c r="G9" s="277">
        <f t="shared" si="1"/>
        <v>-1</v>
      </c>
      <c r="H9" s="237">
        <v>3250</v>
      </c>
      <c r="I9" s="299">
        <f t="shared" si="2"/>
        <v>123500</v>
      </c>
      <c r="J9" s="120">
        <f t="shared" ref="J9:J17" si="3">+G9*H9</f>
        <v>-3250</v>
      </c>
      <c r="K9" s="120"/>
      <c r="L9" s="118"/>
    </row>
    <row r="10" spans="1:12" s="114" customFormat="1" ht="20.25" x14ac:dyDescent="0.3">
      <c r="A10" s="296" t="s">
        <v>64</v>
      </c>
      <c r="B10" s="300">
        <v>194</v>
      </c>
      <c r="C10" s="112">
        <v>0</v>
      </c>
      <c r="D10" s="112">
        <f>+'SUIVI LUBRIFIANT'!AH11</f>
        <v>0</v>
      </c>
      <c r="E10" s="227">
        <f t="shared" si="0"/>
        <v>194</v>
      </c>
      <c r="F10" s="303">
        <f>194-3-5</f>
        <v>186</v>
      </c>
      <c r="G10" s="277">
        <f t="shared" si="1"/>
        <v>-8</v>
      </c>
      <c r="H10" s="237">
        <v>2550</v>
      </c>
      <c r="I10" s="299">
        <f t="shared" si="2"/>
        <v>474300</v>
      </c>
      <c r="J10" s="120">
        <f t="shared" si="3"/>
        <v>-20400</v>
      </c>
      <c r="K10" s="118"/>
      <c r="L10" s="118"/>
    </row>
    <row r="11" spans="1:12" s="114" customFormat="1" ht="20.25" x14ac:dyDescent="0.3">
      <c r="A11" s="296" t="s">
        <v>66</v>
      </c>
      <c r="B11" s="300">
        <v>12</v>
      </c>
      <c r="C11" s="112">
        <v>0</v>
      </c>
      <c r="D11" s="112">
        <f>+'SUIVI LUBRIFIANT'!AH12</f>
        <v>1</v>
      </c>
      <c r="E11" s="227">
        <f t="shared" si="0"/>
        <v>11</v>
      </c>
      <c r="F11" s="303">
        <v>12</v>
      </c>
      <c r="G11" s="277">
        <f t="shared" si="1"/>
        <v>1</v>
      </c>
      <c r="H11" s="237">
        <v>2025</v>
      </c>
      <c r="I11" s="299">
        <f t="shared" si="2"/>
        <v>24300</v>
      </c>
      <c r="J11" s="120">
        <f t="shared" si="3"/>
        <v>2025</v>
      </c>
      <c r="K11" s="118"/>
      <c r="L11" s="118"/>
    </row>
    <row r="12" spans="1:12" ht="20.25" x14ac:dyDescent="0.3">
      <c r="A12" s="296" t="s">
        <v>66</v>
      </c>
      <c r="B12" s="300"/>
      <c r="C12" s="112">
        <v>0</v>
      </c>
      <c r="D12" s="112">
        <f>+'SUIVI LUBRIFIANT'!AH13</f>
        <v>0</v>
      </c>
      <c r="E12" s="227">
        <f t="shared" si="0"/>
        <v>0</v>
      </c>
      <c r="F12" s="303">
        <v>0</v>
      </c>
      <c r="G12" s="277">
        <f t="shared" si="1"/>
        <v>0</v>
      </c>
      <c r="H12" s="237">
        <v>64000</v>
      </c>
      <c r="I12" s="299">
        <f t="shared" si="2"/>
        <v>0</v>
      </c>
      <c r="J12" s="120">
        <f t="shared" si="3"/>
        <v>0</v>
      </c>
      <c r="L12" s="118"/>
    </row>
    <row r="13" spans="1:12" s="114" customFormat="1" ht="20.25" x14ac:dyDescent="0.3">
      <c r="A13" s="296" t="s">
        <v>66</v>
      </c>
      <c r="B13" s="300">
        <v>47</v>
      </c>
      <c r="C13" s="112">
        <v>0</v>
      </c>
      <c r="D13" s="112">
        <f>+'SUIVI LUBRIFIANT'!AH14</f>
        <v>0</v>
      </c>
      <c r="E13" s="227">
        <f t="shared" si="0"/>
        <v>47</v>
      </c>
      <c r="F13" s="303">
        <f>47-2.32558-2.32558</f>
        <v>42.348839999999996</v>
      </c>
      <c r="G13" s="277">
        <f t="shared" si="1"/>
        <v>-4.6511600000000044</v>
      </c>
      <c r="H13" s="237">
        <v>4300</v>
      </c>
      <c r="I13" s="299">
        <f t="shared" si="2"/>
        <v>182100.01199999999</v>
      </c>
      <c r="J13" s="120">
        <f t="shared" si="3"/>
        <v>-19999.988000000019</v>
      </c>
      <c r="K13" s="118"/>
      <c r="L13" s="118"/>
    </row>
    <row r="14" spans="1:12" s="114" customFormat="1" ht="20.25" x14ac:dyDescent="0.3">
      <c r="A14" s="296" t="s">
        <v>134</v>
      </c>
      <c r="B14" s="300">
        <v>445</v>
      </c>
      <c r="C14" s="112">
        <v>0</v>
      </c>
      <c r="D14" s="112">
        <f>+'SUIVI LUBRIFIANT'!AH15</f>
        <v>0</v>
      </c>
      <c r="E14" s="227">
        <f t="shared" si="0"/>
        <v>445</v>
      </c>
      <c r="F14" s="303">
        <v>355.5</v>
      </c>
      <c r="G14" s="277">
        <f>+F14-E14</f>
        <v>-89.5</v>
      </c>
      <c r="H14" s="237">
        <v>1850</v>
      </c>
      <c r="I14" s="299">
        <f t="shared" si="2"/>
        <v>657675</v>
      </c>
      <c r="J14" s="120">
        <f t="shared" si="3"/>
        <v>-165575</v>
      </c>
      <c r="K14" s="118"/>
      <c r="L14" s="118"/>
    </row>
    <row r="15" spans="1:12" ht="20.25" x14ac:dyDescent="0.3">
      <c r="A15" s="296" t="s">
        <v>64</v>
      </c>
      <c r="B15" s="300">
        <v>14</v>
      </c>
      <c r="C15" s="112">
        <v>0</v>
      </c>
      <c r="D15" s="112">
        <f>+'SUIVI LUBRIFIANT'!AH16</f>
        <v>0</v>
      </c>
      <c r="E15" s="227">
        <f t="shared" si="0"/>
        <v>14</v>
      </c>
      <c r="F15" s="303">
        <v>14</v>
      </c>
      <c r="G15" s="277">
        <f t="shared" si="1"/>
        <v>0</v>
      </c>
      <c r="H15" s="237">
        <v>15250</v>
      </c>
      <c r="I15" s="299">
        <f t="shared" si="2"/>
        <v>213500</v>
      </c>
      <c r="J15" s="120">
        <f t="shared" si="3"/>
        <v>0</v>
      </c>
      <c r="L15" s="118"/>
    </row>
    <row r="16" spans="1:12" ht="20.25" x14ac:dyDescent="0.3">
      <c r="A16" s="296" t="s">
        <v>64</v>
      </c>
      <c r="B16" s="300">
        <v>0</v>
      </c>
      <c r="C16" s="112">
        <v>0</v>
      </c>
      <c r="D16" s="112">
        <f>+'SUIVI LUBRIFIANT'!AH17</f>
        <v>0</v>
      </c>
      <c r="E16" s="227">
        <f t="shared" si="0"/>
        <v>0</v>
      </c>
      <c r="F16" s="303">
        <v>0</v>
      </c>
      <c r="G16" s="277">
        <f t="shared" si="1"/>
        <v>0</v>
      </c>
      <c r="H16" s="237">
        <v>53975</v>
      </c>
      <c r="I16" s="299">
        <f t="shared" si="2"/>
        <v>0</v>
      </c>
      <c r="J16" s="120">
        <f t="shared" si="3"/>
        <v>0</v>
      </c>
      <c r="L16" s="118"/>
    </row>
    <row r="17" spans="1:12" ht="20.25" x14ac:dyDescent="0.3">
      <c r="A17" s="296" t="s">
        <v>125</v>
      </c>
      <c r="B17" s="300">
        <v>2</v>
      </c>
      <c r="C17" s="112">
        <v>0</v>
      </c>
      <c r="D17" s="112">
        <f>+'SUIVI LUBRIFIANT'!AH18</f>
        <v>0</v>
      </c>
      <c r="E17" s="227">
        <f t="shared" si="0"/>
        <v>2</v>
      </c>
      <c r="F17" s="303">
        <v>2</v>
      </c>
      <c r="G17" s="277">
        <f t="shared" si="1"/>
        <v>0</v>
      </c>
      <c r="H17" s="237">
        <v>50950</v>
      </c>
      <c r="I17" s="299">
        <f t="shared" si="2"/>
        <v>101900</v>
      </c>
      <c r="J17" s="120">
        <f t="shared" si="3"/>
        <v>0</v>
      </c>
      <c r="L17" s="118"/>
    </row>
    <row r="18" spans="1:12" ht="20.25" x14ac:dyDescent="0.3">
      <c r="A18" s="296" t="s">
        <v>124</v>
      </c>
      <c r="B18" s="300">
        <v>7</v>
      </c>
      <c r="C18" s="112">
        <v>0</v>
      </c>
      <c r="D18" s="112">
        <f>+'SUIVI LUBRIFIANT'!AH19</f>
        <v>0</v>
      </c>
      <c r="E18" s="227">
        <f t="shared" si="0"/>
        <v>7</v>
      </c>
      <c r="F18" s="303">
        <v>7</v>
      </c>
      <c r="G18" s="277">
        <f t="shared" si="1"/>
        <v>0</v>
      </c>
      <c r="H18" s="237">
        <v>18250</v>
      </c>
      <c r="I18" s="299">
        <f t="shared" si="2"/>
        <v>127750</v>
      </c>
      <c r="L18" s="118"/>
    </row>
    <row r="19" spans="1:12" ht="20.25" x14ac:dyDescent="0.3">
      <c r="A19" s="296" t="s">
        <v>126</v>
      </c>
      <c r="B19" s="300">
        <v>2</v>
      </c>
      <c r="C19" s="112">
        <v>0</v>
      </c>
      <c r="D19" s="112">
        <f>+'SUIVI LUBRIFIANT'!AH20</f>
        <v>0</v>
      </c>
      <c r="E19" s="227">
        <f t="shared" si="0"/>
        <v>2</v>
      </c>
      <c r="F19" s="303">
        <v>2</v>
      </c>
      <c r="G19" s="277">
        <f t="shared" si="1"/>
        <v>0</v>
      </c>
      <c r="H19" s="237">
        <v>68975</v>
      </c>
      <c r="I19" s="299">
        <f t="shared" si="2"/>
        <v>137950</v>
      </c>
      <c r="L19" s="118"/>
    </row>
    <row r="20" spans="1:12" ht="20.25" x14ac:dyDescent="0.3">
      <c r="A20" s="296" t="s">
        <v>71</v>
      </c>
      <c r="B20" s="300">
        <v>0</v>
      </c>
      <c r="C20" s="112">
        <v>0</v>
      </c>
      <c r="D20" s="112">
        <f>+'SUIVI LUBRIFIANT'!AH21</f>
        <v>0</v>
      </c>
      <c r="E20" s="227">
        <f t="shared" si="0"/>
        <v>0</v>
      </c>
      <c r="F20" s="303">
        <v>0</v>
      </c>
      <c r="G20" s="277">
        <f t="shared" si="1"/>
        <v>0</v>
      </c>
      <c r="H20" s="237">
        <v>49000</v>
      </c>
      <c r="I20" s="299">
        <f t="shared" si="2"/>
        <v>0</v>
      </c>
      <c r="L20" s="118"/>
    </row>
    <row r="21" spans="1:12" ht="20.25" x14ac:dyDescent="0.3">
      <c r="A21" s="296" t="s">
        <v>72</v>
      </c>
      <c r="B21" s="300">
        <v>0</v>
      </c>
      <c r="C21" s="112">
        <v>0</v>
      </c>
      <c r="D21" s="112">
        <f>+'SUIVI LUBRIFIANT'!AH22</f>
        <v>0</v>
      </c>
      <c r="E21" s="227">
        <f t="shared" si="0"/>
        <v>0</v>
      </c>
      <c r="F21" s="303">
        <v>0</v>
      </c>
      <c r="G21" s="277">
        <f t="shared" si="1"/>
        <v>0</v>
      </c>
      <c r="H21" s="238">
        <v>1750</v>
      </c>
      <c r="I21" s="299">
        <f t="shared" si="2"/>
        <v>0</v>
      </c>
      <c r="L21" s="118"/>
    </row>
    <row r="22" spans="1:12" ht="20.25" x14ac:dyDescent="0.3">
      <c r="A22" s="296" t="s">
        <v>74</v>
      </c>
      <c r="B22" s="300">
        <v>30</v>
      </c>
      <c r="C22" s="112">
        <v>0</v>
      </c>
      <c r="D22" s="112">
        <f>+'SUIVI LUBRIFIANT'!AH24</f>
        <v>0</v>
      </c>
      <c r="E22" s="227">
        <f t="shared" si="0"/>
        <v>30</v>
      </c>
      <c r="F22" s="303">
        <f>30-2-1-2</f>
        <v>25</v>
      </c>
      <c r="G22" s="277">
        <f t="shared" si="1"/>
        <v>-5</v>
      </c>
      <c r="H22" s="238">
        <v>1675</v>
      </c>
      <c r="I22" s="299">
        <f t="shared" si="2"/>
        <v>41875</v>
      </c>
      <c r="L22" s="118"/>
    </row>
    <row r="23" spans="1:12" ht="20.25" x14ac:dyDescent="0.3">
      <c r="A23" s="296" t="s">
        <v>76</v>
      </c>
      <c r="B23" s="300">
        <v>7</v>
      </c>
      <c r="C23" s="112">
        <v>0</v>
      </c>
      <c r="D23" s="112">
        <f>+'SUIVI LUBRIFIANT'!AH27</f>
        <v>0</v>
      </c>
      <c r="E23" s="227">
        <f t="shared" si="0"/>
        <v>7</v>
      </c>
      <c r="F23" s="303">
        <f>7-1</f>
        <v>6</v>
      </c>
      <c r="G23" s="277">
        <f t="shared" si="1"/>
        <v>-1</v>
      </c>
      <c r="H23" s="238">
        <v>1875</v>
      </c>
      <c r="I23" s="299">
        <f t="shared" si="2"/>
        <v>11250</v>
      </c>
      <c r="L23" s="118"/>
    </row>
    <row r="24" spans="1:12" ht="21" thickBot="1" x14ac:dyDescent="0.35">
      <c r="A24" s="296" t="s">
        <v>77</v>
      </c>
      <c r="B24" s="301">
        <v>13</v>
      </c>
      <c r="C24" s="112">
        <v>0</v>
      </c>
      <c r="D24" s="112">
        <f>+'SUIVI LUBRIFIANT'!AH28</f>
        <v>24</v>
      </c>
      <c r="E24" s="227">
        <f t="shared" si="0"/>
        <v>-11</v>
      </c>
      <c r="F24" s="304">
        <f>13-1-1-2</f>
        <v>9</v>
      </c>
      <c r="G24" s="277">
        <f t="shared" si="1"/>
        <v>20</v>
      </c>
      <c r="H24" s="238">
        <v>2375</v>
      </c>
      <c r="I24" s="299">
        <f t="shared" si="2"/>
        <v>21375</v>
      </c>
      <c r="L24" s="118"/>
    </row>
    <row r="25" spans="1:12" ht="23.25" thickBot="1" x14ac:dyDescent="0.35">
      <c r="A25" s="2057" t="s">
        <v>2</v>
      </c>
      <c r="B25" s="2058"/>
      <c r="C25" s="2058"/>
      <c r="D25" s="2058"/>
      <c r="E25" s="2058"/>
      <c r="F25" s="2058"/>
      <c r="G25" s="2059"/>
      <c r="H25" s="298"/>
      <c r="I25" s="302">
        <f>SUM(I3:I24)</f>
        <v>2621475.0120000001</v>
      </c>
    </row>
    <row r="28" spans="1:12" x14ac:dyDescent="0.2">
      <c r="F28" s="113"/>
    </row>
    <row r="29" spans="1:12" x14ac:dyDescent="0.2">
      <c r="D29" s="115"/>
      <c r="E29" s="116"/>
      <c r="F29" s="115"/>
      <c r="G29" s="113"/>
    </row>
  </sheetData>
  <mergeCells count="2">
    <mergeCell ref="A25:G25"/>
    <mergeCell ref="A1:I1"/>
  </mergeCells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"/>
  <sheetViews>
    <sheetView workbookViewId="0">
      <selection activeCell="K34" sqref="K34"/>
    </sheetView>
  </sheetViews>
  <sheetFormatPr baseColWidth="10" defaultRowHeight="15" x14ac:dyDescent="0.25"/>
  <cols>
    <col min="1" max="1" width="23.140625" customWidth="1"/>
    <col min="2" max="2" width="18.85546875" customWidth="1"/>
    <col min="37" max="37" width="14.42578125" customWidth="1"/>
  </cols>
  <sheetData>
    <row r="1" spans="1:38" x14ac:dyDescent="0.25">
      <c r="A1" s="60" t="s">
        <v>4</v>
      </c>
      <c r="B1" s="60" t="s">
        <v>51</v>
      </c>
      <c r="C1" s="75">
        <v>43678</v>
      </c>
      <c r="D1" s="75">
        <v>43679</v>
      </c>
      <c r="E1" s="75">
        <v>43680</v>
      </c>
      <c r="F1" s="75">
        <v>43681</v>
      </c>
      <c r="G1" s="75">
        <v>43682</v>
      </c>
      <c r="H1" s="75">
        <v>43683</v>
      </c>
      <c r="I1" s="75">
        <v>43684</v>
      </c>
      <c r="J1" s="75">
        <v>43685</v>
      </c>
      <c r="K1" s="75">
        <v>43686</v>
      </c>
      <c r="L1" s="75">
        <v>43687</v>
      </c>
      <c r="M1" s="75">
        <v>43688</v>
      </c>
      <c r="N1" s="75">
        <v>43689</v>
      </c>
      <c r="O1" s="75">
        <v>43690</v>
      </c>
      <c r="P1" s="75">
        <v>43691</v>
      </c>
      <c r="Q1" s="75">
        <v>43692</v>
      </c>
      <c r="R1" s="75">
        <v>43693</v>
      </c>
      <c r="S1" s="75">
        <v>43694</v>
      </c>
      <c r="T1" s="75">
        <v>43695</v>
      </c>
      <c r="U1" s="75">
        <v>43696</v>
      </c>
      <c r="V1" s="75">
        <v>43697</v>
      </c>
      <c r="W1" s="75">
        <v>43698</v>
      </c>
      <c r="X1" s="75">
        <v>43699</v>
      </c>
      <c r="Y1" s="75">
        <v>43700</v>
      </c>
      <c r="Z1" s="75">
        <v>43701</v>
      </c>
      <c r="AA1" s="75">
        <v>43702</v>
      </c>
      <c r="AB1" s="75">
        <v>43703</v>
      </c>
      <c r="AC1" s="75">
        <v>43704</v>
      </c>
      <c r="AD1" s="75">
        <v>43705</v>
      </c>
      <c r="AE1" s="75">
        <v>43706</v>
      </c>
      <c r="AF1" s="75">
        <v>43707</v>
      </c>
      <c r="AG1" s="75">
        <v>43708</v>
      </c>
      <c r="AH1" s="60" t="s">
        <v>52</v>
      </c>
      <c r="AI1" s="60" t="s">
        <v>53</v>
      </c>
      <c r="AJ1" s="60" t="s">
        <v>39</v>
      </c>
      <c r="AK1" s="60" t="s">
        <v>54</v>
      </c>
      <c r="AL1" s="76"/>
    </row>
    <row r="2" spans="1:38" x14ac:dyDescent="0.25">
      <c r="A2" s="77" t="s">
        <v>55</v>
      </c>
      <c r="B2" s="542" t="s">
        <v>56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80">
        <f t="shared" ref="AH2:AH24" si="0">SUM(C2:AG2)</f>
        <v>0</v>
      </c>
      <c r="AI2" s="80"/>
      <c r="AJ2" s="197">
        <v>34250</v>
      </c>
      <c r="AK2" s="82">
        <f>+AH2*AJ2</f>
        <v>0</v>
      </c>
      <c r="AL2" s="83"/>
    </row>
    <row r="3" spans="1:38" x14ac:dyDescent="0.25">
      <c r="A3" s="77" t="s">
        <v>57</v>
      </c>
      <c r="B3" s="542" t="s">
        <v>56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80">
        <f t="shared" si="0"/>
        <v>0</v>
      </c>
      <c r="AI3" s="80"/>
      <c r="AJ3" s="197">
        <v>22750</v>
      </c>
      <c r="AK3" s="82">
        <f t="shared" ref="AK3:AK25" si="1">+AH3*AJ3</f>
        <v>0</v>
      </c>
      <c r="AL3" s="83"/>
    </row>
    <row r="4" spans="1:38" s="190" customFormat="1" x14ac:dyDescent="0.25">
      <c r="A4" s="184" t="s">
        <v>58</v>
      </c>
      <c r="B4" s="543" t="s">
        <v>56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80">
        <f t="shared" si="0"/>
        <v>0</v>
      </c>
      <c r="AI4" s="186"/>
      <c r="AJ4" s="197">
        <v>15250</v>
      </c>
      <c r="AK4" s="188">
        <f>+AH4*AJ4</f>
        <v>0</v>
      </c>
      <c r="AL4" s="189"/>
    </row>
    <row r="5" spans="1:38" x14ac:dyDescent="0.25">
      <c r="A5" s="77" t="s">
        <v>59</v>
      </c>
      <c r="B5" s="542" t="s">
        <v>56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80">
        <f t="shared" si="0"/>
        <v>0</v>
      </c>
      <c r="AI5" s="80"/>
      <c r="AJ5" s="197">
        <v>22250</v>
      </c>
      <c r="AK5" s="82">
        <f>+AH5*AJ5</f>
        <v>0</v>
      </c>
      <c r="AL5" s="83"/>
    </row>
    <row r="6" spans="1:38" s="190" customFormat="1" hidden="1" x14ac:dyDescent="0.25">
      <c r="A6" s="184" t="s">
        <v>60</v>
      </c>
      <c r="B6" s="543" t="s">
        <v>61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80">
        <f t="shared" si="0"/>
        <v>0</v>
      </c>
      <c r="AI6" s="186"/>
      <c r="AJ6" s="197">
        <v>2025</v>
      </c>
      <c r="AK6" s="188">
        <f t="shared" si="1"/>
        <v>0</v>
      </c>
      <c r="AL6" s="189"/>
    </row>
    <row r="7" spans="1:38" x14ac:dyDescent="0.25">
      <c r="A7" s="84" t="s">
        <v>62</v>
      </c>
      <c r="B7" s="542" t="s">
        <v>56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80">
        <f t="shared" si="0"/>
        <v>0</v>
      </c>
      <c r="AI7" s="80"/>
      <c r="AJ7" s="197">
        <v>12950</v>
      </c>
      <c r="AK7" s="82">
        <f t="shared" si="1"/>
        <v>0</v>
      </c>
      <c r="AL7" s="83"/>
    </row>
    <row r="8" spans="1:38" s="190" customFormat="1" hidden="1" x14ac:dyDescent="0.25">
      <c r="A8" s="184" t="s">
        <v>63</v>
      </c>
      <c r="B8" s="543" t="s">
        <v>61</v>
      </c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80">
        <f t="shared" si="0"/>
        <v>0</v>
      </c>
      <c r="AI8" s="186"/>
      <c r="AJ8" s="197">
        <v>3225</v>
      </c>
      <c r="AK8" s="188">
        <f t="shared" si="1"/>
        <v>0</v>
      </c>
      <c r="AL8" s="189"/>
    </row>
    <row r="9" spans="1:38" hidden="1" x14ac:dyDescent="0.25">
      <c r="A9" s="77" t="s">
        <v>64</v>
      </c>
      <c r="B9" s="542" t="s">
        <v>65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80">
        <f t="shared" si="0"/>
        <v>0</v>
      </c>
      <c r="AI9" s="80"/>
      <c r="AJ9" s="197">
        <v>2550</v>
      </c>
      <c r="AK9" s="82">
        <f t="shared" si="1"/>
        <v>0</v>
      </c>
      <c r="AL9" s="83"/>
    </row>
    <row r="10" spans="1:38" hidden="1" x14ac:dyDescent="0.25">
      <c r="A10" s="77" t="s">
        <v>66</v>
      </c>
      <c r="B10" s="542" t="s">
        <v>67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80">
        <f t="shared" si="0"/>
        <v>0</v>
      </c>
      <c r="AI10" s="80"/>
      <c r="AJ10" s="81">
        <v>2025</v>
      </c>
      <c r="AK10" s="82">
        <f t="shared" si="1"/>
        <v>0</v>
      </c>
      <c r="AL10" s="83"/>
    </row>
    <row r="11" spans="1:38" hidden="1" x14ac:dyDescent="0.25">
      <c r="A11" s="77" t="s">
        <v>135</v>
      </c>
      <c r="B11" s="542" t="s">
        <v>133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80">
        <f t="shared" si="0"/>
        <v>0</v>
      </c>
      <c r="AI11" s="80"/>
      <c r="AJ11" s="197"/>
      <c r="AK11" s="82">
        <f t="shared" si="1"/>
        <v>0</v>
      </c>
      <c r="AL11" s="83"/>
    </row>
    <row r="12" spans="1:38" hidden="1" x14ac:dyDescent="0.25">
      <c r="A12" s="77" t="s">
        <v>66</v>
      </c>
      <c r="B12" s="542" t="s">
        <v>68</v>
      </c>
      <c r="C12" s="79"/>
      <c r="D12" s="79"/>
      <c r="E12" s="79"/>
      <c r="F12" s="79"/>
      <c r="G12" s="79"/>
      <c r="H12" s="286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80">
        <f t="shared" si="0"/>
        <v>0</v>
      </c>
      <c r="AI12" s="80"/>
      <c r="AJ12" s="197">
        <v>4300</v>
      </c>
      <c r="AK12" s="82">
        <f t="shared" si="1"/>
        <v>0</v>
      </c>
      <c r="AL12" s="83"/>
    </row>
    <row r="13" spans="1:38" s="190" customFormat="1" hidden="1" x14ac:dyDescent="0.25">
      <c r="A13" s="184" t="s">
        <v>134</v>
      </c>
      <c r="B13" s="543" t="s">
        <v>136</v>
      </c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7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80">
        <f t="shared" si="0"/>
        <v>0</v>
      </c>
      <c r="AI13" s="186"/>
      <c r="AJ13" s="81">
        <v>1850</v>
      </c>
      <c r="AK13" s="188">
        <f t="shared" si="1"/>
        <v>0</v>
      </c>
      <c r="AL13" s="189"/>
    </row>
    <row r="14" spans="1:38" x14ac:dyDescent="0.25">
      <c r="A14" s="77" t="s">
        <v>64</v>
      </c>
      <c r="B14" s="542" t="s">
        <v>69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79"/>
      <c r="Z14" s="79"/>
      <c r="AA14" s="79"/>
      <c r="AB14" s="79"/>
      <c r="AC14" s="79"/>
      <c r="AD14" s="79"/>
      <c r="AE14" s="79"/>
      <c r="AF14" s="79"/>
      <c r="AG14" s="79"/>
      <c r="AH14" s="80">
        <f t="shared" si="0"/>
        <v>0</v>
      </c>
      <c r="AI14" s="80"/>
      <c r="AJ14" s="197">
        <v>15250</v>
      </c>
      <c r="AK14" s="82">
        <f t="shared" si="1"/>
        <v>0</v>
      </c>
      <c r="AL14" s="83"/>
    </row>
    <row r="15" spans="1:38" hidden="1" x14ac:dyDescent="0.25">
      <c r="A15" s="77" t="s">
        <v>64</v>
      </c>
      <c r="B15" s="542" t="s">
        <v>70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79"/>
      <c r="Z15" s="79"/>
      <c r="AA15" s="79"/>
      <c r="AB15" s="79"/>
      <c r="AC15" s="79"/>
      <c r="AD15" s="79"/>
      <c r="AE15" s="79"/>
      <c r="AF15" s="79"/>
      <c r="AG15" s="79"/>
      <c r="AH15" s="80">
        <f t="shared" si="0"/>
        <v>0</v>
      </c>
      <c r="AI15" s="80"/>
      <c r="AJ15" s="81">
        <v>53975</v>
      </c>
      <c r="AK15" s="82">
        <f t="shared" si="1"/>
        <v>0</v>
      </c>
      <c r="AL15" s="83"/>
    </row>
    <row r="16" spans="1:38" hidden="1" x14ac:dyDescent="0.25">
      <c r="A16" s="77" t="s">
        <v>127</v>
      </c>
      <c r="B16" s="542" t="s">
        <v>70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79"/>
      <c r="Z16" s="79"/>
      <c r="AA16" s="79"/>
      <c r="AB16" s="79"/>
      <c r="AC16" s="79"/>
      <c r="AD16" s="79"/>
      <c r="AE16" s="79"/>
      <c r="AF16" s="79"/>
      <c r="AG16" s="79"/>
      <c r="AH16" s="80">
        <f t="shared" si="0"/>
        <v>0</v>
      </c>
      <c r="AI16" s="80"/>
      <c r="AJ16" s="81">
        <v>50950</v>
      </c>
      <c r="AK16" s="82">
        <f t="shared" si="1"/>
        <v>0</v>
      </c>
      <c r="AL16" s="83"/>
    </row>
    <row r="17" spans="1:38" x14ac:dyDescent="0.25">
      <c r="A17" s="77" t="s">
        <v>124</v>
      </c>
      <c r="B17" s="542" t="s">
        <v>69</v>
      </c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79"/>
      <c r="Z17" s="79"/>
      <c r="AA17" s="79"/>
      <c r="AB17" s="79"/>
      <c r="AC17" s="79"/>
      <c r="AD17" s="79"/>
      <c r="AE17" s="79"/>
      <c r="AF17" s="79"/>
      <c r="AG17" s="79"/>
      <c r="AH17" s="80">
        <f t="shared" si="0"/>
        <v>0</v>
      </c>
      <c r="AI17" s="80"/>
      <c r="AJ17" s="197">
        <v>18250</v>
      </c>
      <c r="AK17" s="82">
        <f t="shared" si="1"/>
        <v>0</v>
      </c>
      <c r="AL17" s="83"/>
    </row>
    <row r="18" spans="1:38" hidden="1" x14ac:dyDescent="0.25">
      <c r="A18" s="77" t="s">
        <v>128</v>
      </c>
      <c r="B18" s="542" t="s">
        <v>70</v>
      </c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79"/>
      <c r="Z18" s="79"/>
      <c r="AA18" s="79"/>
      <c r="AB18" s="79"/>
      <c r="AC18" s="79"/>
      <c r="AD18" s="79"/>
      <c r="AE18" s="79"/>
      <c r="AF18" s="79"/>
      <c r="AG18" s="79"/>
      <c r="AH18" s="80">
        <f t="shared" si="0"/>
        <v>0</v>
      </c>
      <c r="AI18" s="80"/>
      <c r="AJ18" s="81">
        <v>68975</v>
      </c>
      <c r="AK18" s="82">
        <f t="shared" si="1"/>
        <v>0</v>
      </c>
      <c r="AL18" s="83"/>
    </row>
    <row r="19" spans="1:38" x14ac:dyDescent="0.25">
      <c r="A19" s="77" t="s">
        <v>60</v>
      </c>
      <c r="B19" s="542" t="s">
        <v>69</v>
      </c>
      <c r="C19" s="85"/>
      <c r="D19" s="188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79"/>
      <c r="Z19" s="79"/>
      <c r="AA19" s="79"/>
      <c r="AB19" s="79"/>
      <c r="AC19" s="79"/>
      <c r="AD19" s="79"/>
      <c r="AE19" s="79"/>
      <c r="AF19" s="79"/>
      <c r="AG19" s="79"/>
      <c r="AH19" s="80">
        <f t="shared" si="0"/>
        <v>0</v>
      </c>
      <c r="AI19" s="80"/>
      <c r="AJ19" s="81">
        <v>18250</v>
      </c>
      <c r="AK19" s="82">
        <f t="shared" si="1"/>
        <v>0</v>
      </c>
      <c r="AL19" s="83"/>
    </row>
    <row r="20" spans="1:38" s="190" customFormat="1" hidden="1" x14ac:dyDescent="0.25">
      <c r="A20" s="184" t="s">
        <v>72</v>
      </c>
      <c r="B20" s="185" t="s">
        <v>73</v>
      </c>
      <c r="C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6"/>
      <c r="Z20" s="186"/>
      <c r="AA20" s="186"/>
      <c r="AB20" s="186"/>
      <c r="AC20" s="186"/>
      <c r="AD20" s="186"/>
      <c r="AE20" s="186"/>
      <c r="AF20" s="186"/>
      <c r="AG20" s="186"/>
      <c r="AH20" s="80">
        <f t="shared" si="0"/>
        <v>0</v>
      </c>
      <c r="AI20" s="186"/>
      <c r="AJ20" s="198">
        <v>1750</v>
      </c>
      <c r="AK20" s="82">
        <f t="shared" si="1"/>
        <v>0</v>
      </c>
      <c r="AL20" s="189"/>
    </row>
    <row r="21" spans="1:38" s="190" customFormat="1" hidden="1" x14ac:dyDescent="0.25">
      <c r="A21" s="184" t="s">
        <v>74</v>
      </c>
      <c r="B21" s="185" t="s">
        <v>75</v>
      </c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6"/>
      <c r="Z21" s="186"/>
      <c r="AA21" s="186"/>
      <c r="AB21" s="186"/>
      <c r="AC21" s="186"/>
      <c r="AD21" s="186"/>
      <c r="AE21" s="186"/>
      <c r="AF21" s="186"/>
      <c r="AG21" s="186"/>
      <c r="AH21" s="80">
        <f t="shared" si="0"/>
        <v>0</v>
      </c>
      <c r="AI21" s="186"/>
      <c r="AJ21" s="198">
        <v>1675</v>
      </c>
      <c r="AK21" s="82">
        <f t="shared" si="1"/>
        <v>0</v>
      </c>
      <c r="AL21" s="189"/>
    </row>
    <row r="22" spans="1:38" s="190" customFormat="1" hidden="1" x14ac:dyDescent="0.25">
      <c r="A22" s="184" t="s">
        <v>76</v>
      </c>
      <c r="B22" s="185" t="s">
        <v>75</v>
      </c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6"/>
      <c r="Z22" s="186"/>
      <c r="AA22" s="186"/>
      <c r="AB22" s="186"/>
      <c r="AC22" s="186"/>
      <c r="AD22" s="186"/>
      <c r="AE22" s="186"/>
      <c r="AF22" s="186"/>
      <c r="AG22" s="186"/>
      <c r="AH22" s="80">
        <f t="shared" si="0"/>
        <v>0</v>
      </c>
      <c r="AI22" s="186"/>
      <c r="AJ22" s="198">
        <v>1875</v>
      </c>
      <c r="AK22" s="82">
        <f t="shared" si="1"/>
        <v>0</v>
      </c>
      <c r="AL22" s="189"/>
    </row>
    <row r="23" spans="1:38" s="190" customFormat="1" hidden="1" x14ac:dyDescent="0.25">
      <c r="A23" s="184" t="s">
        <v>77</v>
      </c>
      <c r="B23" s="185" t="s">
        <v>75</v>
      </c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6"/>
      <c r="Z23" s="186"/>
      <c r="AA23" s="186"/>
      <c r="AB23" s="186"/>
      <c r="AC23" s="186"/>
      <c r="AD23" s="186"/>
      <c r="AE23" s="186"/>
      <c r="AF23" s="186"/>
      <c r="AG23" s="186"/>
      <c r="AH23" s="80">
        <f t="shared" si="0"/>
        <v>0</v>
      </c>
      <c r="AI23" s="186"/>
      <c r="AJ23" s="198">
        <v>2375</v>
      </c>
      <c r="AK23" s="82">
        <f t="shared" si="1"/>
        <v>0</v>
      </c>
      <c r="AL23" s="189"/>
    </row>
    <row r="24" spans="1:38" ht="23.25" hidden="1" x14ac:dyDescent="0.35">
      <c r="A24" s="86" t="s">
        <v>2</v>
      </c>
      <c r="B24" s="86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4"/>
      <c r="N24" s="284"/>
      <c r="O24" s="284"/>
      <c r="P24" s="284"/>
      <c r="Q24" s="284"/>
      <c r="R24" s="284"/>
      <c r="S24" s="284"/>
      <c r="T24" s="284"/>
      <c r="U24" s="284"/>
      <c r="V24" s="284"/>
      <c r="W24" s="284"/>
      <c r="X24" s="284"/>
      <c r="Y24" s="284"/>
      <c r="Z24" s="284"/>
      <c r="AA24" s="284"/>
      <c r="AB24" s="284"/>
      <c r="AC24" s="284"/>
      <c r="AD24" s="284"/>
      <c r="AE24" s="284"/>
      <c r="AF24" s="284"/>
      <c r="AG24" s="284"/>
      <c r="AH24" s="285">
        <f t="shared" si="0"/>
        <v>0</v>
      </c>
      <c r="AI24" s="86"/>
      <c r="AJ24" s="86"/>
      <c r="AK24" s="82">
        <f t="shared" si="1"/>
        <v>0</v>
      </c>
    </row>
    <row r="25" spans="1:38" ht="15.75" thickBot="1" x14ac:dyDescent="0.3">
      <c r="A25" s="88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2">
        <f t="shared" si="1"/>
        <v>0</v>
      </c>
    </row>
    <row r="26" spans="1:38" x14ac:dyDescent="0.25">
      <c r="A26" s="90" t="s">
        <v>78</v>
      </c>
      <c r="C26" s="91">
        <f t="shared" ref="C26:AG26" si="2">+(C2*$AJ2)+(C3*$AJ3)+(C4*$AJ4)+(C5*$AJ5)+(C6*$AJ6)+(C7*$AJ7)+(C8*$AJ8)+(C9*$AJ9)+(C10*$AJ10)+(C12*$AJ12)+(C13*$AJ13)+(C14*$AJ14)+(C15*$AJ15)+(C16*$AJ16)+(C17*$AJ17)+(C18*$AJ18)+(C19*$AJ19)+(C20*$AJ20)+(C22*$AJ22)+(C23*$AJ23)+(C21*$AJ21)</f>
        <v>0</v>
      </c>
      <c r="D26" s="91">
        <f t="shared" si="2"/>
        <v>0</v>
      </c>
      <c r="E26" s="91">
        <f t="shared" si="2"/>
        <v>0</v>
      </c>
      <c r="F26" s="91">
        <f t="shared" si="2"/>
        <v>0</v>
      </c>
      <c r="G26" s="91">
        <f t="shared" si="2"/>
        <v>0</v>
      </c>
      <c r="H26" s="91">
        <f t="shared" si="2"/>
        <v>0</v>
      </c>
      <c r="I26" s="91">
        <f t="shared" si="2"/>
        <v>0</v>
      </c>
      <c r="J26" s="91">
        <f t="shared" si="2"/>
        <v>0</v>
      </c>
      <c r="K26" s="91">
        <f t="shared" si="2"/>
        <v>0</v>
      </c>
      <c r="L26" s="91">
        <f t="shared" si="2"/>
        <v>0</v>
      </c>
      <c r="M26" s="91">
        <f t="shared" si="2"/>
        <v>0</v>
      </c>
      <c r="N26" s="91">
        <f t="shared" si="2"/>
        <v>0</v>
      </c>
      <c r="O26" s="91">
        <f t="shared" si="2"/>
        <v>0</v>
      </c>
      <c r="P26" s="91">
        <f t="shared" si="2"/>
        <v>0</v>
      </c>
      <c r="Q26" s="91">
        <f t="shared" si="2"/>
        <v>0</v>
      </c>
      <c r="R26" s="91">
        <f t="shared" si="2"/>
        <v>0</v>
      </c>
      <c r="S26" s="91">
        <f t="shared" si="2"/>
        <v>0</v>
      </c>
      <c r="T26" s="91">
        <f t="shared" si="2"/>
        <v>0</v>
      </c>
      <c r="U26" s="91">
        <f t="shared" si="2"/>
        <v>0</v>
      </c>
      <c r="V26" s="91">
        <f t="shared" si="2"/>
        <v>0</v>
      </c>
      <c r="W26" s="91">
        <f t="shared" si="2"/>
        <v>0</v>
      </c>
      <c r="X26" s="91">
        <f t="shared" si="2"/>
        <v>0</v>
      </c>
      <c r="Y26" s="91">
        <f t="shared" si="2"/>
        <v>0</v>
      </c>
      <c r="Z26" s="91">
        <f t="shared" si="2"/>
        <v>0</v>
      </c>
      <c r="AA26" s="91">
        <f t="shared" si="2"/>
        <v>0</v>
      </c>
      <c r="AB26" s="91">
        <f t="shared" si="2"/>
        <v>0</v>
      </c>
      <c r="AC26" s="91">
        <f t="shared" si="2"/>
        <v>0</v>
      </c>
      <c r="AD26" s="91">
        <f t="shared" si="2"/>
        <v>0</v>
      </c>
      <c r="AE26" s="91">
        <f t="shared" si="2"/>
        <v>0</v>
      </c>
      <c r="AF26" s="91">
        <f t="shared" si="2"/>
        <v>0</v>
      </c>
      <c r="AG26" s="91">
        <f t="shared" si="2"/>
        <v>0</v>
      </c>
      <c r="AH26" s="539">
        <f>+AH2+AH3+AH4+AH5+AH7+AH14+AH17+AH19</f>
        <v>0</v>
      </c>
      <c r="AK26" s="82">
        <f>+AH26*AJ26</f>
        <v>0</v>
      </c>
    </row>
    <row r="27" spans="1:38" ht="18.75" x14ac:dyDescent="0.3">
      <c r="AH27" s="540"/>
      <c r="AI27" s="540"/>
      <c r="AJ27" s="127"/>
      <c r="AK27" s="541">
        <f>+AK2+AK3+AK4+AK5+AK7+AK14+AK17+AK19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X62"/>
  <sheetViews>
    <sheetView topLeftCell="D31" workbookViewId="0">
      <selection activeCell="N9" sqref="N9"/>
    </sheetView>
  </sheetViews>
  <sheetFormatPr baseColWidth="10" defaultRowHeight="15" x14ac:dyDescent="0.25"/>
  <cols>
    <col min="5" max="5" width="12.5703125" customWidth="1"/>
    <col min="7" max="7" width="14.5703125" customWidth="1"/>
    <col min="8" max="8" width="13.5703125" bestFit="1" customWidth="1"/>
    <col min="11" max="11" width="14.42578125" customWidth="1"/>
    <col min="12" max="12" width="13.85546875" bestFit="1" customWidth="1"/>
    <col min="13" max="13" width="14" customWidth="1"/>
    <col min="14" max="14" width="13.5703125" bestFit="1" customWidth="1"/>
    <col min="20" max="20" width="13.42578125" bestFit="1" customWidth="1"/>
    <col min="22" max="22" width="14.7109375" bestFit="1" customWidth="1"/>
  </cols>
  <sheetData>
    <row r="8" spans="1:24" ht="15.75" x14ac:dyDescent="0.25"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4" ht="16.5" x14ac:dyDescent="0.3">
      <c r="D9" s="28" t="s">
        <v>237</v>
      </c>
      <c r="E9" s="28" t="s">
        <v>236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1855" t="s">
        <v>238</v>
      </c>
      <c r="Q9" s="1855"/>
      <c r="R9" s="1855"/>
      <c r="S9" s="29"/>
      <c r="T9" s="29"/>
      <c r="U9" s="29"/>
      <c r="V9" s="29"/>
      <c r="W9" s="29"/>
      <c r="X9" s="29"/>
    </row>
    <row r="10" spans="1:24" ht="15.75" x14ac:dyDescent="0.25">
      <c r="D10" s="29"/>
      <c r="E10" s="29"/>
      <c r="F10" s="494"/>
      <c r="G10" s="29"/>
      <c r="H10" s="29"/>
      <c r="I10" s="29"/>
      <c r="J10" s="29"/>
      <c r="K10" s="29"/>
      <c r="L10" s="29"/>
      <c r="M10" s="29"/>
      <c r="N10" s="29"/>
      <c r="O10" s="29"/>
      <c r="P10" s="1855" t="s">
        <v>253</v>
      </c>
      <c r="Q10" s="1855"/>
      <c r="R10" s="1855"/>
      <c r="S10" s="29"/>
      <c r="T10" s="29"/>
      <c r="U10" s="29"/>
      <c r="V10" s="29"/>
      <c r="W10" s="29"/>
      <c r="X10" s="29"/>
    </row>
    <row r="11" spans="1:24" ht="16.5" x14ac:dyDescent="0.3">
      <c r="D11" s="28" t="s">
        <v>25</v>
      </c>
      <c r="E11" s="30">
        <v>43617</v>
      </c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 ht="16.5" x14ac:dyDescent="0.3">
      <c r="D12" s="28"/>
      <c r="E12" s="28"/>
      <c r="F12" s="28"/>
      <c r="G12" s="29"/>
      <c r="H12" s="29"/>
      <c r="I12" s="29"/>
      <c r="J12" s="29"/>
      <c r="K12" s="495"/>
      <c r="L12" s="29"/>
      <c r="M12" s="29"/>
      <c r="N12" s="29"/>
      <c r="O12" s="29"/>
      <c r="P12" s="29"/>
      <c r="Q12" s="1855" t="s">
        <v>239</v>
      </c>
      <c r="R12" s="1855"/>
      <c r="S12" s="1855"/>
      <c r="T12" s="1855"/>
      <c r="U12" s="1855"/>
      <c r="V12" s="1855"/>
      <c r="W12" s="29"/>
      <c r="X12" s="29"/>
    </row>
    <row r="13" spans="1:24" ht="16.5" x14ac:dyDescent="0.25">
      <c r="D13" s="496" t="s">
        <v>4</v>
      </c>
      <c r="E13" s="497" t="s">
        <v>0</v>
      </c>
      <c r="F13" s="498"/>
      <c r="G13" s="497" t="s">
        <v>3</v>
      </c>
      <c r="H13" s="498"/>
      <c r="I13" s="497" t="s">
        <v>1</v>
      </c>
      <c r="J13" s="498"/>
      <c r="K13" s="1856" t="s">
        <v>2</v>
      </c>
      <c r="L13" s="1856" t="s">
        <v>240</v>
      </c>
      <c r="M13" s="1856" t="s">
        <v>45</v>
      </c>
      <c r="N13" s="1856" t="s">
        <v>241</v>
      </c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 ht="23.25" x14ac:dyDescent="0.35">
      <c r="D14" s="499"/>
      <c r="E14" s="500">
        <v>630</v>
      </c>
      <c r="F14" s="501"/>
      <c r="G14" s="500">
        <v>575</v>
      </c>
      <c r="H14" s="501"/>
      <c r="I14" s="500">
        <v>350</v>
      </c>
      <c r="J14" s="501"/>
      <c r="K14" s="1857"/>
      <c r="L14" s="1857"/>
      <c r="M14" s="1857"/>
      <c r="N14" s="1857"/>
      <c r="O14" s="29"/>
      <c r="P14" s="29" t="s">
        <v>242</v>
      </c>
      <c r="Q14" s="2063" t="s">
        <v>300</v>
      </c>
      <c r="R14" s="2063"/>
      <c r="S14" s="29"/>
      <c r="T14" s="29"/>
      <c r="U14" s="29"/>
      <c r="V14" s="29"/>
      <c r="W14" s="29"/>
      <c r="X14" s="29"/>
    </row>
    <row r="15" spans="1:24" ht="16.5" x14ac:dyDescent="0.25">
      <c r="D15" s="502"/>
      <c r="E15" s="503" t="s">
        <v>243</v>
      </c>
      <c r="F15" s="503" t="s">
        <v>244</v>
      </c>
      <c r="G15" s="504" t="s">
        <v>243</v>
      </c>
      <c r="H15" s="503" t="s">
        <v>244</v>
      </c>
      <c r="I15" s="503" t="s">
        <v>243</v>
      </c>
      <c r="J15" s="503" t="s">
        <v>244</v>
      </c>
      <c r="K15" s="505"/>
      <c r="L15" s="506"/>
      <c r="M15" s="505">
        <v>-378000</v>
      </c>
      <c r="N15" s="507">
        <v>-378000</v>
      </c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 ht="16.5" x14ac:dyDescent="0.25">
      <c r="A16" s="1853" t="s">
        <v>254</v>
      </c>
      <c r="B16" s="1853"/>
      <c r="C16" s="1854"/>
      <c r="D16" s="553">
        <v>43617</v>
      </c>
      <c r="E16" s="554">
        <f>F16/E14</f>
        <v>0</v>
      </c>
      <c r="F16" s="555"/>
      <c r="H16" s="555"/>
      <c r="I16" s="554"/>
      <c r="J16" s="556"/>
      <c r="K16" s="557">
        <f t="shared" ref="K16:K46" si="0">+F16+H16+J16</f>
        <v>0</v>
      </c>
      <c r="L16" s="558"/>
      <c r="M16" s="556"/>
      <c r="N16" s="556">
        <f>N15+K16-L16</f>
        <v>-378000</v>
      </c>
      <c r="O16" s="29"/>
      <c r="P16" s="517" t="s">
        <v>4</v>
      </c>
      <c r="Q16" s="517" t="s">
        <v>245</v>
      </c>
      <c r="R16" s="517" t="s">
        <v>246</v>
      </c>
      <c r="S16" s="517" t="s">
        <v>247</v>
      </c>
      <c r="T16" s="517" t="s">
        <v>248</v>
      </c>
      <c r="U16" s="517" t="s">
        <v>249</v>
      </c>
      <c r="V16" s="517" t="s">
        <v>87</v>
      </c>
      <c r="W16" s="29"/>
      <c r="X16" s="29"/>
    </row>
    <row r="17" spans="4:24" ht="16.5" x14ac:dyDescent="0.3">
      <c r="D17" s="553">
        <v>43618</v>
      </c>
      <c r="E17" s="509">
        <f>F17/E14</f>
        <v>0</v>
      </c>
      <c r="F17" s="510"/>
      <c r="G17" s="509"/>
      <c r="H17" s="514"/>
      <c r="I17" s="509"/>
      <c r="J17" s="511"/>
      <c r="K17" s="512">
        <f t="shared" si="0"/>
        <v>0</v>
      </c>
      <c r="L17" s="515"/>
      <c r="M17" s="511">
        <f>+K17-L17</f>
        <v>0</v>
      </c>
      <c r="N17" s="507">
        <f t="shared" ref="N17:N44" si="1">+N16+K17-L17</f>
        <v>-378000</v>
      </c>
      <c r="O17" s="29"/>
      <c r="P17" s="518">
        <v>43617</v>
      </c>
      <c r="Q17" s="517" t="s">
        <v>299</v>
      </c>
      <c r="R17" s="517"/>
      <c r="S17" s="517" t="s">
        <v>298</v>
      </c>
      <c r="T17" s="519"/>
      <c r="U17" s="520">
        <v>630</v>
      </c>
      <c r="V17" s="520">
        <f>+T17*U17</f>
        <v>0</v>
      </c>
      <c r="W17" s="29"/>
      <c r="X17" s="29"/>
    </row>
    <row r="18" spans="4:24" ht="16.5" x14ac:dyDescent="0.25">
      <c r="D18" s="553">
        <v>43619</v>
      </c>
      <c r="E18" s="509">
        <f>F18/E14</f>
        <v>0</v>
      </c>
      <c r="F18" s="510"/>
      <c r="G18" s="509">
        <f>H18/G14</f>
        <v>0</v>
      </c>
      <c r="H18" s="514"/>
      <c r="I18" s="509"/>
      <c r="J18" s="511"/>
      <c r="K18" s="512">
        <f t="shared" si="0"/>
        <v>0</v>
      </c>
      <c r="L18" s="537"/>
      <c r="M18" s="511">
        <f>+K18-L18</f>
        <v>0</v>
      </c>
      <c r="N18" s="511">
        <f t="shared" si="1"/>
        <v>-378000</v>
      </c>
      <c r="O18" s="29"/>
      <c r="P18" s="518">
        <v>43618</v>
      </c>
      <c r="Q18" s="517" t="s">
        <v>299</v>
      </c>
      <c r="R18" s="517"/>
      <c r="S18" s="517" t="s">
        <v>298</v>
      </c>
      <c r="T18" s="520"/>
      <c r="U18" s="520">
        <v>630</v>
      </c>
      <c r="V18" s="520">
        <f t="shared" ref="V18:V23" si="2">+T18*U18</f>
        <v>0</v>
      </c>
      <c r="W18" s="29"/>
      <c r="X18" s="29"/>
    </row>
    <row r="19" spans="4:24" ht="16.5" x14ac:dyDescent="0.25">
      <c r="D19" s="553">
        <v>43620</v>
      </c>
      <c r="E19" s="509">
        <f>F19/E14</f>
        <v>0</v>
      </c>
      <c r="F19" s="510"/>
      <c r="G19" s="509">
        <f>H19/G14</f>
        <v>0</v>
      </c>
      <c r="H19" s="514"/>
      <c r="I19" s="509"/>
      <c r="J19" s="511"/>
      <c r="K19" s="512">
        <f t="shared" si="0"/>
        <v>0</v>
      </c>
      <c r="L19" s="537"/>
      <c r="M19" s="511">
        <f>K19-L19</f>
        <v>0</v>
      </c>
      <c r="N19" s="511">
        <f>+N18+K19-L19</f>
        <v>-378000</v>
      </c>
      <c r="O19" s="516"/>
      <c r="P19" s="518">
        <v>43619</v>
      </c>
      <c r="Q19" s="517" t="s">
        <v>299</v>
      </c>
      <c r="R19" s="517"/>
      <c r="S19" s="517" t="s">
        <v>298</v>
      </c>
      <c r="T19" s="520"/>
      <c r="U19" s="520">
        <v>630</v>
      </c>
      <c r="V19" s="520">
        <f t="shared" si="2"/>
        <v>0</v>
      </c>
      <c r="W19" s="29"/>
      <c r="X19" s="29"/>
    </row>
    <row r="20" spans="4:24" ht="16.5" x14ac:dyDescent="0.25">
      <c r="D20" s="553">
        <v>43621</v>
      </c>
      <c r="E20" s="509"/>
      <c r="F20" s="510"/>
      <c r="G20" s="509">
        <f>H20/G14</f>
        <v>0</v>
      </c>
      <c r="H20" s="514"/>
      <c r="I20" s="509"/>
      <c r="J20" s="511"/>
      <c r="K20" s="512">
        <f t="shared" si="0"/>
        <v>0</v>
      </c>
      <c r="L20" s="537"/>
      <c r="M20" s="511">
        <f>K20-L20</f>
        <v>0</v>
      </c>
      <c r="N20" s="511">
        <f t="shared" si="1"/>
        <v>-378000</v>
      </c>
      <c r="O20" s="29"/>
      <c r="P20" s="518">
        <v>43620</v>
      </c>
      <c r="Q20" s="517" t="s">
        <v>299</v>
      </c>
      <c r="R20" s="517"/>
      <c r="S20" s="517" t="s">
        <v>298</v>
      </c>
      <c r="T20" s="520"/>
      <c r="U20" s="520">
        <v>630</v>
      </c>
      <c r="V20" s="520">
        <f t="shared" si="2"/>
        <v>0</v>
      </c>
      <c r="W20" s="29"/>
      <c r="X20" s="29"/>
    </row>
    <row r="21" spans="4:24" ht="16.5" x14ac:dyDescent="0.25">
      <c r="D21" s="553">
        <v>43622</v>
      </c>
      <c r="E21" s="509"/>
      <c r="F21" s="510"/>
      <c r="G21" s="509">
        <f>H21/G14</f>
        <v>0</v>
      </c>
      <c r="H21" s="514"/>
      <c r="I21" s="509"/>
      <c r="J21" s="511"/>
      <c r="K21" s="512">
        <f t="shared" si="0"/>
        <v>0</v>
      </c>
      <c r="L21" s="537"/>
      <c r="M21" s="511">
        <f>K21-L21</f>
        <v>0</v>
      </c>
      <c r="N21" s="511">
        <f t="shared" si="1"/>
        <v>-378000</v>
      </c>
      <c r="O21" s="29"/>
      <c r="P21" s="518">
        <v>43621</v>
      </c>
      <c r="Q21" s="517" t="s">
        <v>299</v>
      </c>
      <c r="R21" s="517"/>
      <c r="S21" s="517" t="s">
        <v>298</v>
      </c>
      <c r="T21" s="520"/>
      <c r="U21" s="520">
        <v>630</v>
      </c>
      <c r="V21" s="520">
        <f t="shared" si="2"/>
        <v>0</v>
      </c>
      <c r="W21" s="29"/>
      <c r="X21" s="29"/>
    </row>
    <row r="22" spans="4:24" ht="16.5" x14ac:dyDescent="0.25">
      <c r="D22" s="553">
        <v>43623</v>
      </c>
      <c r="E22" s="509"/>
      <c r="F22" s="510"/>
      <c r="G22" s="509">
        <f>H22/G14</f>
        <v>0</v>
      </c>
      <c r="H22" s="514"/>
      <c r="I22" s="509"/>
      <c r="J22" s="511"/>
      <c r="K22" s="512">
        <f t="shared" si="0"/>
        <v>0</v>
      </c>
      <c r="L22" s="537"/>
      <c r="M22" s="511">
        <f t="shared" ref="M22:M44" si="3">K22-L22</f>
        <v>0</v>
      </c>
      <c r="N22" s="511">
        <f t="shared" si="1"/>
        <v>-378000</v>
      </c>
      <c r="O22" s="29"/>
      <c r="P22" s="518">
        <v>43622</v>
      </c>
      <c r="Q22" s="517" t="s">
        <v>299</v>
      </c>
      <c r="R22" s="517"/>
      <c r="S22" s="517" t="s">
        <v>298</v>
      </c>
      <c r="T22" s="520"/>
      <c r="U22" s="520">
        <v>630</v>
      </c>
      <c r="V22" s="520">
        <f t="shared" si="2"/>
        <v>0</v>
      </c>
      <c r="W22" s="29"/>
      <c r="X22" s="29"/>
    </row>
    <row r="23" spans="4:24" ht="16.5" x14ac:dyDescent="0.25">
      <c r="D23" s="553">
        <v>43624</v>
      </c>
      <c r="E23" s="509"/>
      <c r="F23" s="510"/>
      <c r="G23" s="509">
        <f>H23/G14</f>
        <v>0</v>
      </c>
      <c r="H23" s="514"/>
      <c r="I23" s="509"/>
      <c r="J23" s="511"/>
      <c r="K23" s="512">
        <f t="shared" si="0"/>
        <v>0</v>
      </c>
      <c r="L23" s="537"/>
      <c r="M23" s="511">
        <f t="shared" si="3"/>
        <v>0</v>
      </c>
      <c r="N23" s="511">
        <f t="shared" si="1"/>
        <v>-378000</v>
      </c>
      <c r="O23" s="29"/>
      <c r="P23" s="518">
        <v>43623</v>
      </c>
      <c r="Q23" s="517" t="s">
        <v>299</v>
      </c>
      <c r="R23" s="517"/>
      <c r="S23" s="517" t="s">
        <v>298</v>
      </c>
      <c r="T23" s="520"/>
      <c r="U23" s="520">
        <v>630</v>
      </c>
      <c r="V23" s="520">
        <f t="shared" si="2"/>
        <v>0</v>
      </c>
      <c r="W23" s="29"/>
      <c r="X23" s="29"/>
    </row>
    <row r="24" spans="4:24" ht="16.5" x14ac:dyDescent="0.25">
      <c r="D24" s="553">
        <v>43625</v>
      </c>
      <c r="E24" s="509"/>
      <c r="F24" s="510"/>
      <c r="G24" s="521">
        <f>H24/G14</f>
        <v>0</v>
      </c>
      <c r="H24" s="514"/>
      <c r="I24" s="509"/>
      <c r="J24" s="522"/>
      <c r="K24" s="512">
        <f t="shared" si="0"/>
        <v>0</v>
      </c>
      <c r="L24" s="537"/>
      <c r="M24" s="522">
        <f t="shared" si="3"/>
        <v>0</v>
      </c>
      <c r="N24" s="522">
        <f t="shared" si="1"/>
        <v>-378000</v>
      </c>
      <c r="O24" s="29"/>
      <c r="P24" s="518">
        <v>43624</v>
      </c>
      <c r="Q24" s="517" t="s">
        <v>299</v>
      </c>
      <c r="R24" s="517"/>
      <c r="S24" s="517" t="s">
        <v>298</v>
      </c>
      <c r="T24" s="520"/>
      <c r="U24" s="520">
        <v>630</v>
      </c>
      <c r="V24" s="520">
        <f>+T24*U24</f>
        <v>0</v>
      </c>
      <c r="W24" s="29"/>
      <c r="X24" s="29"/>
    </row>
    <row r="25" spans="4:24" ht="16.5" x14ac:dyDescent="0.25">
      <c r="D25" s="553">
        <v>43626</v>
      </c>
      <c r="E25" s="509"/>
      <c r="F25" s="510"/>
      <c r="G25" s="521">
        <f>H25/G14</f>
        <v>0</v>
      </c>
      <c r="H25" s="514"/>
      <c r="I25" s="509"/>
      <c r="J25" s="522"/>
      <c r="K25" s="512">
        <f t="shared" si="0"/>
        <v>0</v>
      </c>
      <c r="L25" s="537"/>
      <c r="M25" s="522">
        <f t="shared" si="3"/>
        <v>0</v>
      </c>
      <c r="N25" s="522">
        <f t="shared" si="1"/>
        <v>-378000</v>
      </c>
      <c r="O25" s="29"/>
      <c r="P25" s="518">
        <v>43625</v>
      </c>
      <c r="Q25" s="517" t="s">
        <v>299</v>
      </c>
      <c r="R25" s="517"/>
      <c r="S25" s="517" t="s">
        <v>298</v>
      </c>
      <c r="T25" s="520"/>
      <c r="U25" s="520">
        <v>630</v>
      </c>
      <c r="V25" s="520">
        <f>+T25*U25</f>
        <v>0</v>
      </c>
      <c r="W25" s="29"/>
      <c r="X25" s="29"/>
    </row>
    <row r="26" spans="4:24" ht="16.5" x14ac:dyDescent="0.25">
      <c r="D26" s="553">
        <v>43627</v>
      </c>
      <c r="E26" s="509"/>
      <c r="F26" s="510"/>
      <c r="G26" s="521"/>
      <c r="H26" s="514"/>
      <c r="I26" s="509"/>
      <c r="J26" s="522"/>
      <c r="K26" s="512">
        <f t="shared" si="0"/>
        <v>0</v>
      </c>
      <c r="L26" s="537"/>
      <c r="M26" s="522">
        <f t="shared" si="3"/>
        <v>0</v>
      </c>
      <c r="N26" s="522">
        <f t="shared" si="1"/>
        <v>-378000</v>
      </c>
      <c r="O26" s="29"/>
      <c r="P26" s="518">
        <v>43626</v>
      </c>
      <c r="Q26" s="517" t="s">
        <v>299</v>
      </c>
      <c r="R26" s="517"/>
      <c r="S26" s="517" t="s">
        <v>298</v>
      </c>
      <c r="T26" s="520"/>
      <c r="U26" s="520">
        <v>630</v>
      </c>
      <c r="V26" s="520">
        <f t="shared" ref="V26:V47" si="4">+T26*U26</f>
        <v>0</v>
      </c>
      <c r="W26" s="29"/>
      <c r="X26" s="29"/>
    </row>
    <row r="27" spans="4:24" ht="16.5" x14ac:dyDescent="0.25">
      <c r="D27" s="553">
        <v>43628</v>
      </c>
      <c r="E27" s="521"/>
      <c r="F27" s="510"/>
      <c r="G27" s="521"/>
      <c r="H27" s="514"/>
      <c r="I27" s="509"/>
      <c r="J27" s="522"/>
      <c r="K27" s="512">
        <f t="shared" si="0"/>
        <v>0</v>
      </c>
      <c r="L27" s="537"/>
      <c r="M27" s="522">
        <f t="shared" si="3"/>
        <v>0</v>
      </c>
      <c r="N27" s="522">
        <f t="shared" si="1"/>
        <v>-378000</v>
      </c>
      <c r="O27" s="29"/>
      <c r="P27" s="518">
        <v>43627</v>
      </c>
      <c r="Q27" s="517" t="s">
        <v>299</v>
      </c>
      <c r="R27" s="517"/>
      <c r="S27" s="517" t="s">
        <v>298</v>
      </c>
      <c r="T27" s="520"/>
      <c r="U27" s="520">
        <v>630</v>
      </c>
      <c r="V27" s="520">
        <f t="shared" si="4"/>
        <v>0</v>
      </c>
      <c r="W27" s="29"/>
      <c r="X27" s="29"/>
    </row>
    <row r="28" spans="4:24" ht="16.5" x14ac:dyDescent="0.25">
      <c r="D28" s="553">
        <v>43629</v>
      </c>
      <c r="E28" s="521"/>
      <c r="F28" s="510"/>
      <c r="G28" s="521">
        <f>H28/G14</f>
        <v>0</v>
      </c>
      <c r="H28" s="514"/>
      <c r="I28" s="509"/>
      <c r="J28" s="522"/>
      <c r="K28" s="512">
        <f t="shared" si="0"/>
        <v>0</v>
      </c>
      <c r="L28" s="537"/>
      <c r="M28" s="522">
        <f t="shared" si="3"/>
        <v>0</v>
      </c>
      <c r="N28" s="522">
        <f t="shared" si="1"/>
        <v>-378000</v>
      </c>
      <c r="O28" s="29"/>
      <c r="P28" s="518">
        <v>43628</v>
      </c>
      <c r="Q28" s="517" t="s">
        <v>299</v>
      </c>
      <c r="R28" s="517"/>
      <c r="S28" s="517" t="s">
        <v>298</v>
      </c>
      <c r="T28" s="520"/>
      <c r="U28" s="520">
        <v>630</v>
      </c>
      <c r="V28" s="520">
        <f t="shared" si="4"/>
        <v>0</v>
      </c>
      <c r="W28" s="29"/>
      <c r="X28" s="29"/>
    </row>
    <row r="29" spans="4:24" ht="16.5" x14ac:dyDescent="0.25">
      <c r="D29" s="553">
        <v>43630</v>
      </c>
      <c r="E29" s="521"/>
      <c r="F29" s="510"/>
      <c r="G29" s="521">
        <f>H29/G14</f>
        <v>0</v>
      </c>
      <c r="H29" s="514"/>
      <c r="I29" s="509"/>
      <c r="J29" s="522"/>
      <c r="K29" s="512">
        <f t="shared" si="0"/>
        <v>0</v>
      </c>
      <c r="L29" s="537"/>
      <c r="M29" s="522">
        <f t="shared" si="3"/>
        <v>0</v>
      </c>
      <c r="N29" s="522">
        <f t="shared" si="1"/>
        <v>-378000</v>
      </c>
      <c r="O29" s="29"/>
      <c r="P29" s="518">
        <v>43629</v>
      </c>
      <c r="Q29" s="517" t="s">
        <v>299</v>
      </c>
      <c r="R29" s="517"/>
      <c r="S29" s="517" t="s">
        <v>298</v>
      </c>
      <c r="T29" s="520"/>
      <c r="U29" s="520">
        <v>630</v>
      </c>
      <c r="V29" s="520">
        <f t="shared" si="4"/>
        <v>0</v>
      </c>
      <c r="W29" s="29"/>
      <c r="X29" s="29"/>
    </row>
    <row r="30" spans="4:24" ht="16.5" x14ac:dyDescent="0.25">
      <c r="D30" s="553">
        <v>43631</v>
      </c>
      <c r="E30" s="521"/>
      <c r="F30" s="510"/>
      <c r="G30" s="556"/>
      <c r="H30" s="514"/>
      <c r="I30" s="521"/>
      <c r="J30" s="522"/>
      <c r="K30" s="512">
        <f>+F30+H30+J30</f>
        <v>0</v>
      </c>
      <c r="L30" s="537"/>
      <c r="M30" s="522">
        <f t="shared" si="3"/>
        <v>0</v>
      </c>
      <c r="N30" s="522">
        <f t="shared" si="1"/>
        <v>-378000</v>
      </c>
      <c r="O30" s="29"/>
      <c r="P30" s="518">
        <v>43630</v>
      </c>
      <c r="Q30" s="517" t="s">
        <v>299</v>
      </c>
      <c r="R30" s="517"/>
      <c r="S30" s="517" t="s">
        <v>298</v>
      </c>
      <c r="T30" s="520"/>
      <c r="U30" s="520">
        <v>630</v>
      </c>
      <c r="V30" s="520">
        <f t="shared" si="4"/>
        <v>0</v>
      </c>
      <c r="W30" s="29"/>
      <c r="X30" s="29"/>
    </row>
    <row r="31" spans="4:24" ht="16.5" x14ac:dyDescent="0.25">
      <c r="D31" s="553">
        <v>43632</v>
      </c>
      <c r="E31" s="521"/>
      <c r="F31" s="510"/>
      <c r="G31" s="521">
        <f>+H31/G14</f>
        <v>0</v>
      </c>
      <c r="H31" s="514"/>
      <c r="I31" s="521"/>
      <c r="J31" s="522"/>
      <c r="K31" s="512">
        <f>+F31+H31+J31</f>
        <v>0</v>
      </c>
      <c r="L31" s="537"/>
      <c r="M31" s="522">
        <f t="shared" si="3"/>
        <v>0</v>
      </c>
      <c r="N31" s="522">
        <f t="shared" si="1"/>
        <v>-378000</v>
      </c>
      <c r="O31" s="29"/>
      <c r="P31" s="518">
        <v>43631</v>
      </c>
      <c r="Q31" s="517" t="s">
        <v>299</v>
      </c>
      <c r="R31" s="517"/>
      <c r="S31" s="517" t="s">
        <v>298</v>
      </c>
      <c r="T31" s="520"/>
      <c r="U31" s="520">
        <v>630</v>
      </c>
      <c r="V31" s="520">
        <f t="shared" si="4"/>
        <v>0</v>
      </c>
      <c r="W31" s="29"/>
      <c r="X31" s="29"/>
    </row>
    <row r="32" spans="4:24" ht="16.5" x14ac:dyDescent="0.25">
      <c r="D32" s="553">
        <v>43633</v>
      </c>
      <c r="E32" s="521"/>
      <c r="F32" s="510"/>
      <c r="G32" s="521">
        <f>H32/G14</f>
        <v>0</v>
      </c>
      <c r="H32" s="510"/>
      <c r="I32" s="521"/>
      <c r="J32" s="522"/>
      <c r="K32" s="512">
        <f>+F32+H32+J32</f>
        <v>0</v>
      </c>
      <c r="L32" s="537"/>
      <c r="M32" s="522">
        <f t="shared" si="3"/>
        <v>0</v>
      </c>
      <c r="N32" s="522">
        <f t="shared" si="1"/>
        <v>-378000</v>
      </c>
      <c r="O32" s="29"/>
      <c r="P32" s="518">
        <v>43632</v>
      </c>
      <c r="Q32" s="517" t="s">
        <v>299</v>
      </c>
      <c r="R32" s="517"/>
      <c r="S32" s="517" t="s">
        <v>298</v>
      </c>
      <c r="T32" s="520"/>
      <c r="U32" s="520">
        <v>630</v>
      </c>
      <c r="V32" s="520">
        <f t="shared" si="4"/>
        <v>0</v>
      </c>
      <c r="W32" s="29"/>
      <c r="X32" s="29"/>
    </row>
    <row r="33" spans="4:24" ht="16.5" x14ac:dyDescent="0.3">
      <c r="D33" s="553">
        <v>43634</v>
      </c>
      <c r="E33" s="521"/>
      <c r="F33" s="510"/>
      <c r="G33" s="521">
        <f>H33/G14</f>
        <v>0</v>
      </c>
      <c r="H33" s="510"/>
      <c r="I33" s="521"/>
      <c r="J33" s="522"/>
      <c r="K33" s="512">
        <f t="shared" si="0"/>
        <v>0</v>
      </c>
      <c r="L33" s="537"/>
      <c r="M33" s="522">
        <f t="shared" si="3"/>
        <v>0</v>
      </c>
      <c r="N33" s="522">
        <f t="shared" si="1"/>
        <v>-378000</v>
      </c>
      <c r="O33" s="523"/>
      <c r="P33" s="518">
        <v>43633</v>
      </c>
      <c r="Q33" s="517" t="s">
        <v>299</v>
      </c>
      <c r="R33" s="517"/>
      <c r="S33" s="517" t="s">
        <v>298</v>
      </c>
      <c r="T33" s="520"/>
      <c r="U33" s="520">
        <v>630</v>
      </c>
      <c r="V33" s="520">
        <f t="shared" si="4"/>
        <v>0</v>
      </c>
      <c r="W33" s="29"/>
      <c r="X33" s="29"/>
    </row>
    <row r="34" spans="4:24" ht="16.5" x14ac:dyDescent="0.25">
      <c r="D34" s="553">
        <v>43635</v>
      </c>
      <c r="E34" s="521"/>
      <c r="F34" s="510"/>
      <c r="G34" s="521">
        <f>H34/G14</f>
        <v>0</v>
      </c>
      <c r="H34" s="510"/>
      <c r="I34" s="521"/>
      <c r="J34" s="522"/>
      <c r="K34" s="512">
        <f t="shared" si="0"/>
        <v>0</v>
      </c>
      <c r="L34" s="537"/>
      <c r="M34" s="522">
        <f>K34-L34</f>
        <v>0</v>
      </c>
      <c r="N34" s="522">
        <f t="shared" si="1"/>
        <v>-378000</v>
      </c>
      <c r="O34" s="29"/>
      <c r="P34" s="518">
        <v>43634</v>
      </c>
      <c r="Q34" s="517" t="s">
        <v>299</v>
      </c>
      <c r="R34" s="517"/>
      <c r="S34" s="517" t="s">
        <v>298</v>
      </c>
      <c r="T34" s="520"/>
      <c r="U34" s="520">
        <v>630</v>
      </c>
      <c r="V34" s="520">
        <f t="shared" si="4"/>
        <v>0</v>
      </c>
      <c r="W34" s="29"/>
      <c r="X34" s="29"/>
    </row>
    <row r="35" spans="4:24" ht="16.5" x14ac:dyDescent="0.25">
      <c r="D35" s="553">
        <v>43636</v>
      </c>
      <c r="E35" s="521"/>
      <c r="F35" s="510"/>
      <c r="G35" s="521">
        <f>H35/G14</f>
        <v>0</v>
      </c>
      <c r="H35" s="510"/>
      <c r="I35" s="521"/>
      <c r="J35" s="522"/>
      <c r="K35" s="512">
        <f t="shared" si="0"/>
        <v>0</v>
      </c>
      <c r="L35" s="537"/>
      <c r="M35" s="522">
        <f t="shared" si="3"/>
        <v>0</v>
      </c>
      <c r="N35" s="522">
        <f t="shared" si="1"/>
        <v>-378000</v>
      </c>
      <c r="O35" s="29"/>
      <c r="P35" s="518">
        <v>43635</v>
      </c>
      <c r="Q35" s="517" t="s">
        <v>299</v>
      </c>
      <c r="R35" s="517"/>
      <c r="S35" s="517" t="s">
        <v>298</v>
      </c>
      <c r="T35" s="520"/>
      <c r="U35" s="520">
        <v>630</v>
      </c>
      <c r="V35" s="520">
        <f t="shared" si="4"/>
        <v>0</v>
      </c>
      <c r="W35" s="29"/>
      <c r="X35" s="29"/>
    </row>
    <row r="36" spans="4:24" ht="16.5" x14ac:dyDescent="0.25">
      <c r="D36" s="553">
        <v>43637</v>
      </c>
      <c r="E36" s="521"/>
      <c r="F36" s="510"/>
      <c r="G36" s="521">
        <f>H36/G14</f>
        <v>0</v>
      </c>
      <c r="H36" s="510"/>
      <c r="I36" s="521"/>
      <c r="J36" s="522"/>
      <c r="K36" s="512"/>
      <c r="L36" s="537"/>
      <c r="M36" s="522">
        <f t="shared" si="3"/>
        <v>0</v>
      </c>
      <c r="N36" s="522">
        <f t="shared" si="1"/>
        <v>-378000</v>
      </c>
      <c r="O36" s="29"/>
      <c r="P36" s="518">
        <v>43636</v>
      </c>
      <c r="Q36" s="517" t="s">
        <v>299</v>
      </c>
      <c r="R36" s="517"/>
      <c r="S36" s="517" t="s">
        <v>298</v>
      </c>
      <c r="T36" s="520"/>
      <c r="U36" s="520">
        <v>630</v>
      </c>
      <c r="V36" s="520">
        <f t="shared" si="4"/>
        <v>0</v>
      </c>
      <c r="W36" s="29"/>
      <c r="X36" s="29"/>
    </row>
    <row r="37" spans="4:24" ht="16.5" x14ac:dyDescent="0.25">
      <c r="D37" s="553">
        <v>43638</v>
      </c>
      <c r="E37" s="521"/>
      <c r="F37" s="510"/>
      <c r="G37" s="521">
        <f>+H37/G14</f>
        <v>0</v>
      </c>
      <c r="H37" s="510"/>
      <c r="I37" s="521"/>
      <c r="J37" s="522"/>
      <c r="K37" s="512">
        <f t="shared" si="0"/>
        <v>0</v>
      </c>
      <c r="L37" s="538"/>
      <c r="M37" s="522">
        <f t="shared" si="3"/>
        <v>0</v>
      </c>
      <c r="N37" s="522">
        <f t="shared" si="1"/>
        <v>-378000</v>
      </c>
      <c r="O37" s="29"/>
      <c r="P37" s="518">
        <v>43637</v>
      </c>
      <c r="Q37" s="517" t="s">
        <v>299</v>
      </c>
      <c r="R37" s="517"/>
      <c r="S37" s="517" t="s">
        <v>298</v>
      </c>
      <c r="T37" s="520"/>
      <c r="U37" s="520">
        <v>630</v>
      </c>
      <c r="V37" s="520">
        <f t="shared" si="4"/>
        <v>0</v>
      </c>
      <c r="W37" s="29"/>
      <c r="X37" s="29"/>
    </row>
    <row r="38" spans="4:24" ht="16.5" x14ac:dyDescent="0.25">
      <c r="D38" s="553">
        <v>43639</v>
      </c>
      <c r="E38" s="521"/>
      <c r="F38" s="510"/>
      <c r="G38" s="521"/>
      <c r="H38" s="510"/>
      <c r="I38" s="521"/>
      <c r="J38" s="522"/>
      <c r="K38" s="512">
        <f t="shared" si="0"/>
        <v>0</v>
      </c>
      <c r="L38" s="538"/>
      <c r="M38" s="522">
        <f t="shared" si="3"/>
        <v>0</v>
      </c>
      <c r="N38" s="522">
        <f t="shared" si="1"/>
        <v>-378000</v>
      </c>
      <c r="O38" s="29"/>
      <c r="P38" s="518">
        <v>43638</v>
      </c>
      <c r="Q38" s="517" t="s">
        <v>299</v>
      </c>
      <c r="R38" s="517"/>
      <c r="S38" s="517" t="s">
        <v>298</v>
      </c>
      <c r="T38" s="520"/>
      <c r="U38" s="520">
        <v>630</v>
      </c>
      <c r="V38" s="520">
        <f t="shared" si="4"/>
        <v>0</v>
      </c>
      <c r="W38" s="29"/>
      <c r="X38" s="29"/>
    </row>
    <row r="39" spans="4:24" ht="16.5" x14ac:dyDescent="0.25">
      <c r="D39" s="553">
        <v>43640</v>
      </c>
      <c r="E39" s="509"/>
      <c r="F39" s="510"/>
      <c r="G39" s="509"/>
      <c r="H39" s="510"/>
      <c r="I39" s="509"/>
      <c r="J39" s="511"/>
      <c r="K39" s="512">
        <f t="shared" si="0"/>
        <v>0</v>
      </c>
      <c r="L39" s="538"/>
      <c r="M39" s="522">
        <f t="shared" si="3"/>
        <v>0</v>
      </c>
      <c r="N39" s="522">
        <f t="shared" si="1"/>
        <v>-378000</v>
      </c>
      <c r="O39" s="181" t="s">
        <v>50</v>
      </c>
      <c r="P39" s="518">
        <v>43639</v>
      </c>
      <c r="Q39" s="517" t="s">
        <v>299</v>
      </c>
      <c r="R39" s="517"/>
      <c r="S39" s="517" t="s">
        <v>298</v>
      </c>
      <c r="T39" s="520"/>
      <c r="U39" s="520">
        <v>630</v>
      </c>
      <c r="V39" s="520">
        <f t="shared" si="4"/>
        <v>0</v>
      </c>
      <c r="W39" s="29"/>
      <c r="X39" s="29"/>
    </row>
    <row r="40" spans="4:24" ht="16.5" x14ac:dyDescent="0.25">
      <c r="D40" s="553">
        <v>43641</v>
      </c>
      <c r="E40" s="509"/>
      <c r="F40" s="510"/>
      <c r="G40" s="509"/>
      <c r="H40" s="510"/>
      <c r="I40" s="509"/>
      <c r="J40" s="511"/>
      <c r="K40" s="512">
        <f t="shared" si="0"/>
        <v>0</v>
      </c>
      <c r="L40" s="537"/>
      <c r="M40" s="522">
        <f t="shared" si="3"/>
        <v>0</v>
      </c>
      <c r="N40" s="522">
        <f t="shared" si="1"/>
        <v>-378000</v>
      </c>
      <c r="O40" s="29"/>
      <c r="P40" s="518">
        <v>43640</v>
      </c>
      <c r="Q40" s="517" t="s">
        <v>299</v>
      </c>
      <c r="R40" s="517"/>
      <c r="S40" s="517" t="s">
        <v>298</v>
      </c>
      <c r="T40" s="520"/>
      <c r="U40" s="520">
        <v>630</v>
      </c>
      <c r="V40" s="520">
        <f t="shared" si="4"/>
        <v>0</v>
      </c>
      <c r="W40" s="29"/>
      <c r="X40" s="29"/>
    </row>
    <row r="41" spans="4:24" ht="16.5" x14ac:dyDescent="0.25">
      <c r="D41" s="553">
        <v>43642</v>
      </c>
      <c r="E41" s="509"/>
      <c r="F41" s="510"/>
      <c r="G41" s="509"/>
      <c r="H41" s="510"/>
      <c r="I41" s="509"/>
      <c r="J41" s="511"/>
      <c r="K41" s="512">
        <f t="shared" si="0"/>
        <v>0</v>
      </c>
      <c r="L41" s="537"/>
      <c r="M41" s="511">
        <f t="shared" si="3"/>
        <v>0</v>
      </c>
      <c r="N41" s="522">
        <f t="shared" si="1"/>
        <v>-378000</v>
      </c>
      <c r="O41" s="29"/>
      <c r="P41" s="518">
        <v>43641</v>
      </c>
      <c r="Q41" s="517" t="s">
        <v>299</v>
      </c>
      <c r="R41" s="517"/>
      <c r="S41" s="517" t="s">
        <v>298</v>
      </c>
      <c r="T41" s="520"/>
      <c r="U41" s="520">
        <v>630</v>
      </c>
      <c r="V41" s="520">
        <f t="shared" si="4"/>
        <v>0</v>
      </c>
      <c r="W41" s="29"/>
      <c r="X41" s="29"/>
    </row>
    <row r="42" spans="4:24" ht="16.5" x14ac:dyDescent="0.25">
      <c r="D42" s="553">
        <v>43643</v>
      </c>
      <c r="E42" s="509"/>
      <c r="F42" s="510"/>
      <c r="G42" s="509">
        <f>H42/G14</f>
        <v>0</v>
      </c>
      <c r="H42" s="510"/>
      <c r="I42" s="509"/>
      <c r="J42" s="511"/>
      <c r="K42" s="512">
        <f t="shared" si="0"/>
        <v>0</v>
      </c>
      <c r="L42" s="537"/>
      <c r="M42" s="511">
        <f t="shared" si="3"/>
        <v>0</v>
      </c>
      <c r="N42" s="511">
        <f t="shared" si="1"/>
        <v>-378000</v>
      </c>
      <c r="O42" s="29"/>
      <c r="P42" s="518">
        <v>43642</v>
      </c>
      <c r="Q42" s="517" t="s">
        <v>299</v>
      </c>
      <c r="R42" s="517"/>
      <c r="S42" s="517" t="s">
        <v>298</v>
      </c>
      <c r="T42" s="520"/>
      <c r="U42" s="520">
        <v>630</v>
      </c>
      <c r="V42" s="520">
        <f t="shared" si="4"/>
        <v>0</v>
      </c>
      <c r="W42" s="29"/>
      <c r="X42" s="29"/>
    </row>
    <row r="43" spans="4:24" ht="16.5" x14ac:dyDescent="0.25">
      <c r="D43" s="553">
        <v>43644</v>
      </c>
      <c r="E43" s="509"/>
      <c r="F43" s="510"/>
      <c r="G43" s="509"/>
      <c r="H43" s="510"/>
      <c r="I43" s="509"/>
      <c r="J43" s="511"/>
      <c r="K43" s="512">
        <f t="shared" si="0"/>
        <v>0</v>
      </c>
      <c r="L43" s="537"/>
      <c r="M43" s="511">
        <f t="shared" si="3"/>
        <v>0</v>
      </c>
      <c r="N43" s="511">
        <f t="shared" si="1"/>
        <v>-378000</v>
      </c>
      <c r="O43" s="29"/>
      <c r="P43" s="518">
        <v>43643</v>
      </c>
      <c r="Q43" s="517" t="s">
        <v>299</v>
      </c>
      <c r="R43" s="517"/>
      <c r="S43" s="517" t="s">
        <v>298</v>
      </c>
      <c r="T43" s="520"/>
      <c r="U43" s="520">
        <v>630</v>
      </c>
      <c r="V43" s="520">
        <f t="shared" si="4"/>
        <v>0</v>
      </c>
      <c r="W43" s="29"/>
      <c r="X43" s="29"/>
    </row>
    <row r="44" spans="4:24" ht="16.5" x14ac:dyDescent="0.25">
      <c r="D44" s="553">
        <v>43645</v>
      </c>
      <c r="E44" s="509"/>
      <c r="F44" s="510"/>
      <c r="G44" s="509">
        <f>H44/G14</f>
        <v>0</v>
      </c>
      <c r="H44" s="510"/>
      <c r="I44" s="509"/>
      <c r="J44" s="511"/>
      <c r="K44" s="512">
        <f t="shared" si="0"/>
        <v>0</v>
      </c>
      <c r="L44" s="537"/>
      <c r="M44" s="511">
        <f t="shared" si="3"/>
        <v>0</v>
      </c>
      <c r="N44" s="511">
        <f t="shared" si="1"/>
        <v>-378000</v>
      </c>
      <c r="O44" s="29"/>
      <c r="P44" s="518">
        <v>43644</v>
      </c>
      <c r="Q44" s="517" t="s">
        <v>299</v>
      </c>
      <c r="R44" s="517"/>
      <c r="S44" s="517" t="s">
        <v>298</v>
      </c>
      <c r="T44" s="520"/>
      <c r="U44" s="520">
        <v>630</v>
      </c>
      <c r="V44" s="520">
        <f t="shared" si="4"/>
        <v>0</v>
      </c>
      <c r="W44" s="29"/>
      <c r="X44" s="29"/>
    </row>
    <row r="45" spans="4:24" ht="16.5" x14ac:dyDescent="0.25">
      <c r="D45" s="553">
        <v>43646</v>
      </c>
      <c r="E45" s="509"/>
      <c r="F45" s="510"/>
      <c r="G45" s="509"/>
      <c r="H45" s="510"/>
      <c r="I45" s="509"/>
      <c r="J45" s="511"/>
      <c r="K45" s="512">
        <f t="shared" si="0"/>
        <v>0</v>
      </c>
      <c r="L45" s="513"/>
      <c r="M45" s="511">
        <f>K45-L45</f>
        <v>0</v>
      </c>
      <c r="N45" s="511">
        <f>+N44+K45-L45</f>
        <v>-378000</v>
      </c>
      <c r="O45" s="29"/>
      <c r="P45" s="518">
        <v>43645</v>
      </c>
      <c r="Q45" s="517" t="s">
        <v>299</v>
      </c>
      <c r="R45" s="517"/>
      <c r="S45" s="517" t="s">
        <v>298</v>
      </c>
      <c r="T45" s="520"/>
      <c r="U45" s="520">
        <v>630</v>
      </c>
      <c r="V45" s="520">
        <f t="shared" si="4"/>
        <v>0</v>
      </c>
      <c r="W45" s="29"/>
      <c r="X45" s="29"/>
    </row>
    <row r="46" spans="4:24" ht="16.5" x14ac:dyDescent="0.25">
      <c r="D46" s="553">
        <v>43647</v>
      </c>
      <c r="E46" s="509"/>
      <c r="F46" s="510"/>
      <c r="G46" s="509"/>
      <c r="H46" s="510"/>
      <c r="I46" s="509"/>
      <c r="J46" s="511"/>
      <c r="K46" s="512">
        <f t="shared" si="0"/>
        <v>0</v>
      </c>
      <c r="L46" s="510"/>
      <c r="M46" s="511">
        <f>K46-L46</f>
        <v>0</v>
      </c>
      <c r="N46" s="524">
        <f>+N45+K46-L46</f>
        <v>-378000</v>
      </c>
      <c r="O46" s="29"/>
      <c r="P46" s="518">
        <v>43646</v>
      </c>
      <c r="Q46" s="517" t="s">
        <v>299</v>
      </c>
      <c r="R46" s="517"/>
      <c r="S46" s="517" t="s">
        <v>298</v>
      </c>
      <c r="T46" s="520"/>
      <c r="U46" s="520">
        <v>630</v>
      </c>
      <c r="V46" s="520">
        <f t="shared" si="4"/>
        <v>0</v>
      </c>
      <c r="W46" s="29"/>
      <c r="X46" s="29"/>
    </row>
    <row r="47" spans="4:24" ht="16.5" x14ac:dyDescent="0.25">
      <c r="D47" s="525" t="s">
        <v>2</v>
      </c>
      <c r="E47" s="512"/>
      <c r="F47" s="512">
        <f t="shared" ref="F47:L47" si="5">SUM(F16:F46)</f>
        <v>0</v>
      </c>
      <c r="G47" s="526">
        <f>SUM(G17:G46)</f>
        <v>0</v>
      </c>
      <c r="H47" s="512">
        <f t="shared" si="5"/>
        <v>0</v>
      </c>
      <c r="I47" s="512"/>
      <c r="J47" s="512">
        <f t="shared" si="5"/>
        <v>0</v>
      </c>
      <c r="K47" s="527">
        <f t="shared" si="5"/>
        <v>0</v>
      </c>
      <c r="L47" s="527">
        <f t="shared" si="5"/>
        <v>0</v>
      </c>
      <c r="M47" s="524">
        <f>SUM(M15:M46)</f>
        <v>-378000</v>
      </c>
      <c r="N47" s="528"/>
      <c r="O47" s="29"/>
      <c r="P47" s="518"/>
      <c r="Q47" s="517" t="s">
        <v>299</v>
      </c>
      <c r="R47" s="517"/>
      <c r="S47" s="517" t="s">
        <v>298</v>
      </c>
      <c r="T47" s="520"/>
      <c r="U47" s="520">
        <v>630</v>
      </c>
      <c r="V47" s="520">
        <f t="shared" si="4"/>
        <v>0</v>
      </c>
      <c r="W47" s="29"/>
      <c r="X47" s="29"/>
    </row>
    <row r="48" spans="4:24" ht="15.75" x14ac:dyDescent="0.25">
      <c r="D48" s="529"/>
      <c r="E48" s="529"/>
      <c r="F48" s="529"/>
      <c r="G48" s="530"/>
      <c r="H48" s="529"/>
      <c r="I48" s="529"/>
      <c r="J48" s="529"/>
      <c r="K48" s="529"/>
      <c r="L48" s="529"/>
      <c r="M48" s="529"/>
      <c r="N48" s="529"/>
      <c r="O48" s="29"/>
      <c r="P48" s="517" t="s">
        <v>2</v>
      </c>
      <c r="Q48" s="517"/>
      <c r="R48" s="520"/>
      <c r="S48" s="520"/>
      <c r="T48" s="519">
        <f>SUM(T17:T47)</f>
        <v>0</v>
      </c>
      <c r="U48" s="520">
        <v>630</v>
      </c>
      <c r="V48" s="520">
        <f>+T48*U48</f>
        <v>0</v>
      </c>
      <c r="W48" s="29"/>
      <c r="X48" s="29"/>
    </row>
    <row r="49" spans="4:24" ht="15.75" x14ac:dyDescent="0.25">
      <c r="D49" s="37" t="s">
        <v>114</v>
      </c>
      <c r="E49" s="37" t="s">
        <v>115</v>
      </c>
      <c r="F49" s="37" t="s">
        <v>44</v>
      </c>
      <c r="G49" s="531" t="s">
        <v>87</v>
      </c>
      <c r="H49" s="29"/>
      <c r="I49" s="29"/>
      <c r="J49" s="29"/>
      <c r="K49" s="29"/>
      <c r="L49" s="29"/>
      <c r="M49" s="29">
        <f>+M47/575</f>
        <v>-657.39130434782612</v>
      </c>
      <c r="N49" s="29"/>
      <c r="O49" s="29"/>
      <c r="P49" s="516"/>
      <c r="Q49" s="29"/>
      <c r="R49" s="29"/>
      <c r="S49" s="29"/>
      <c r="T49" s="29"/>
      <c r="U49" s="29"/>
      <c r="V49" s="29"/>
      <c r="W49" s="29"/>
      <c r="X49" s="29"/>
    </row>
    <row r="50" spans="4:24" ht="15.75" x14ac:dyDescent="0.25">
      <c r="D50" s="37" t="s">
        <v>0</v>
      </c>
      <c r="E50" s="532">
        <f>E47</f>
        <v>0</v>
      </c>
      <c r="F50" s="37">
        <v>0</v>
      </c>
      <c r="G50" s="531">
        <f>E50*F50</f>
        <v>0</v>
      </c>
      <c r="H50" s="29"/>
      <c r="I50" s="29"/>
      <c r="J50" s="29"/>
      <c r="K50" s="29"/>
      <c r="L50" s="29"/>
      <c r="M50" s="29"/>
      <c r="N50" s="29"/>
      <c r="O50" s="29"/>
      <c r="P50" s="29" t="s">
        <v>250</v>
      </c>
      <c r="Q50" s="29"/>
      <c r="R50" s="29"/>
      <c r="S50" s="29"/>
      <c r="T50" s="29"/>
      <c r="U50" s="29"/>
      <c r="V50" s="29"/>
      <c r="W50" s="29"/>
      <c r="X50" s="29"/>
    </row>
    <row r="51" spans="4:24" ht="15.75" x14ac:dyDescent="0.25">
      <c r="D51" s="37" t="s">
        <v>3</v>
      </c>
      <c r="E51" s="531">
        <f>G47</f>
        <v>0</v>
      </c>
      <c r="F51" s="37"/>
      <c r="G51" s="531">
        <f>E51*F51</f>
        <v>0</v>
      </c>
      <c r="H51" s="29"/>
      <c r="I51" s="29"/>
      <c r="J51" s="29"/>
      <c r="K51" s="516"/>
      <c r="L51" s="516"/>
      <c r="M51" s="516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4:24" ht="15.75" x14ac:dyDescent="0.25">
      <c r="D52" s="37" t="s">
        <v>1</v>
      </c>
      <c r="E52" s="532">
        <f>I47</f>
        <v>0</v>
      </c>
      <c r="F52" s="37">
        <v>0</v>
      </c>
      <c r="G52" s="531">
        <f>E52*F52</f>
        <v>0</v>
      </c>
      <c r="H52" s="494"/>
      <c r="I52" s="29"/>
      <c r="J52" s="29"/>
      <c r="K52" s="29"/>
      <c r="L52" s="533"/>
      <c r="M52" s="29"/>
      <c r="N52" s="516"/>
      <c r="O52" s="29"/>
      <c r="P52" s="29"/>
      <c r="Q52" s="29"/>
      <c r="R52" s="29"/>
      <c r="S52" s="29"/>
      <c r="T52" s="29"/>
      <c r="U52" s="1855" t="s">
        <v>251</v>
      </c>
      <c r="V52" s="1855"/>
      <c r="W52" s="29"/>
      <c r="X52" s="29"/>
    </row>
    <row r="53" spans="4:24" ht="15.75" x14ac:dyDescent="0.25">
      <c r="D53" s="534" t="s">
        <v>2</v>
      </c>
      <c r="E53" s="535"/>
      <c r="F53" s="536"/>
      <c r="G53" s="531">
        <f>SUM(G50:G52)</f>
        <v>0</v>
      </c>
      <c r="H53" s="29"/>
      <c r="I53" s="29"/>
      <c r="J53" s="29"/>
      <c r="K53" s="29"/>
      <c r="L53" s="29"/>
      <c r="M53" s="29"/>
      <c r="N53" s="516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4:24" ht="15.75" x14ac:dyDescent="0.25"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4:24" ht="16.5" x14ac:dyDescent="0.3">
      <c r="D55" s="29"/>
      <c r="E55" s="29"/>
      <c r="F55" s="28" t="s">
        <v>252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4:24" ht="15.75" x14ac:dyDescent="0.25"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4:24" ht="15.75" x14ac:dyDescent="0.25">
      <c r="P57" s="29"/>
      <c r="Q57" s="29"/>
      <c r="R57" s="29"/>
      <c r="S57" s="29"/>
      <c r="T57" s="29"/>
      <c r="U57" s="29"/>
      <c r="V57" s="29"/>
    </row>
    <row r="58" spans="4:24" ht="15.75" x14ac:dyDescent="0.25">
      <c r="P58" s="29"/>
      <c r="Q58" s="29"/>
      <c r="R58" s="29"/>
      <c r="S58" s="29"/>
      <c r="T58" s="29"/>
      <c r="U58" s="29"/>
      <c r="V58" s="29"/>
    </row>
    <row r="59" spans="4:24" ht="15.75" x14ac:dyDescent="0.25">
      <c r="P59" s="29"/>
      <c r="Q59" s="29"/>
      <c r="R59" s="29"/>
      <c r="S59" s="29"/>
      <c r="T59" s="29"/>
      <c r="U59" s="29"/>
      <c r="V59" s="29"/>
    </row>
    <row r="60" spans="4:24" ht="15.75" x14ac:dyDescent="0.25">
      <c r="P60" s="29"/>
      <c r="Q60" s="29"/>
      <c r="R60" s="29"/>
      <c r="S60" s="29"/>
      <c r="T60" s="29"/>
      <c r="U60" s="29"/>
      <c r="V60" s="29"/>
    </row>
    <row r="61" spans="4:24" ht="15.75" x14ac:dyDescent="0.25">
      <c r="P61" s="29"/>
      <c r="Q61" s="29"/>
      <c r="R61" s="29"/>
      <c r="S61" s="29"/>
      <c r="T61" s="29"/>
      <c r="U61" s="29"/>
      <c r="V61" s="29"/>
    </row>
    <row r="62" spans="4:24" ht="15.75" x14ac:dyDescent="0.25">
      <c r="P62" s="29"/>
      <c r="Q62" s="29"/>
      <c r="R62" s="29"/>
      <c r="S62" s="29"/>
      <c r="T62" s="29"/>
      <c r="U62" s="29"/>
      <c r="V62" s="29"/>
    </row>
  </sheetData>
  <mergeCells count="10">
    <mergeCell ref="A16:C16"/>
    <mergeCell ref="U52:V52"/>
    <mergeCell ref="P9:R9"/>
    <mergeCell ref="P10:R10"/>
    <mergeCell ref="Q12:V12"/>
    <mergeCell ref="Q14:R14"/>
    <mergeCell ref="K13:K14"/>
    <mergeCell ref="L13:L14"/>
    <mergeCell ref="M13:M14"/>
    <mergeCell ref="N13:N14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X86"/>
  <sheetViews>
    <sheetView topLeftCell="A61" workbookViewId="0">
      <selection activeCell="Q7" sqref="Q7"/>
    </sheetView>
  </sheetViews>
  <sheetFormatPr baseColWidth="10" defaultRowHeight="15" x14ac:dyDescent="0.25"/>
  <cols>
    <col min="7" max="7" width="14.7109375" bestFit="1" customWidth="1"/>
    <col min="8" max="8" width="12.140625" bestFit="1" customWidth="1"/>
    <col min="9" max="9" width="14.5703125" bestFit="1" customWidth="1"/>
    <col min="10" max="10" width="13.85546875" bestFit="1" customWidth="1"/>
    <col min="11" max="12" width="12.140625" bestFit="1" customWidth="1"/>
    <col min="13" max="13" width="15.85546875" customWidth="1"/>
    <col min="14" max="15" width="13.5703125" bestFit="1" customWidth="1"/>
  </cols>
  <sheetData>
    <row r="4" spans="3:23" ht="15.75" x14ac:dyDescent="0.25"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spans="3:23" ht="16.5" x14ac:dyDescent="0.3">
      <c r="F5" s="28" t="s">
        <v>237</v>
      </c>
      <c r="G5" s="28" t="s">
        <v>305</v>
      </c>
      <c r="H5" s="29"/>
      <c r="I5" s="29"/>
      <c r="J5" s="29"/>
      <c r="K5" s="29"/>
      <c r="L5" s="29"/>
      <c r="M5" s="29"/>
      <c r="N5" s="29"/>
      <c r="O5" s="29"/>
      <c r="P5" s="29"/>
      <c r="Q5" s="1855"/>
      <c r="R5" s="1855"/>
      <c r="S5" s="1855"/>
      <c r="T5" s="29"/>
      <c r="U5" s="29"/>
      <c r="V5" s="29"/>
      <c r="W5" s="29"/>
    </row>
    <row r="6" spans="3:23" ht="15.75" x14ac:dyDescent="0.25">
      <c r="F6" s="29"/>
      <c r="G6" s="29"/>
      <c r="H6" s="494"/>
      <c r="I6" s="29"/>
      <c r="J6" s="29"/>
      <c r="K6" s="29"/>
      <c r="L6" s="29"/>
      <c r="M6" s="29"/>
      <c r="N6" s="29"/>
      <c r="O6" s="29"/>
      <c r="P6" s="29"/>
      <c r="Q6" s="1855"/>
      <c r="R6" s="1855"/>
      <c r="S6" s="1855"/>
      <c r="T6" s="29"/>
      <c r="U6" s="29"/>
      <c r="V6" s="29"/>
      <c r="W6" s="29"/>
    </row>
    <row r="7" spans="3:23" ht="16.5" x14ac:dyDescent="0.3">
      <c r="F7" s="28" t="s">
        <v>25</v>
      </c>
      <c r="G7" s="30">
        <v>43617</v>
      </c>
      <c r="H7" s="28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spans="3:23" ht="16.5" x14ac:dyDescent="0.3">
      <c r="F8" s="28"/>
      <c r="G8" s="28"/>
      <c r="H8" s="28"/>
      <c r="I8" s="29"/>
      <c r="J8" s="29"/>
      <c r="K8" s="29"/>
      <c r="L8" s="29"/>
      <c r="M8" s="495"/>
      <c r="N8" s="29"/>
      <c r="O8" s="29"/>
      <c r="P8" s="29"/>
      <c r="Q8" s="29"/>
      <c r="R8" s="1855"/>
      <c r="S8" s="1855"/>
      <c r="T8" s="1855"/>
      <c r="U8" s="1855"/>
      <c r="V8" s="1855"/>
      <c r="W8" s="1855"/>
    </row>
    <row r="9" spans="3:23" ht="16.5" x14ac:dyDescent="0.25">
      <c r="F9" s="496" t="s">
        <v>4</v>
      </c>
      <c r="G9" s="653" t="s">
        <v>0</v>
      </c>
      <c r="H9" s="654"/>
      <c r="I9" s="655" t="s">
        <v>3</v>
      </c>
      <c r="J9" s="656"/>
      <c r="K9" s="657" t="s">
        <v>40</v>
      </c>
      <c r="L9" s="658"/>
      <c r="M9" s="1856" t="s">
        <v>2</v>
      </c>
      <c r="N9" s="1856" t="s">
        <v>240</v>
      </c>
      <c r="O9" s="1856" t="s">
        <v>241</v>
      </c>
      <c r="P9" s="29"/>
      <c r="Q9" s="29"/>
      <c r="R9" s="29"/>
      <c r="S9" s="29"/>
      <c r="T9" s="29"/>
      <c r="U9" s="29"/>
      <c r="V9" s="29"/>
      <c r="W9" s="29"/>
    </row>
    <row r="10" spans="3:23" ht="23.25" x14ac:dyDescent="0.35">
      <c r="F10" s="499"/>
      <c r="G10" s="653">
        <v>630</v>
      </c>
      <c r="H10" s="654"/>
      <c r="I10" s="655">
        <v>575</v>
      </c>
      <c r="J10" s="656"/>
      <c r="K10" s="657"/>
      <c r="L10" s="658"/>
      <c r="M10" s="1857"/>
      <c r="N10" s="1857"/>
      <c r="O10" s="1857"/>
      <c r="P10" s="29"/>
      <c r="Q10" s="29"/>
      <c r="R10" s="2063"/>
      <c r="S10" s="2063"/>
      <c r="T10" s="29"/>
      <c r="U10" s="29"/>
      <c r="V10" s="29"/>
      <c r="W10" s="29"/>
    </row>
    <row r="11" spans="3:23" ht="16.5" x14ac:dyDescent="0.25">
      <c r="F11" s="502"/>
      <c r="G11" s="659" t="s">
        <v>243</v>
      </c>
      <c r="H11" s="659" t="s">
        <v>244</v>
      </c>
      <c r="I11" s="660" t="s">
        <v>243</v>
      </c>
      <c r="J11" s="661" t="s">
        <v>244</v>
      </c>
      <c r="K11" s="662" t="s">
        <v>243</v>
      </c>
      <c r="L11" s="662" t="s">
        <v>244</v>
      </c>
      <c r="M11" s="557"/>
      <c r="N11" s="506"/>
      <c r="O11" s="507">
        <v>7921250</v>
      </c>
      <c r="P11" s="29"/>
    </row>
    <row r="12" spans="3:23" ht="16.5" x14ac:dyDescent="0.25">
      <c r="C12" s="1853" t="s">
        <v>254</v>
      </c>
      <c r="D12" s="1853"/>
      <c r="E12" s="1854"/>
      <c r="F12" s="553">
        <v>43617</v>
      </c>
      <c r="G12" s="663"/>
      <c r="H12" s="664"/>
      <c r="I12" s="665"/>
      <c r="J12" s="666"/>
      <c r="K12" s="667"/>
      <c r="L12" s="668"/>
      <c r="M12" s="557">
        <f>+H12+J12+L12</f>
        <v>0</v>
      </c>
      <c r="N12" s="558"/>
      <c r="O12" s="556">
        <f>+O11+M12-N12</f>
        <v>7921250</v>
      </c>
      <c r="P12" s="29"/>
    </row>
    <row r="13" spans="3:23" ht="16.5" x14ac:dyDescent="0.3">
      <c r="F13" s="553">
        <v>43618</v>
      </c>
      <c r="G13" s="663"/>
      <c r="H13" s="664"/>
      <c r="I13" s="669"/>
      <c r="J13" s="666"/>
      <c r="K13" s="667"/>
      <c r="L13" s="668"/>
      <c r="M13" s="557">
        <f t="shared" ref="M13:M42" si="0">+H13+J13+L13</f>
        <v>0</v>
      </c>
      <c r="N13" s="515"/>
      <c r="O13" s="556">
        <f t="shared" ref="O13:O42" si="1">+O12+M13-N13</f>
        <v>7921250</v>
      </c>
      <c r="P13" s="29"/>
    </row>
    <row r="14" spans="3:23" ht="16.5" x14ac:dyDescent="0.3">
      <c r="F14" s="553">
        <v>43619</v>
      </c>
      <c r="G14" s="663"/>
      <c r="H14" s="664"/>
      <c r="I14" s="669"/>
      <c r="J14" s="666"/>
      <c r="K14" s="667"/>
      <c r="L14" s="668"/>
      <c r="M14" s="557">
        <f t="shared" si="0"/>
        <v>0</v>
      </c>
      <c r="N14" s="515"/>
      <c r="O14" s="556">
        <f t="shared" si="1"/>
        <v>7921250</v>
      </c>
      <c r="P14" s="29"/>
    </row>
    <row r="15" spans="3:23" ht="16.5" x14ac:dyDescent="0.3">
      <c r="F15" s="553">
        <v>43620</v>
      </c>
      <c r="G15" s="663"/>
      <c r="H15" s="664"/>
      <c r="I15" s="669"/>
      <c r="J15" s="666"/>
      <c r="K15" s="667"/>
      <c r="L15" s="668"/>
      <c r="M15" s="557">
        <f t="shared" si="0"/>
        <v>0</v>
      </c>
      <c r="N15" s="515"/>
      <c r="O15" s="556">
        <f t="shared" si="1"/>
        <v>7921250</v>
      </c>
      <c r="P15" s="516"/>
    </row>
    <row r="16" spans="3:23" ht="16.5" x14ac:dyDescent="0.25">
      <c r="F16" s="553">
        <v>43621</v>
      </c>
      <c r="G16" s="663"/>
      <c r="H16" s="664"/>
      <c r="I16" s="669"/>
      <c r="J16" s="666"/>
      <c r="K16" s="667"/>
      <c r="L16" s="668"/>
      <c r="M16" s="557">
        <f t="shared" si="0"/>
        <v>0</v>
      </c>
      <c r="N16" s="537"/>
      <c r="O16" s="556">
        <f t="shared" si="1"/>
        <v>7921250</v>
      </c>
      <c r="P16" s="29"/>
    </row>
    <row r="17" spans="6:16" ht="16.5" x14ac:dyDescent="0.25">
      <c r="F17" s="553">
        <v>43622</v>
      </c>
      <c r="G17" s="663"/>
      <c r="H17" s="664"/>
      <c r="I17" s="669"/>
      <c r="J17" s="666"/>
      <c r="K17" s="667"/>
      <c r="L17" s="668"/>
      <c r="M17" s="557">
        <f t="shared" si="0"/>
        <v>0</v>
      </c>
      <c r="N17" s="537"/>
      <c r="O17" s="556">
        <f t="shared" si="1"/>
        <v>7921250</v>
      </c>
      <c r="P17" s="29"/>
    </row>
    <row r="18" spans="6:16" ht="16.5" x14ac:dyDescent="0.25">
      <c r="F18" s="553">
        <v>43623</v>
      </c>
      <c r="G18" s="663"/>
      <c r="H18" s="664"/>
      <c r="I18" s="669"/>
      <c r="J18" s="666"/>
      <c r="K18" s="667"/>
      <c r="L18" s="668"/>
      <c r="M18" s="557">
        <f t="shared" si="0"/>
        <v>0</v>
      </c>
      <c r="N18" s="537"/>
      <c r="O18" s="556">
        <f t="shared" si="1"/>
        <v>7921250</v>
      </c>
      <c r="P18" s="29"/>
    </row>
    <row r="19" spans="6:16" ht="16.5" x14ac:dyDescent="0.25">
      <c r="F19" s="553">
        <v>43624</v>
      </c>
      <c r="G19" s="663"/>
      <c r="H19" s="664"/>
      <c r="I19" s="669"/>
      <c r="J19" s="666"/>
      <c r="K19" s="667"/>
      <c r="L19" s="668"/>
      <c r="M19" s="557">
        <f t="shared" si="0"/>
        <v>0</v>
      </c>
      <c r="N19" s="537"/>
      <c r="O19" s="556">
        <f t="shared" si="1"/>
        <v>7921250</v>
      </c>
      <c r="P19" s="29"/>
    </row>
    <row r="20" spans="6:16" ht="16.5" x14ac:dyDescent="0.25">
      <c r="F20" s="553">
        <v>43625</v>
      </c>
      <c r="G20" s="663"/>
      <c r="H20" s="664"/>
      <c r="I20" s="669"/>
      <c r="J20" s="666"/>
      <c r="K20" s="667"/>
      <c r="L20" s="668"/>
      <c r="M20" s="557">
        <f t="shared" si="0"/>
        <v>0</v>
      </c>
      <c r="N20" s="537"/>
      <c r="O20" s="556">
        <f t="shared" si="1"/>
        <v>7921250</v>
      </c>
      <c r="P20" s="29"/>
    </row>
    <row r="21" spans="6:16" ht="16.5" x14ac:dyDescent="0.25">
      <c r="F21" s="553">
        <v>43626</v>
      </c>
      <c r="G21" s="663"/>
      <c r="H21" s="664"/>
      <c r="I21" s="669"/>
      <c r="J21" s="666"/>
      <c r="K21" s="667"/>
      <c r="L21" s="668"/>
      <c r="M21" s="557">
        <f t="shared" si="0"/>
        <v>0</v>
      </c>
      <c r="N21" s="537"/>
      <c r="O21" s="556">
        <f t="shared" si="1"/>
        <v>7921250</v>
      </c>
      <c r="P21" s="29"/>
    </row>
    <row r="22" spans="6:16" ht="16.5" x14ac:dyDescent="0.25">
      <c r="F22" s="553">
        <v>43627</v>
      </c>
      <c r="G22" s="663"/>
      <c r="H22" s="664"/>
      <c r="I22" s="669"/>
      <c r="J22" s="666"/>
      <c r="K22" s="667"/>
      <c r="L22" s="668"/>
      <c r="M22" s="557">
        <f t="shared" si="0"/>
        <v>0</v>
      </c>
      <c r="N22" s="537"/>
      <c r="O22" s="556">
        <f t="shared" si="1"/>
        <v>7921250</v>
      </c>
      <c r="P22" s="29"/>
    </row>
    <row r="23" spans="6:16" ht="16.5" x14ac:dyDescent="0.25">
      <c r="F23" s="553">
        <v>43628</v>
      </c>
      <c r="G23" s="663"/>
      <c r="H23" s="664"/>
      <c r="I23" s="669"/>
      <c r="J23" s="666"/>
      <c r="K23" s="667"/>
      <c r="L23" s="668"/>
      <c r="M23" s="557">
        <f t="shared" si="0"/>
        <v>0</v>
      </c>
      <c r="N23" s="537"/>
      <c r="O23" s="556">
        <f t="shared" si="1"/>
        <v>7921250</v>
      </c>
      <c r="P23" s="29"/>
    </row>
    <row r="24" spans="6:16" ht="16.5" x14ac:dyDescent="0.25">
      <c r="F24" s="553">
        <v>43629</v>
      </c>
      <c r="G24" s="663"/>
      <c r="H24" s="664"/>
      <c r="I24" s="669"/>
      <c r="J24" s="666"/>
      <c r="K24" s="667"/>
      <c r="L24" s="668"/>
      <c r="M24" s="557">
        <f t="shared" si="0"/>
        <v>0</v>
      </c>
      <c r="N24" s="537"/>
      <c r="O24" s="556">
        <f t="shared" si="1"/>
        <v>7921250</v>
      </c>
      <c r="P24" s="29"/>
    </row>
    <row r="25" spans="6:16" ht="16.5" x14ac:dyDescent="0.25">
      <c r="F25" s="553">
        <v>43630</v>
      </c>
      <c r="G25" s="663"/>
      <c r="H25" s="664"/>
      <c r="I25" s="669"/>
      <c r="J25" s="666"/>
      <c r="K25" s="667"/>
      <c r="L25" s="668"/>
      <c r="M25" s="557">
        <f t="shared" si="0"/>
        <v>0</v>
      </c>
      <c r="N25" s="537"/>
      <c r="O25" s="556">
        <f t="shared" si="1"/>
        <v>7921250</v>
      </c>
      <c r="P25" s="29"/>
    </row>
    <row r="26" spans="6:16" ht="16.5" x14ac:dyDescent="0.25">
      <c r="F26" s="553">
        <v>43631</v>
      </c>
      <c r="G26" s="663"/>
      <c r="H26" s="664"/>
      <c r="I26" s="669"/>
      <c r="J26" s="666"/>
      <c r="K26" s="667"/>
      <c r="L26" s="668"/>
      <c r="M26" s="557">
        <f t="shared" si="0"/>
        <v>0</v>
      </c>
      <c r="N26" s="537"/>
      <c r="O26" s="556">
        <f t="shared" si="1"/>
        <v>7921250</v>
      </c>
      <c r="P26" s="29"/>
    </row>
    <row r="27" spans="6:16" ht="16.5" x14ac:dyDescent="0.25">
      <c r="F27" s="553">
        <v>43632</v>
      </c>
      <c r="G27" s="663"/>
      <c r="H27" s="664"/>
      <c r="I27" s="669"/>
      <c r="J27" s="666"/>
      <c r="K27" s="667"/>
      <c r="L27" s="668"/>
      <c r="M27" s="557">
        <f t="shared" si="0"/>
        <v>0</v>
      </c>
      <c r="N27" s="537"/>
      <c r="O27" s="556">
        <f t="shared" si="1"/>
        <v>7921250</v>
      </c>
      <c r="P27" s="29"/>
    </row>
    <row r="28" spans="6:16" ht="16.5" x14ac:dyDescent="0.25">
      <c r="F28" s="553">
        <v>43633</v>
      </c>
      <c r="G28" s="663"/>
      <c r="H28" s="664"/>
      <c r="I28" s="669"/>
      <c r="J28" s="666"/>
      <c r="K28" s="667"/>
      <c r="L28" s="668"/>
      <c r="M28" s="557">
        <f t="shared" si="0"/>
        <v>0</v>
      </c>
      <c r="N28" s="537"/>
      <c r="O28" s="556">
        <f t="shared" si="1"/>
        <v>7921250</v>
      </c>
      <c r="P28" s="29"/>
    </row>
    <row r="29" spans="6:16" ht="16.5" x14ac:dyDescent="0.3">
      <c r="F29" s="553">
        <v>43634</v>
      </c>
      <c r="G29" s="663"/>
      <c r="H29" s="664"/>
      <c r="I29" s="669"/>
      <c r="J29" s="666"/>
      <c r="K29" s="667"/>
      <c r="L29" s="668"/>
      <c r="M29" s="557">
        <f t="shared" si="0"/>
        <v>0</v>
      </c>
      <c r="N29" s="537"/>
      <c r="O29" s="556">
        <f t="shared" si="1"/>
        <v>7921250</v>
      </c>
      <c r="P29" s="523"/>
    </row>
    <row r="30" spans="6:16" ht="16.5" x14ac:dyDescent="0.25">
      <c r="F30" s="553">
        <v>43635</v>
      </c>
      <c r="G30" s="663"/>
      <c r="H30" s="664"/>
      <c r="I30" s="669"/>
      <c r="J30" s="666"/>
      <c r="K30" s="667"/>
      <c r="L30" s="668"/>
      <c r="M30" s="557">
        <f t="shared" si="0"/>
        <v>0</v>
      </c>
      <c r="N30" s="537"/>
      <c r="O30" s="556">
        <f t="shared" si="1"/>
        <v>7921250</v>
      </c>
      <c r="P30" s="29"/>
    </row>
    <row r="31" spans="6:16" ht="16.5" x14ac:dyDescent="0.25">
      <c r="F31" s="553">
        <v>43636</v>
      </c>
      <c r="G31" s="663"/>
      <c r="H31" s="664"/>
      <c r="I31" s="669"/>
      <c r="J31" s="666"/>
      <c r="K31" s="667"/>
      <c r="L31" s="668"/>
      <c r="M31" s="557">
        <f t="shared" si="0"/>
        <v>0</v>
      </c>
      <c r="N31" s="537"/>
      <c r="O31" s="556">
        <f t="shared" si="1"/>
        <v>7921250</v>
      </c>
      <c r="P31" s="29"/>
    </row>
    <row r="32" spans="6:16" ht="16.5" x14ac:dyDescent="0.25">
      <c r="F32" s="553">
        <v>43637</v>
      </c>
      <c r="G32" s="663"/>
      <c r="H32" s="664"/>
      <c r="I32" s="669"/>
      <c r="J32" s="666"/>
      <c r="K32" s="667"/>
      <c r="L32" s="668"/>
      <c r="M32" s="557">
        <f t="shared" si="0"/>
        <v>0</v>
      </c>
      <c r="N32" s="537"/>
      <c r="O32" s="556">
        <f t="shared" si="1"/>
        <v>7921250</v>
      </c>
      <c r="P32" s="29"/>
    </row>
    <row r="33" spans="6:23" ht="16.5" x14ac:dyDescent="0.25">
      <c r="F33" s="553">
        <v>43638</v>
      </c>
      <c r="G33" s="663"/>
      <c r="H33" s="664"/>
      <c r="I33" s="669"/>
      <c r="J33" s="666"/>
      <c r="K33" s="667"/>
      <c r="L33" s="668"/>
      <c r="M33" s="557">
        <f t="shared" si="0"/>
        <v>0</v>
      </c>
      <c r="N33" s="538"/>
      <c r="O33" s="556">
        <f t="shared" si="1"/>
        <v>7921250</v>
      </c>
      <c r="P33" s="29"/>
    </row>
    <row r="34" spans="6:23" ht="16.5" x14ac:dyDescent="0.25">
      <c r="F34" s="553">
        <v>43639</v>
      </c>
      <c r="G34" s="663"/>
      <c r="H34" s="664"/>
      <c r="I34" s="669"/>
      <c r="J34" s="666"/>
      <c r="K34" s="667"/>
      <c r="L34" s="668"/>
      <c r="M34" s="557">
        <f t="shared" si="0"/>
        <v>0</v>
      </c>
      <c r="N34" s="538"/>
      <c r="O34" s="556">
        <f t="shared" si="1"/>
        <v>7921250</v>
      </c>
      <c r="P34" s="29"/>
    </row>
    <row r="35" spans="6:23" ht="16.5" x14ac:dyDescent="0.25">
      <c r="F35" s="553">
        <v>43640</v>
      </c>
      <c r="G35" s="663"/>
      <c r="H35" s="664"/>
      <c r="I35" s="669"/>
      <c r="J35" s="666"/>
      <c r="K35" s="667"/>
      <c r="L35" s="668"/>
      <c r="M35" s="557">
        <f t="shared" si="0"/>
        <v>0</v>
      </c>
      <c r="N35" s="538"/>
      <c r="O35" s="556">
        <f t="shared" si="1"/>
        <v>7921250</v>
      </c>
      <c r="P35" s="181" t="s">
        <v>50</v>
      </c>
    </row>
    <row r="36" spans="6:23" ht="16.5" x14ac:dyDescent="0.25">
      <c r="F36" s="553">
        <v>43641</v>
      </c>
      <c r="G36" s="663"/>
      <c r="H36" s="664"/>
      <c r="I36" s="669"/>
      <c r="J36" s="666"/>
      <c r="K36" s="667"/>
      <c r="L36" s="668"/>
      <c r="M36" s="557">
        <f t="shared" si="0"/>
        <v>0</v>
      </c>
      <c r="N36" s="537"/>
      <c r="O36" s="556">
        <f t="shared" si="1"/>
        <v>7921250</v>
      </c>
      <c r="P36" s="29"/>
    </row>
    <row r="37" spans="6:23" ht="16.5" x14ac:dyDescent="0.25">
      <c r="F37" s="553">
        <v>43642</v>
      </c>
      <c r="G37" s="663"/>
      <c r="H37" s="664"/>
      <c r="I37" s="669"/>
      <c r="J37" s="666"/>
      <c r="K37" s="667"/>
      <c r="L37" s="668"/>
      <c r="M37" s="557">
        <f t="shared" si="0"/>
        <v>0</v>
      </c>
      <c r="N37" s="537"/>
      <c r="O37" s="556">
        <f t="shared" si="1"/>
        <v>7921250</v>
      </c>
      <c r="P37" s="29"/>
    </row>
    <row r="38" spans="6:23" ht="16.5" x14ac:dyDescent="0.25">
      <c r="F38" s="553">
        <v>43643</v>
      </c>
      <c r="G38" s="663"/>
      <c r="H38" s="664"/>
      <c r="I38" s="669"/>
      <c r="J38" s="666"/>
      <c r="K38" s="667"/>
      <c r="L38" s="668"/>
      <c r="M38" s="557">
        <f t="shared" si="0"/>
        <v>0</v>
      </c>
      <c r="N38" s="537"/>
      <c r="O38" s="556">
        <f t="shared" si="1"/>
        <v>7921250</v>
      </c>
      <c r="P38" s="29"/>
    </row>
    <row r="39" spans="6:23" ht="16.5" x14ac:dyDescent="0.25">
      <c r="F39" s="553">
        <v>43644</v>
      </c>
      <c r="G39" s="663"/>
      <c r="H39" s="664"/>
      <c r="I39" s="669"/>
      <c r="J39" s="666"/>
      <c r="K39" s="667"/>
      <c r="L39" s="668"/>
      <c r="M39" s="557">
        <f t="shared" si="0"/>
        <v>0</v>
      </c>
      <c r="N39" s="537"/>
      <c r="O39" s="556">
        <f t="shared" si="1"/>
        <v>7921250</v>
      </c>
      <c r="P39" s="29"/>
    </row>
    <row r="40" spans="6:23" ht="16.5" x14ac:dyDescent="0.25">
      <c r="F40" s="553">
        <v>43645</v>
      </c>
      <c r="G40" s="663"/>
      <c r="H40" s="664"/>
      <c r="I40" s="669"/>
      <c r="J40" s="666"/>
      <c r="K40" s="667"/>
      <c r="L40" s="668"/>
      <c r="M40" s="557">
        <f t="shared" si="0"/>
        <v>0</v>
      </c>
      <c r="N40" s="537"/>
      <c r="O40" s="556">
        <f t="shared" si="1"/>
        <v>7921250</v>
      </c>
      <c r="P40" s="29"/>
    </row>
    <row r="41" spans="6:23" ht="16.5" x14ac:dyDescent="0.25">
      <c r="F41" s="553">
        <v>43646</v>
      </c>
      <c r="G41" s="663"/>
      <c r="H41" s="664"/>
      <c r="I41" s="669"/>
      <c r="J41" s="666"/>
      <c r="K41" s="667"/>
      <c r="L41" s="668"/>
      <c r="M41" s="557">
        <f t="shared" si="0"/>
        <v>0</v>
      </c>
      <c r="N41" s="513"/>
      <c r="O41" s="556">
        <f t="shared" si="1"/>
        <v>7921250</v>
      </c>
      <c r="P41" s="29"/>
    </row>
    <row r="42" spans="6:23" ht="16.5" x14ac:dyDescent="0.25">
      <c r="F42" s="553">
        <v>43647</v>
      </c>
      <c r="G42" s="663"/>
      <c r="H42" s="664"/>
      <c r="I42" s="669"/>
      <c r="J42" s="666"/>
      <c r="K42" s="667"/>
      <c r="L42" s="668"/>
      <c r="M42" s="557">
        <f t="shared" si="0"/>
        <v>0</v>
      </c>
      <c r="N42" s="510"/>
      <c r="O42" s="556">
        <f t="shared" si="1"/>
        <v>7921250</v>
      </c>
      <c r="P42" s="29"/>
    </row>
    <row r="43" spans="6:23" ht="16.5" x14ac:dyDescent="0.25">
      <c r="F43" s="525" t="s">
        <v>2</v>
      </c>
      <c r="G43" s="670">
        <f>SUM(G12:G42)</f>
        <v>0</v>
      </c>
      <c r="H43" s="670">
        <f>SUM(H12:H42)</f>
        <v>0</v>
      </c>
      <c r="I43" s="671">
        <f>SUM(I13:I42)</f>
        <v>0</v>
      </c>
      <c r="J43" s="672">
        <f>SUM(J12:J42)</f>
        <v>0</v>
      </c>
      <c r="K43" s="673">
        <f>SUM(K12:K42)</f>
        <v>0</v>
      </c>
      <c r="L43" s="673">
        <f>SUM(L12:L42)</f>
        <v>0</v>
      </c>
      <c r="M43" s="527">
        <f>SUM(M11:M42)</f>
        <v>0</v>
      </c>
      <c r="N43" s="527">
        <f>SUM(N12:N42)</f>
        <v>0</v>
      </c>
      <c r="O43" s="528"/>
      <c r="P43" s="29"/>
    </row>
    <row r="44" spans="6:23" ht="15.75" x14ac:dyDescent="0.25">
      <c r="F44" s="529"/>
      <c r="G44" s="529"/>
      <c r="H44" s="529"/>
      <c r="I44" s="530"/>
      <c r="J44" s="529"/>
      <c r="K44" s="529"/>
      <c r="L44" s="529"/>
      <c r="M44" s="529"/>
      <c r="N44" s="529"/>
      <c r="O44" s="529"/>
      <c r="P44" s="29"/>
    </row>
    <row r="45" spans="6:23" ht="15.75" x14ac:dyDescent="0.25">
      <c r="F45" s="37" t="s">
        <v>114</v>
      </c>
      <c r="G45" s="37" t="s">
        <v>115</v>
      </c>
      <c r="H45" s="37" t="s">
        <v>44</v>
      </c>
      <c r="I45" s="531" t="s">
        <v>87</v>
      </c>
      <c r="J45" s="29"/>
      <c r="K45" s="29"/>
      <c r="L45" s="29"/>
      <c r="M45" s="29"/>
      <c r="N45" s="29"/>
      <c r="O45" s="29"/>
      <c r="P45" s="29"/>
    </row>
    <row r="46" spans="6:23" ht="15.75" x14ac:dyDescent="0.25">
      <c r="F46" s="37" t="s">
        <v>0</v>
      </c>
      <c r="G46" s="532">
        <f>G43</f>
        <v>0</v>
      </c>
      <c r="H46" s="37">
        <v>0</v>
      </c>
      <c r="I46" s="531">
        <f>G46*H46</f>
        <v>0</v>
      </c>
      <c r="J46" s="29"/>
      <c r="K46" s="29"/>
      <c r="L46" s="29"/>
      <c r="M46" s="29"/>
      <c r="N46" s="29"/>
      <c r="O46" s="29"/>
      <c r="P46" s="29"/>
    </row>
    <row r="47" spans="6:23" ht="15.75" x14ac:dyDescent="0.25">
      <c r="F47" s="37" t="s">
        <v>3</v>
      </c>
      <c r="G47" s="531">
        <f>I43</f>
        <v>0</v>
      </c>
      <c r="H47" s="37"/>
      <c r="I47" s="531">
        <f>G47*H47</f>
        <v>0</v>
      </c>
      <c r="J47" s="29"/>
      <c r="K47" s="29"/>
      <c r="L47" s="29"/>
      <c r="M47" s="516"/>
      <c r="N47" s="516"/>
      <c r="O47" s="29"/>
      <c r="P47" s="29"/>
      <c r="Q47" s="29"/>
      <c r="R47" s="29"/>
      <c r="S47" s="29"/>
      <c r="T47" s="29"/>
      <c r="U47" s="29"/>
      <c r="V47" s="29"/>
      <c r="W47" s="29"/>
    </row>
    <row r="48" spans="6:23" ht="15.75" x14ac:dyDescent="0.25">
      <c r="F48" s="37" t="s">
        <v>1</v>
      </c>
      <c r="G48" s="532">
        <f>K43</f>
        <v>0</v>
      </c>
      <c r="H48" s="37">
        <v>0</v>
      </c>
      <c r="I48" s="531">
        <f>G48*H48</f>
        <v>0</v>
      </c>
      <c r="J48" s="494"/>
      <c r="K48" s="29"/>
      <c r="L48" s="29"/>
      <c r="M48" s="29"/>
      <c r="N48" s="533"/>
      <c r="O48" s="516"/>
      <c r="P48" s="29"/>
      <c r="Q48" s="29"/>
      <c r="R48" s="29"/>
      <c r="S48" s="29"/>
      <c r="T48" s="29"/>
      <c r="U48" s="29"/>
      <c r="V48" s="1855"/>
      <c r="W48" s="1855"/>
    </row>
    <row r="49" spans="6:24" ht="15.75" x14ac:dyDescent="0.25">
      <c r="F49" s="650" t="s">
        <v>2</v>
      </c>
      <c r="G49" s="651"/>
      <c r="H49" s="652"/>
      <c r="I49" s="531">
        <f>SUM(I46:I48)</f>
        <v>0</v>
      </c>
      <c r="J49" s="29"/>
      <c r="K49" s="29"/>
      <c r="L49" s="29"/>
      <c r="M49" s="29"/>
      <c r="N49" s="29"/>
      <c r="O49" s="516"/>
      <c r="P49" s="29"/>
      <c r="Q49" s="29"/>
      <c r="R49" s="29"/>
      <c r="S49" s="29"/>
      <c r="T49" s="29"/>
      <c r="U49" s="29"/>
      <c r="V49" s="29"/>
      <c r="W49" s="29"/>
    </row>
    <row r="50" spans="6:24" ht="15.75" x14ac:dyDescent="0.25"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</row>
    <row r="51" spans="6:24" ht="16.5" x14ac:dyDescent="0.3">
      <c r="F51" s="29"/>
      <c r="G51" s="29"/>
      <c r="H51" s="28" t="s">
        <v>252</v>
      </c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</row>
    <row r="52" spans="6:24" ht="15.75" x14ac:dyDescent="0.25"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</row>
    <row r="53" spans="6:24" ht="15.75" x14ac:dyDescent="0.25">
      <c r="Q53" s="29"/>
      <c r="R53" s="29"/>
      <c r="S53" s="29"/>
      <c r="T53" s="29"/>
      <c r="U53" s="29"/>
      <c r="V53" s="29"/>
      <c r="W53" s="29"/>
    </row>
    <row r="54" spans="6:24" ht="16.5" x14ac:dyDescent="0.25">
      <c r="F54" s="496" t="s">
        <v>4</v>
      </c>
      <c r="G54" s="497" t="s">
        <v>0</v>
      </c>
      <c r="H54" s="498"/>
      <c r="I54" s="497" t="s">
        <v>3</v>
      </c>
      <c r="J54" s="498"/>
      <c r="K54" s="497" t="s">
        <v>40</v>
      </c>
      <c r="L54" s="498"/>
      <c r="M54" s="674"/>
      <c r="N54" s="1856" t="s">
        <v>2</v>
      </c>
      <c r="R54" s="29"/>
      <c r="S54" s="29"/>
      <c r="T54" s="29"/>
      <c r="U54" s="29"/>
      <c r="V54" s="29"/>
      <c r="W54" s="29"/>
      <c r="X54" s="29"/>
    </row>
    <row r="55" spans="6:24" ht="16.5" x14ac:dyDescent="0.25">
      <c r="F55" s="499"/>
      <c r="G55" s="500">
        <v>630</v>
      </c>
      <c r="H55" s="501"/>
      <c r="I55" s="500">
        <v>575</v>
      </c>
      <c r="J55" s="501"/>
      <c r="K55" s="500"/>
      <c r="L55" s="501"/>
      <c r="M55" s="675"/>
      <c r="N55" s="1857"/>
    </row>
    <row r="56" spans="6:24" ht="16.5" x14ac:dyDescent="0.25">
      <c r="F56" s="502"/>
      <c r="G56" s="503" t="s">
        <v>243</v>
      </c>
      <c r="H56" s="503" t="s">
        <v>244</v>
      </c>
      <c r="I56" s="504" t="s">
        <v>243</v>
      </c>
      <c r="J56" s="503" t="s">
        <v>244</v>
      </c>
      <c r="K56" s="503" t="s">
        <v>243</v>
      </c>
      <c r="L56" s="503" t="s">
        <v>244</v>
      </c>
      <c r="M56" s="503" t="s">
        <v>306</v>
      </c>
      <c r="N56" s="505"/>
    </row>
    <row r="57" spans="6:24" ht="16.5" x14ac:dyDescent="0.25">
      <c r="F57" s="553">
        <v>43556</v>
      </c>
      <c r="G57" s="554"/>
      <c r="H57" s="555"/>
      <c r="I57" s="676"/>
      <c r="J57" s="666"/>
      <c r="K57" s="667"/>
      <c r="L57" s="668"/>
      <c r="M57" s="668"/>
      <c r="N57" s="557"/>
    </row>
    <row r="58" spans="6:24" ht="16.5" x14ac:dyDescent="0.25">
      <c r="F58" s="553">
        <v>43557</v>
      </c>
      <c r="G58" s="663"/>
      <c r="H58" s="664"/>
      <c r="I58" s="677"/>
      <c r="J58" s="666"/>
      <c r="K58" s="667"/>
      <c r="L58" s="668"/>
      <c r="M58" s="668"/>
      <c r="N58" s="557"/>
    </row>
    <row r="59" spans="6:24" ht="16.5" x14ac:dyDescent="0.25">
      <c r="F59" s="553">
        <v>43558</v>
      </c>
      <c r="G59" s="663"/>
      <c r="H59" s="664"/>
      <c r="I59" s="677"/>
      <c r="J59" s="666"/>
      <c r="K59" s="667"/>
      <c r="L59" s="668"/>
      <c r="M59" s="668"/>
      <c r="N59" s="557"/>
    </row>
    <row r="60" spans="6:24" ht="16.5" x14ac:dyDescent="0.25">
      <c r="F60" s="553">
        <v>43559</v>
      </c>
      <c r="G60" s="663"/>
      <c r="H60" s="664"/>
      <c r="I60" s="677"/>
      <c r="J60" s="666"/>
      <c r="K60" s="667"/>
      <c r="L60" s="668"/>
      <c r="M60" s="668"/>
      <c r="N60" s="557"/>
    </row>
    <row r="61" spans="6:24" ht="16.5" x14ac:dyDescent="0.25">
      <c r="F61" s="553">
        <v>43560</v>
      </c>
      <c r="G61" s="663"/>
      <c r="H61" s="664"/>
      <c r="I61" s="677"/>
      <c r="J61" s="666"/>
      <c r="K61" s="667"/>
      <c r="L61" s="668"/>
      <c r="M61" s="2064"/>
      <c r="N61" s="557"/>
    </row>
    <row r="62" spans="6:24" ht="16.5" x14ac:dyDescent="0.25">
      <c r="F62" s="553">
        <v>43561</v>
      </c>
      <c r="G62" s="663"/>
      <c r="H62" s="664"/>
      <c r="I62" s="677"/>
      <c r="J62" s="666"/>
      <c r="K62" s="667"/>
      <c r="L62" s="668"/>
      <c r="M62" s="2065"/>
      <c r="N62" s="557"/>
    </row>
    <row r="63" spans="6:24" ht="16.5" x14ac:dyDescent="0.25">
      <c r="F63" s="553">
        <v>43562</v>
      </c>
      <c r="G63" s="663"/>
      <c r="H63" s="664"/>
      <c r="I63" s="677"/>
      <c r="J63" s="666"/>
      <c r="K63" s="667"/>
      <c r="L63" s="668"/>
      <c r="M63" s="668"/>
      <c r="N63" s="557"/>
    </row>
    <row r="64" spans="6:24" ht="16.5" x14ac:dyDescent="0.25">
      <c r="F64" s="553">
        <v>43563</v>
      </c>
      <c r="G64" s="663"/>
      <c r="H64" s="664"/>
      <c r="I64" s="677"/>
      <c r="J64" s="666"/>
      <c r="K64" s="667"/>
      <c r="L64" s="668"/>
      <c r="M64" s="668"/>
      <c r="N64" s="557"/>
    </row>
    <row r="65" spans="6:14" ht="16.5" x14ac:dyDescent="0.25">
      <c r="F65" s="553">
        <v>43564</v>
      </c>
      <c r="G65" s="663"/>
      <c r="H65" s="664"/>
      <c r="I65" s="677"/>
      <c r="J65" s="666"/>
      <c r="K65" s="667"/>
      <c r="L65" s="668"/>
      <c r="M65" s="668"/>
      <c r="N65" s="557"/>
    </row>
    <row r="66" spans="6:14" ht="16.5" x14ac:dyDescent="0.25">
      <c r="F66" s="553">
        <v>43565</v>
      </c>
      <c r="G66" s="663"/>
      <c r="H66" s="664"/>
      <c r="I66" s="677"/>
      <c r="J66" s="666"/>
      <c r="K66" s="667"/>
      <c r="L66" s="668"/>
      <c r="M66" s="668"/>
      <c r="N66" s="557"/>
    </row>
    <row r="67" spans="6:14" ht="16.5" x14ac:dyDescent="0.25">
      <c r="F67" s="553">
        <v>43566</v>
      </c>
      <c r="G67" s="663"/>
      <c r="H67" s="664"/>
      <c r="I67" s="677"/>
      <c r="J67" s="666"/>
      <c r="K67" s="667"/>
      <c r="L67" s="668"/>
      <c r="M67" s="668"/>
      <c r="N67" s="557"/>
    </row>
    <row r="68" spans="6:14" ht="16.5" x14ac:dyDescent="0.25">
      <c r="F68" s="553">
        <v>43567</v>
      </c>
      <c r="G68" s="663"/>
      <c r="H68" s="664"/>
      <c r="I68" s="677"/>
      <c r="J68" s="666"/>
      <c r="K68" s="667"/>
      <c r="L68" s="668"/>
      <c r="M68" s="668"/>
      <c r="N68" s="557"/>
    </row>
    <row r="69" spans="6:14" ht="16.5" x14ac:dyDescent="0.25">
      <c r="F69" s="553">
        <v>43568</v>
      </c>
      <c r="G69" s="663"/>
      <c r="H69" s="664"/>
      <c r="I69" s="677"/>
      <c r="J69" s="666"/>
      <c r="K69" s="667"/>
      <c r="L69" s="668"/>
      <c r="M69" s="668"/>
      <c r="N69" s="557"/>
    </row>
    <row r="70" spans="6:14" ht="16.5" x14ac:dyDescent="0.25">
      <c r="F70" s="553">
        <v>43569</v>
      </c>
      <c r="G70" s="663"/>
      <c r="H70" s="664"/>
      <c r="I70" s="677"/>
      <c r="J70" s="666"/>
      <c r="K70" s="667"/>
      <c r="L70" s="668"/>
      <c r="M70" s="668"/>
      <c r="N70" s="557"/>
    </row>
    <row r="71" spans="6:14" ht="16.5" x14ac:dyDescent="0.25">
      <c r="F71" s="553">
        <v>43570</v>
      </c>
      <c r="G71" s="663"/>
      <c r="H71" s="664"/>
      <c r="I71" s="677"/>
      <c r="J71" s="666"/>
      <c r="K71" s="667"/>
      <c r="L71" s="668"/>
      <c r="M71" s="668"/>
      <c r="N71" s="557"/>
    </row>
    <row r="72" spans="6:14" ht="16.5" x14ac:dyDescent="0.25">
      <c r="F72" s="553">
        <v>43571</v>
      </c>
      <c r="G72" s="663"/>
      <c r="H72" s="664"/>
      <c r="I72" s="677"/>
      <c r="J72" s="666"/>
      <c r="K72" s="667"/>
      <c r="L72" s="668"/>
      <c r="M72" s="668"/>
      <c r="N72" s="557"/>
    </row>
    <row r="73" spans="6:14" ht="16.5" x14ac:dyDescent="0.25">
      <c r="F73" s="553">
        <v>43572</v>
      </c>
      <c r="G73" s="663"/>
      <c r="H73" s="664"/>
      <c r="I73" s="677"/>
      <c r="J73" s="666"/>
      <c r="K73" s="667"/>
      <c r="L73" s="668"/>
      <c r="M73" s="668"/>
      <c r="N73" s="557"/>
    </row>
    <row r="74" spans="6:14" ht="16.5" x14ac:dyDescent="0.25">
      <c r="F74" s="553">
        <v>43573</v>
      </c>
      <c r="G74" s="663"/>
      <c r="H74" s="664"/>
      <c r="I74" s="677"/>
      <c r="J74" s="666"/>
      <c r="K74" s="667"/>
      <c r="L74" s="668"/>
      <c r="M74" s="668"/>
      <c r="N74" s="557"/>
    </row>
    <row r="75" spans="6:14" ht="16.5" x14ac:dyDescent="0.25">
      <c r="F75" s="553">
        <v>43574</v>
      </c>
      <c r="G75" s="663"/>
      <c r="H75" s="664"/>
      <c r="I75" s="677"/>
      <c r="J75" s="666"/>
      <c r="K75" s="667"/>
      <c r="L75" s="668"/>
      <c r="M75" s="668"/>
      <c r="N75" s="557"/>
    </row>
    <row r="76" spans="6:14" ht="16.5" x14ac:dyDescent="0.25">
      <c r="F76" s="553">
        <v>43575</v>
      </c>
      <c r="G76" s="663"/>
      <c r="H76" s="664"/>
      <c r="I76" s="677"/>
      <c r="J76" s="666"/>
      <c r="K76" s="667"/>
      <c r="L76" s="668"/>
      <c r="M76" s="668"/>
      <c r="N76" s="557"/>
    </row>
    <row r="77" spans="6:14" ht="16.5" x14ac:dyDescent="0.25">
      <c r="F77" s="553">
        <v>43576</v>
      </c>
      <c r="G77" s="663"/>
      <c r="H77" s="664"/>
      <c r="I77" s="677"/>
      <c r="J77" s="666"/>
      <c r="K77" s="667"/>
      <c r="L77" s="668"/>
      <c r="M77" s="668"/>
      <c r="N77" s="557"/>
    </row>
    <row r="78" spans="6:14" ht="16.5" x14ac:dyDescent="0.25">
      <c r="F78" s="553">
        <v>43577</v>
      </c>
      <c r="G78" s="663"/>
      <c r="H78" s="664"/>
      <c r="I78" s="677"/>
      <c r="J78" s="666"/>
      <c r="K78" s="667"/>
      <c r="L78" s="668"/>
      <c r="M78" s="668"/>
      <c r="N78" s="557"/>
    </row>
    <row r="79" spans="6:14" ht="16.5" x14ac:dyDescent="0.25">
      <c r="F79" s="553">
        <v>43578</v>
      </c>
      <c r="G79" s="663"/>
      <c r="H79" s="664"/>
      <c r="I79" s="677"/>
      <c r="J79" s="666"/>
      <c r="K79" s="667"/>
      <c r="L79" s="668"/>
      <c r="M79" s="668"/>
      <c r="N79" s="557"/>
    </row>
    <row r="80" spans="6:14" ht="16.5" x14ac:dyDescent="0.25">
      <c r="F80" s="553">
        <v>43579</v>
      </c>
      <c r="G80" s="663"/>
      <c r="H80" s="664"/>
      <c r="I80" s="677"/>
      <c r="J80" s="666"/>
      <c r="K80" s="667"/>
      <c r="L80" s="668"/>
      <c r="M80" s="668"/>
      <c r="N80" s="557"/>
    </row>
    <row r="81" spans="6:14" ht="16.5" x14ac:dyDescent="0.25">
      <c r="F81" s="553">
        <v>43580</v>
      </c>
      <c r="G81" s="663"/>
      <c r="H81" s="664"/>
      <c r="I81" s="677"/>
      <c r="J81" s="666"/>
      <c r="K81" s="667"/>
      <c r="L81" s="668"/>
      <c r="M81" s="668"/>
      <c r="N81" s="557"/>
    </row>
    <row r="82" spans="6:14" ht="16.5" x14ac:dyDescent="0.25">
      <c r="F82" s="553">
        <v>43581</v>
      </c>
      <c r="G82" s="663"/>
      <c r="H82" s="664"/>
      <c r="I82" s="677"/>
      <c r="J82" s="666"/>
      <c r="K82" s="667"/>
      <c r="L82" s="668"/>
      <c r="M82" s="668"/>
      <c r="N82" s="557"/>
    </row>
    <row r="83" spans="6:14" ht="16.5" x14ac:dyDescent="0.25">
      <c r="F83" s="553">
        <v>43582</v>
      </c>
      <c r="G83" s="663"/>
      <c r="H83" s="664"/>
      <c r="I83" s="677"/>
      <c r="J83" s="666"/>
      <c r="K83" s="667"/>
      <c r="L83" s="668"/>
      <c r="M83" s="668"/>
      <c r="N83" s="557"/>
    </row>
    <row r="84" spans="6:14" ht="16.5" x14ac:dyDescent="0.25">
      <c r="F84" s="553">
        <v>43583</v>
      </c>
      <c r="G84" s="663"/>
      <c r="H84" s="664"/>
      <c r="I84" s="677"/>
      <c r="J84" s="666"/>
      <c r="K84" s="667"/>
      <c r="L84" s="668"/>
      <c r="M84" s="668"/>
      <c r="N84" s="557"/>
    </row>
    <row r="85" spans="6:14" ht="16.5" x14ac:dyDescent="0.25">
      <c r="F85" s="553">
        <v>43584</v>
      </c>
      <c r="G85" s="663"/>
      <c r="H85" s="664"/>
      <c r="I85" s="677"/>
      <c r="J85" s="666"/>
      <c r="K85" s="667"/>
      <c r="L85" s="668"/>
      <c r="M85" s="668"/>
      <c r="N85" s="557"/>
    </row>
    <row r="86" spans="6:14" ht="16.5" x14ac:dyDescent="0.25">
      <c r="F86" s="553">
        <v>43585</v>
      </c>
      <c r="G86" s="663"/>
      <c r="H86" s="664"/>
      <c r="I86" s="677"/>
      <c r="J86" s="666"/>
      <c r="K86" s="667"/>
      <c r="L86" s="668"/>
      <c r="M86" s="668"/>
      <c r="N86" s="557"/>
    </row>
  </sheetData>
  <mergeCells count="11">
    <mergeCell ref="M61:M62"/>
    <mergeCell ref="C12:E12"/>
    <mergeCell ref="V48:W48"/>
    <mergeCell ref="N54:N55"/>
    <mergeCell ref="Q5:S5"/>
    <mergeCell ref="Q6:S6"/>
    <mergeCell ref="R8:W8"/>
    <mergeCell ref="M9:M10"/>
    <mergeCell ref="N9:N10"/>
    <mergeCell ref="O9:O10"/>
    <mergeCell ref="R10:S10"/>
  </mergeCell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view="pageBreakPreview" topLeftCell="K1" zoomScale="60" workbookViewId="0">
      <selection activeCell="K3" sqref="K3"/>
    </sheetView>
  </sheetViews>
  <sheetFormatPr baseColWidth="10" defaultRowHeight="15" x14ac:dyDescent="0.25"/>
  <cols>
    <col min="1" max="1" width="35.140625" style="582" customWidth="1"/>
    <col min="2" max="2" width="12.140625" style="582" customWidth="1"/>
    <col min="3" max="3" width="14.7109375" style="582" customWidth="1"/>
    <col min="4" max="4" width="13.85546875" style="582" customWidth="1"/>
    <col min="5" max="5" width="15.28515625" style="582" customWidth="1"/>
    <col min="6" max="6" width="12.140625" style="582" customWidth="1"/>
    <col min="7" max="7" width="11.85546875" style="582" customWidth="1"/>
    <col min="8" max="8" width="12" style="582" customWidth="1"/>
    <col min="9" max="9" width="13.28515625" style="582" customWidth="1"/>
    <col min="10" max="10" width="13.7109375" style="582" customWidth="1"/>
    <col min="11" max="11" width="13.85546875" style="582" customWidth="1"/>
    <col min="12" max="30" width="12.140625" style="582" bestFit="1" customWidth="1"/>
    <col min="31" max="31" width="11.28515625" style="582" customWidth="1"/>
    <col min="32" max="32" width="13.140625" style="582" bestFit="1" customWidth="1"/>
    <col min="33" max="35" width="11.5703125" style="582" bestFit="1" customWidth="1"/>
    <col min="36" max="36" width="17.85546875" style="582" customWidth="1"/>
  </cols>
  <sheetData>
    <row r="1" spans="1:36" x14ac:dyDescent="0.25">
      <c r="A1" s="559" t="s">
        <v>4</v>
      </c>
      <c r="B1" s="560">
        <v>43586</v>
      </c>
      <c r="C1" s="560">
        <v>43587</v>
      </c>
      <c r="D1" s="560">
        <v>43588</v>
      </c>
      <c r="E1" s="560">
        <v>43589</v>
      </c>
      <c r="F1" s="560">
        <v>43590</v>
      </c>
      <c r="G1" s="560">
        <v>43591</v>
      </c>
      <c r="H1" s="560">
        <v>43592</v>
      </c>
      <c r="I1" s="560">
        <v>43593</v>
      </c>
      <c r="J1" s="560">
        <v>43594</v>
      </c>
      <c r="K1" s="560">
        <v>43595</v>
      </c>
      <c r="L1" s="560">
        <v>43596</v>
      </c>
      <c r="M1" s="560">
        <v>43597</v>
      </c>
      <c r="N1" s="560">
        <v>43598</v>
      </c>
      <c r="O1" s="560">
        <v>43599</v>
      </c>
      <c r="P1" s="560">
        <v>43600</v>
      </c>
      <c r="Q1" s="560">
        <v>43601</v>
      </c>
      <c r="R1" s="560">
        <v>43602</v>
      </c>
      <c r="S1" s="560">
        <v>43603</v>
      </c>
      <c r="T1" s="560">
        <v>43604</v>
      </c>
      <c r="U1" s="560">
        <v>43605</v>
      </c>
      <c r="V1" s="560">
        <v>43606</v>
      </c>
      <c r="W1" s="560">
        <v>43607</v>
      </c>
      <c r="X1" s="560">
        <v>43608</v>
      </c>
      <c r="Y1" s="560">
        <v>43609</v>
      </c>
      <c r="Z1" s="560">
        <v>43610</v>
      </c>
      <c r="AA1" s="560">
        <v>43611</v>
      </c>
      <c r="AB1" s="560">
        <v>43612</v>
      </c>
      <c r="AC1" s="560">
        <v>43613</v>
      </c>
      <c r="AD1" s="560">
        <v>43614</v>
      </c>
      <c r="AE1" s="560">
        <v>43615</v>
      </c>
      <c r="AF1" s="561" t="s">
        <v>255</v>
      </c>
      <c r="AG1" s="562" t="s">
        <v>256</v>
      </c>
      <c r="AH1" s="563" t="s">
        <v>257</v>
      </c>
      <c r="AI1" s="563" t="s">
        <v>39</v>
      </c>
      <c r="AJ1" s="564" t="s">
        <v>258</v>
      </c>
    </row>
    <row r="2" spans="1:36" x14ac:dyDescent="0.25">
      <c r="A2" s="565" t="s">
        <v>259</v>
      </c>
      <c r="B2" s="566"/>
      <c r="C2" s="566"/>
      <c r="D2" s="566"/>
      <c r="E2" s="566"/>
      <c r="F2" s="566"/>
      <c r="G2" s="566"/>
      <c r="H2" s="566"/>
      <c r="I2" s="566"/>
      <c r="J2" s="566"/>
      <c r="K2" s="567"/>
      <c r="L2" s="567"/>
      <c r="M2" s="567"/>
      <c r="N2" s="567"/>
      <c r="O2" s="567"/>
      <c r="P2" s="567"/>
      <c r="Q2" s="567"/>
      <c r="R2" s="567"/>
      <c r="S2" s="567"/>
      <c r="T2" s="567"/>
      <c r="U2" s="567"/>
      <c r="V2" s="567"/>
      <c r="W2" s="567"/>
      <c r="X2" s="567"/>
      <c r="Y2" s="567"/>
      <c r="Z2" s="567"/>
      <c r="AA2" s="567"/>
      <c r="AB2" s="567"/>
      <c r="AC2" s="567"/>
      <c r="AD2" s="567"/>
      <c r="AE2" s="567"/>
      <c r="AF2" s="568">
        <f t="shared" ref="AF2:AF9" si="0">SUM(B2:AE2)</f>
        <v>0</v>
      </c>
      <c r="AG2" s="569"/>
      <c r="AH2" s="570">
        <f t="shared" ref="AH2:AH9" si="1">+AF2+AG2</f>
        <v>0</v>
      </c>
      <c r="AI2" s="571">
        <v>3250</v>
      </c>
      <c r="AJ2" s="572">
        <f t="shared" ref="AJ2:AJ9" si="2">+AH2*AI2</f>
        <v>0</v>
      </c>
    </row>
    <row r="3" spans="1:36" x14ac:dyDescent="0.25">
      <c r="A3" s="565" t="s">
        <v>260</v>
      </c>
      <c r="B3" s="566"/>
      <c r="C3" s="566"/>
      <c r="D3" s="566"/>
      <c r="E3" s="566"/>
      <c r="F3" s="566"/>
      <c r="G3" s="573"/>
      <c r="H3" s="566"/>
      <c r="I3" s="566"/>
      <c r="J3" s="566"/>
      <c r="K3" s="567"/>
      <c r="L3" s="567"/>
      <c r="M3" s="567"/>
      <c r="N3" s="567"/>
      <c r="O3" s="567"/>
      <c r="P3" s="567"/>
      <c r="Q3" s="567"/>
      <c r="R3" s="567"/>
      <c r="S3" s="567"/>
      <c r="T3" s="567"/>
      <c r="U3" s="567"/>
      <c r="V3" s="567"/>
      <c r="W3" s="567"/>
      <c r="X3" s="567"/>
      <c r="Y3" s="567"/>
      <c r="Z3" s="567"/>
      <c r="AA3" s="567"/>
      <c r="AB3" s="567"/>
      <c r="AC3" s="567"/>
      <c r="AD3" s="567"/>
      <c r="AE3" s="567"/>
      <c r="AF3" s="568">
        <f t="shared" si="0"/>
        <v>0</v>
      </c>
      <c r="AG3" s="567"/>
      <c r="AH3" s="570">
        <f t="shared" si="1"/>
        <v>0</v>
      </c>
      <c r="AI3" s="574">
        <v>6500</v>
      </c>
      <c r="AJ3" s="572">
        <f t="shared" si="2"/>
        <v>0</v>
      </c>
    </row>
    <row r="4" spans="1:36" x14ac:dyDescent="0.25">
      <c r="A4" s="565" t="s">
        <v>261</v>
      </c>
      <c r="B4" s="566"/>
      <c r="C4" s="566"/>
      <c r="D4" s="566"/>
      <c r="E4" s="566"/>
      <c r="F4" s="566"/>
      <c r="G4" s="573"/>
      <c r="H4" s="566"/>
      <c r="I4" s="566"/>
      <c r="J4" s="566"/>
      <c r="K4" s="567"/>
      <c r="L4" s="567"/>
      <c r="M4" s="567"/>
      <c r="N4" s="567"/>
      <c r="O4" s="567"/>
      <c r="P4" s="567"/>
      <c r="Q4" s="567"/>
      <c r="R4" s="567"/>
      <c r="S4" s="567"/>
      <c r="T4" s="575"/>
      <c r="U4" s="567"/>
      <c r="V4" s="567"/>
      <c r="W4" s="567"/>
      <c r="X4" s="567"/>
      <c r="Y4" s="567"/>
      <c r="Z4" s="567"/>
      <c r="AA4" s="567"/>
      <c r="AB4" s="567"/>
      <c r="AC4" s="567"/>
      <c r="AD4" s="567"/>
      <c r="AE4" s="567"/>
      <c r="AF4" s="568">
        <f t="shared" si="0"/>
        <v>0</v>
      </c>
      <c r="AG4" s="567"/>
      <c r="AH4" s="570">
        <f t="shared" si="1"/>
        <v>0</v>
      </c>
      <c r="AI4" s="574">
        <v>22000</v>
      </c>
      <c r="AJ4" s="572">
        <f>+AH4*AI4</f>
        <v>0</v>
      </c>
    </row>
    <row r="5" spans="1:36" x14ac:dyDescent="0.25">
      <c r="A5" s="565" t="s">
        <v>262</v>
      </c>
      <c r="B5" s="566"/>
      <c r="C5" s="566"/>
      <c r="D5" s="566"/>
      <c r="E5" s="566"/>
      <c r="F5" s="566"/>
      <c r="G5" s="566"/>
      <c r="H5" s="566"/>
      <c r="I5" s="566"/>
      <c r="J5" s="566"/>
      <c r="K5" s="567"/>
      <c r="L5" s="567"/>
      <c r="M5" s="567"/>
      <c r="N5" s="567"/>
      <c r="O5" s="567"/>
      <c r="P5" s="567"/>
      <c r="Q5" s="567"/>
      <c r="R5" s="567"/>
      <c r="S5" s="567"/>
      <c r="T5" s="567"/>
      <c r="U5" s="567"/>
      <c r="V5" s="567"/>
      <c r="W5" s="567"/>
      <c r="X5" s="567"/>
      <c r="Y5" s="567"/>
      <c r="Z5" s="567"/>
      <c r="AA5" s="567"/>
      <c r="AB5" s="567"/>
      <c r="AC5" s="567"/>
      <c r="AD5" s="567"/>
      <c r="AE5" s="567"/>
      <c r="AF5" s="568">
        <f t="shared" si="0"/>
        <v>0</v>
      </c>
      <c r="AG5" s="567"/>
      <c r="AH5" s="570">
        <f t="shared" si="1"/>
        <v>0</v>
      </c>
      <c r="AI5" s="574">
        <v>15500</v>
      </c>
      <c r="AJ5" s="572">
        <f t="shared" si="2"/>
        <v>0</v>
      </c>
    </row>
    <row r="6" spans="1:36" ht="15.75" x14ac:dyDescent="0.25">
      <c r="A6" s="576" t="s">
        <v>263</v>
      </c>
      <c r="B6" s="577"/>
      <c r="C6" s="577"/>
      <c r="D6" s="577"/>
      <c r="E6" s="577"/>
      <c r="F6" s="577"/>
      <c r="G6" s="577"/>
      <c r="H6" s="577"/>
      <c r="I6" s="577"/>
      <c r="J6" s="577"/>
      <c r="K6" s="567"/>
      <c r="L6" s="567"/>
      <c r="M6" s="567"/>
      <c r="N6" s="567"/>
      <c r="O6" s="567"/>
      <c r="P6" s="567"/>
      <c r="Q6" s="567"/>
      <c r="R6" s="567"/>
      <c r="S6" s="567"/>
      <c r="T6" s="567"/>
      <c r="U6" s="567"/>
      <c r="V6" s="567"/>
      <c r="W6" s="567"/>
      <c r="X6" s="567"/>
      <c r="Y6" s="567"/>
      <c r="Z6" s="567"/>
      <c r="AA6" s="567"/>
      <c r="AB6" s="567"/>
      <c r="AC6" s="567"/>
      <c r="AD6" s="567"/>
      <c r="AE6" s="567"/>
      <c r="AF6" s="568">
        <f t="shared" si="0"/>
        <v>0</v>
      </c>
      <c r="AG6" s="569">
        <f>SUM(AB6:AC6)</f>
        <v>0</v>
      </c>
      <c r="AH6" s="570">
        <f t="shared" si="1"/>
        <v>0</v>
      </c>
      <c r="AI6" s="571"/>
      <c r="AJ6" s="572">
        <f t="shared" si="2"/>
        <v>0</v>
      </c>
    </row>
    <row r="7" spans="1:36" x14ac:dyDescent="0.25">
      <c r="A7" s="565" t="s">
        <v>264</v>
      </c>
      <c r="B7" s="566"/>
      <c r="C7" s="566"/>
      <c r="D7" s="566"/>
      <c r="E7" s="566"/>
      <c r="F7" s="566"/>
      <c r="G7" s="566"/>
      <c r="H7" s="566"/>
      <c r="I7" s="566"/>
      <c r="J7" s="566"/>
      <c r="K7" s="567"/>
      <c r="L7" s="567"/>
      <c r="M7" s="567"/>
      <c r="N7" s="567"/>
      <c r="O7" s="567"/>
      <c r="P7" s="567"/>
      <c r="Q7" s="567"/>
      <c r="R7" s="567"/>
      <c r="S7" s="567"/>
      <c r="T7" s="567"/>
      <c r="U7" s="567"/>
      <c r="V7" s="567"/>
      <c r="W7" s="567"/>
      <c r="X7" s="567"/>
      <c r="Y7" s="567"/>
      <c r="Z7" s="567"/>
      <c r="AA7" s="567"/>
      <c r="AB7" s="567"/>
      <c r="AC7" s="567"/>
      <c r="AD7" s="567"/>
      <c r="AE7" s="567"/>
      <c r="AF7" s="568">
        <f t="shared" si="0"/>
        <v>0</v>
      </c>
      <c r="AG7" s="567">
        <f>SUM(AB7:AC7)</f>
        <v>0</v>
      </c>
      <c r="AH7" s="570">
        <f t="shared" si="1"/>
        <v>0</v>
      </c>
      <c r="AI7" s="574"/>
      <c r="AJ7" s="572">
        <f t="shared" si="2"/>
        <v>0</v>
      </c>
    </row>
    <row r="8" spans="1:36" x14ac:dyDescent="0.25">
      <c r="A8" s="565" t="s">
        <v>265</v>
      </c>
      <c r="B8" s="566"/>
      <c r="C8" s="566"/>
      <c r="D8" s="566"/>
      <c r="E8" s="566"/>
      <c r="F8" s="566"/>
      <c r="G8" s="566"/>
      <c r="H8" s="566"/>
      <c r="I8" s="566"/>
      <c r="J8" s="566"/>
      <c r="K8" s="567"/>
      <c r="L8" s="567"/>
      <c r="M8" s="567"/>
      <c r="N8" s="567"/>
      <c r="O8" s="567"/>
      <c r="P8" s="567"/>
      <c r="Q8" s="567"/>
      <c r="R8" s="567"/>
      <c r="S8" s="567"/>
      <c r="T8" s="567"/>
      <c r="U8" s="567"/>
      <c r="V8" s="567"/>
      <c r="W8" s="567"/>
      <c r="X8" s="567"/>
      <c r="Y8" s="567"/>
      <c r="Z8" s="567"/>
      <c r="AA8" s="567"/>
      <c r="AB8" s="567"/>
      <c r="AC8" s="567"/>
      <c r="AD8" s="567"/>
      <c r="AE8" s="567"/>
      <c r="AF8" s="568">
        <f t="shared" si="0"/>
        <v>0</v>
      </c>
      <c r="AG8" s="567"/>
      <c r="AH8" s="570">
        <f t="shared" si="1"/>
        <v>0</v>
      </c>
      <c r="AI8" s="574">
        <v>2000</v>
      </c>
      <c r="AJ8" s="572">
        <f t="shared" si="2"/>
        <v>0</v>
      </c>
    </row>
    <row r="9" spans="1:36" ht="15.75" thickBot="1" x14ac:dyDescent="0.3">
      <c r="A9" s="565" t="s">
        <v>266</v>
      </c>
      <c r="B9" s="566"/>
      <c r="C9" s="566"/>
      <c r="D9" s="566"/>
      <c r="E9" s="566"/>
      <c r="F9" s="566"/>
      <c r="G9" s="566"/>
      <c r="H9" s="566"/>
      <c r="I9" s="566"/>
      <c r="J9" s="566"/>
      <c r="K9" s="567"/>
      <c r="L9" s="567"/>
      <c r="M9" s="567"/>
      <c r="N9" s="567"/>
      <c r="O9" s="567"/>
      <c r="P9" s="567"/>
      <c r="Q9" s="567"/>
      <c r="R9" s="567"/>
      <c r="S9" s="567"/>
      <c r="T9" s="567"/>
      <c r="U9" s="567"/>
      <c r="V9" s="567"/>
      <c r="W9" s="567"/>
      <c r="X9" s="567"/>
      <c r="Y9" s="567"/>
      <c r="Z9" s="567"/>
      <c r="AA9" s="567"/>
      <c r="AB9" s="567"/>
      <c r="AC9" s="567"/>
      <c r="AD9" s="567"/>
      <c r="AE9" s="567"/>
      <c r="AF9" s="568">
        <f t="shared" si="0"/>
        <v>0</v>
      </c>
      <c r="AG9" s="569"/>
      <c r="AH9" s="570">
        <f t="shared" si="1"/>
        <v>0</v>
      </c>
      <c r="AI9" s="571">
        <v>3700</v>
      </c>
      <c r="AJ9" s="572">
        <f t="shared" si="2"/>
        <v>0</v>
      </c>
    </row>
    <row r="10" spans="1:36" ht="24" thickBot="1" x14ac:dyDescent="0.4">
      <c r="A10" s="578" t="s">
        <v>2</v>
      </c>
      <c r="B10" s="579">
        <f t="shared" ref="B10:AD10" si="3">+(B2*$AI2)+(B3*$AI3)+(B4*$AI4)+(B5*$AI5)+(B8*$AI8)+(B9*$AI9)</f>
        <v>0</v>
      </c>
      <c r="C10" s="579">
        <f t="shared" si="3"/>
        <v>0</v>
      </c>
      <c r="D10" s="579">
        <f t="shared" si="3"/>
        <v>0</v>
      </c>
      <c r="E10" s="579">
        <f t="shared" si="3"/>
        <v>0</v>
      </c>
      <c r="F10" s="579">
        <f t="shared" si="3"/>
        <v>0</v>
      </c>
      <c r="G10" s="579">
        <f t="shared" si="3"/>
        <v>0</v>
      </c>
      <c r="H10" s="579">
        <f t="shared" si="3"/>
        <v>0</v>
      </c>
      <c r="I10" s="579">
        <f t="shared" si="3"/>
        <v>0</v>
      </c>
      <c r="J10" s="579">
        <f t="shared" si="3"/>
        <v>0</v>
      </c>
      <c r="K10" s="579">
        <f t="shared" si="3"/>
        <v>0</v>
      </c>
      <c r="L10" s="579">
        <f t="shared" si="3"/>
        <v>0</v>
      </c>
      <c r="M10" s="579">
        <f t="shared" si="3"/>
        <v>0</v>
      </c>
      <c r="N10" s="579">
        <f t="shared" si="3"/>
        <v>0</v>
      </c>
      <c r="O10" s="579">
        <f t="shared" si="3"/>
        <v>0</v>
      </c>
      <c r="P10" s="579">
        <f t="shared" si="3"/>
        <v>0</v>
      </c>
      <c r="Q10" s="579">
        <f t="shared" si="3"/>
        <v>0</v>
      </c>
      <c r="R10" s="579">
        <f t="shared" si="3"/>
        <v>0</v>
      </c>
      <c r="S10" s="579">
        <f t="shared" si="3"/>
        <v>0</v>
      </c>
      <c r="T10" s="579">
        <f t="shared" si="3"/>
        <v>0</v>
      </c>
      <c r="U10" s="579">
        <f t="shared" si="3"/>
        <v>0</v>
      </c>
      <c r="V10" s="579">
        <f t="shared" si="3"/>
        <v>0</v>
      </c>
      <c r="W10" s="579">
        <f t="shared" si="3"/>
        <v>0</v>
      </c>
      <c r="X10" s="579">
        <f t="shared" si="3"/>
        <v>0</v>
      </c>
      <c r="Y10" s="579">
        <f t="shared" si="3"/>
        <v>0</v>
      </c>
      <c r="Z10" s="579">
        <f t="shared" si="3"/>
        <v>0</v>
      </c>
      <c r="AA10" s="579">
        <f t="shared" si="3"/>
        <v>0</v>
      </c>
      <c r="AB10" s="579">
        <f t="shared" si="3"/>
        <v>0</v>
      </c>
      <c r="AC10" s="579">
        <f t="shared" si="3"/>
        <v>0</v>
      </c>
      <c r="AD10" s="579">
        <f t="shared" si="3"/>
        <v>0</v>
      </c>
      <c r="AE10" s="579">
        <f>+(AE2*$AI2)+(AE3*$AI3)+(AE4*$AI4)+(AE5*$AI5)+(AE8*$AI8)+(AE9*$AI9)</f>
        <v>0</v>
      </c>
      <c r="AF10" s="579">
        <f>+(AF2*$AI2)+(AF3*$AI3)+(AF9*$AI9)+(AF4*$AI4)+(AF7*$AI7)</f>
        <v>0</v>
      </c>
      <c r="AG10" s="579"/>
      <c r="AH10" s="579"/>
      <c r="AI10" s="580"/>
      <c r="AJ10" s="581">
        <f>SUM(AJ2:AJ9)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zoomScale="96" zoomScaleNormal="96" workbookViewId="0">
      <selection activeCell="B51" sqref="B51:F52"/>
    </sheetView>
  </sheetViews>
  <sheetFormatPr baseColWidth="10" defaultRowHeight="15" x14ac:dyDescent="0.25"/>
  <cols>
    <col min="1" max="1" width="8.42578125" customWidth="1"/>
    <col min="2" max="2" width="26.28515625" customWidth="1"/>
    <col min="3" max="3" width="27.42578125" customWidth="1"/>
    <col min="4" max="4" width="18.5703125" customWidth="1"/>
    <col min="5" max="5" width="13.85546875" customWidth="1"/>
    <col min="6" max="6" width="25.28515625" customWidth="1"/>
  </cols>
  <sheetData>
    <row r="1" spans="1:18" ht="15.75" thickBot="1" x14ac:dyDescent="0.3"/>
    <row r="2" spans="1:18" ht="15.75" x14ac:dyDescent="0.25">
      <c r="A2" s="127"/>
      <c r="B2" s="411"/>
      <c r="C2" s="1687" t="s">
        <v>554</v>
      </c>
      <c r="D2" s="1688"/>
      <c r="E2" s="1688"/>
      <c r="F2" s="1689"/>
    </row>
    <row r="3" spans="1:18" ht="15.75" customHeight="1" thickBot="1" x14ac:dyDescent="0.3">
      <c r="A3" s="127"/>
      <c r="B3" s="412"/>
      <c r="C3" s="1690"/>
      <c r="D3" s="1691"/>
      <c r="E3" s="1691"/>
      <c r="F3" s="1692"/>
    </row>
    <row r="4" spans="1:18" x14ac:dyDescent="0.25">
      <c r="A4" s="127"/>
      <c r="B4" s="413" t="s">
        <v>194</v>
      </c>
      <c r="C4" s="414" t="s">
        <v>303</v>
      </c>
      <c r="D4" s="474" t="s">
        <v>198</v>
      </c>
      <c r="E4" s="1693" t="s">
        <v>87</v>
      </c>
      <c r="F4" s="1694"/>
    </row>
    <row r="5" spans="1:18" ht="19.5" x14ac:dyDescent="0.3">
      <c r="A5" s="127"/>
      <c r="B5" s="415" t="s">
        <v>0</v>
      </c>
      <c r="C5" s="416">
        <v>3383</v>
      </c>
      <c r="D5" s="417">
        <v>630</v>
      </c>
      <c r="E5" s="1653">
        <f>+C5*D5</f>
        <v>2131290</v>
      </c>
      <c r="F5" s="1654"/>
    </row>
    <row r="6" spans="1:18" ht="19.5" x14ac:dyDescent="0.3">
      <c r="A6" s="127"/>
      <c r="B6" s="415" t="s">
        <v>3</v>
      </c>
      <c r="C6" s="416">
        <v>2204</v>
      </c>
      <c r="D6" s="417">
        <v>575</v>
      </c>
      <c r="E6" s="1653">
        <f>+C6*D6</f>
        <v>1267300</v>
      </c>
      <c r="F6" s="1654"/>
    </row>
    <row r="7" spans="1:18" ht="19.5" x14ac:dyDescent="0.3">
      <c r="A7" s="127"/>
      <c r="B7" s="415" t="s">
        <v>1</v>
      </c>
      <c r="C7" s="416">
        <v>0</v>
      </c>
      <c r="D7" s="417">
        <v>350</v>
      </c>
      <c r="E7" s="1653">
        <f>+C7*D7</f>
        <v>0</v>
      </c>
      <c r="F7" s="1654"/>
    </row>
    <row r="8" spans="1:18" ht="19.5" x14ac:dyDescent="0.25">
      <c r="A8" s="127"/>
      <c r="B8" s="419" t="s">
        <v>143</v>
      </c>
      <c r="C8" s="420">
        <f>C5+C6+C7</f>
        <v>5587</v>
      </c>
      <c r="D8" s="1685"/>
      <c r="E8" s="1653">
        <f>SUM(E5:E7)</f>
        <v>3398590</v>
      </c>
      <c r="F8" s="1654"/>
      <c r="R8" t="s">
        <v>50</v>
      </c>
    </row>
    <row r="9" spans="1:18" ht="20.25" thickBot="1" x14ac:dyDescent="0.3">
      <c r="A9" s="127"/>
      <c r="B9" s="421" t="s">
        <v>40</v>
      </c>
      <c r="C9" s="416">
        <v>7</v>
      </c>
      <c r="D9" s="1686"/>
      <c r="E9" s="1653">
        <v>14813</v>
      </c>
      <c r="F9" s="1654"/>
    </row>
    <row r="10" spans="1:18" ht="19.5" hidden="1" customHeight="1" x14ac:dyDescent="0.25">
      <c r="A10" s="127"/>
      <c r="B10" s="1680" t="s">
        <v>195</v>
      </c>
      <c r="C10" s="470"/>
      <c r="D10" s="470"/>
      <c r="E10" s="1653"/>
      <c r="F10" s="475"/>
    </row>
    <row r="11" spans="1:18" ht="19.5" hidden="1" customHeight="1" x14ac:dyDescent="0.25">
      <c r="A11" s="127"/>
      <c r="B11" s="1681"/>
      <c r="C11" s="476"/>
      <c r="D11" s="476"/>
      <c r="E11" s="1682"/>
      <c r="F11" s="477"/>
    </row>
    <row r="12" spans="1:18" ht="15" customHeight="1" x14ac:dyDescent="0.25">
      <c r="B12" s="1683" t="s">
        <v>144</v>
      </c>
      <c r="C12" s="1666">
        <f>+E5+E6+E7+E9</f>
        <v>3413403</v>
      </c>
      <c r="D12" s="1667"/>
      <c r="E12" s="1667"/>
      <c r="F12" s="1668"/>
    </row>
    <row r="13" spans="1:18" ht="15" customHeight="1" thickBot="1" x14ac:dyDescent="0.3">
      <c r="B13" s="1684"/>
      <c r="C13" s="1669"/>
      <c r="D13" s="1670"/>
      <c r="E13" s="1670"/>
      <c r="F13" s="1671"/>
    </row>
    <row r="14" spans="1:18" hidden="1" x14ac:dyDescent="0.25">
      <c r="B14" s="1672" t="s">
        <v>196</v>
      </c>
      <c r="C14" s="1673"/>
      <c r="D14" s="1673"/>
      <c r="E14" s="1673"/>
      <c r="F14" s="1674"/>
    </row>
    <row r="15" spans="1:18" hidden="1" x14ac:dyDescent="0.25">
      <c r="B15" s="1675"/>
      <c r="C15" s="1676"/>
      <c r="D15" s="1676"/>
      <c r="E15" s="1676"/>
      <c r="F15" s="1677"/>
    </row>
    <row r="16" spans="1:18" hidden="1" x14ac:dyDescent="0.25">
      <c r="B16" s="415" t="s">
        <v>197</v>
      </c>
      <c r="C16" s="422" t="s">
        <v>187</v>
      </c>
      <c r="D16" s="471" t="s">
        <v>198</v>
      </c>
      <c r="E16" s="1678" t="s">
        <v>87</v>
      </c>
      <c r="F16" s="1679"/>
    </row>
    <row r="17" spans="2:6" ht="19.5" hidden="1" x14ac:dyDescent="0.3">
      <c r="B17" s="415" t="s">
        <v>274</v>
      </c>
      <c r="C17" s="423"/>
      <c r="D17" s="417">
        <v>575</v>
      </c>
      <c r="E17" s="1653"/>
      <c r="F17" s="1654"/>
    </row>
    <row r="18" spans="2:6" ht="19.5" hidden="1" x14ac:dyDescent="0.3">
      <c r="B18" s="415" t="s">
        <v>459</v>
      </c>
      <c r="C18" s="877"/>
      <c r="D18" s="417">
        <v>630</v>
      </c>
      <c r="E18" s="1653"/>
      <c r="F18" s="1654"/>
    </row>
    <row r="19" spans="2:6" ht="19.5" hidden="1" x14ac:dyDescent="0.3">
      <c r="B19" s="415"/>
      <c r="C19" s="877"/>
      <c r="D19" s="417"/>
      <c r="E19" s="1653"/>
      <c r="F19" s="1654"/>
    </row>
    <row r="20" spans="2:6" ht="19.5" hidden="1" customHeight="1" x14ac:dyDescent="0.3">
      <c r="B20" s="415"/>
      <c r="C20" s="423" t="s">
        <v>50</v>
      </c>
      <c r="D20" s="417"/>
      <c r="E20" s="1653"/>
      <c r="F20" s="1654"/>
    </row>
    <row r="21" spans="2:6" ht="20.25" hidden="1" thickBot="1" x14ac:dyDescent="0.3">
      <c r="B21" s="478" t="s">
        <v>2</v>
      </c>
      <c r="C21" s="1655">
        <f>+E17+E18+E20+E19</f>
        <v>0</v>
      </c>
      <c r="D21" s="1655"/>
      <c r="E21" s="1655"/>
      <c r="F21" s="1656"/>
    </row>
    <row r="22" spans="2:6" ht="19.5" hidden="1" customHeight="1" x14ac:dyDescent="0.25">
      <c r="B22" s="1657" t="s">
        <v>200</v>
      </c>
      <c r="C22" s="1658"/>
      <c r="D22" s="1658"/>
      <c r="E22" s="1658"/>
      <c r="F22" s="1659"/>
    </row>
    <row r="23" spans="2:6" hidden="1" x14ac:dyDescent="0.25">
      <c r="B23" s="1660"/>
      <c r="C23" s="1661"/>
      <c r="D23" s="1661"/>
      <c r="E23" s="1661"/>
      <c r="F23" s="1662"/>
    </row>
    <row r="24" spans="2:6" hidden="1" x14ac:dyDescent="0.25">
      <c r="B24" s="1665" t="s">
        <v>201</v>
      </c>
      <c r="C24" s="1663"/>
      <c r="D24" s="1663" t="s">
        <v>202</v>
      </c>
      <c r="E24" s="1663"/>
      <c r="F24" s="1664"/>
    </row>
    <row r="25" spans="2:6" hidden="1" x14ac:dyDescent="0.25">
      <c r="B25" s="425" t="s">
        <v>197</v>
      </c>
      <c r="C25" s="426" t="s">
        <v>87</v>
      </c>
      <c r="D25" s="426" t="s">
        <v>203</v>
      </c>
      <c r="E25" s="1663" t="s">
        <v>87</v>
      </c>
      <c r="F25" s="1664"/>
    </row>
    <row r="26" spans="2:6" ht="19.5" hidden="1" x14ac:dyDescent="0.25">
      <c r="B26" s="415" t="s">
        <v>236</v>
      </c>
      <c r="C26" s="427"/>
      <c r="D26" s="428"/>
      <c r="E26" s="1805"/>
      <c r="F26" s="1806"/>
    </row>
    <row r="27" spans="2:6" ht="20.25" hidden="1" thickBot="1" x14ac:dyDescent="0.3">
      <c r="B27" s="478"/>
      <c r="C27" s="479"/>
      <c r="D27" s="479"/>
      <c r="E27" s="1807"/>
      <c r="F27" s="1808"/>
    </row>
    <row r="28" spans="2:6" ht="19.5" hidden="1" customHeight="1" x14ac:dyDescent="0.25">
      <c r="B28" s="1809" t="s">
        <v>204</v>
      </c>
      <c r="C28" s="1810"/>
      <c r="D28" s="1810"/>
      <c r="E28" s="1810"/>
      <c r="F28" s="1811"/>
    </row>
    <row r="29" spans="2:6" ht="19.5" hidden="1" customHeight="1" x14ac:dyDescent="0.25">
      <c r="B29" s="1803" t="s">
        <v>235</v>
      </c>
      <c r="C29" s="1804"/>
      <c r="D29" s="1793"/>
      <c r="E29" s="1793"/>
      <c r="F29" s="1794"/>
    </row>
    <row r="30" spans="2:6" ht="19.5" hidden="1" customHeight="1" x14ac:dyDescent="0.25">
      <c r="B30" s="1812"/>
      <c r="C30" s="1813"/>
      <c r="D30" s="1793"/>
      <c r="E30" s="1793"/>
      <c r="F30" s="1794"/>
    </row>
    <row r="31" spans="2:6" ht="19.5" hidden="1" customHeight="1" x14ac:dyDescent="0.25">
      <c r="B31" s="1812"/>
      <c r="C31" s="1813"/>
      <c r="D31" s="1793"/>
      <c r="E31" s="1793"/>
      <c r="F31" s="1794"/>
    </row>
    <row r="32" spans="2:6" ht="19.5" hidden="1" customHeight="1" x14ac:dyDescent="0.25">
      <c r="B32" s="1812"/>
      <c r="C32" s="1813"/>
      <c r="D32" s="1793"/>
      <c r="E32" s="1793"/>
      <c r="F32" s="1794"/>
    </row>
    <row r="33" spans="2:6" ht="19.5" hidden="1" customHeight="1" x14ac:dyDescent="0.25">
      <c r="B33" s="1799"/>
      <c r="C33" s="1800"/>
      <c r="D33" s="1793"/>
      <c r="E33" s="1793"/>
      <c r="F33" s="1794"/>
    </row>
    <row r="34" spans="2:6" ht="19.5" hidden="1" customHeight="1" x14ac:dyDescent="0.25">
      <c r="B34" s="1799"/>
      <c r="C34" s="1800"/>
      <c r="D34" s="1793"/>
      <c r="E34" s="1793"/>
      <c r="F34" s="1794"/>
    </row>
    <row r="35" spans="2:6" ht="19.5" hidden="1" customHeight="1" thickBot="1" x14ac:dyDescent="0.3">
      <c r="B35" s="1801"/>
      <c r="C35" s="1802"/>
      <c r="D35" s="1795"/>
      <c r="E35" s="1795"/>
      <c r="F35" s="1796"/>
    </row>
    <row r="36" spans="2:6" x14ac:dyDescent="0.25">
      <c r="B36" s="1728" t="s">
        <v>145</v>
      </c>
      <c r="C36" s="1729"/>
      <c r="D36" s="1729"/>
      <c r="E36" s="1729"/>
      <c r="F36" s="1730"/>
    </row>
    <row r="37" spans="2:6" x14ac:dyDescent="0.25">
      <c r="B37" s="1731"/>
      <c r="C37" s="1732"/>
      <c r="D37" s="1732"/>
      <c r="E37" s="1732"/>
      <c r="F37" s="1733"/>
    </row>
    <row r="38" spans="2:6" ht="19.5" x14ac:dyDescent="0.25">
      <c r="B38" s="415" t="s">
        <v>273</v>
      </c>
      <c r="C38" s="1652">
        <v>178</v>
      </c>
      <c r="D38" s="1652"/>
      <c r="E38" s="1652"/>
      <c r="F38" s="1734"/>
    </row>
    <row r="39" spans="2:6" ht="19.5" hidden="1" customHeight="1" x14ac:dyDescent="0.25">
      <c r="B39" s="1797"/>
      <c r="C39" s="1798"/>
      <c r="D39" s="472"/>
      <c r="E39" s="473"/>
      <c r="F39" s="475"/>
    </row>
    <row r="40" spans="2:6" ht="19.5" hidden="1" customHeight="1" x14ac:dyDescent="0.25">
      <c r="B40" s="415"/>
      <c r="C40" s="1727"/>
      <c r="D40" s="1727"/>
      <c r="E40" s="1727"/>
      <c r="F40" s="475"/>
    </row>
    <row r="41" spans="2:6" ht="19.5" hidden="1" customHeight="1" x14ac:dyDescent="0.25">
      <c r="B41" s="415"/>
      <c r="C41" s="1652"/>
      <c r="D41" s="1727"/>
      <c r="E41" s="1727"/>
      <c r="F41" s="475"/>
    </row>
    <row r="42" spans="2:6" ht="19.5" hidden="1" customHeight="1" x14ac:dyDescent="0.25">
      <c r="B42" s="415" t="s">
        <v>284</v>
      </c>
      <c r="C42" s="1649"/>
      <c r="D42" s="1650"/>
      <c r="E42" s="1650"/>
      <c r="F42" s="1651"/>
    </row>
    <row r="43" spans="2:6" s="688" customFormat="1" ht="19.5" customHeight="1" x14ac:dyDescent="0.25">
      <c r="B43" s="415" t="s">
        <v>552</v>
      </c>
      <c r="C43" s="938"/>
      <c r="D43" s="939"/>
      <c r="E43" s="939"/>
      <c r="F43" s="940"/>
    </row>
    <row r="44" spans="2:6" ht="19.5" customHeight="1" x14ac:dyDescent="0.25">
      <c r="B44" s="415" t="s">
        <v>274</v>
      </c>
      <c r="C44" s="1649">
        <v>408500</v>
      </c>
      <c r="D44" s="1650"/>
      <c r="E44" s="1650"/>
      <c r="F44" s="1651"/>
    </row>
    <row r="45" spans="2:6" ht="19.5" customHeight="1" x14ac:dyDescent="0.25">
      <c r="B45" s="415" t="s">
        <v>459</v>
      </c>
      <c r="C45" s="1649">
        <v>356350</v>
      </c>
      <c r="D45" s="1650"/>
      <c r="E45" s="1650"/>
      <c r="F45" s="1651"/>
    </row>
    <row r="46" spans="2:6" ht="19.5" customHeight="1" x14ac:dyDescent="0.25">
      <c r="B46" s="415" t="s">
        <v>547</v>
      </c>
      <c r="C46" s="1727"/>
      <c r="D46" s="1727"/>
      <c r="E46" s="1727"/>
      <c r="F46" s="1765"/>
    </row>
    <row r="47" spans="2:6" ht="19.5" hidden="1" customHeight="1" x14ac:dyDescent="0.25">
      <c r="B47" s="415" t="s">
        <v>205</v>
      </c>
      <c r="C47" s="1652"/>
      <c r="D47" s="1652"/>
      <c r="E47" s="1652"/>
      <c r="F47" s="475"/>
    </row>
    <row r="48" spans="2:6" ht="19.5" hidden="1" customHeight="1" x14ac:dyDescent="0.25">
      <c r="B48" s="415" t="s">
        <v>206</v>
      </c>
      <c r="C48" s="1652"/>
      <c r="D48" s="1652"/>
      <c r="E48" s="1652"/>
      <c r="F48" s="475"/>
    </row>
    <row r="49" spans="1:8" ht="15" customHeight="1" x14ac:dyDescent="0.25">
      <c r="B49" s="1741" t="s">
        <v>45</v>
      </c>
      <c r="C49" s="1645">
        <f>C12-C38-C44-C45</f>
        <v>2648375</v>
      </c>
      <c r="D49" s="1645"/>
      <c r="E49" s="1645"/>
      <c r="F49" s="1646"/>
    </row>
    <row r="50" spans="1:8" ht="15" customHeight="1" thickBot="1" x14ac:dyDescent="0.3">
      <c r="B50" s="1742"/>
      <c r="C50" s="1647"/>
      <c r="D50" s="1647"/>
      <c r="E50" s="1647"/>
      <c r="F50" s="1648"/>
    </row>
    <row r="51" spans="1:8" ht="15" customHeight="1" x14ac:dyDescent="0.25">
      <c r="B51" s="1620"/>
      <c r="C51" s="1621"/>
      <c r="D51" s="1621"/>
      <c r="E51" s="1621"/>
      <c r="F51" s="1622"/>
    </row>
    <row r="52" spans="1:8" ht="15" customHeight="1" thickBot="1" x14ac:dyDescent="0.3">
      <c r="B52" s="1623"/>
      <c r="C52" s="1624"/>
      <c r="D52" s="1624"/>
      <c r="E52" s="1624"/>
      <c r="F52" s="1625"/>
    </row>
    <row r="53" spans="1:8" x14ac:dyDescent="0.25">
      <c r="B53" s="1715" t="s">
        <v>146</v>
      </c>
      <c r="C53" s="1716"/>
      <c r="D53" s="1716"/>
      <c r="E53" s="1716"/>
      <c r="F53" s="1717"/>
    </row>
    <row r="54" spans="1:8" ht="15.75" thickBot="1" x14ac:dyDescent="0.3">
      <c r="A54" s="127"/>
      <c r="B54" s="1718"/>
      <c r="C54" s="1719"/>
      <c r="D54" s="1719"/>
      <c r="E54" s="1719"/>
      <c r="F54" s="1720"/>
    </row>
    <row r="55" spans="1:8" ht="19.5" thickBot="1" x14ac:dyDescent="0.45">
      <c r="A55" s="429"/>
      <c r="B55" s="1743" t="s">
        <v>10</v>
      </c>
      <c r="C55" s="1744"/>
      <c r="D55" s="1744"/>
      <c r="E55" s="1745"/>
      <c r="F55" s="480"/>
    </row>
    <row r="56" spans="1:8" x14ac:dyDescent="0.25">
      <c r="A56" s="429"/>
      <c r="B56" s="430"/>
      <c r="C56" s="466" t="s">
        <v>0</v>
      </c>
      <c r="D56" s="466" t="s">
        <v>3</v>
      </c>
      <c r="E56" s="466" t="s">
        <v>1</v>
      </c>
      <c r="F56" s="467" t="s">
        <v>143</v>
      </c>
    </row>
    <row r="57" spans="1:8" ht="19.5" x14ac:dyDescent="0.25">
      <c r="A57" s="429"/>
      <c r="B57" s="431" t="s">
        <v>147</v>
      </c>
      <c r="C57" s="432">
        <f>'ETAT  KEKEM'!B38</f>
        <v>26544</v>
      </c>
      <c r="D57" s="432">
        <f>'ETAT  KEKEM'!C38</f>
        <v>10301</v>
      </c>
      <c r="E57" s="433">
        <f>'ETAT  KEKEM'!D38</f>
        <v>2855</v>
      </c>
      <c r="F57" s="434">
        <f>+C57+D57+E57</f>
        <v>39700</v>
      </c>
    </row>
    <row r="58" spans="1:8" ht="19.5" x14ac:dyDescent="0.25">
      <c r="A58" s="435"/>
      <c r="B58" s="431" t="s">
        <v>148</v>
      </c>
      <c r="C58" s="416">
        <v>77000</v>
      </c>
      <c r="D58" s="416">
        <v>76000</v>
      </c>
      <c r="E58" s="416">
        <v>7000</v>
      </c>
      <c r="F58" s="418">
        <v>160000</v>
      </c>
    </row>
    <row r="59" spans="1:8" ht="19.5" x14ac:dyDescent="0.25">
      <c r="A59" s="412"/>
      <c r="B59" s="431" t="s">
        <v>157</v>
      </c>
      <c r="C59" s="432">
        <f>+C57-C58</f>
        <v>-50456</v>
      </c>
      <c r="D59" s="432">
        <f>+D57-D58</f>
        <v>-65699</v>
      </c>
      <c r="E59" s="433">
        <f>+E57-E58</f>
        <v>-4145</v>
      </c>
      <c r="F59" s="424">
        <f>+F57-F58</f>
        <v>-120300</v>
      </c>
      <c r="H59" s="436"/>
    </row>
    <row r="60" spans="1:8" ht="20.25" thickBot="1" x14ac:dyDescent="0.3">
      <c r="A60" s="412"/>
      <c r="B60" s="481" t="s">
        <v>156</v>
      </c>
      <c r="C60" s="482">
        <f>C59/(COUNTBLANK('ETAT  KEKEM'!B6:'ETAT  KEKEM'!B36))</f>
        <v>-2803.1111111111113</v>
      </c>
      <c r="D60" s="482">
        <f>D59/(COUNTBLANK('ETAT  KEKEM'!C6:'ETAT  KEKEM'!C36))</f>
        <v>-3649.9444444444443</v>
      </c>
      <c r="E60" s="482">
        <f>E59/(COUNTBLANK('ETAT  KEKEM'!D6:'ETAT  KEKEM'!D36))</f>
        <v>-230.27777777777777</v>
      </c>
      <c r="F60" s="483">
        <f>+E60+D60+C60</f>
        <v>-6683.3333333333339</v>
      </c>
    </row>
    <row r="61" spans="1:8" x14ac:dyDescent="0.25">
      <c r="A61" s="412"/>
      <c r="B61" s="437" t="s">
        <v>207</v>
      </c>
      <c r="C61" s="1746"/>
      <c r="D61" s="1747"/>
      <c r="E61" s="1747"/>
      <c r="F61" s="1748"/>
    </row>
    <row r="62" spans="1:8" x14ac:dyDescent="0.25">
      <c r="A62" s="412"/>
      <c r="B62" s="438"/>
      <c r="C62" s="1749"/>
      <c r="D62" s="1750"/>
      <c r="E62" s="1750"/>
      <c r="F62" s="1751"/>
    </row>
    <row r="63" spans="1:8" ht="18.75" customHeight="1" x14ac:dyDescent="0.25">
      <c r="B63" s="438"/>
      <c r="C63" s="1749"/>
      <c r="D63" s="1750"/>
      <c r="E63" s="1750"/>
      <c r="F63" s="1751"/>
    </row>
    <row r="64" spans="1:8" ht="39" customHeight="1" thickBot="1" x14ac:dyDescent="0.3">
      <c r="B64" s="439"/>
      <c r="C64" s="1752"/>
      <c r="D64" s="1753"/>
      <c r="E64" s="1753"/>
      <c r="F64" s="1754"/>
    </row>
    <row r="65" spans="2:11" ht="19.5" thickBot="1" x14ac:dyDescent="0.45">
      <c r="B65" s="1642" t="s">
        <v>111</v>
      </c>
      <c r="C65" s="1643"/>
      <c r="D65" s="1643"/>
      <c r="E65" s="1643"/>
      <c r="F65" s="1644"/>
    </row>
    <row r="66" spans="2:11" ht="15" customHeight="1" x14ac:dyDescent="0.25">
      <c r="B66" s="1634" t="s">
        <v>119</v>
      </c>
      <c r="C66" s="440" t="s">
        <v>0</v>
      </c>
      <c r="D66" s="440" t="s">
        <v>3</v>
      </c>
      <c r="E66" s="440" t="s">
        <v>1</v>
      </c>
      <c r="F66" s="1639" t="s">
        <v>113</v>
      </c>
    </row>
    <row r="67" spans="2:11" ht="19.5" x14ac:dyDescent="0.25">
      <c r="B67" s="1635"/>
      <c r="C67" s="416">
        <f>'equation de stock'!B23</f>
        <v>16826</v>
      </c>
      <c r="D67" s="416">
        <f>'equation de stock'!C23</f>
        <v>9440</v>
      </c>
      <c r="E67" s="416">
        <f>'equation de stock'!D23</f>
        <v>5707</v>
      </c>
      <c r="F67" s="1640"/>
    </row>
    <row r="68" spans="2:11" ht="20.25" thickBot="1" x14ac:dyDescent="0.3">
      <c r="B68" s="441" t="s">
        <v>152</v>
      </c>
      <c r="C68" s="442">
        <f>'equation de stock'!B27</f>
        <v>-215</v>
      </c>
      <c r="D68" s="443">
        <f>'equation de stock'!C27</f>
        <v>-121</v>
      </c>
      <c r="E68" s="443">
        <f>'equation de stock'!D27</f>
        <v>7</v>
      </c>
      <c r="F68" s="1640"/>
    </row>
    <row r="69" spans="2:11" ht="19.5" x14ac:dyDescent="0.25">
      <c r="B69" s="444" t="s">
        <v>153</v>
      </c>
      <c r="C69" s="433">
        <f>'equation de stock'!B31</f>
        <v>79.632000000000005</v>
      </c>
      <c r="D69" s="433">
        <f>'equation de stock'!C31</f>
        <v>30.903000000000002</v>
      </c>
      <c r="E69" s="433">
        <f>'equation de stock'!D31</f>
        <v>8.5649999999999995</v>
      </c>
      <c r="F69" s="1641"/>
    </row>
    <row r="70" spans="2:11" ht="20.25" thickBot="1" x14ac:dyDescent="0.3">
      <c r="B70" s="441" t="s">
        <v>154</v>
      </c>
      <c r="C70" s="482">
        <f>'equation de stock'!B33</f>
        <v>135.36799999999999</v>
      </c>
      <c r="D70" s="482">
        <f>'equation de stock'!C33</f>
        <v>90.096999999999994</v>
      </c>
      <c r="E70" s="482">
        <f>'equation de stock'!D33</f>
        <v>0</v>
      </c>
      <c r="F70" s="484">
        <f>+C68*630+D68*575+E68*350</f>
        <v>-202575</v>
      </c>
    </row>
    <row r="71" spans="2:11" x14ac:dyDescent="0.25">
      <c r="B71" s="490" t="s">
        <v>208</v>
      </c>
      <c r="C71" s="1755"/>
      <c r="D71" s="1755"/>
      <c r="E71" s="1755"/>
      <c r="F71" s="1756"/>
    </row>
    <row r="72" spans="2:11" x14ac:dyDescent="0.25">
      <c r="B72" s="491"/>
      <c r="C72" s="1757"/>
      <c r="D72" s="1757"/>
      <c r="E72" s="1757"/>
      <c r="F72" s="1758"/>
      <c r="J72" s="127"/>
      <c r="K72" s="127"/>
    </row>
    <row r="73" spans="2:11" ht="19.5" customHeight="1" thickBot="1" x14ac:dyDescent="0.3">
      <c r="B73" s="492"/>
      <c r="C73" s="1759"/>
      <c r="D73" s="1759"/>
      <c r="E73" s="1759"/>
      <c r="F73" s="1760"/>
      <c r="J73" s="445"/>
      <c r="K73" s="445"/>
    </row>
    <row r="74" spans="2:11" ht="19.5" thickBot="1" x14ac:dyDescent="0.35">
      <c r="B74" s="1636" t="s">
        <v>40</v>
      </c>
      <c r="C74" s="1637"/>
      <c r="D74" s="1637"/>
      <c r="E74" s="1637"/>
      <c r="F74" s="1638"/>
      <c r="J74" s="127"/>
      <c r="K74" s="127"/>
    </row>
    <row r="75" spans="2:11" ht="19.5" x14ac:dyDescent="0.25">
      <c r="B75" s="469" t="s">
        <v>149</v>
      </c>
      <c r="C75" s="1626">
        <v>500</v>
      </c>
      <c r="D75" s="1627"/>
      <c r="E75" s="1627"/>
      <c r="F75" s="1628"/>
      <c r="J75" s="127"/>
      <c r="K75" s="127"/>
    </row>
    <row r="76" spans="2:11" ht="19.5" x14ac:dyDescent="0.25">
      <c r="B76" s="446" t="s">
        <v>150</v>
      </c>
      <c r="C76" s="1629">
        <f>'ETAT  KEKEM'!J38</f>
        <v>30</v>
      </c>
      <c r="D76" s="1630"/>
      <c r="E76" s="1630"/>
      <c r="F76" s="1631"/>
    </row>
    <row r="77" spans="2:11" ht="19.5" x14ac:dyDescent="0.25">
      <c r="B77" s="447" t="s">
        <v>151</v>
      </c>
      <c r="C77" s="1629">
        <f>C76-C75</f>
        <v>-470</v>
      </c>
      <c r="D77" s="1632"/>
      <c r="E77" s="1632"/>
      <c r="F77" s="1633"/>
    </row>
    <row r="78" spans="2:11" ht="20.25" thickBot="1" x14ac:dyDescent="0.3">
      <c r="B78" s="485" t="s">
        <v>155</v>
      </c>
      <c r="C78" s="1735">
        <f>C77/31</f>
        <v>-15.161290322580646</v>
      </c>
      <c r="D78" s="1736"/>
      <c r="E78" s="1736"/>
      <c r="F78" s="1737"/>
    </row>
    <row r="79" spans="2:11" x14ac:dyDescent="0.25">
      <c r="B79" s="448" t="s">
        <v>209</v>
      </c>
      <c r="C79" s="1721"/>
      <c r="D79" s="1721"/>
      <c r="E79" s="1721"/>
      <c r="F79" s="1722"/>
    </row>
    <row r="80" spans="2:11" x14ac:dyDescent="0.25">
      <c r="B80" s="438"/>
      <c r="C80" s="1723"/>
      <c r="D80" s="1723"/>
      <c r="E80" s="1723"/>
      <c r="F80" s="1724"/>
    </row>
    <row r="81" spans="2:6" ht="15.75" thickBot="1" x14ac:dyDescent="0.3">
      <c r="B81" s="439"/>
      <c r="C81" s="1725"/>
      <c r="D81" s="1725"/>
      <c r="E81" s="1725"/>
      <c r="F81" s="1726"/>
    </row>
    <row r="82" spans="2:6" x14ac:dyDescent="0.25">
      <c r="B82" s="1738" t="s">
        <v>210</v>
      </c>
      <c r="C82" s="1739"/>
      <c r="D82" s="1739"/>
      <c r="E82" s="1739"/>
      <c r="F82" s="1740"/>
    </row>
    <row r="83" spans="2:6" x14ac:dyDescent="0.25">
      <c r="B83" s="486" t="s">
        <v>211</v>
      </c>
      <c r="C83" s="450"/>
      <c r="D83" s="1761"/>
      <c r="E83" s="1713"/>
      <c r="F83" s="1714"/>
    </row>
    <row r="84" spans="2:6" x14ac:dyDescent="0.25">
      <c r="B84" s="449" t="s">
        <v>212</v>
      </c>
      <c r="C84" s="451"/>
      <c r="D84" s="1712"/>
      <c r="E84" s="1713"/>
      <c r="F84" s="1714"/>
    </row>
    <row r="85" spans="2:6" x14ac:dyDescent="0.25">
      <c r="B85" s="449" t="s">
        <v>213</v>
      </c>
      <c r="C85" s="451"/>
      <c r="D85" s="1762">
        <f>+D84+D83</f>
        <v>0</v>
      </c>
      <c r="E85" s="1763"/>
      <c r="F85" s="1764"/>
    </row>
    <row r="86" spans="2:6" x14ac:dyDescent="0.25">
      <c r="B86" s="449" t="s">
        <v>214</v>
      </c>
      <c r="C86" s="451"/>
      <c r="D86" s="1712"/>
      <c r="E86" s="1713"/>
      <c r="F86" s="1714"/>
    </row>
    <row r="87" spans="2:6" x14ac:dyDescent="0.25">
      <c r="B87" s="449" t="s">
        <v>215</v>
      </c>
      <c r="C87" s="451"/>
      <c r="D87" s="1762">
        <f>+D85-D86</f>
        <v>0</v>
      </c>
      <c r="E87" s="1763"/>
      <c r="F87" s="1764"/>
    </row>
    <row r="88" spans="2:6" x14ac:dyDescent="0.25">
      <c r="B88" s="449" t="s">
        <v>216</v>
      </c>
      <c r="C88" s="451"/>
      <c r="D88" s="1712"/>
      <c r="E88" s="1713"/>
      <c r="F88" s="1714"/>
    </row>
    <row r="89" spans="2:6" ht="15.75" thickBot="1" x14ac:dyDescent="0.3">
      <c r="B89" s="487" t="s">
        <v>217</v>
      </c>
      <c r="C89" s="488"/>
      <c r="D89" s="1772">
        <f>+D87-D88</f>
        <v>0</v>
      </c>
      <c r="E89" s="1773"/>
      <c r="F89" s="1774"/>
    </row>
    <row r="90" spans="2:6" x14ac:dyDescent="0.25">
      <c r="B90" s="1781" t="s">
        <v>232</v>
      </c>
      <c r="C90" s="1782"/>
      <c r="D90" s="1782"/>
      <c r="E90" s="1782"/>
      <c r="F90" s="1783"/>
    </row>
    <row r="91" spans="2:6" x14ac:dyDescent="0.25">
      <c r="B91" s="1781"/>
      <c r="C91" s="1782"/>
      <c r="D91" s="1782"/>
      <c r="E91" s="1782"/>
      <c r="F91" s="1783"/>
    </row>
    <row r="92" spans="2:6" x14ac:dyDescent="0.25">
      <c r="B92" s="1781"/>
      <c r="C92" s="1782"/>
      <c r="D92" s="1782"/>
      <c r="E92" s="1782"/>
      <c r="F92" s="1783"/>
    </row>
    <row r="93" spans="2:6" x14ac:dyDescent="0.25">
      <c r="B93" s="1784"/>
      <c r="C93" s="1785"/>
      <c r="D93" s="1785"/>
      <c r="E93" s="1785"/>
      <c r="F93" s="1786"/>
    </row>
    <row r="94" spans="2:6" x14ac:dyDescent="0.25">
      <c r="B94" s="1775" t="s">
        <v>195</v>
      </c>
      <c r="C94" s="1776"/>
      <c r="D94" s="1776"/>
      <c r="E94" s="1776"/>
      <c r="F94" s="1777"/>
    </row>
    <row r="95" spans="2:6" x14ac:dyDescent="0.25">
      <c r="B95" s="455"/>
      <c r="C95" s="455" t="s">
        <v>218</v>
      </c>
      <c r="D95" s="455" t="s">
        <v>219</v>
      </c>
      <c r="E95" s="455" t="s">
        <v>220</v>
      </c>
      <c r="F95" s="455" t="s">
        <v>221</v>
      </c>
    </row>
    <row r="96" spans="2:6" x14ac:dyDescent="0.25">
      <c r="B96" s="456" t="s">
        <v>222</v>
      </c>
      <c r="C96" s="422"/>
      <c r="D96" s="457"/>
      <c r="E96" s="440"/>
      <c r="F96" s="440"/>
    </row>
    <row r="97" spans="2:10" x14ac:dyDescent="0.25">
      <c r="B97" s="456" t="s">
        <v>223</v>
      </c>
      <c r="C97" s="422"/>
      <c r="D97" s="457"/>
      <c r="E97" s="440"/>
      <c r="F97" s="440"/>
    </row>
    <row r="98" spans="2:10" x14ac:dyDescent="0.25">
      <c r="B98" s="458" t="s">
        <v>224</v>
      </c>
      <c r="C98" s="459"/>
      <c r="D98" s="460"/>
      <c r="E98" s="461"/>
      <c r="F98" s="461"/>
    </row>
    <row r="99" spans="2:10" x14ac:dyDescent="0.25">
      <c r="B99" s="456" t="s">
        <v>225</v>
      </c>
      <c r="C99" s="422"/>
      <c r="D99" s="457"/>
      <c r="E99" s="440"/>
      <c r="F99" s="440"/>
    </row>
    <row r="100" spans="2:10" x14ac:dyDescent="0.25">
      <c r="B100" s="456" t="s">
        <v>226</v>
      </c>
      <c r="C100" s="422"/>
      <c r="D100" s="457"/>
      <c r="E100" s="440"/>
      <c r="F100" s="440"/>
    </row>
    <row r="101" spans="2:10" x14ac:dyDescent="0.25">
      <c r="B101" s="456" t="s">
        <v>227</v>
      </c>
      <c r="C101" s="422"/>
      <c r="D101" s="457"/>
      <c r="E101" s="440"/>
      <c r="F101" s="440"/>
    </row>
    <row r="102" spans="2:10" x14ac:dyDescent="0.25">
      <c r="B102" s="452" t="s">
        <v>208</v>
      </c>
      <c r="C102" s="453"/>
      <c r="D102" s="453"/>
      <c r="E102" s="329"/>
      <c r="F102" s="454"/>
    </row>
    <row r="103" spans="2:10" x14ac:dyDescent="0.25">
      <c r="B103" s="1778"/>
      <c r="C103" s="1779"/>
      <c r="D103" s="1779"/>
      <c r="E103" s="1779"/>
      <c r="F103" s="1780"/>
    </row>
    <row r="104" spans="2:10" x14ac:dyDescent="0.25">
      <c r="B104" s="462"/>
      <c r="C104" s="453"/>
      <c r="D104" s="453"/>
      <c r="E104" s="329"/>
      <c r="F104" s="454"/>
    </row>
    <row r="105" spans="2:10" x14ac:dyDescent="0.25">
      <c r="B105" s="462"/>
      <c r="C105" s="453"/>
      <c r="D105" s="453"/>
      <c r="E105" s="329"/>
      <c r="F105" s="454"/>
    </row>
    <row r="106" spans="2:10" x14ac:dyDescent="0.25">
      <c r="B106" s="1787" t="s">
        <v>228</v>
      </c>
      <c r="C106" s="1788"/>
      <c r="D106" s="1788"/>
      <c r="E106" s="1788"/>
      <c r="F106" s="1789"/>
      <c r="J106" s="280"/>
    </row>
    <row r="107" spans="2:10" ht="18.75" x14ac:dyDescent="0.3">
      <c r="B107" s="544"/>
      <c r="C107" s="545"/>
      <c r="D107" s="545"/>
      <c r="E107" s="545"/>
      <c r="F107" s="546"/>
      <c r="J107" s="280"/>
    </row>
    <row r="108" spans="2:10" ht="18.75" x14ac:dyDescent="0.3">
      <c r="B108" s="547"/>
      <c r="C108" s="548"/>
      <c r="D108" s="548"/>
      <c r="E108" s="548"/>
      <c r="F108" s="549"/>
      <c r="J108" s="280"/>
    </row>
    <row r="109" spans="2:10" ht="18.75" x14ac:dyDescent="0.3">
      <c r="B109" s="547"/>
      <c r="C109" s="548"/>
      <c r="D109" s="548"/>
      <c r="E109" s="548"/>
      <c r="F109" s="549"/>
      <c r="J109" s="280"/>
    </row>
    <row r="110" spans="2:10" ht="18.75" x14ac:dyDescent="0.3">
      <c r="B110" s="547"/>
      <c r="C110" s="548"/>
      <c r="D110" s="548"/>
      <c r="E110" s="548"/>
      <c r="F110" s="549"/>
      <c r="J110" s="280"/>
    </row>
    <row r="111" spans="2:10" ht="19.5" customHeight="1" x14ac:dyDescent="0.3">
      <c r="B111" s="547"/>
      <c r="C111" s="548"/>
      <c r="D111" s="548"/>
      <c r="E111" s="548"/>
      <c r="F111" s="549"/>
      <c r="J111" s="280"/>
    </row>
    <row r="112" spans="2:10" ht="22.5" customHeight="1" x14ac:dyDescent="0.3">
      <c r="B112" s="550"/>
      <c r="C112" s="551"/>
      <c r="D112" s="551"/>
      <c r="E112" s="551"/>
      <c r="F112" s="552"/>
      <c r="J112" s="280"/>
    </row>
    <row r="113" spans="1:13" x14ac:dyDescent="0.25">
      <c r="B113" s="1790" t="s">
        <v>229</v>
      </c>
      <c r="C113" s="1791"/>
      <c r="D113" s="1791"/>
      <c r="E113" s="1791"/>
      <c r="F113" s="1792"/>
    </row>
    <row r="114" spans="1:13" hidden="1" x14ac:dyDescent="0.25">
      <c r="B114" s="463" t="s">
        <v>230</v>
      </c>
      <c r="C114" s="440" t="s">
        <v>198</v>
      </c>
      <c r="D114" s="1766" t="s">
        <v>87</v>
      </c>
      <c r="E114" s="1767"/>
      <c r="F114" s="1768"/>
    </row>
    <row r="115" spans="1:13" ht="19.5" hidden="1" x14ac:dyDescent="0.3">
      <c r="B115" s="464">
        <v>0</v>
      </c>
      <c r="C115" s="416">
        <v>575</v>
      </c>
      <c r="D115" s="1769">
        <f>+B115*C115</f>
        <v>0</v>
      </c>
      <c r="E115" s="1770"/>
      <c r="F115" s="1771"/>
    </row>
    <row r="116" spans="1:13" ht="18.75" hidden="1" x14ac:dyDescent="0.25">
      <c r="B116" s="465"/>
      <c r="C116" s="456"/>
      <c r="D116" s="1695"/>
      <c r="E116" s="1696"/>
      <c r="F116" s="1697"/>
    </row>
    <row r="117" spans="1:13" x14ac:dyDescent="0.25">
      <c r="B117" s="1695">
        <f>+E117/D117</f>
        <v>40.556521739130432</v>
      </c>
      <c r="C117" s="1710"/>
      <c r="D117" s="456">
        <v>575</v>
      </c>
      <c r="E117" s="1711">
        <f>+'ETAT  KEKEM'!Q38</f>
        <v>23320</v>
      </c>
      <c r="F117" s="1710"/>
    </row>
    <row r="118" spans="1:13" x14ac:dyDescent="0.25">
      <c r="B118" s="1707"/>
      <c r="C118" s="1708"/>
      <c r="D118" s="1708"/>
      <c r="E118" s="1708"/>
      <c r="F118" s="1709"/>
    </row>
    <row r="119" spans="1:13" x14ac:dyDescent="0.25">
      <c r="A119" s="127"/>
      <c r="B119" s="1698" t="s">
        <v>231</v>
      </c>
      <c r="C119" s="1699"/>
      <c r="D119" s="1699"/>
      <c r="E119" s="1699"/>
      <c r="F119" s="1700"/>
      <c r="G119" s="127"/>
    </row>
    <row r="120" spans="1:13" x14ac:dyDescent="0.25">
      <c r="A120" s="127"/>
      <c r="B120" s="1701" t="s">
        <v>295</v>
      </c>
      <c r="C120" s="1702"/>
      <c r="D120" s="1702"/>
      <c r="E120" s="1702"/>
      <c r="F120" s="1703"/>
      <c r="G120" s="127"/>
    </row>
    <row r="121" spans="1:13" ht="15.75" thickBot="1" x14ac:dyDescent="0.3">
      <c r="A121" s="127"/>
      <c r="B121" s="1704"/>
      <c r="C121" s="1705"/>
      <c r="D121" s="1705"/>
      <c r="E121" s="1705"/>
      <c r="F121" s="1706"/>
      <c r="G121" s="127"/>
    </row>
    <row r="122" spans="1:13" x14ac:dyDescent="0.25">
      <c r="A122" s="127"/>
      <c r="B122" s="127"/>
      <c r="C122" s="127"/>
      <c r="D122" s="127"/>
      <c r="F122" s="127"/>
      <c r="G122" s="127"/>
    </row>
    <row r="123" spans="1:13" x14ac:dyDescent="0.25">
      <c r="A123" s="127"/>
      <c r="B123" s="127"/>
      <c r="C123" s="127"/>
      <c r="D123" s="127"/>
      <c r="E123" s="127"/>
      <c r="F123" s="127"/>
      <c r="G123" s="127"/>
    </row>
    <row r="124" spans="1:13" x14ac:dyDescent="0.25">
      <c r="A124" s="127"/>
      <c r="B124" s="127"/>
      <c r="C124" s="127"/>
      <c r="D124" s="127"/>
      <c r="E124" s="127"/>
      <c r="F124" s="127"/>
      <c r="G124" s="127"/>
    </row>
    <row r="125" spans="1:13" x14ac:dyDescent="0.25">
      <c r="A125" s="127"/>
      <c r="B125" s="127"/>
      <c r="C125" s="127"/>
      <c r="D125" s="127"/>
      <c r="E125" s="127"/>
      <c r="F125" s="127"/>
      <c r="G125" s="127"/>
    </row>
    <row r="126" spans="1:13" x14ac:dyDescent="0.25">
      <c r="B126" s="127"/>
      <c r="C126" s="127"/>
      <c r="D126" s="127"/>
      <c r="E126" s="127"/>
      <c r="F126" s="127"/>
    </row>
    <row r="127" spans="1:13" x14ac:dyDescent="0.25">
      <c r="B127" s="127"/>
      <c r="C127" s="127"/>
      <c r="D127" s="127"/>
      <c r="E127" s="127"/>
      <c r="F127" s="127"/>
    </row>
    <row r="128" spans="1:13" x14ac:dyDescent="0.25">
      <c r="B128" s="127"/>
      <c r="C128" s="127"/>
      <c r="D128" s="127"/>
      <c r="E128" s="127"/>
      <c r="F128" s="127"/>
      <c r="M128" t="s">
        <v>50</v>
      </c>
    </row>
  </sheetData>
  <mergeCells count="88">
    <mergeCell ref="B30:C30"/>
    <mergeCell ref="B31:C31"/>
    <mergeCell ref="B32:C32"/>
    <mergeCell ref="D30:F30"/>
    <mergeCell ref="D31:F31"/>
    <mergeCell ref="D32:F32"/>
    <mergeCell ref="B29:C29"/>
    <mergeCell ref="E26:F26"/>
    <mergeCell ref="E27:F27"/>
    <mergeCell ref="B28:F28"/>
    <mergeCell ref="D29:F29"/>
    <mergeCell ref="D33:F33"/>
    <mergeCell ref="D34:F34"/>
    <mergeCell ref="D35:F35"/>
    <mergeCell ref="B39:C39"/>
    <mergeCell ref="C40:E40"/>
    <mergeCell ref="B33:C33"/>
    <mergeCell ref="B34:C34"/>
    <mergeCell ref="B35:C35"/>
    <mergeCell ref="D114:F114"/>
    <mergeCell ref="D115:F115"/>
    <mergeCell ref="D87:F87"/>
    <mergeCell ref="D88:F88"/>
    <mergeCell ref="D89:F89"/>
    <mergeCell ref="B94:F94"/>
    <mergeCell ref="B103:F103"/>
    <mergeCell ref="B90:F93"/>
    <mergeCell ref="B106:F106"/>
    <mergeCell ref="B113:F113"/>
    <mergeCell ref="D86:F86"/>
    <mergeCell ref="B53:F54"/>
    <mergeCell ref="C79:F81"/>
    <mergeCell ref="C41:E41"/>
    <mergeCell ref="B36:F37"/>
    <mergeCell ref="C38:F38"/>
    <mergeCell ref="C78:F78"/>
    <mergeCell ref="B82:F82"/>
    <mergeCell ref="B49:B50"/>
    <mergeCell ref="B55:E55"/>
    <mergeCell ref="C61:F64"/>
    <mergeCell ref="C71:F73"/>
    <mergeCell ref="D83:F83"/>
    <mergeCell ref="D84:F84"/>
    <mergeCell ref="D85:F85"/>
    <mergeCell ref="C46:F46"/>
    <mergeCell ref="D116:F116"/>
    <mergeCell ref="B119:F119"/>
    <mergeCell ref="B120:F121"/>
    <mergeCell ref="B118:F118"/>
    <mergeCell ref="B117:C117"/>
    <mergeCell ref="E117:F117"/>
    <mergeCell ref="C2:F3"/>
    <mergeCell ref="E4:F4"/>
    <mergeCell ref="E5:F5"/>
    <mergeCell ref="E6:F6"/>
    <mergeCell ref="E7:F7"/>
    <mergeCell ref="E8:F8"/>
    <mergeCell ref="E9:F9"/>
    <mergeCell ref="C12:F13"/>
    <mergeCell ref="B14:F15"/>
    <mergeCell ref="E16:F16"/>
    <mergeCell ref="B10:B11"/>
    <mergeCell ref="E10:E11"/>
    <mergeCell ref="B12:B13"/>
    <mergeCell ref="D8:D9"/>
    <mergeCell ref="E17:F17"/>
    <mergeCell ref="E18:F18"/>
    <mergeCell ref="C21:F21"/>
    <mergeCell ref="B22:F23"/>
    <mergeCell ref="E25:F25"/>
    <mergeCell ref="D24:F24"/>
    <mergeCell ref="B24:C24"/>
    <mergeCell ref="E20:F20"/>
    <mergeCell ref="E19:F19"/>
    <mergeCell ref="C49:F50"/>
    <mergeCell ref="C42:F42"/>
    <mergeCell ref="C44:F44"/>
    <mergeCell ref="C45:F45"/>
    <mergeCell ref="C47:E47"/>
    <mergeCell ref="C48:E48"/>
    <mergeCell ref="B51:F52"/>
    <mergeCell ref="C75:F75"/>
    <mergeCell ref="C76:F76"/>
    <mergeCell ref="C77:F77"/>
    <mergeCell ref="B66:B67"/>
    <mergeCell ref="B74:F74"/>
    <mergeCell ref="F66:F69"/>
    <mergeCell ref="B65:F6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24" sqref="H24"/>
    </sheetView>
  </sheetViews>
  <sheetFormatPr baseColWidth="10" defaultRowHeight="15" x14ac:dyDescent="0.25"/>
  <cols>
    <col min="1" max="1" width="26.85546875" style="582" customWidth="1"/>
    <col min="2" max="2" width="11.42578125" style="582"/>
    <col min="3" max="3" width="14.42578125" style="582" customWidth="1"/>
    <col min="4" max="4" width="15.42578125" style="582" bestFit="1" customWidth="1"/>
    <col min="5" max="5" width="15.42578125" style="582" customWidth="1"/>
    <col min="6" max="6" width="16.42578125" style="582" customWidth="1"/>
    <col min="7" max="7" width="18.140625" style="582" bestFit="1" customWidth="1"/>
    <col min="8" max="8" width="13.85546875" style="582" customWidth="1"/>
    <col min="9" max="9" width="24" style="582" customWidth="1"/>
    <col min="10" max="10" width="25.140625" style="582" customWidth="1"/>
    <col min="11" max="11" width="21.5703125" style="582" customWidth="1"/>
    <col min="12" max="12" width="18.140625" style="582" customWidth="1"/>
  </cols>
  <sheetData>
    <row r="1" spans="1:12" x14ac:dyDescent="0.25">
      <c r="A1" s="583" t="s">
        <v>267</v>
      </c>
      <c r="B1" s="584" t="s">
        <v>82</v>
      </c>
      <c r="C1" s="585" t="s">
        <v>268</v>
      </c>
      <c r="D1" s="586" t="s">
        <v>84</v>
      </c>
      <c r="E1" s="584" t="s">
        <v>85</v>
      </c>
      <c r="F1" s="586" t="s">
        <v>86</v>
      </c>
      <c r="G1" s="586" t="s">
        <v>7</v>
      </c>
      <c r="H1" s="586" t="s">
        <v>39</v>
      </c>
      <c r="I1" s="585" t="s">
        <v>269</v>
      </c>
      <c r="J1" s="585" t="s">
        <v>270</v>
      </c>
      <c r="K1" s="585" t="s">
        <v>271</v>
      </c>
      <c r="L1" s="587" t="s">
        <v>272</v>
      </c>
    </row>
    <row r="2" spans="1:12" x14ac:dyDescent="0.25">
      <c r="A2" s="565" t="s">
        <v>259</v>
      </c>
      <c r="B2" s="588">
        <v>0</v>
      </c>
      <c r="C2" s="589"/>
      <c r="D2" s="590">
        <f>'[4]Suivi journalier vente gaz janv'!AJ2</f>
        <v>0</v>
      </c>
      <c r="E2" s="590">
        <f>B2-D2-D5</f>
        <v>0</v>
      </c>
      <c r="F2" s="588">
        <f>B2-D2-D5</f>
        <v>0</v>
      </c>
      <c r="G2" s="588">
        <f>+F2-E2</f>
        <v>0</v>
      </c>
      <c r="H2" s="588">
        <v>3250</v>
      </c>
      <c r="I2" s="588">
        <f>F2*18125</f>
        <v>0</v>
      </c>
      <c r="J2" s="588">
        <f>B2*18125</f>
        <v>0</v>
      </c>
      <c r="K2" s="571">
        <f>C2*H5</f>
        <v>0</v>
      </c>
      <c r="L2" s="591">
        <f>D2*H2</f>
        <v>0</v>
      </c>
    </row>
    <row r="3" spans="1:12" x14ac:dyDescent="0.25">
      <c r="A3" s="565" t="s">
        <v>260</v>
      </c>
      <c r="B3" s="588"/>
      <c r="C3" s="589"/>
      <c r="D3" s="590"/>
      <c r="E3" s="590">
        <f>B3+C3</f>
        <v>0</v>
      </c>
      <c r="F3" s="588">
        <f>B3-D3-D4</f>
        <v>0</v>
      </c>
      <c r="G3" s="588">
        <f t="shared" ref="G3:G9" si="0">+F3-E3</f>
        <v>0</v>
      </c>
      <c r="H3" s="588">
        <v>6500</v>
      </c>
      <c r="I3" s="588">
        <f>F3*25000</f>
        <v>0</v>
      </c>
      <c r="J3" s="588">
        <f>B3*25000</f>
        <v>0</v>
      </c>
      <c r="K3" s="571">
        <f t="shared" ref="K3:K9" si="1">C3*H3</f>
        <v>0</v>
      </c>
      <c r="L3" s="591">
        <f t="shared" ref="L3:L9" si="2">D3*H3</f>
        <v>0</v>
      </c>
    </row>
    <row r="4" spans="1:12" x14ac:dyDescent="0.25">
      <c r="A4" s="565" t="s">
        <v>261</v>
      </c>
      <c r="B4" s="588"/>
      <c r="C4" s="589"/>
      <c r="D4" s="590">
        <f>'SUIVI JOURNALIER GAZ'!AF4</f>
        <v>0</v>
      </c>
      <c r="E4" s="590">
        <f>B4+C4</f>
        <v>0</v>
      </c>
      <c r="F4" s="588"/>
      <c r="G4" s="588">
        <f>B4-F4</f>
        <v>0</v>
      </c>
      <c r="H4" s="588">
        <v>22000</v>
      </c>
      <c r="I4" s="588">
        <f t="shared" ref="I4:I9" si="3">+H4*F4</f>
        <v>0</v>
      </c>
      <c r="J4" s="588"/>
      <c r="K4" s="571">
        <f t="shared" si="1"/>
        <v>0</v>
      </c>
      <c r="L4" s="591">
        <f t="shared" si="2"/>
        <v>0</v>
      </c>
    </row>
    <row r="5" spans="1:12" x14ac:dyDescent="0.25">
      <c r="A5" s="565" t="s">
        <v>262</v>
      </c>
      <c r="B5" s="588"/>
      <c r="C5" s="589"/>
      <c r="D5" s="590"/>
      <c r="E5" s="590"/>
      <c r="F5" s="588"/>
      <c r="G5" s="588">
        <f>B5-F5</f>
        <v>0</v>
      </c>
      <c r="H5" s="588">
        <v>15500</v>
      </c>
      <c r="I5" s="588">
        <f t="shared" si="3"/>
        <v>0</v>
      </c>
      <c r="J5" s="588"/>
      <c r="K5" s="571">
        <f t="shared" si="1"/>
        <v>0</v>
      </c>
      <c r="L5" s="591">
        <f t="shared" si="2"/>
        <v>0</v>
      </c>
    </row>
    <row r="6" spans="1:12" ht="15.75" x14ac:dyDescent="0.25">
      <c r="A6" s="576" t="s">
        <v>263</v>
      </c>
      <c r="B6" s="588"/>
      <c r="C6" s="589"/>
      <c r="D6" s="590"/>
      <c r="E6" s="590"/>
      <c r="F6" s="588"/>
      <c r="G6" s="588">
        <f t="shared" si="0"/>
        <v>0</v>
      </c>
      <c r="H6" s="588"/>
      <c r="I6" s="588"/>
      <c r="J6" s="588"/>
      <c r="K6" s="571">
        <f t="shared" si="1"/>
        <v>0</v>
      </c>
      <c r="L6" s="591">
        <f t="shared" si="2"/>
        <v>0</v>
      </c>
    </row>
    <row r="7" spans="1:12" x14ac:dyDescent="0.25">
      <c r="A7" s="565" t="s">
        <v>264</v>
      </c>
      <c r="B7" s="588"/>
      <c r="C7" s="589"/>
      <c r="D7" s="590"/>
      <c r="E7" s="590"/>
      <c r="F7" s="588"/>
      <c r="G7" s="588">
        <f t="shared" si="0"/>
        <v>0</v>
      </c>
      <c r="H7" s="588"/>
      <c r="I7" s="588"/>
      <c r="J7" s="588"/>
      <c r="K7" s="571">
        <f t="shared" si="1"/>
        <v>0</v>
      </c>
      <c r="L7" s="591">
        <f t="shared" si="2"/>
        <v>0</v>
      </c>
    </row>
    <row r="8" spans="1:12" x14ac:dyDescent="0.25">
      <c r="A8" s="565" t="s">
        <v>265</v>
      </c>
      <c r="B8" s="588"/>
      <c r="C8" s="589"/>
      <c r="D8" s="590"/>
      <c r="E8" s="590"/>
      <c r="F8" s="588"/>
      <c r="G8" s="588">
        <f t="shared" si="0"/>
        <v>0</v>
      </c>
      <c r="H8" s="588">
        <v>2000</v>
      </c>
      <c r="I8" s="588">
        <f>+H8*F8</f>
        <v>0</v>
      </c>
      <c r="J8" s="588">
        <f>B8*H8</f>
        <v>0</v>
      </c>
      <c r="K8" s="571">
        <f>C8*H8</f>
        <v>0</v>
      </c>
      <c r="L8" s="591">
        <f t="shared" si="2"/>
        <v>0</v>
      </c>
    </row>
    <row r="9" spans="1:12" x14ac:dyDescent="0.25">
      <c r="A9" s="565" t="s">
        <v>266</v>
      </c>
      <c r="B9" s="588"/>
      <c r="C9" s="589"/>
      <c r="D9" s="590"/>
      <c r="E9" s="590"/>
      <c r="F9" s="588"/>
      <c r="G9" s="588">
        <f t="shared" si="0"/>
        <v>0</v>
      </c>
      <c r="H9" s="588">
        <v>3700</v>
      </c>
      <c r="I9" s="588">
        <f t="shared" si="3"/>
        <v>0</v>
      </c>
      <c r="J9" s="588">
        <f>B9*H9</f>
        <v>0</v>
      </c>
      <c r="K9" s="571">
        <f t="shared" si="1"/>
        <v>0</v>
      </c>
      <c r="L9" s="591">
        <f t="shared" si="2"/>
        <v>0</v>
      </c>
    </row>
    <row r="10" spans="1:12" ht="15.75" thickBot="1" x14ac:dyDescent="0.3">
      <c r="A10" s="592" t="s">
        <v>2</v>
      </c>
      <c r="B10" s="593"/>
      <c r="C10" s="594"/>
      <c r="D10" s="593"/>
      <c r="E10" s="593"/>
      <c r="F10" s="593"/>
      <c r="G10" s="593">
        <f>G2+G7+G3</f>
        <v>0</v>
      </c>
      <c r="H10" s="593"/>
      <c r="I10" s="595">
        <f>SUM(I2:I9)</f>
        <v>0</v>
      </c>
      <c r="J10" s="593">
        <f>SUM(J2:J9)</f>
        <v>0</v>
      </c>
      <c r="K10" s="596">
        <f>SUM(K2:K9)</f>
        <v>0</v>
      </c>
      <c r="L10" s="597">
        <f>SUM(L2:L9)</f>
        <v>0</v>
      </c>
    </row>
    <row r="11" spans="1:12" x14ac:dyDescent="0.25">
      <c r="B11" s="598"/>
      <c r="C11" s="598"/>
      <c r="D11" s="598"/>
      <c r="E11" s="598"/>
      <c r="F11" s="598"/>
      <c r="G11" s="598"/>
      <c r="H11" s="598"/>
      <c r="I11" s="598"/>
      <c r="J11" s="598"/>
      <c r="K11" s="598"/>
      <c r="L11" s="59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60"/>
  <sheetViews>
    <sheetView zoomScale="106" zoomScaleNormal="106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M20" sqref="M20"/>
    </sheetView>
  </sheetViews>
  <sheetFormatPr baseColWidth="10" defaultColWidth="9.140625" defaultRowHeight="13.5" x14ac:dyDescent="0.25"/>
  <cols>
    <col min="1" max="1" width="2" style="775" customWidth="1"/>
    <col min="2" max="2" width="3.140625" style="780" customWidth="1"/>
    <col min="3" max="3" width="18.85546875" style="780" customWidth="1"/>
    <col min="4" max="4" width="21.7109375" style="780" customWidth="1"/>
    <col min="5" max="5" width="13.5703125" style="786" customWidth="1"/>
    <col min="6" max="6" width="12.140625" style="776" customWidth="1"/>
    <col min="7" max="7" width="10" style="776" customWidth="1"/>
    <col min="8" max="8" width="9.28515625" style="776" customWidth="1"/>
    <col min="9" max="9" width="10" style="776" customWidth="1"/>
    <col min="10" max="10" width="9" style="776" customWidth="1"/>
    <col min="11" max="12" width="9.42578125" style="776" customWidth="1"/>
    <col min="13" max="13" width="8.28515625" style="776" customWidth="1"/>
    <col min="14" max="14" width="9.7109375" style="776" customWidth="1"/>
    <col min="15" max="15" width="10.42578125" style="776" customWidth="1"/>
    <col min="16" max="16" width="8.140625" style="776" customWidth="1"/>
    <col min="17" max="17" width="9" style="776" customWidth="1"/>
    <col min="18" max="18" width="8.42578125" style="776" customWidth="1"/>
    <col min="19" max="19" width="7.42578125" style="776" customWidth="1"/>
    <col min="20" max="20" width="8.42578125" style="776" customWidth="1"/>
    <col min="21" max="21" width="8.28515625" style="776" customWidth="1"/>
    <col min="22" max="22" width="8.42578125" style="776" customWidth="1"/>
    <col min="23" max="23" width="9" style="776" customWidth="1"/>
    <col min="24" max="24" width="8" style="776" customWidth="1"/>
    <col min="25" max="25" width="8.5703125" style="776" customWidth="1"/>
    <col min="26" max="26" width="8.7109375" style="776" customWidth="1"/>
    <col min="27" max="27" width="7.85546875" style="776" customWidth="1"/>
    <col min="28" max="28" width="8.85546875" style="776" customWidth="1"/>
    <col min="29" max="29" width="7.85546875" style="776" customWidth="1"/>
    <col min="30" max="30" width="8.5703125" style="776" customWidth="1"/>
    <col min="31" max="32" width="8.28515625" style="776" customWidth="1"/>
    <col min="33" max="33" width="8.5703125" style="776" customWidth="1"/>
    <col min="34" max="34" width="9.7109375" style="776" customWidth="1"/>
    <col min="35" max="35" width="8.28515625" style="776" customWidth="1"/>
    <col min="36" max="36" width="14.28515625" style="787" customWidth="1"/>
    <col min="37" max="37" width="14.85546875" style="776" customWidth="1"/>
    <col min="38" max="38" width="15.5703125" style="775" customWidth="1"/>
    <col min="39" max="41" width="13.85546875" style="775" customWidth="1"/>
    <col min="42" max="42" width="17.7109375" style="775" customWidth="1"/>
    <col min="43" max="43" width="18.85546875" style="775" customWidth="1"/>
    <col min="44" max="44" width="25" style="775" customWidth="1"/>
    <col min="45" max="45" width="25.7109375" style="775" customWidth="1"/>
    <col min="46" max="16384" width="9.140625" style="775"/>
  </cols>
  <sheetData>
    <row r="1" spans="1:45" s="732" customFormat="1" ht="42" customHeight="1" x14ac:dyDescent="0.25">
      <c r="A1" s="727" t="s">
        <v>362</v>
      </c>
      <c r="B1" s="727"/>
      <c r="C1" s="727"/>
      <c r="D1" s="727"/>
      <c r="E1" s="727" t="s">
        <v>363</v>
      </c>
      <c r="F1" s="727"/>
      <c r="G1" s="727"/>
      <c r="H1" s="728"/>
      <c r="I1" s="729"/>
      <c r="J1" s="729"/>
      <c r="K1" s="729"/>
      <c r="L1" s="729"/>
      <c r="M1" s="729"/>
      <c r="N1" s="730" t="s">
        <v>364</v>
      </c>
      <c r="O1" s="2077">
        <v>43617</v>
      </c>
      <c r="P1" s="2077"/>
      <c r="Q1" s="2077"/>
      <c r="R1" s="729" t="s">
        <v>365</v>
      </c>
      <c r="S1" s="2078">
        <f>EDATE(O1,1)-DAY(1)</f>
        <v>43646</v>
      </c>
      <c r="T1" s="2078"/>
      <c r="U1" s="2078"/>
      <c r="V1" s="731"/>
      <c r="X1" s="2066"/>
      <c r="Y1" s="2066"/>
      <c r="Z1" s="2066"/>
      <c r="AA1" s="733"/>
      <c r="AB1" s="733"/>
      <c r="AC1" s="729"/>
      <c r="AD1" s="729"/>
      <c r="AI1" s="734"/>
      <c r="AK1" s="735"/>
      <c r="AP1" s="736"/>
      <c r="AQ1" s="736"/>
      <c r="AR1" s="736"/>
      <c r="AS1" s="737"/>
    </row>
    <row r="2" spans="1:45" s="738" customFormat="1" ht="15" x14ac:dyDescent="0.25">
      <c r="B2" s="739"/>
      <c r="C2" s="2067" t="s">
        <v>366</v>
      </c>
      <c r="D2" s="2069" t="s">
        <v>367</v>
      </c>
    </row>
    <row r="3" spans="1:45" s="740" customFormat="1" ht="12.75" customHeight="1" x14ac:dyDescent="0.25">
      <c r="B3" s="741"/>
      <c r="C3" s="2067"/>
      <c r="D3" s="2069"/>
      <c r="E3" s="742" t="s">
        <v>368</v>
      </c>
      <c r="F3" s="743" t="s">
        <v>369</v>
      </c>
      <c r="G3" s="744" t="s">
        <v>370</v>
      </c>
      <c r="H3" s="745" t="s">
        <v>371</v>
      </c>
      <c r="I3" s="740" t="s">
        <v>372</v>
      </c>
      <c r="J3" s="743" t="s">
        <v>373</v>
      </c>
      <c r="K3" s="746" t="s">
        <v>374</v>
      </c>
      <c r="M3" s="743" t="s">
        <v>375</v>
      </c>
      <c r="N3" s="747" t="s">
        <v>376</v>
      </c>
      <c r="O3" s="746"/>
      <c r="P3" s="748" t="s">
        <v>377</v>
      </c>
      <c r="Q3" s="747" t="s">
        <v>378</v>
      </c>
      <c r="R3" s="749" t="s">
        <v>379</v>
      </c>
      <c r="S3" s="747" t="s">
        <v>380</v>
      </c>
      <c r="T3" s="750" t="s">
        <v>381</v>
      </c>
      <c r="U3" s="740" t="s">
        <v>382</v>
      </c>
      <c r="W3" s="751" t="s">
        <v>383</v>
      </c>
      <c r="Y3" s="738"/>
      <c r="Z3" s="738"/>
      <c r="AA3" s="738"/>
      <c r="AF3" s="752"/>
      <c r="AG3" s="752"/>
      <c r="AJ3" s="753"/>
      <c r="AL3" s="754"/>
      <c r="AM3" s="754"/>
      <c r="AN3" s="754"/>
      <c r="AO3" s="754"/>
    </row>
    <row r="4" spans="1:45" s="738" customFormat="1" ht="16.5" customHeight="1" x14ac:dyDescent="0.25">
      <c r="B4" s="739"/>
      <c r="C4" s="2067"/>
      <c r="D4" s="2069"/>
    </row>
    <row r="5" spans="1:45" s="755" customFormat="1" ht="18" customHeight="1" x14ac:dyDescent="0.3">
      <c r="B5" s="756"/>
      <c r="C5" s="2068"/>
      <c r="D5" s="2070"/>
      <c r="E5" s="757">
        <f>O1</f>
        <v>43617</v>
      </c>
      <c r="F5" s="757">
        <f>E5+1</f>
        <v>43618</v>
      </c>
      <c r="G5" s="757">
        <f>F5+1</f>
        <v>43619</v>
      </c>
      <c r="H5" s="757">
        <f t="shared" ref="H5:AI5" si="0">G5+1</f>
        <v>43620</v>
      </c>
      <c r="I5" s="757">
        <f t="shared" si="0"/>
        <v>43621</v>
      </c>
      <c r="J5" s="757">
        <f t="shared" si="0"/>
        <v>43622</v>
      </c>
      <c r="K5" s="757">
        <f t="shared" si="0"/>
        <v>43623</v>
      </c>
      <c r="L5" s="757">
        <f t="shared" si="0"/>
        <v>43624</v>
      </c>
      <c r="M5" s="757">
        <f t="shared" si="0"/>
        <v>43625</v>
      </c>
      <c r="N5" s="757">
        <f t="shared" si="0"/>
        <v>43626</v>
      </c>
      <c r="O5" s="757">
        <f t="shared" si="0"/>
        <v>43627</v>
      </c>
      <c r="P5" s="757">
        <f t="shared" si="0"/>
        <v>43628</v>
      </c>
      <c r="Q5" s="757">
        <f t="shared" si="0"/>
        <v>43629</v>
      </c>
      <c r="R5" s="757">
        <f t="shared" si="0"/>
        <v>43630</v>
      </c>
      <c r="S5" s="757">
        <f t="shared" si="0"/>
        <v>43631</v>
      </c>
      <c r="T5" s="757">
        <f t="shared" si="0"/>
        <v>43632</v>
      </c>
      <c r="U5" s="757">
        <f t="shared" si="0"/>
        <v>43633</v>
      </c>
      <c r="V5" s="757">
        <f t="shared" si="0"/>
        <v>43634</v>
      </c>
      <c r="W5" s="757">
        <f t="shared" si="0"/>
        <v>43635</v>
      </c>
      <c r="X5" s="757">
        <f t="shared" si="0"/>
        <v>43636</v>
      </c>
      <c r="Y5" s="757">
        <f t="shared" si="0"/>
        <v>43637</v>
      </c>
      <c r="Z5" s="757">
        <f t="shared" si="0"/>
        <v>43638</v>
      </c>
      <c r="AA5" s="757">
        <f t="shared" si="0"/>
        <v>43639</v>
      </c>
      <c r="AB5" s="757">
        <f t="shared" si="0"/>
        <v>43640</v>
      </c>
      <c r="AC5" s="757">
        <f t="shared" si="0"/>
        <v>43641</v>
      </c>
      <c r="AD5" s="757">
        <f t="shared" si="0"/>
        <v>43642</v>
      </c>
      <c r="AE5" s="757">
        <f t="shared" si="0"/>
        <v>43643</v>
      </c>
      <c r="AF5" s="757">
        <f t="shared" si="0"/>
        <v>43644</v>
      </c>
      <c r="AG5" s="757">
        <f t="shared" si="0"/>
        <v>43645</v>
      </c>
      <c r="AH5" s="757">
        <f t="shared" si="0"/>
        <v>43646</v>
      </c>
      <c r="AI5" s="757">
        <f t="shared" si="0"/>
        <v>43647</v>
      </c>
      <c r="AJ5" s="2071" t="s">
        <v>33</v>
      </c>
      <c r="AK5" s="2072"/>
      <c r="AL5" s="2072"/>
      <c r="AM5" s="2072"/>
      <c r="AN5" s="2072"/>
      <c r="AO5" s="2072"/>
      <c r="AP5" s="2072"/>
      <c r="AQ5" s="2072"/>
      <c r="AR5" s="2072"/>
      <c r="AS5" s="758"/>
    </row>
    <row r="6" spans="1:45" s="759" customFormat="1" ht="14.25" customHeight="1" x14ac:dyDescent="0.25">
      <c r="B6" s="760" t="s">
        <v>384</v>
      </c>
      <c r="C6" s="761" t="s">
        <v>385</v>
      </c>
      <c r="D6" s="762" t="s">
        <v>386</v>
      </c>
      <c r="E6" s="763" t="s">
        <v>387</v>
      </c>
      <c r="F6" s="763" t="s">
        <v>388</v>
      </c>
      <c r="G6" s="763" t="s">
        <v>389</v>
      </c>
      <c r="H6" s="763" t="s">
        <v>390</v>
      </c>
      <c r="I6" s="763" t="s">
        <v>391</v>
      </c>
      <c r="J6" s="763" t="s">
        <v>392</v>
      </c>
      <c r="K6" s="763" t="s">
        <v>393</v>
      </c>
      <c r="L6" s="763" t="s">
        <v>394</v>
      </c>
      <c r="M6" s="763" t="s">
        <v>395</v>
      </c>
      <c r="N6" s="763" t="s">
        <v>396</v>
      </c>
      <c r="O6" s="763" t="s">
        <v>397</v>
      </c>
      <c r="P6" s="763" t="s">
        <v>398</v>
      </c>
      <c r="Q6" s="763" t="s">
        <v>399</v>
      </c>
      <c r="R6" s="763" t="s">
        <v>400</v>
      </c>
      <c r="S6" s="763" t="s">
        <v>401</v>
      </c>
      <c r="T6" s="763" t="s">
        <v>402</v>
      </c>
      <c r="U6" s="763" t="s">
        <v>403</v>
      </c>
      <c r="V6" s="763" t="s">
        <v>404</v>
      </c>
      <c r="W6" s="763" t="s">
        <v>405</v>
      </c>
      <c r="X6" s="763" t="s">
        <v>406</v>
      </c>
      <c r="Y6" s="763" t="s">
        <v>407</v>
      </c>
      <c r="Z6" s="763" t="s">
        <v>408</v>
      </c>
      <c r="AA6" s="763" t="s">
        <v>409</v>
      </c>
      <c r="AB6" s="763" t="s">
        <v>410</v>
      </c>
      <c r="AC6" s="763" t="s">
        <v>411</v>
      </c>
      <c r="AD6" s="763" t="s">
        <v>412</v>
      </c>
      <c r="AE6" s="763" t="s">
        <v>413</v>
      </c>
      <c r="AF6" s="763" t="s">
        <v>414</v>
      </c>
      <c r="AG6" s="763" t="s">
        <v>415</v>
      </c>
      <c r="AH6" s="763" t="s">
        <v>416</v>
      </c>
      <c r="AI6" s="763" t="s">
        <v>417</v>
      </c>
      <c r="AJ6" s="764" t="s">
        <v>418</v>
      </c>
      <c r="AK6" s="764" t="s">
        <v>419</v>
      </c>
      <c r="AL6" s="764" t="s">
        <v>420</v>
      </c>
      <c r="AM6" s="764" t="s">
        <v>421</v>
      </c>
      <c r="AN6" s="764" t="s">
        <v>422</v>
      </c>
      <c r="AO6" s="764" t="s">
        <v>423</v>
      </c>
      <c r="AP6" s="764" t="s">
        <v>424</v>
      </c>
      <c r="AQ6" s="764" t="s">
        <v>425</v>
      </c>
      <c r="AR6" s="765" t="s">
        <v>426</v>
      </c>
      <c r="AS6" s="758"/>
    </row>
    <row r="7" spans="1:45" s="766" customFormat="1" ht="16.5" customHeight="1" x14ac:dyDescent="0.25">
      <c r="B7" s="767">
        <v>1</v>
      </c>
      <c r="C7" s="768" t="s">
        <v>427</v>
      </c>
      <c r="D7" s="763" t="s">
        <v>461</v>
      </c>
      <c r="E7" s="769" t="s">
        <v>377</v>
      </c>
      <c r="F7" s="769" t="s">
        <v>377</v>
      </c>
      <c r="G7" s="769" t="s">
        <v>377</v>
      </c>
      <c r="H7" s="769" t="s">
        <v>379</v>
      </c>
      <c r="I7" s="769"/>
      <c r="J7" s="769"/>
      <c r="K7" s="769"/>
      <c r="L7" s="769"/>
      <c r="M7" s="769"/>
      <c r="N7" s="769"/>
      <c r="O7" s="769"/>
      <c r="P7" s="769"/>
      <c r="Q7" s="769"/>
      <c r="R7" s="769"/>
      <c r="S7" s="769"/>
      <c r="T7" s="769"/>
      <c r="U7" s="769"/>
      <c r="V7" s="769"/>
      <c r="W7" s="769"/>
      <c r="X7" s="769"/>
      <c r="Y7" s="769"/>
      <c r="Z7" s="769"/>
      <c r="AA7" s="769"/>
      <c r="AB7" s="769"/>
      <c r="AC7" s="769"/>
      <c r="AD7" s="769"/>
      <c r="AE7" s="769"/>
      <c r="AF7" s="769"/>
      <c r="AG7" s="769"/>
      <c r="AH7" s="769"/>
      <c r="AI7" s="769"/>
      <c r="AJ7" s="770">
        <f>COUNTIF(EtatPresence[[#This Row],[jour 1]:[jour 31]],"Abs")</f>
        <v>0</v>
      </c>
      <c r="AK7" s="770">
        <f>COUNTIF(EtatPresence[[#This Row],[jour 1]:[jour 31]],"NJ")</f>
        <v>0</v>
      </c>
      <c r="AL7" s="770">
        <f>COUNTIF(EtatPresence[[#This Row],[jour 1]:[jour 31]],"S")</f>
        <v>0</v>
      </c>
      <c r="AM7" s="770">
        <f>COUNTIF(EtatPresence[[#This Row],[jour 1]:[jour 31]],"MP")</f>
        <v>0</v>
      </c>
      <c r="AN7" s="770">
        <f>COUNTIF(EtatPresence[[#This Row],[jour 1]:[jour 31]],Code4)</f>
        <v>0</v>
      </c>
      <c r="AO7" s="770">
        <f>COUNTIF(EtatPresence[[#This Row],[jour 1]:[jour 31]],"RP")</f>
        <v>1</v>
      </c>
      <c r="AP7" s="770">
        <f>COUNTIF(EtatPresence[[#This Row],[jour 1]:[jour 31]],"Rt")</f>
        <v>0</v>
      </c>
      <c r="AQ7" s="770">
        <f>COUNTIF(EtatPresence[[#This Row],[jour 1]:[jour 31]],"Congé")</f>
        <v>0</v>
      </c>
      <c r="AR7" s="771">
        <f>SUM(EtatPresence[[#This Row],[Abs. ]:[Mises a pied]])</f>
        <v>0</v>
      </c>
      <c r="AS7" s="772"/>
    </row>
    <row r="8" spans="1:45" s="766" customFormat="1" ht="16.5" customHeight="1" x14ac:dyDescent="0.25">
      <c r="B8" s="767">
        <f>B7+1</f>
        <v>2</v>
      </c>
      <c r="C8" s="768" t="s">
        <v>428</v>
      </c>
      <c r="D8" s="763" t="s">
        <v>462</v>
      </c>
      <c r="E8" s="769" t="s">
        <v>377</v>
      </c>
      <c r="F8" s="769" t="s">
        <v>377</v>
      </c>
      <c r="G8" s="769" t="s">
        <v>377</v>
      </c>
      <c r="H8" s="769" t="s">
        <v>377</v>
      </c>
      <c r="I8" s="769"/>
      <c r="J8" s="769"/>
      <c r="K8" s="769"/>
      <c r="L8" s="769"/>
      <c r="M8" s="769"/>
      <c r="N8" s="769"/>
      <c r="O8" s="769"/>
      <c r="P8" s="769"/>
      <c r="Q8" s="769"/>
      <c r="R8" s="769"/>
      <c r="S8" s="769"/>
      <c r="T8" s="769"/>
      <c r="U8" s="769"/>
      <c r="V8" s="769"/>
      <c r="W8" s="769"/>
      <c r="X8" s="769"/>
      <c r="Y8" s="769"/>
      <c r="Z8" s="769"/>
      <c r="AA8" s="769"/>
      <c r="AB8" s="769"/>
      <c r="AC8" s="769"/>
      <c r="AD8" s="769"/>
      <c r="AE8" s="769"/>
      <c r="AF8" s="769"/>
      <c r="AG8" s="769"/>
      <c r="AH8" s="769"/>
      <c r="AI8" s="769"/>
      <c r="AJ8" s="770">
        <f>COUNTIF(EtatPresence[[#This Row],[jour 1]:[jour 31]],"Abs")</f>
        <v>0</v>
      </c>
      <c r="AK8" s="770">
        <f>COUNTIF(EtatPresence[[#This Row],[jour 1]:[jour 31]],"NJ")</f>
        <v>0</v>
      </c>
      <c r="AL8" s="770">
        <f>COUNTIF(EtatPresence[[#This Row],[jour 1]:[jour 31]],"S")</f>
        <v>0</v>
      </c>
      <c r="AM8" s="770">
        <f>COUNTIF(EtatPresence[[#This Row],[jour 1]:[jour 31]],"MP")</f>
        <v>0</v>
      </c>
      <c r="AN8" s="770">
        <f>COUNTIF(EtatPresence[[#This Row],[jour 1]:[jour 31]],Code4)</f>
        <v>0</v>
      </c>
      <c r="AO8" s="770">
        <f>COUNTIF(EtatPresence[[#This Row],[jour 1]:[jour 31]],"RP")</f>
        <v>0</v>
      </c>
      <c r="AP8" s="770">
        <f>COUNTIF(EtatPresence[[#This Row],[jour 1]:[jour 31]],"Rt")</f>
        <v>0</v>
      </c>
      <c r="AQ8" s="770">
        <f>COUNTIF(EtatPresence[[#This Row],[jour 1]:[jour 31]],"Congé")</f>
        <v>0</v>
      </c>
      <c r="AR8" s="771">
        <f>SUM(EtatPresence[[#This Row],[Abs. ]:[Mises a pied]])</f>
        <v>0</v>
      </c>
      <c r="AS8" s="772"/>
    </row>
    <row r="9" spans="1:45" s="773" customFormat="1" ht="16.5" customHeight="1" x14ac:dyDescent="0.25">
      <c r="B9" s="767">
        <f t="shared" ref="B9:B29" si="1">B8+1</f>
        <v>3</v>
      </c>
      <c r="C9" s="768" t="s">
        <v>428</v>
      </c>
      <c r="D9" s="763" t="s">
        <v>463</v>
      </c>
      <c r="E9" s="769" t="s">
        <v>375</v>
      </c>
      <c r="F9" s="769" t="s">
        <v>375</v>
      </c>
      <c r="G9" s="769" t="s">
        <v>375</v>
      </c>
      <c r="H9" s="769" t="s">
        <v>375</v>
      </c>
      <c r="I9" s="769"/>
      <c r="J9" s="769"/>
      <c r="K9" s="769"/>
      <c r="L9" s="769"/>
      <c r="M9" s="769"/>
      <c r="N9" s="769"/>
      <c r="O9" s="769"/>
      <c r="P9" s="769"/>
      <c r="Q9" s="769"/>
      <c r="R9" s="769"/>
      <c r="S9" s="769"/>
      <c r="T9" s="769"/>
      <c r="U9" s="769"/>
      <c r="V9" s="769"/>
      <c r="W9" s="769"/>
      <c r="X9" s="769"/>
      <c r="Y9" s="769"/>
      <c r="Z9" s="769"/>
      <c r="AA9" s="769"/>
      <c r="AB9" s="769"/>
      <c r="AC9" s="769"/>
      <c r="AD9" s="769"/>
      <c r="AE9" s="769"/>
      <c r="AF9" s="769"/>
      <c r="AG9" s="769"/>
      <c r="AH9" s="769"/>
      <c r="AI9" s="769"/>
      <c r="AJ9" s="770">
        <f>COUNTIF(EtatPresence[[#This Row],[jour 1]:[jour 31]],"Abs")</f>
        <v>0</v>
      </c>
      <c r="AK9" s="770">
        <f>COUNTIF(EtatPresence[[#This Row],[jour 1]:[jour 31]],"NJ")</f>
        <v>4</v>
      </c>
      <c r="AL9" s="770">
        <f>COUNTIF(EtatPresence[[#This Row],[jour 1]:[jour 31]],"S")</f>
        <v>0</v>
      </c>
      <c r="AM9" s="770">
        <f>COUNTIF(EtatPresence[[#This Row],[jour 1]:[jour 31]],"MP")</f>
        <v>0</v>
      </c>
      <c r="AN9" s="770">
        <f>COUNTIF(EtatPresence[[#This Row],[jour 1]:[jour 31]],Code4)</f>
        <v>0</v>
      </c>
      <c r="AO9" s="770">
        <f>COUNTIF(EtatPresence[[#This Row],[jour 1]:[jour 31]],"RP")</f>
        <v>0</v>
      </c>
      <c r="AP9" s="770">
        <f>COUNTIF(EtatPresence[[#This Row],[jour 1]:[jour 31]],"Rt")</f>
        <v>0</v>
      </c>
      <c r="AQ9" s="770">
        <f>COUNTIF(EtatPresence[[#This Row],[jour 1]:[jour 31]],"Congé")</f>
        <v>0</v>
      </c>
      <c r="AR9" s="771">
        <f>SUM(EtatPresence[[#This Row],[Abs. ]:[Mises a pied]])</f>
        <v>4</v>
      </c>
      <c r="AS9" s="774"/>
    </row>
    <row r="10" spans="1:45" ht="16.5" customHeight="1" x14ac:dyDescent="0.25">
      <c r="B10" s="767">
        <f t="shared" si="1"/>
        <v>4</v>
      </c>
      <c r="C10" s="768" t="s">
        <v>428</v>
      </c>
      <c r="D10" s="763" t="s">
        <v>464</v>
      </c>
      <c r="E10" s="769" t="s">
        <v>377</v>
      </c>
      <c r="F10" s="769" t="s">
        <v>377</v>
      </c>
      <c r="G10" s="769" t="s">
        <v>377</v>
      </c>
      <c r="H10" s="769" t="s">
        <v>377</v>
      </c>
      <c r="I10" s="769"/>
      <c r="J10" s="769"/>
      <c r="K10" s="769"/>
      <c r="L10" s="769"/>
      <c r="M10" s="769"/>
      <c r="N10" s="769"/>
      <c r="O10" s="769"/>
      <c r="P10" s="769"/>
      <c r="Q10" s="769"/>
      <c r="R10" s="769"/>
      <c r="S10" s="769"/>
      <c r="T10" s="769"/>
      <c r="U10" s="769"/>
      <c r="V10" s="769"/>
      <c r="W10" s="769"/>
      <c r="X10" s="769"/>
      <c r="Y10" s="769"/>
      <c r="Z10" s="769"/>
      <c r="AA10" s="769"/>
      <c r="AB10" s="769"/>
      <c r="AC10" s="769"/>
      <c r="AD10" s="769"/>
      <c r="AE10" s="769"/>
      <c r="AF10" s="769"/>
      <c r="AG10" s="769"/>
      <c r="AH10" s="769"/>
      <c r="AI10" s="769"/>
      <c r="AJ10" s="770">
        <f>COUNTIF(EtatPresence[[#This Row],[jour 1]:[jour 31]],"Abs")</f>
        <v>0</v>
      </c>
      <c r="AK10" s="770">
        <f>COUNTIF(EtatPresence[[#This Row],[jour 1]:[jour 31]],"NJ")</f>
        <v>0</v>
      </c>
      <c r="AL10" s="770">
        <f>COUNTIF(EtatPresence[[#This Row],[jour 1]:[jour 31]],"S")</f>
        <v>0</v>
      </c>
      <c r="AM10" s="770">
        <f>COUNTIF(EtatPresence[[#This Row],[jour 1]:[jour 31]],"MP")</f>
        <v>0</v>
      </c>
      <c r="AN10" s="770">
        <f>COUNTIF(EtatPresence[[#This Row],[jour 1]:[jour 31]],Code4)</f>
        <v>0</v>
      </c>
      <c r="AO10" s="770">
        <f>COUNTIF(EtatPresence[[#This Row],[jour 1]:[jour 31]],"RP")</f>
        <v>0</v>
      </c>
      <c r="AP10" s="770">
        <f>COUNTIF(EtatPresence[[#This Row],[jour 1]:[jour 31]],"Rt")</f>
        <v>0</v>
      </c>
      <c r="AQ10" s="770">
        <f>COUNTIF(EtatPresence[[#This Row],[jour 1]:[jour 31]],"Congé")</f>
        <v>0</v>
      </c>
      <c r="AR10" s="771">
        <f>SUM(EtatPresence[[#This Row],[Abs. ]:[Mises a pied]])</f>
        <v>0</v>
      </c>
      <c r="AS10" s="776"/>
    </row>
    <row r="11" spans="1:45" ht="16.5" customHeight="1" x14ac:dyDescent="0.25">
      <c r="B11" s="767">
        <f t="shared" si="1"/>
        <v>5</v>
      </c>
      <c r="C11" s="768" t="s">
        <v>428</v>
      </c>
      <c r="D11" s="763" t="s">
        <v>465</v>
      </c>
      <c r="E11" s="769" t="s">
        <v>383</v>
      </c>
      <c r="F11" s="769" t="s">
        <v>383</v>
      </c>
      <c r="G11" s="769" t="s">
        <v>377</v>
      </c>
      <c r="H11" s="769" t="s">
        <v>377</v>
      </c>
      <c r="I11" s="769"/>
      <c r="J11" s="769"/>
      <c r="K11" s="769"/>
      <c r="L11" s="769"/>
      <c r="M11" s="769"/>
      <c r="N11" s="769"/>
      <c r="O11" s="769"/>
      <c r="P11" s="769"/>
      <c r="Q11" s="769"/>
      <c r="R11" s="769"/>
      <c r="S11" s="769"/>
      <c r="T11" s="769"/>
      <c r="U11" s="769"/>
      <c r="V11" s="769"/>
      <c r="W11" s="769"/>
      <c r="X11" s="769"/>
      <c r="Y11" s="769"/>
      <c r="Z11" s="769"/>
      <c r="AA11" s="769"/>
      <c r="AB11" s="769"/>
      <c r="AC11" s="769"/>
      <c r="AD11" s="769"/>
      <c r="AE11" s="769"/>
      <c r="AF11" s="769"/>
      <c r="AG11" s="769"/>
      <c r="AH11" s="769"/>
      <c r="AI11" s="769"/>
      <c r="AJ11" s="770">
        <f>COUNTIF(EtatPresence[[#This Row],[jour 1]:[jour 31]],"Abs")</f>
        <v>0</v>
      </c>
      <c r="AK11" s="770">
        <f>COUNTIF(EtatPresence[[#This Row],[jour 1]:[jour 31]],"NJ")</f>
        <v>0</v>
      </c>
      <c r="AL11" s="770">
        <f>COUNTIF(EtatPresence[[#This Row],[jour 1]:[jour 31]],"S")</f>
        <v>0</v>
      </c>
      <c r="AM11" s="770">
        <f>COUNTIF(EtatPresence[[#This Row],[jour 1]:[jour 31]],"MP")</f>
        <v>0</v>
      </c>
      <c r="AN11" s="770">
        <f>COUNTIF(EtatPresence[[#This Row],[jour 1]:[jour 31]],Code4)</f>
        <v>0</v>
      </c>
      <c r="AO11" s="770">
        <f>COUNTIF(EtatPresence[[#This Row],[jour 1]:[jour 31]],"RP")</f>
        <v>0</v>
      </c>
      <c r="AP11" s="770">
        <f>COUNTIF(EtatPresence[[#This Row],[jour 1]:[jour 31]],"Rt")</f>
        <v>0</v>
      </c>
      <c r="AQ11" s="770">
        <f>COUNTIF(EtatPresence[[#This Row],[jour 1]:[jour 31]],"Congé")</f>
        <v>2</v>
      </c>
      <c r="AR11" s="771">
        <f>SUM(EtatPresence[[#This Row],[Abs. ]:[Mises a pied]])</f>
        <v>0</v>
      </c>
      <c r="AS11" s="776"/>
    </row>
    <row r="12" spans="1:45" ht="16.5" customHeight="1" x14ac:dyDescent="0.25">
      <c r="B12" s="767">
        <f t="shared" si="1"/>
        <v>6</v>
      </c>
      <c r="C12" s="768" t="s">
        <v>428</v>
      </c>
      <c r="D12" s="763" t="s">
        <v>466</v>
      </c>
      <c r="E12" s="769" t="s">
        <v>377</v>
      </c>
      <c r="F12" s="769" t="s">
        <v>375</v>
      </c>
      <c r="G12" s="769" t="s">
        <v>383</v>
      </c>
      <c r="H12" s="769" t="s">
        <v>383</v>
      </c>
      <c r="I12" s="769"/>
      <c r="J12" s="769"/>
      <c r="K12" s="769"/>
      <c r="L12" s="769"/>
      <c r="M12" s="769"/>
      <c r="N12" s="769"/>
      <c r="O12" s="769"/>
      <c r="P12" s="769"/>
      <c r="Q12" s="769"/>
      <c r="R12" s="769"/>
      <c r="S12" s="769"/>
      <c r="T12" s="769"/>
      <c r="U12" s="769"/>
      <c r="V12" s="769"/>
      <c r="W12" s="769"/>
      <c r="X12" s="769"/>
      <c r="Y12" s="769"/>
      <c r="Z12" s="769"/>
      <c r="AA12" s="769"/>
      <c r="AB12" s="769"/>
      <c r="AC12" s="769"/>
      <c r="AD12" s="769"/>
      <c r="AE12" s="769"/>
      <c r="AF12" s="769"/>
      <c r="AG12" s="769"/>
      <c r="AH12" s="769"/>
      <c r="AI12" s="769"/>
      <c r="AJ12" s="770">
        <f>COUNTIF(EtatPresence[[#This Row],[jour 1]:[jour 31]],"Abs")</f>
        <v>0</v>
      </c>
      <c r="AK12" s="770">
        <f>COUNTIF(EtatPresence[[#This Row],[jour 1]:[jour 31]],"NJ")</f>
        <v>1</v>
      </c>
      <c r="AL12" s="770">
        <f>COUNTIF(EtatPresence[[#This Row],[jour 1]:[jour 31]],"S")</f>
        <v>0</v>
      </c>
      <c r="AM12" s="770">
        <f>COUNTIF(EtatPresence[[#This Row],[jour 1]:[jour 31]],"MP")</f>
        <v>0</v>
      </c>
      <c r="AN12" s="770">
        <f>COUNTIF(EtatPresence[[#This Row],[jour 1]:[jour 31]],Code4)</f>
        <v>0</v>
      </c>
      <c r="AO12" s="770">
        <f>COUNTIF(EtatPresence[[#This Row],[jour 1]:[jour 31]],"RP")</f>
        <v>0</v>
      </c>
      <c r="AP12" s="770">
        <f>COUNTIF(EtatPresence[[#This Row],[jour 1]:[jour 31]],"Rt")</f>
        <v>0</v>
      </c>
      <c r="AQ12" s="770">
        <f>COUNTIF(EtatPresence[[#This Row],[jour 1]:[jour 31]],"Congé")</f>
        <v>2</v>
      </c>
      <c r="AR12" s="771">
        <f>SUM(EtatPresence[[#This Row],[Abs. ]:[Mises a pied]])</f>
        <v>1</v>
      </c>
      <c r="AS12" s="776"/>
    </row>
    <row r="13" spans="1:45" ht="16.5" customHeight="1" x14ac:dyDescent="0.25">
      <c r="B13" s="767">
        <f t="shared" si="1"/>
        <v>7</v>
      </c>
      <c r="C13" s="768" t="s">
        <v>428</v>
      </c>
      <c r="D13" s="763" t="s">
        <v>467</v>
      </c>
      <c r="E13" s="769" t="s">
        <v>377</v>
      </c>
      <c r="F13" s="769" t="s">
        <v>377</v>
      </c>
      <c r="G13" s="769" t="s">
        <v>377</v>
      </c>
      <c r="H13" s="769" t="s">
        <v>377</v>
      </c>
      <c r="I13" s="769"/>
      <c r="J13" s="769"/>
      <c r="K13" s="769"/>
      <c r="L13" s="769"/>
      <c r="M13" s="769"/>
      <c r="N13" s="769"/>
      <c r="O13" s="769"/>
      <c r="P13" s="769"/>
      <c r="Q13" s="769"/>
      <c r="R13" s="769"/>
      <c r="S13" s="769"/>
      <c r="T13" s="769"/>
      <c r="U13" s="769"/>
      <c r="V13" s="769"/>
      <c r="W13" s="769"/>
      <c r="X13" s="769"/>
      <c r="Y13" s="769"/>
      <c r="Z13" s="769"/>
      <c r="AA13" s="769"/>
      <c r="AB13" s="769"/>
      <c r="AC13" s="769"/>
      <c r="AD13" s="769"/>
      <c r="AE13" s="769"/>
      <c r="AF13" s="769"/>
      <c r="AG13" s="769"/>
      <c r="AH13" s="769"/>
      <c r="AI13" s="769"/>
      <c r="AJ13" s="770">
        <f>COUNTIF(EtatPresence[[#This Row],[jour 1]:[jour 31]],"Abs")</f>
        <v>0</v>
      </c>
      <c r="AK13" s="770">
        <f>COUNTIF(EtatPresence[[#This Row],[jour 1]:[jour 31]],"NJ")</f>
        <v>0</v>
      </c>
      <c r="AL13" s="770">
        <f>COUNTIF(EtatPresence[[#This Row],[jour 1]:[jour 31]],"S")</f>
        <v>0</v>
      </c>
      <c r="AM13" s="770">
        <f>COUNTIF(EtatPresence[[#This Row],[jour 1]:[jour 31]],"MP")</f>
        <v>0</v>
      </c>
      <c r="AN13" s="770">
        <f>COUNTIF(EtatPresence[[#This Row],[jour 1]:[jour 31]],Code4)</f>
        <v>0</v>
      </c>
      <c r="AO13" s="770">
        <f>COUNTIF(EtatPresence[[#This Row],[jour 1]:[jour 31]],"RP")</f>
        <v>0</v>
      </c>
      <c r="AP13" s="770">
        <f>COUNTIF(EtatPresence[[#This Row],[jour 1]:[jour 31]],"Rt")</f>
        <v>0</v>
      </c>
      <c r="AQ13" s="770">
        <f>COUNTIF(EtatPresence[[#This Row],[jour 1]:[jour 31]],"Congé")</f>
        <v>0</v>
      </c>
      <c r="AR13" s="771">
        <f>SUM(EtatPresence[[#This Row],[Abs. ]:[Mises a pied]])</f>
        <v>0</v>
      </c>
      <c r="AS13" s="776"/>
    </row>
    <row r="14" spans="1:45" ht="16.5" customHeight="1" x14ac:dyDescent="0.25">
      <c r="B14" s="767">
        <f t="shared" si="1"/>
        <v>8</v>
      </c>
      <c r="C14" s="768" t="s">
        <v>433</v>
      </c>
      <c r="D14" s="763" t="s">
        <v>468</v>
      </c>
      <c r="E14" s="769" t="s">
        <v>377</v>
      </c>
      <c r="F14" s="769" t="s">
        <v>379</v>
      </c>
      <c r="G14" s="769" t="s">
        <v>377</v>
      </c>
      <c r="H14" s="769" t="s">
        <v>377</v>
      </c>
      <c r="I14" s="769"/>
      <c r="J14" s="769"/>
      <c r="K14" s="769"/>
      <c r="L14" s="769"/>
      <c r="M14" s="769"/>
      <c r="N14" s="769"/>
      <c r="O14" s="769"/>
      <c r="P14" s="769"/>
      <c r="Q14" s="769"/>
      <c r="R14" s="769"/>
      <c r="S14" s="769"/>
      <c r="T14" s="769"/>
      <c r="U14" s="769"/>
      <c r="V14" s="769"/>
      <c r="W14" s="769"/>
      <c r="X14" s="769"/>
      <c r="Y14" s="769"/>
      <c r="Z14" s="769"/>
      <c r="AA14" s="769"/>
      <c r="AB14" s="769"/>
      <c r="AC14" s="769"/>
      <c r="AD14" s="769"/>
      <c r="AE14" s="769"/>
      <c r="AF14" s="769"/>
      <c r="AG14" s="769"/>
      <c r="AH14" s="769"/>
      <c r="AI14" s="769"/>
      <c r="AJ14" s="770">
        <f>COUNTIF(EtatPresence[[#This Row],[jour 1]:[jour 31]],"Abs")</f>
        <v>0</v>
      </c>
      <c r="AK14" s="770">
        <f>COUNTIF(EtatPresence[[#This Row],[jour 1]:[jour 31]],"NJ")</f>
        <v>0</v>
      </c>
      <c r="AL14" s="770">
        <f>COUNTIF(EtatPresence[[#This Row],[jour 1]:[jour 31]],"S")</f>
        <v>0</v>
      </c>
      <c r="AM14" s="770">
        <f>COUNTIF(EtatPresence[[#This Row],[jour 1]:[jour 31]],"MP")</f>
        <v>0</v>
      </c>
      <c r="AN14" s="770">
        <f>COUNTIF(EtatPresence[[#This Row],[jour 1]:[jour 31]],Code4)</f>
        <v>0</v>
      </c>
      <c r="AO14" s="770">
        <f>COUNTIF(EtatPresence[[#This Row],[jour 1]:[jour 31]],"RP")</f>
        <v>1</v>
      </c>
      <c r="AP14" s="770">
        <f>COUNTIF(EtatPresence[[#This Row],[jour 1]:[jour 31]],"Rt")</f>
        <v>0</v>
      </c>
      <c r="AQ14" s="770">
        <f>COUNTIF(EtatPresence[[#This Row],[jour 1]:[jour 31]],"Congé")</f>
        <v>0</v>
      </c>
      <c r="AR14" s="771">
        <f>SUM(EtatPresence[[#This Row],[Abs. ]:[Mises a pied]])</f>
        <v>0</v>
      </c>
      <c r="AS14" s="776"/>
    </row>
    <row r="15" spans="1:45" ht="16.5" customHeight="1" x14ac:dyDescent="0.25">
      <c r="B15" s="767">
        <f t="shared" si="1"/>
        <v>9</v>
      </c>
      <c r="C15" s="768" t="s">
        <v>434</v>
      </c>
      <c r="D15" s="763" t="s">
        <v>469</v>
      </c>
      <c r="E15" s="769" t="s">
        <v>377</v>
      </c>
      <c r="F15" s="769" t="s">
        <v>377</v>
      </c>
      <c r="G15" s="769" t="s">
        <v>379</v>
      </c>
      <c r="H15" s="769" t="s">
        <v>377</v>
      </c>
      <c r="I15" s="769"/>
      <c r="J15" s="769"/>
      <c r="K15" s="769"/>
      <c r="L15" s="769"/>
      <c r="M15" s="769"/>
      <c r="N15" s="769"/>
      <c r="O15" s="769"/>
      <c r="P15" s="769"/>
      <c r="Q15" s="769"/>
      <c r="R15" s="769"/>
      <c r="S15" s="769"/>
      <c r="T15" s="769"/>
      <c r="U15" s="769"/>
      <c r="V15" s="769"/>
      <c r="W15" s="769"/>
      <c r="X15" s="769"/>
      <c r="Y15" s="769"/>
      <c r="Z15" s="769"/>
      <c r="AA15" s="769"/>
      <c r="AB15" s="769"/>
      <c r="AC15" s="769"/>
      <c r="AD15" s="769"/>
      <c r="AE15" s="769"/>
      <c r="AF15" s="769"/>
      <c r="AG15" s="769"/>
      <c r="AH15" s="769"/>
      <c r="AI15" s="769"/>
      <c r="AJ15" s="770">
        <f>COUNTIF(EtatPresence[[#This Row],[jour 1]:[jour 31]],"Abs")</f>
        <v>0</v>
      </c>
      <c r="AK15" s="770">
        <f>COUNTIF(EtatPresence[[#This Row],[jour 1]:[jour 31]],"NJ")</f>
        <v>0</v>
      </c>
      <c r="AL15" s="770">
        <f>COUNTIF(EtatPresence[[#This Row],[jour 1]:[jour 31]],"S")</f>
        <v>0</v>
      </c>
      <c r="AM15" s="770">
        <f>COUNTIF(EtatPresence[[#This Row],[jour 1]:[jour 31]],"MP")</f>
        <v>0</v>
      </c>
      <c r="AN15" s="770">
        <f>COUNTIF(EtatPresence[[#This Row],[jour 1]:[jour 31]],Code4)</f>
        <v>0</v>
      </c>
      <c r="AO15" s="770">
        <f>COUNTIF(EtatPresence[[#This Row],[jour 1]:[jour 31]],"RP")</f>
        <v>1</v>
      </c>
      <c r="AP15" s="770">
        <f>COUNTIF(EtatPresence[[#This Row],[jour 1]:[jour 31]],"Rt")</f>
        <v>0</v>
      </c>
      <c r="AQ15" s="770">
        <f>COUNTIF(EtatPresence[[#This Row],[jour 1]:[jour 31]],"Congé")</f>
        <v>0</v>
      </c>
      <c r="AR15" s="771">
        <f>SUM(EtatPresence[[#This Row],[Abs. ]:[Mises a pied]])</f>
        <v>0</v>
      </c>
      <c r="AS15" s="776"/>
    </row>
    <row r="16" spans="1:45" ht="16.5" customHeight="1" x14ac:dyDescent="0.25">
      <c r="B16" s="767">
        <f t="shared" si="1"/>
        <v>10</v>
      </c>
      <c r="C16" s="768" t="s">
        <v>429</v>
      </c>
      <c r="D16" s="763" t="s">
        <v>470</v>
      </c>
      <c r="E16" s="769" t="s">
        <v>377</v>
      </c>
      <c r="F16" s="769" t="s">
        <v>379</v>
      </c>
      <c r="G16" s="769" t="s">
        <v>377</v>
      </c>
      <c r="H16" s="769" t="s">
        <v>377</v>
      </c>
      <c r="I16" s="769"/>
      <c r="J16" s="769"/>
      <c r="K16" s="769"/>
      <c r="L16" s="769"/>
      <c r="M16" s="769"/>
      <c r="N16" s="769"/>
      <c r="O16" s="769"/>
      <c r="P16" s="769"/>
      <c r="Q16" s="769"/>
      <c r="R16" s="769"/>
      <c r="S16" s="769"/>
      <c r="T16" s="769"/>
      <c r="U16" s="769"/>
      <c r="V16" s="769"/>
      <c r="W16" s="769"/>
      <c r="X16" s="769"/>
      <c r="Y16" s="769"/>
      <c r="Z16" s="769"/>
      <c r="AA16" s="769"/>
      <c r="AB16" s="769"/>
      <c r="AC16" s="769"/>
      <c r="AD16" s="769"/>
      <c r="AE16" s="769"/>
      <c r="AF16" s="769"/>
      <c r="AG16" s="769"/>
      <c r="AH16" s="769"/>
      <c r="AI16" s="769"/>
      <c r="AJ16" s="770">
        <f>COUNTIF(EtatPresence[[#This Row],[jour 1]:[jour 31]],"Abs")</f>
        <v>0</v>
      </c>
      <c r="AK16" s="770">
        <f>COUNTIF(EtatPresence[[#This Row],[jour 1]:[jour 31]],"NJ")</f>
        <v>0</v>
      </c>
      <c r="AL16" s="770">
        <f>COUNTIF(EtatPresence[[#This Row],[jour 1]:[jour 31]],"S")</f>
        <v>0</v>
      </c>
      <c r="AM16" s="770">
        <f>COUNTIF(EtatPresence[[#This Row],[jour 1]:[jour 31]],"MP")</f>
        <v>0</v>
      </c>
      <c r="AN16" s="770">
        <f>COUNTIF(EtatPresence[[#This Row],[jour 1]:[jour 31]],Code4)</f>
        <v>0</v>
      </c>
      <c r="AO16" s="770">
        <f>COUNTIF(EtatPresence[[#This Row],[jour 1]:[jour 31]],"RP")</f>
        <v>1</v>
      </c>
      <c r="AP16" s="770">
        <f>COUNTIF(EtatPresence[[#This Row],[jour 1]:[jour 31]],"Rt")</f>
        <v>0</v>
      </c>
      <c r="AQ16" s="770">
        <f>COUNTIF(EtatPresence[[#This Row],[jour 1]:[jour 31]],"Congé")</f>
        <v>0</v>
      </c>
      <c r="AR16" s="771">
        <f>SUM(EtatPresence[[#This Row],[Abs. ]:[Mises a pied]])</f>
        <v>0</v>
      </c>
      <c r="AS16" s="776"/>
    </row>
    <row r="17" spans="2:45" ht="16.5" customHeight="1" x14ac:dyDescent="0.25">
      <c r="B17" s="767">
        <f t="shared" si="1"/>
        <v>11</v>
      </c>
      <c r="C17" s="768" t="s">
        <v>429</v>
      </c>
      <c r="D17" s="763" t="s">
        <v>471</v>
      </c>
      <c r="E17" s="769" t="s">
        <v>379</v>
      </c>
      <c r="F17" s="769" t="s">
        <v>379</v>
      </c>
      <c r="G17" s="769" t="s">
        <v>379</v>
      </c>
      <c r="H17" s="769" t="s">
        <v>377</v>
      </c>
      <c r="I17" s="769"/>
      <c r="J17" s="769"/>
      <c r="K17" s="769"/>
      <c r="L17" s="769"/>
      <c r="M17" s="769"/>
      <c r="N17" s="769"/>
      <c r="O17" s="769"/>
      <c r="P17" s="769"/>
      <c r="Q17" s="769"/>
      <c r="R17" s="769"/>
      <c r="S17" s="769"/>
      <c r="T17" s="769"/>
      <c r="U17" s="769"/>
      <c r="V17" s="769"/>
      <c r="W17" s="769"/>
      <c r="X17" s="769"/>
      <c r="Y17" s="769"/>
      <c r="Z17" s="769"/>
      <c r="AA17" s="769"/>
      <c r="AB17" s="769"/>
      <c r="AC17" s="769"/>
      <c r="AD17" s="769"/>
      <c r="AE17" s="769"/>
      <c r="AF17" s="769"/>
      <c r="AG17" s="769"/>
      <c r="AH17" s="769"/>
      <c r="AI17" s="769"/>
      <c r="AJ17" s="770">
        <f>COUNTIF(EtatPresence[[#This Row],[jour 1]:[jour 31]],"Abs")</f>
        <v>0</v>
      </c>
      <c r="AK17" s="770">
        <f>COUNTIF(EtatPresence[[#This Row],[jour 1]:[jour 31]],"NJ")</f>
        <v>0</v>
      </c>
      <c r="AL17" s="770">
        <f>COUNTIF(EtatPresence[[#This Row],[jour 1]:[jour 31]],"S")</f>
        <v>0</v>
      </c>
      <c r="AM17" s="770">
        <f>COUNTIF(EtatPresence[[#This Row],[jour 1]:[jour 31]],"MP")</f>
        <v>0</v>
      </c>
      <c r="AN17" s="770">
        <f>COUNTIF(EtatPresence[[#This Row],[jour 1]:[jour 31]],Code4)</f>
        <v>0</v>
      </c>
      <c r="AO17" s="770">
        <f>COUNTIF(EtatPresence[[#This Row],[jour 1]:[jour 31]],"RP")</f>
        <v>3</v>
      </c>
      <c r="AP17" s="770">
        <f>COUNTIF(EtatPresence[[#This Row],[jour 1]:[jour 31]],"Rt")</f>
        <v>0</v>
      </c>
      <c r="AQ17" s="770">
        <f>COUNTIF(EtatPresence[[#This Row],[jour 1]:[jour 31]],"Congé")</f>
        <v>0</v>
      </c>
      <c r="AR17" s="771">
        <f>SUM(EtatPresence[[#This Row],[Abs. ]:[Mises a pied]])</f>
        <v>0</v>
      </c>
      <c r="AS17" s="776"/>
    </row>
    <row r="18" spans="2:45" ht="16.5" customHeight="1" x14ac:dyDescent="0.25">
      <c r="B18" s="767">
        <f t="shared" si="1"/>
        <v>12</v>
      </c>
      <c r="C18" s="768" t="s">
        <v>434</v>
      </c>
      <c r="D18" s="763" t="s">
        <v>472</v>
      </c>
      <c r="E18" s="769" t="s">
        <v>377</v>
      </c>
      <c r="F18" s="769" t="s">
        <v>377</v>
      </c>
      <c r="G18" s="769" t="s">
        <v>377</v>
      </c>
      <c r="H18" s="769" t="s">
        <v>379</v>
      </c>
      <c r="I18" s="769"/>
      <c r="J18" s="769"/>
      <c r="K18" s="769"/>
      <c r="L18" s="769"/>
      <c r="M18" s="769"/>
      <c r="N18" s="769"/>
      <c r="O18" s="769"/>
      <c r="P18" s="769"/>
      <c r="Q18" s="769"/>
      <c r="R18" s="769"/>
      <c r="S18" s="769"/>
      <c r="T18" s="769"/>
      <c r="U18" s="769"/>
      <c r="V18" s="769"/>
      <c r="W18" s="769"/>
      <c r="X18" s="769"/>
      <c r="Y18" s="769"/>
      <c r="Z18" s="769"/>
      <c r="AA18" s="769"/>
      <c r="AB18" s="769"/>
      <c r="AC18" s="769"/>
      <c r="AD18" s="769"/>
      <c r="AE18" s="769"/>
      <c r="AF18" s="769"/>
      <c r="AG18" s="769"/>
      <c r="AH18" s="769"/>
      <c r="AI18" s="769"/>
      <c r="AJ18" s="770">
        <f>COUNTIF(EtatPresence[[#This Row],[jour 1]:[jour 31]],"Abs")</f>
        <v>0</v>
      </c>
      <c r="AK18" s="770">
        <f>COUNTIF(EtatPresence[[#This Row],[jour 1]:[jour 31]],"NJ")</f>
        <v>0</v>
      </c>
      <c r="AL18" s="770">
        <f>COUNTIF(EtatPresence[[#This Row],[jour 1]:[jour 31]],"S")</f>
        <v>0</v>
      </c>
      <c r="AM18" s="770">
        <f>COUNTIF(EtatPresence[[#This Row],[jour 1]:[jour 31]],"MP")</f>
        <v>0</v>
      </c>
      <c r="AN18" s="770">
        <f>COUNTIF(EtatPresence[[#This Row],[jour 1]:[jour 31]],Code4)</f>
        <v>0</v>
      </c>
      <c r="AO18" s="770">
        <f>COUNTIF(EtatPresence[[#This Row],[jour 1]:[jour 31]],"RP")</f>
        <v>1</v>
      </c>
      <c r="AP18" s="770">
        <f>COUNTIF(EtatPresence[[#This Row],[jour 1]:[jour 31]],"Rt")</f>
        <v>0</v>
      </c>
      <c r="AQ18" s="770">
        <f>COUNTIF(EtatPresence[[#This Row],[jour 1]:[jour 31]],"Congé")</f>
        <v>0</v>
      </c>
      <c r="AR18" s="771">
        <f>SUM(EtatPresence[[#This Row],[Abs. ]:[Mises a pied]])</f>
        <v>0</v>
      </c>
      <c r="AS18" s="776"/>
    </row>
    <row r="19" spans="2:45" ht="16.5" customHeight="1" x14ac:dyDescent="0.25">
      <c r="B19" s="767">
        <f t="shared" si="1"/>
        <v>13</v>
      </c>
      <c r="C19" s="768"/>
      <c r="D19" s="763"/>
      <c r="E19" s="769"/>
      <c r="F19" s="769"/>
      <c r="G19" s="769"/>
      <c r="H19" s="769"/>
      <c r="I19" s="769"/>
      <c r="J19" s="769"/>
      <c r="K19" s="769"/>
      <c r="L19" s="769"/>
      <c r="M19" s="769"/>
      <c r="N19" s="769"/>
      <c r="O19" s="769"/>
      <c r="P19" s="769"/>
      <c r="Q19" s="769"/>
      <c r="R19" s="769"/>
      <c r="S19" s="769"/>
      <c r="T19" s="769"/>
      <c r="U19" s="769"/>
      <c r="V19" s="769"/>
      <c r="W19" s="769"/>
      <c r="X19" s="769"/>
      <c r="Y19" s="769"/>
      <c r="Z19" s="769"/>
      <c r="AA19" s="769"/>
      <c r="AB19" s="769"/>
      <c r="AC19" s="769"/>
      <c r="AD19" s="769"/>
      <c r="AE19" s="769"/>
      <c r="AF19" s="769"/>
      <c r="AG19" s="769"/>
      <c r="AH19" s="769"/>
      <c r="AI19" s="769"/>
      <c r="AJ19" s="770">
        <f>COUNTIF(EtatPresence[[#This Row],[jour 1]:[jour 31]],"Abs")</f>
        <v>0</v>
      </c>
      <c r="AK19" s="770">
        <f>COUNTIF(EtatPresence[[#This Row],[jour 1]:[jour 31]],"NJ")</f>
        <v>0</v>
      </c>
      <c r="AL19" s="770">
        <f>COUNTIF(EtatPresence[[#This Row],[jour 1]:[jour 31]],"S")</f>
        <v>0</v>
      </c>
      <c r="AM19" s="770">
        <f>COUNTIF(EtatPresence[[#This Row],[jour 1]:[jour 31]],"MP")</f>
        <v>0</v>
      </c>
      <c r="AN19" s="770">
        <f>COUNTIF(EtatPresence[[#This Row],[jour 1]:[jour 31]],Code4)</f>
        <v>0</v>
      </c>
      <c r="AO19" s="770">
        <f>COUNTIF(EtatPresence[[#This Row],[jour 1]:[jour 31]],"RP")</f>
        <v>0</v>
      </c>
      <c r="AP19" s="770">
        <f>COUNTIF(EtatPresence[[#This Row],[jour 1]:[jour 31]],"Rt")</f>
        <v>0</v>
      </c>
      <c r="AQ19" s="770">
        <f>COUNTIF(EtatPresence[[#This Row],[jour 1]:[jour 31]],"Congé")</f>
        <v>0</v>
      </c>
      <c r="AR19" s="771">
        <f>SUM(EtatPresence[[#This Row],[Abs. ]:[Mises a pied]])</f>
        <v>0</v>
      </c>
      <c r="AS19" s="776"/>
    </row>
    <row r="20" spans="2:45" ht="16.5" customHeight="1" x14ac:dyDescent="0.25">
      <c r="B20" s="767">
        <f t="shared" si="1"/>
        <v>14</v>
      </c>
      <c r="C20" s="768"/>
      <c r="D20" s="763"/>
      <c r="E20" s="769"/>
      <c r="F20" s="769"/>
      <c r="G20" s="769"/>
      <c r="H20" s="769"/>
      <c r="I20" s="769"/>
      <c r="J20" s="769"/>
      <c r="K20" s="769"/>
      <c r="L20" s="769"/>
      <c r="M20" s="769"/>
      <c r="N20" s="769"/>
      <c r="O20" s="769"/>
      <c r="P20" s="769"/>
      <c r="Q20" s="769"/>
      <c r="R20" s="769"/>
      <c r="S20" s="769"/>
      <c r="T20" s="769"/>
      <c r="U20" s="769"/>
      <c r="V20" s="769"/>
      <c r="W20" s="769"/>
      <c r="X20" s="769"/>
      <c r="Y20" s="769"/>
      <c r="Z20" s="769"/>
      <c r="AA20" s="769"/>
      <c r="AB20" s="769"/>
      <c r="AC20" s="769"/>
      <c r="AD20" s="769"/>
      <c r="AE20" s="769"/>
      <c r="AF20" s="769"/>
      <c r="AG20" s="769"/>
      <c r="AH20" s="769"/>
      <c r="AI20" s="769"/>
      <c r="AJ20" s="770">
        <f>COUNTIF(EtatPresence[[#This Row],[jour 1]:[jour 31]],"Abs")</f>
        <v>0</v>
      </c>
      <c r="AK20" s="770">
        <f>COUNTIF(EtatPresence[[#This Row],[jour 1]:[jour 31]],"NJ")</f>
        <v>0</v>
      </c>
      <c r="AL20" s="770">
        <f>COUNTIF(EtatPresence[[#This Row],[jour 1]:[jour 31]],"S")</f>
        <v>0</v>
      </c>
      <c r="AM20" s="770">
        <f>COUNTIF(EtatPresence[[#This Row],[jour 1]:[jour 31]],"MP")</f>
        <v>0</v>
      </c>
      <c r="AN20" s="770">
        <f>COUNTIF(EtatPresence[[#This Row],[jour 1]:[jour 31]],Code4)</f>
        <v>0</v>
      </c>
      <c r="AO20" s="770">
        <f>COUNTIF(EtatPresence[[#This Row],[jour 1]:[jour 31]],"RP")</f>
        <v>0</v>
      </c>
      <c r="AP20" s="770">
        <f>COUNTIF(EtatPresence[[#This Row],[jour 1]:[jour 31]],"Rt")</f>
        <v>0</v>
      </c>
      <c r="AQ20" s="770">
        <f>COUNTIF(EtatPresence[[#This Row],[jour 1]:[jour 31]],"Congé")</f>
        <v>0</v>
      </c>
      <c r="AR20" s="771">
        <f>SUM(EtatPresence[[#This Row],[Abs. ]:[Mises a pied]])</f>
        <v>0</v>
      </c>
      <c r="AS20" s="776"/>
    </row>
    <row r="21" spans="2:45" ht="16.5" customHeight="1" x14ac:dyDescent="0.25">
      <c r="B21" s="767">
        <f t="shared" si="1"/>
        <v>15</v>
      </c>
      <c r="C21" s="768"/>
      <c r="D21" s="763"/>
      <c r="E21" s="769"/>
      <c r="F21" s="769"/>
      <c r="G21" s="769"/>
      <c r="H21" s="769"/>
      <c r="I21" s="769"/>
      <c r="J21" s="769"/>
      <c r="K21" s="769"/>
      <c r="L21" s="769"/>
      <c r="M21" s="769"/>
      <c r="N21" s="769"/>
      <c r="O21" s="769"/>
      <c r="P21" s="769"/>
      <c r="Q21" s="769"/>
      <c r="R21" s="769"/>
      <c r="S21" s="769"/>
      <c r="T21" s="769"/>
      <c r="U21" s="769"/>
      <c r="V21" s="769"/>
      <c r="W21" s="769"/>
      <c r="X21" s="769"/>
      <c r="Y21" s="769"/>
      <c r="Z21" s="769"/>
      <c r="AA21" s="769"/>
      <c r="AB21" s="769"/>
      <c r="AC21" s="769"/>
      <c r="AD21" s="769"/>
      <c r="AE21" s="769"/>
      <c r="AF21" s="769"/>
      <c r="AG21" s="769"/>
      <c r="AH21" s="769"/>
      <c r="AI21" s="769"/>
      <c r="AJ21" s="770">
        <f>COUNTIF(EtatPresence[[#This Row],[jour 1]:[jour 31]],"Abs")</f>
        <v>0</v>
      </c>
      <c r="AK21" s="770">
        <f>COUNTIF(EtatPresence[[#This Row],[jour 1]:[jour 31]],"NJ")</f>
        <v>0</v>
      </c>
      <c r="AL21" s="770">
        <f>COUNTIF(EtatPresence[[#This Row],[jour 1]:[jour 31]],"S")</f>
        <v>0</v>
      </c>
      <c r="AM21" s="770">
        <f>COUNTIF(EtatPresence[[#This Row],[jour 1]:[jour 31]],"MP")</f>
        <v>0</v>
      </c>
      <c r="AN21" s="770">
        <f>COUNTIF(EtatPresence[[#This Row],[jour 1]:[jour 31]],Code4)</f>
        <v>0</v>
      </c>
      <c r="AO21" s="770">
        <f>COUNTIF(EtatPresence[[#This Row],[jour 1]:[jour 31]],"RP")</f>
        <v>0</v>
      </c>
      <c r="AP21" s="770">
        <f>COUNTIF(EtatPresence[[#This Row],[jour 1]:[jour 31]],"Rt")</f>
        <v>0</v>
      </c>
      <c r="AQ21" s="770">
        <f>COUNTIF(EtatPresence[[#This Row],[jour 1]:[jour 31]],"Congé")</f>
        <v>0</v>
      </c>
      <c r="AR21" s="771">
        <f>SUM(EtatPresence[[#This Row],[Abs. ]:[Mises a pied]])</f>
        <v>0</v>
      </c>
      <c r="AS21" s="776"/>
    </row>
    <row r="22" spans="2:45" ht="16.5" customHeight="1" x14ac:dyDescent="0.25">
      <c r="B22" s="767">
        <f t="shared" si="1"/>
        <v>16</v>
      </c>
      <c r="C22" s="768"/>
      <c r="D22" s="763"/>
      <c r="E22" s="769"/>
      <c r="F22" s="769"/>
      <c r="G22" s="769"/>
      <c r="H22" s="769"/>
      <c r="I22" s="769"/>
      <c r="J22" s="769"/>
      <c r="K22" s="769"/>
      <c r="L22" s="769"/>
      <c r="M22" s="769"/>
      <c r="N22" s="769"/>
      <c r="O22" s="769"/>
      <c r="P22" s="769"/>
      <c r="Q22" s="769"/>
      <c r="R22" s="769"/>
      <c r="S22" s="769"/>
      <c r="T22" s="769"/>
      <c r="U22" s="769"/>
      <c r="V22" s="769"/>
      <c r="W22" s="769"/>
      <c r="X22" s="769"/>
      <c r="Y22" s="769"/>
      <c r="Z22" s="769"/>
      <c r="AA22" s="769"/>
      <c r="AB22" s="769"/>
      <c r="AC22" s="769"/>
      <c r="AD22" s="769"/>
      <c r="AE22" s="769"/>
      <c r="AF22" s="769"/>
      <c r="AG22" s="769"/>
      <c r="AH22" s="769"/>
      <c r="AI22" s="769"/>
      <c r="AJ22" s="770">
        <f>COUNTIF(EtatPresence[[#This Row],[jour 1]:[jour 31]],"Abs")</f>
        <v>0</v>
      </c>
      <c r="AK22" s="770">
        <f>COUNTIF(EtatPresence[[#This Row],[jour 1]:[jour 31]],"NJ")</f>
        <v>0</v>
      </c>
      <c r="AL22" s="770">
        <f>COUNTIF(EtatPresence[[#This Row],[jour 1]:[jour 31]],"S")</f>
        <v>0</v>
      </c>
      <c r="AM22" s="770">
        <f>COUNTIF(EtatPresence[[#This Row],[jour 1]:[jour 31]],"MP")</f>
        <v>0</v>
      </c>
      <c r="AN22" s="770">
        <f>COUNTIF(EtatPresence[[#This Row],[jour 1]:[jour 31]],Code4)</f>
        <v>0</v>
      </c>
      <c r="AO22" s="770">
        <f>COUNTIF(EtatPresence[[#This Row],[jour 1]:[jour 31]],"RP")</f>
        <v>0</v>
      </c>
      <c r="AP22" s="770">
        <f>COUNTIF(EtatPresence[[#This Row],[jour 1]:[jour 31]],"Rt")</f>
        <v>0</v>
      </c>
      <c r="AQ22" s="770">
        <f>COUNTIF(EtatPresence[[#This Row],[jour 1]:[jour 31]],"Congé")</f>
        <v>0</v>
      </c>
      <c r="AR22" s="771">
        <f>SUM(EtatPresence[[#This Row],[Abs. ]:[Mises a pied]])</f>
        <v>0</v>
      </c>
      <c r="AS22" s="776"/>
    </row>
    <row r="23" spans="2:45" ht="16.5" customHeight="1" x14ac:dyDescent="0.25">
      <c r="B23" s="767">
        <f t="shared" si="1"/>
        <v>17</v>
      </c>
      <c r="C23" s="768"/>
      <c r="D23" s="763"/>
      <c r="E23" s="769"/>
      <c r="F23" s="769"/>
      <c r="G23" s="769"/>
      <c r="H23" s="769"/>
      <c r="I23" s="769"/>
      <c r="J23" s="769"/>
      <c r="K23" s="769"/>
      <c r="L23" s="769"/>
      <c r="M23" s="769"/>
      <c r="N23" s="769"/>
      <c r="O23" s="769"/>
      <c r="P23" s="769"/>
      <c r="Q23" s="769"/>
      <c r="R23" s="769"/>
      <c r="S23" s="769"/>
      <c r="T23" s="769"/>
      <c r="U23" s="769"/>
      <c r="V23" s="769"/>
      <c r="W23" s="769"/>
      <c r="X23" s="769"/>
      <c r="Y23" s="769"/>
      <c r="Z23" s="769"/>
      <c r="AA23" s="769"/>
      <c r="AB23" s="769"/>
      <c r="AC23" s="769"/>
      <c r="AD23" s="769"/>
      <c r="AE23" s="769"/>
      <c r="AF23" s="769"/>
      <c r="AG23" s="769"/>
      <c r="AH23" s="769"/>
      <c r="AI23" s="769"/>
      <c r="AJ23" s="770">
        <f>COUNTIF(EtatPresence[[#This Row],[jour 1]:[jour 31]],"Abs")</f>
        <v>0</v>
      </c>
      <c r="AK23" s="770">
        <f>COUNTIF(EtatPresence[[#This Row],[jour 1]:[jour 31]],"NJ")</f>
        <v>0</v>
      </c>
      <c r="AL23" s="770">
        <f>COUNTIF(EtatPresence[[#This Row],[jour 1]:[jour 31]],"S")</f>
        <v>0</v>
      </c>
      <c r="AM23" s="770">
        <f>COUNTIF(EtatPresence[[#This Row],[jour 1]:[jour 31]],"MP")</f>
        <v>0</v>
      </c>
      <c r="AN23" s="770">
        <f>COUNTIF(EtatPresence[[#This Row],[jour 1]:[jour 31]],Code4)</f>
        <v>0</v>
      </c>
      <c r="AO23" s="770">
        <f>COUNTIF(EtatPresence[[#This Row],[jour 1]:[jour 31]],"RP")</f>
        <v>0</v>
      </c>
      <c r="AP23" s="770">
        <f>COUNTIF(EtatPresence[[#This Row],[jour 1]:[jour 31]],"Rt")</f>
        <v>0</v>
      </c>
      <c r="AQ23" s="770">
        <f>COUNTIF(EtatPresence[[#This Row],[jour 1]:[jour 31]],"Congé")</f>
        <v>0</v>
      </c>
      <c r="AR23" s="771">
        <f>SUM(EtatPresence[[#This Row],[Abs. ]:[Mises a pied]])</f>
        <v>0</v>
      </c>
      <c r="AS23" s="776"/>
    </row>
    <row r="24" spans="2:45" ht="16.5" customHeight="1" x14ac:dyDescent="0.25">
      <c r="B24" s="767">
        <f>B23+1</f>
        <v>18</v>
      </c>
      <c r="C24" s="768"/>
      <c r="D24" s="763"/>
      <c r="E24" s="769"/>
      <c r="F24" s="769"/>
      <c r="G24" s="769"/>
      <c r="H24" s="769"/>
      <c r="I24" s="769"/>
      <c r="J24" s="769"/>
      <c r="K24" s="769"/>
      <c r="L24" s="769"/>
      <c r="M24" s="769"/>
      <c r="N24" s="769"/>
      <c r="O24" s="769"/>
      <c r="P24" s="769"/>
      <c r="Q24" s="769"/>
      <c r="R24" s="769"/>
      <c r="S24" s="769"/>
      <c r="T24" s="769"/>
      <c r="U24" s="769"/>
      <c r="V24" s="769"/>
      <c r="W24" s="769"/>
      <c r="X24" s="769"/>
      <c r="Y24" s="769"/>
      <c r="Z24" s="769"/>
      <c r="AA24" s="769"/>
      <c r="AB24" s="769"/>
      <c r="AC24" s="769"/>
      <c r="AD24" s="769"/>
      <c r="AE24" s="769"/>
      <c r="AF24" s="769"/>
      <c r="AG24" s="769"/>
      <c r="AH24" s="769"/>
      <c r="AI24" s="769"/>
      <c r="AJ24" s="770">
        <f>COUNTIF(EtatPresence[[#This Row],[jour 1]:[jour 31]],"Abs")</f>
        <v>0</v>
      </c>
      <c r="AK24" s="770">
        <f>COUNTIF(EtatPresence[[#This Row],[jour 1]:[jour 31]],"NJ")</f>
        <v>0</v>
      </c>
      <c r="AL24" s="770">
        <f>COUNTIF(EtatPresence[[#This Row],[jour 1]:[jour 31]],"S")</f>
        <v>0</v>
      </c>
      <c r="AM24" s="770">
        <f>COUNTIF(EtatPresence[[#This Row],[jour 1]:[jour 31]],"MP")</f>
        <v>0</v>
      </c>
      <c r="AN24" s="770">
        <f>COUNTIF(EtatPresence[[#This Row],[jour 1]:[jour 31]],Code4)</f>
        <v>0</v>
      </c>
      <c r="AO24" s="770">
        <f>COUNTIF(EtatPresence[[#This Row],[jour 1]:[jour 31]],"RP")</f>
        <v>0</v>
      </c>
      <c r="AP24" s="770">
        <f>COUNTIF(EtatPresence[[#This Row],[jour 1]:[jour 31]],"Rt")</f>
        <v>0</v>
      </c>
      <c r="AQ24" s="770">
        <f>COUNTIF(EtatPresence[[#This Row],[jour 1]:[jour 31]],"Congé")</f>
        <v>0</v>
      </c>
      <c r="AR24" s="771">
        <f>SUM(EtatPresence[[#This Row],[Abs. ]:[Mises a pied]])</f>
        <v>0</v>
      </c>
      <c r="AS24" s="776"/>
    </row>
    <row r="25" spans="2:45" ht="16.5" customHeight="1" x14ac:dyDescent="0.25">
      <c r="B25" s="767">
        <f>B24+1</f>
        <v>19</v>
      </c>
      <c r="C25" s="768"/>
      <c r="D25" s="763"/>
      <c r="E25" s="769"/>
      <c r="F25" s="769"/>
      <c r="G25" s="769"/>
      <c r="H25" s="769"/>
      <c r="I25" s="769"/>
      <c r="J25" s="769"/>
      <c r="K25" s="769"/>
      <c r="L25" s="769"/>
      <c r="M25" s="769"/>
      <c r="N25" s="769"/>
      <c r="O25" s="769"/>
      <c r="P25" s="769"/>
      <c r="Q25" s="769"/>
      <c r="R25" s="769"/>
      <c r="S25" s="769"/>
      <c r="T25" s="769"/>
      <c r="U25" s="769"/>
      <c r="V25" s="769"/>
      <c r="W25" s="769"/>
      <c r="X25" s="769"/>
      <c r="Y25" s="769"/>
      <c r="Z25" s="769"/>
      <c r="AA25" s="769"/>
      <c r="AB25" s="769"/>
      <c r="AC25" s="769"/>
      <c r="AD25" s="769"/>
      <c r="AE25" s="769"/>
      <c r="AF25" s="769"/>
      <c r="AG25" s="769"/>
      <c r="AH25" s="769"/>
      <c r="AI25" s="769"/>
      <c r="AJ25" s="770">
        <f>COUNTIF(EtatPresence[[#This Row],[jour 1]:[jour 31]],"Abs")</f>
        <v>0</v>
      </c>
      <c r="AK25" s="770">
        <f>COUNTIF(EtatPresence[[#This Row],[jour 1]:[jour 31]],"NJ")</f>
        <v>0</v>
      </c>
      <c r="AL25" s="770">
        <f>COUNTIF(EtatPresence[[#This Row],[jour 1]:[jour 31]],"S")</f>
        <v>0</v>
      </c>
      <c r="AM25" s="770">
        <f>COUNTIF(EtatPresence[[#This Row],[jour 1]:[jour 31]],"MP")</f>
        <v>0</v>
      </c>
      <c r="AN25" s="770">
        <f>COUNTIF(EtatPresence[[#This Row],[jour 1]:[jour 31]],Code4)</f>
        <v>0</v>
      </c>
      <c r="AO25" s="770">
        <f>COUNTIF(EtatPresence[[#This Row],[jour 1]:[jour 31]],"RP")</f>
        <v>0</v>
      </c>
      <c r="AP25" s="770">
        <f>COUNTIF(EtatPresence[[#This Row],[jour 1]:[jour 31]],"Rt")</f>
        <v>0</v>
      </c>
      <c r="AQ25" s="770">
        <f>COUNTIF(EtatPresence[[#This Row],[jour 1]:[jour 31]],"Congé")</f>
        <v>0</v>
      </c>
      <c r="AR25" s="771">
        <f>SUM(EtatPresence[[#This Row],[Abs. ]:[Mises a pied]])</f>
        <v>0</v>
      </c>
      <c r="AS25" s="776"/>
    </row>
    <row r="26" spans="2:45" ht="16.5" customHeight="1" x14ac:dyDescent="0.25">
      <c r="B26" s="767">
        <f t="shared" si="1"/>
        <v>20</v>
      </c>
      <c r="C26" s="768"/>
      <c r="D26" s="763"/>
      <c r="E26" s="769"/>
      <c r="F26" s="769"/>
      <c r="G26" s="769"/>
      <c r="H26" s="769"/>
      <c r="I26" s="769"/>
      <c r="J26" s="769"/>
      <c r="K26" s="769"/>
      <c r="L26" s="769"/>
      <c r="M26" s="769"/>
      <c r="N26" s="769"/>
      <c r="O26" s="769"/>
      <c r="P26" s="769"/>
      <c r="Q26" s="769"/>
      <c r="R26" s="769"/>
      <c r="S26" s="769"/>
      <c r="T26" s="769"/>
      <c r="U26" s="769"/>
      <c r="V26" s="769"/>
      <c r="W26" s="769"/>
      <c r="X26" s="769"/>
      <c r="Y26" s="769"/>
      <c r="Z26" s="769"/>
      <c r="AA26" s="769"/>
      <c r="AB26" s="769"/>
      <c r="AC26" s="769"/>
      <c r="AD26" s="769"/>
      <c r="AE26" s="769"/>
      <c r="AF26" s="769"/>
      <c r="AG26" s="769"/>
      <c r="AH26" s="769"/>
      <c r="AI26" s="769"/>
      <c r="AJ26" s="770">
        <f>COUNTIF(EtatPresence[[#This Row],[jour 1]:[jour 31]],"Abs")</f>
        <v>0</v>
      </c>
      <c r="AK26" s="770">
        <f>COUNTIF(EtatPresence[[#This Row],[jour 1]:[jour 31]],"NJ")</f>
        <v>0</v>
      </c>
      <c r="AL26" s="770">
        <f>COUNTIF(EtatPresence[[#This Row],[jour 1]:[jour 31]],"S")</f>
        <v>0</v>
      </c>
      <c r="AM26" s="770">
        <f>COUNTIF(EtatPresence[[#This Row],[jour 1]:[jour 31]],"MP")</f>
        <v>0</v>
      </c>
      <c r="AN26" s="770">
        <f>COUNTIF(EtatPresence[[#This Row],[jour 1]:[jour 31]],Code4)</f>
        <v>0</v>
      </c>
      <c r="AO26" s="770">
        <f>COUNTIF(EtatPresence[[#This Row],[jour 1]:[jour 31]],"RP")</f>
        <v>0</v>
      </c>
      <c r="AP26" s="770">
        <f>COUNTIF(EtatPresence[[#This Row],[jour 1]:[jour 31]],"Rt")</f>
        <v>0</v>
      </c>
      <c r="AQ26" s="770">
        <f>COUNTIF(EtatPresence[[#This Row],[jour 1]:[jour 31]],"Congé")</f>
        <v>0</v>
      </c>
      <c r="AR26" s="771">
        <f>SUM(EtatPresence[[#This Row],[Abs. ]:[Mises a pied]])</f>
        <v>0</v>
      </c>
      <c r="AS26" s="776"/>
    </row>
    <row r="27" spans="2:45" ht="16.5" customHeight="1" x14ac:dyDescent="0.25">
      <c r="B27" s="767">
        <f t="shared" si="1"/>
        <v>21</v>
      </c>
      <c r="C27" s="768"/>
      <c r="D27" s="763"/>
      <c r="E27" s="769"/>
      <c r="F27" s="769"/>
      <c r="G27" s="769"/>
      <c r="H27" s="769"/>
      <c r="I27" s="769"/>
      <c r="J27" s="769"/>
      <c r="K27" s="769"/>
      <c r="L27" s="769"/>
      <c r="M27" s="769"/>
      <c r="N27" s="769"/>
      <c r="O27" s="769"/>
      <c r="P27" s="769"/>
      <c r="Q27" s="769"/>
      <c r="R27" s="769"/>
      <c r="S27" s="769"/>
      <c r="T27" s="769"/>
      <c r="U27" s="769"/>
      <c r="V27" s="769"/>
      <c r="W27" s="769"/>
      <c r="X27" s="769"/>
      <c r="Y27" s="769"/>
      <c r="Z27" s="769"/>
      <c r="AA27" s="769"/>
      <c r="AB27" s="769"/>
      <c r="AC27" s="769"/>
      <c r="AD27" s="769"/>
      <c r="AE27" s="769"/>
      <c r="AF27" s="769"/>
      <c r="AG27" s="769"/>
      <c r="AH27" s="769"/>
      <c r="AI27" s="769"/>
      <c r="AJ27" s="770">
        <f>COUNTIF(EtatPresence[[#This Row],[jour 1]:[jour 31]],"Abs")</f>
        <v>0</v>
      </c>
      <c r="AK27" s="770">
        <f>COUNTIF(EtatPresence[[#This Row],[jour 1]:[jour 31]],"NJ")</f>
        <v>0</v>
      </c>
      <c r="AL27" s="770">
        <f>COUNTIF(EtatPresence[[#This Row],[jour 1]:[jour 31]],"S")</f>
        <v>0</v>
      </c>
      <c r="AM27" s="770">
        <f>COUNTIF(EtatPresence[[#This Row],[jour 1]:[jour 31]],"MP")</f>
        <v>0</v>
      </c>
      <c r="AN27" s="770">
        <f>COUNTIF(EtatPresence[[#This Row],[jour 1]:[jour 31]],Code4)</f>
        <v>0</v>
      </c>
      <c r="AO27" s="770">
        <f>COUNTIF(EtatPresence[[#This Row],[jour 1]:[jour 31]],"RP")</f>
        <v>0</v>
      </c>
      <c r="AP27" s="770">
        <f>COUNTIF(EtatPresence[[#This Row],[jour 1]:[jour 31]],"Rt")</f>
        <v>0</v>
      </c>
      <c r="AQ27" s="770">
        <f>COUNTIF(EtatPresence[[#This Row],[jour 1]:[jour 31]],"Congé")</f>
        <v>0</v>
      </c>
      <c r="AR27" s="771">
        <f>SUM(EtatPresence[[#This Row],[Abs. ]:[Mises a pied]])</f>
        <v>0</v>
      </c>
      <c r="AS27" s="776"/>
    </row>
    <row r="28" spans="2:45" ht="16.5" customHeight="1" x14ac:dyDescent="0.25">
      <c r="B28" s="767">
        <f t="shared" si="1"/>
        <v>22</v>
      </c>
      <c r="C28" s="768"/>
      <c r="D28" s="763"/>
      <c r="E28" s="769"/>
      <c r="F28" s="769"/>
      <c r="G28" s="769"/>
      <c r="H28" s="769"/>
      <c r="I28" s="769"/>
      <c r="J28" s="769"/>
      <c r="K28" s="769"/>
      <c r="L28" s="769"/>
      <c r="M28" s="769"/>
      <c r="N28" s="769"/>
      <c r="O28" s="769"/>
      <c r="P28" s="769"/>
      <c r="Q28" s="769"/>
      <c r="R28" s="769"/>
      <c r="S28" s="769"/>
      <c r="T28" s="769"/>
      <c r="U28" s="769"/>
      <c r="V28" s="769"/>
      <c r="W28" s="769"/>
      <c r="X28" s="769"/>
      <c r="Y28" s="769"/>
      <c r="Z28" s="769"/>
      <c r="AA28" s="769"/>
      <c r="AB28" s="769"/>
      <c r="AC28" s="769"/>
      <c r="AD28" s="769"/>
      <c r="AE28" s="769"/>
      <c r="AF28" s="769"/>
      <c r="AG28" s="769"/>
      <c r="AH28" s="769"/>
      <c r="AI28" s="769"/>
      <c r="AJ28" s="770">
        <f>COUNTIF(EtatPresence[[#This Row],[jour 1]:[jour 31]],"Abs")</f>
        <v>0</v>
      </c>
      <c r="AK28" s="770">
        <f>COUNTIF(EtatPresence[[#This Row],[jour 1]:[jour 31]],"NJ")</f>
        <v>0</v>
      </c>
      <c r="AL28" s="770">
        <f>COUNTIF(EtatPresence[[#This Row],[jour 1]:[jour 31]],"S")</f>
        <v>0</v>
      </c>
      <c r="AM28" s="770">
        <f>COUNTIF(EtatPresence[[#This Row],[jour 1]:[jour 31]],"MP")</f>
        <v>0</v>
      </c>
      <c r="AN28" s="770">
        <f>COUNTIF(EtatPresence[[#This Row],[jour 1]:[jour 31]],Code4)</f>
        <v>0</v>
      </c>
      <c r="AO28" s="770">
        <f>COUNTIF(EtatPresence[[#This Row],[jour 1]:[jour 31]],"RP")</f>
        <v>0</v>
      </c>
      <c r="AP28" s="770">
        <f>COUNTIF(EtatPresence[[#This Row],[jour 1]:[jour 31]],"Rt")</f>
        <v>0</v>
      </c>
      <c r="AQ28" s="770">
        <f>COUNTIF(EtatPresence[[#This Row],[jour 1]:[jour 31]],"Congé")</f>
        <v>0</v>
      </c>
      <c r="AR28" s="771">
        <f>SUM(EtatPresence[[#This Row],[Abs. ]:[Mises a pied]])</f>
        <v>0</v>
      </c>
      <c r="AS28" s="776"/>
    </row>
    <row r="29" spans="2:45" ht="16.5" customHeight="1" x14ac:dyDescent="0.25">
      <c r="B29" s="767">
        <f t="shared" si="1"/>
        <v>23</v>
      </c>
      <c r="C29" s="768"/>
      <c r="D29" s="763"/>
      <c r="E29" s="769"/>
      <c r="F29" s="769"/>
      <c r="G29" s="769"/>
      <c r="H29" s="769"/>
      <c r="I29" s="769"/>
      <c r="J29" s="769"/>
      <c r="K29" s="769"/>
      <c r="L29" s="769"/>
      <c r="M29" s="769"/>
      <c r="N29" s="769"/>
      <c r="O29" s="769"/>
      <c r="P29" s="769"/>
      <c r="Q29" s="769"/>
      <c r="R29" s="769"/>
      <c r="S29" s="769"/>
      <c r="T29" s="769"/>
      <c r="U29" s="769"/>
      <c r="V29" s="769"/>
      <c r="W29" s="769"/>
      <c r="X29" s="769"/>
      <c r="Y29" s="769"/>
      <c r="Z29" s="769"/>
      <c r="AA29" s="769"/>
      <c r="AB29" s="769"/>
      <c r="AC29" s="769"/>
      <c r="AD29" s="769"/>
      <c r="AE29" s="769"/>
      <c r="AF29" s="769"/>
      <c r="AG29" s="769"/>
      <c r="AH29" s="769"/>
      <c r="AI29" s="769"/>
      <c r="AJ29" s="770">
        <f>COUNTIF(EtatPresence[[#This Row],[jour 1]:[jour 31]],"Abs")</f>
        <v>0</v>
      </c>
      <c r="AK29" s="770">
        <f>COUNTIF(EtatPresence[[#This Row],[jour 1]:[jour 31]],"NJ")</f>
        <v>0</v>
      </c>
      <c r="AL29" s="770">
        <f>COUNTIF(EtatPresence[[#This Row],[jour 1]:[jour 31]],"S")</f>
        <v>0</v>
      </c>
      <c r="AM29" s="770">
        <f>COUNTIF(EtatPresence[[#This Row],[jour 1]:[jour 31]],"MP")</f>
        <v>0</v>
      </c>
      <c r="AN29" s="770">
        <f>COUNTIF(EtatPresence[[#This Row],[jour 1]:[jour 31]],Code4)</f>
        <v>0</v>
      </c>
      <c r="AO29" s="770">
        <f>COUNTIF(EtatPresence[[#This Row],[jour 1]:[jour 31]],"RP")</f>
        <v>0</v>
      </c>
      <c r="AP29" s="770">
        <f>COUNTIF(EtatPresence[[#This Row],[jour 1]:[jour 31]],"Rt")</f>
        <v>0</v>
      </c>
      <c r="AQ29" s="770">
        <f>COUNTIF(EtatPresence[[#This Row],[jour 1]:[jour 31]],"Congé")</f>
        <v>0</v>
      </c>
      <c r="AR29" s="771">
        <f>SUM(EtatPresence[[#This Row],[Abs. ]:[Mises a pied]])</f>
        <v>0</v>
      </c>
      <c r="AS29" s="776"/>
    </row>
    <row r="30" spans="2:45" ht="16.5" customHeight="1" x14ac:dyDescent="0.25">
      <c r="B30" s="777"/>
      <c r="C30" s="778"/>
      <c r="D30" s="778"/>
      <c r="E30" s="779">
        <f>COUNTIF(EtatPresence[jour 1],"NJ")+COUNTIF(EtatPresence[jour 1],"S")+COUNTIF(EtatPresence[jour 1],"J")</f>
        <v>1</v>
      </c>
      <c r="F30" s="779">
        <f>COUNTIF(EtatPresence[jour 2],"N1")+COUNTIF(EtatPresence[jour 2],"E")</f>
        <v>0</v>
      </c>
      <c r="G30" s="779">
        <f>COUNTIF(EtatPresence[jour 3],"N1")+COUNTIF(EtatPresence[jour 3],"E")</f>
        <v>0</v>
      </c>
      <c r="H30" s="779">
        <f>COUNTIF(EtatPresence[jour 4],"N1")+COUNTIF(EtatPresence[jour 4],"E")</f>
        <v>0</v>
      </c>
      <c r="I30" s="779">
        <f>COUNTIF(EtatPresence[jour 5],"N1")+COUNTIF(EtatPresence[jour 5],"E")</f>
        <v>0</v>
      </c>
      <c r="J30" s="779">
        <f>COUNTIF(EtatPresence[jour 6],"N1")+COUNTIF(EtatPresence[jour 6],"E")</f>
        <v>0</v>
      </c>
      <c r="K30" s="779">
        <f>COUNTIF(EtatPresence[jour 7],"N1")+COUNTIF(EtatPresence[jour 7],"E")</f>
        <v>0</v>
      </c>
      <c r="L30" s="779">
        <f>COUNTIF(EtatPresence[jour 8],"N1")+COUNTIF(EtatPresence[jour 8],"E")</f>
        <v>0</v>
      </c>
      <c r="M30" s="779">
        <f>COUNTIF(EtatPresence[jour 9],"N1")+COUNTIF(EtatPresence[jour 9],"E")</f>
        <v>0</v>
      </c>
      <c r="N30" s="779">
        <f>COUNTIF(EtatPresence[jour 10],"N1")+COUNTIF(EtatPresence[jour 10],"E")</f>
        <v>0</v>
      </c>
      <c r="O30" s="779">
        <f>COUNTIF(EtatPresence[jour 11],"N1")+COUNTIF(EtatPresence[jour 11],"E")</f>
        <v>0</v>
      </c>
      <c r="P30" s="779">
        <f>COUNTIF(EtatPresence[jour 12],"N1")+COUNTIF(EtatPresence[jour 12],"E")</f>
        <v>0</v>
      </c>
      <c r="Q30" s="779">
        <f>SUBTOTAL(109,EtatPresence[jour 13])</f>
        <v>0</v>
      </c>
      <c r="R30" s="779">
        <f>COUNTIF(EtatPresence[jour 14],"N1")+COUNTIF(EtatPresence[jour 14],"E")</f>
        <v>0</v>
      </c>
      <c r="S30" s="779">
        <f>COUNTIF(EtatPresence[jour 15],"N1")+COUNTIF(EtatPresence[jour 15],"E")</f>
        <v>0</v>
      </c>
      <c r="T30" s="779">
        <f>COUNTIF(EtatPresence[jour 16],"N1")+COUNTIF(EtatPresence[jour 16],"E")</f>
        <v>0</v>
      </c>
      <c r="U30" s="779">
        <f>COUNTIF(EtatPresence[jour 17],"N1")+COUNTIF(EtatPresence[jour 17],"E")</f>
        <v>0</v>
      </c>
      <c r="V30" s="779">
        <f>COUNTIF(EtatPresence[jour 18],"N1")+COUNTIF(EtatPresence[jour 18],"E")</f>
        <v>0</v>
      </c>
      <c r="W30" s="779">
        <f>COUNTIF(EtatPresence[jour 19],"N1")+COUNTIF(EtatPresence[jour 19],"E")</f>
        <v>0</v>
      </c>
      <c r="X30" s="779">
        <f>COUNTIF(EtatPresence[jour 20],"N1")+COUNTIF(EtatPresence[jour 20],"E")</f>
        <v>0</v>
      </c>
      <c r="Y30" s="779">
        <f>COUNTIF(EtatPresence[jour 21],"N1")+COUNTIF(EtatPresence[jour 21],"E")</f>
        <v>0</v>
      </c>
      <c r="Z30" s="779">
        <f>COUNTIF(EtatPresence[jour 22],"N1")+COUNTIF(EtatPresence[jour 22],"E")</f>
        <v>0</v>
      </c>
      <c r="AA30" s="779">
        <f>COUNTIF(EtatPresence[jour 23],"N1")+COUNTIF(EtatPresence[jour 23],"E")</f>
        <v>0</v>
      </c>
      <c r="AB30" s="779">
        <f>COUNTIF(EtatPresence[jour 24],"N1")+COUNTIF(EtatPresence[jour 24],"E")</f>
        <v>0</v>
      </c>
      <c r="AC30" s="779">
        <f>COUNTIF(EtatPresence[jour 25],"N1")+COUNTIF(EtatPresence[jour 25],"E")</f>
        <v>0</v>
      </c>
      <c r="AD30" s="779">
        <f>COUNTIF(EtatPresence[jour 26],"N1")+COUNTIF(EtatPresence[jour 26],"E")</f>
        <v>0</v>
      </c>
      <c r="AE30" s="779">
        <f>COUNTIF(EtatPresence[jour 27],"N1")+COUNTIF(EtatPresence[jour 27],"E")</f>
        <v>0</v>
      </c>
      <c r="AF30" s="779">
        <f>COUNTIF(EtatPresence[jour 28],"N1")+COUNTIF(EtatPresence[jour 28],"E")</f>
        <v>0</v>
      </c>
      <c r="AG30" s="779">
        <f>COUNTIF(EtatPresence[jour 29],"N1")+COUNTIF(EtatPresence[jour 29],"E")</f>
        <v>0</v>
      </c>
      <c r="AH30" s="779">
        <f>COUNTIF(EtatPresence[jour 30],"N1")+COUNTIF(EtatPresence[jour 30],"E")</f>
        <v>0</v>
      </c>
      <c r="AI30" s="779">
        <f>COUNTIF(EtatPresence[jour 31],"N1")+COUNTIF(EtatPresence[jour 31],"E")</f>
        <v>0</v>
      </c>
      <c r="AJ30" s="779">
        <f>SUBTOTAL(109,EtatPresence[Abs. ])</f>
        <v>0</v>
      </c>
      <c r="AK30" s="779">
        <f>SUBTOTAL(109,EtatPresence[Abs. Non Justif.])</f>
        <v>5</v>
      </c>
      <c r="AL30" s="779"/>
      <c r="AM30" s="779"/>
      <c r="AN30" s="779">
        <f>SUBTOTAL(109,EtatPresence[Présences])</f>
        <v>0</v>
      </c>
      <c r="AO30" s="779">
        <f>SUBTOTAL(109,EtatPresence[Repos ce mois])</f>
        <v>8</v>
      </c>
      <c r="AP30" s="779">
        <f>SUM(EtatPresence[Retards ce mois2])</f>
        <v>0</v>
      </c>
      <c r="AQ30" s="779"/>
      <c r="AR30" s="779">
        <f>SUBTOTAL(109,EtatPresence[Jours d’absence ce mois])</f>
        <v>5</v>
      </c>
    </row>
    <row r="31" spans="2:45" ht="16.5" customHeight="1" x14ac:dyDescent="0.25">
      <c r="C31" s="2073" t="s">
        <v>430</v>
      </c>
      <c r="D31" s="2073"/>
      <c r="E31" s="2074" t="s">
        <v>431</v>
      </c>
      <c r="F31" s="2075" t="s">
        <v>432</v>
      </c>
      <c r="G31" s="2076"/>
      <c r="H31" s="2076"/>
      <c r="I31" s="2076"/>
      <c r="J31" s="2076"/>
      <c r="K31" s="2076"/>
      <c r="L31" s="2076"/>
      <c r="M31" s="2076"/>
      <c r="AJ31" s="776"/>
      <c r="AK31" s="775"/>
    </row>
    <row r="32" spans="2:45" ht="16.5" customHeight="1" x14ac:dyDescent="0.25">
      <c r="C32" s="2073"/>
      <c r="D32" s="2073"/>
      <c r="E32" s="2074"/>
      <c r="F32" s="781" t="s">
        <v>427</v>
      </c>
      <c r="G32" s="782" t="s">
        <v>428</v>
      </c>
      <c r="H32" s="782" t="s">
        <v>433</v>
      </c>
      <c r="I32" s="782" t="s">
        <v>434</v>
      </c>
      <c r="J32" s="782" t="s">
        <v>429</v>
      </c>
      <c r="K32" s="782" t="s">
        <v>435</v>
      </c>
      <c r="L32" s="782" t="s">
        <v>436</v>
      </c>
      <c r="M32" s="783" t="s">
        <v>33</v>
      </c>
      <c r="AJ32" s="776"/>
      <c r="AK32" s="775"/>
    </row>
    <row r="33" spans="3:37" ht="16.5" customHeight="1" x14ac:dyDescent="0.25">
      <c r="C33" s="2073"/>
      <c r="D33" s="2073"/>
      <c r="E33" s="2074"/>
      <c r="F33" s="784">
        <f>COUNTIF(C7:C29, "Chef de piste")</f>
        <v>1</v>
      </c>
      <c r="G33" s="784">
        <f>COUNTIF(C7:C29, "Pompiste")</f>
        <v>6</v>
      </c>
      <c r="H33" s="784">
        <f>COUNTIF(C7:C29, "Graisseur")</f>
        <v>1</v>
      </c>
      <c r="I33" s="784">
        <f>COUNTIF(C7:C29, "Stagiaire")</f>
        <v>2</v>
      </c>
      <c r="J33" s="784">
        <f>COUNTIF(C7:C29, "Boutique")</f>
        <v>2</v>
      </c>
      <c r="K33" s="784">
        <f>COUNTIF(C7:C29, "en Formation")</f>
        <v>0</v>
      </c>
      <c r="L33" s="784">
        <f>COUNTIF(C7:C29, "Vigile")</f>
        <v>0</v>
      </c>
      <c r="M33" s="785">
        <f>SUM(F33:L33)</f>
        <v>12</v>
      </c>
      <c r="AJ33" s="776"/>
      <c r="AK33" s="775"/>
    </row>
    <row r="34" spans="3:37" ht="16.5" customHeight="1" x14ac:dyDescent="0.25">
      <c r="C34" s="2073"/>
      <c r="D34" s="2073"/>
      <c r="E34" s="2074"/>
      <c r="AJ34" s="776"/>
      <c r="AK34" s="775"/>
    </row>
    <row r="35" spans="3:37" ht="16.5" customHeight="1" x14ac:dyDescent="0.25">
      <c r="AJ35" s="776"/>
      <c r="AK35" s="775"/>
    </row>
    <row r="36" spans="3:37" ht="16.5" customHeight="1" x14ac:dyDescent="0.25"/>
    <row r="37" spans="3:37" ht="16.5" customHeight="1" x14ac:dyDescent="0.25"/>
    <row r="38" spans="3:37" ht="16.5" customHeight="1" x14ac:dyDescent="0.25"/>
    <row r="39" spans="3:37" ht="16.5" customHeight="1" x14ac:dyDescent="0.25"/>
    <row r="40" spans="3:37" ht="16.5" customHeight="1" x14ac:dyDescent="0.25"/>
    <row r="41" spans="3:37" ht="16.5" customHeight="1" x14ac:dyDescent="0.25"/>
    <row r="42" spans="3:37" ht="16.5" customHeight="1" x14ac:dyDescent="0.25"/>
    <row r="43" spans="3:37" ht="16.5" customHeight="1" x14ac:dyDescent="0.25"/>
    <row r="44" spans="3:37" ht="16.5" customHeight="1" x14ac:dyDescent="0.25"/>
    <row r="45" spans="3:37" ht="16.5" customHeight="1" x14ac:dyDescent="0.25"/>
    <row r="46" spans="3:37" ht="16.5" customHeight="1" x14ac:dyDescent="0.25"/>
    <row r="47" spans="3:37" ht="16.5" customHeight="1" x14ac:dyDescent="0.25"/>
    <row r="48" spans="3:37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</sheetData>
  <sheetProtection sheet="1" objects="1" scenarios="1"/>
  <dataConsolidate/>
  <mergeCells count="9">
    <mergeCell ref="X1:Z1"/>
    <mergeCell ref="C2:C5"/>
    <mergeCell ref="D2:D5"/>
    <mergeCell ref="AJ5:AR5"/>
    <mergeCell ref="C31:D34"/>
    <mergeCell ref="E31:E34"/>
    <mergeCell ref="F31:M31"/>
    <mergeCell ref="O1:Q1"/>
    <mergeCell ref="S1:U1"/>
  </mergeCells>
  <conditionalFormatting sqref="E7:AI29">
    <cfRule type="expression" dxfId="730" priority="59" stopIfTrue="1">
      <formula>E7=Code2</formula>
    </cfRule>
  </conditionalFormatting>
  <conditionalFormatting sqref="E7:AI29">
    <cfRule type="expression" dxfId="729" priority="60" stopIfTrue="1">
      <formula>E7=Code5</formula>
    </cfRule>
    <cfRule type="expression" dxfId="728" priority="61" stopIfTrue="1">
      <formula>E7=Code4</formula>
    </cfRule>
    <cfRule type="expression" dxfId="727" priority="62" stopIfTrue="1">
      <formula>E7=Code3</formula>
    </cfRule>
    <cfRule type="expression" dxfId="726" priority="63" stopIfTrue="1">
      <formula>E7=Code1</formula>
    </cfRule>
  </conditionalFormatting>
  <conditionalFormatting sqref="AR7:AR29">
    <cfRule type="dataBar" priority="64">
      <dataBar>
        <cfvo type="min"/>
        <cfvo type="num" val="31"/>
        <color theme="4"/>
      </dataBar>
    </cfRule>
  </conditionalFormatting>
  <conditionalFormatting sqref="P3">
    <cfRule type="expression" dxfId="725" priority="54" stopIfTrue="1">
      <formula>P3=Code2</formula>
    </cfRule>
  </conditionalFormatting>
  <conditionalFormatting sqref="P3">
    <cfRule type="expression" dxfId="724" priority="55" stopIfTrue="1">
      <formula>P3=Code5</formula>
    </cfRule>
    <cfRule type="expression" dxfId="723" priority="56" stopIfTrue="1">
      <formula>P3=Code4</formula>
    </cfRule>
    <cfRule type="expression" dxfId="722" priority="57" stopIfTrue="1">
      <formula>P3=Code3</formula>
    </cfRule>
    <cfRule type="expression" dxfId="721" priority="58" stopIfTrue="1">
      <formula>P3=Code1</formula>
    </cfRule>
  </conditionalFormatting>
  <dataValidations count="3">
    <dataValidation type="list" showInputMessage="1" showErrorMessage="1" sqref="E1">
      <formula1>"Nkolafamba, Nkozoa, Nkwen, Kena, Stade Yassa, Yassa1, Yapaki, Yakombo, Buea 1, Bomaka, Kumba 1, Mabanda, Kano, Nkolbikon, Betare-oya, Malang, Malo Goni, Bekha, Sambo, Loum,"</formula1>
    </dataValidation>
    <dataValidation type="list" allowBlank="1" showInputMessage="1" showErrorMessage="1" sqref="E7:AI29">
      <formula1>"P,Rp,Rt,S,Abs,NJ, MP, Congé"</formula1>
    </dataValidation>
    <dataValidation type="list" allowBlank="1" showInputMessage="1" showErrorMessage="1" sqref="C7:C29">
      <formula1>"Vigile,Pompiste,Stagiaire,en Formation,Graisseur,Boutique,Chef de piste,"</formula1>
    </dataValidation>
  </dataValidations>
  <pageMargins left="0.7" right="0.7" top="0.75" bottom="0.75" header="0.3" footer="0.3"/>
  <pageSetup paperSize="9" scale="22" orientation="landscape" r:id="rId1"/>
  <drawing r:id="rId2"/>
  <legacyDrawing r:id="rId3"/>
  <tableParts count="2">
    <tablePart r:id="rId4"/>
    <tablePart r:id="rId5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9" sqref="B19"/>
    </sheetView>
  </sheetViews>
  <sheetFormatPr baseColWidth="10" defaultColWidth="9.140625" defaultRowHeight="13.5" x14ac:dyDescent="0.25"/>
  <cols>
    <col min="1" max="1" width="19.140625" style="818" customWidth="1"/>
    <col min="2" max="2" width="46.140625" style="826" customWidth="1"/>
    <col min="3" max="3" width="10.5703125" style="819" customWidth="1"/>
    <col min="4" max="4" width="10" style="819" customWidth="1"/>
    <col min="5" max="5" width="9.28515625" style="819" customWidth="1"/>
    <col min="6" max="6" width="10" style="819" customWidth="1"/>
    <col min="7" max="7" width="8.42578125" style="819" customWidth="1"/>
    <col min="8" max="9" width="9.42578125" style="819" customWidth="1"/>
    <col min="10" max="10" width="8.28515625" style="819" customWidth="1"/>
    <col min="11" max="12" width="9.7109375" style="819" customWidth="1"/>
    <col min="13" max="13" width="8.140625" style="819" customWidth="1"/>
    <col min="14" max="14" width="9" style="819" customWidth="1"/>
    <col min="15" max="15" width="8.42578125" style="819" customWidth="1"/>
    <col min="16" max="16" width="7.42578125" style="819" customWidth="1"/>
    <col min="17" max="17" width="8.42578125" style="819" customWidth="1"/>
    <col min="18" max="18" width="8.28515625" style="819" customWidth="1"/>
    <col min="19" max="19" width="8.42578125" style="819" customWidth="1"/>
    <col min="20" max="20" width="9" style="819" customWidth="1"/>
    <col min="21" max="21" width="8" style="819" customWidth="1"/>
    <col min="22" max="22" width="8.5703125" style="819" customWidth="1"/>
    <col min="23" max="23" width="8.7109375" style="819" customWidth="1"/>
    <col min="24" max="24" width="7.85546875" style="819" customWidth="1"/>
    <col min="25" max="25" width="8.85546875" style="819" customWidth="1"/>
    <col min="26" max="26" width="7.85546875" style="819" customWidth="1"/>
    <col min="27" max="27" width="8.5703125" style="819" customWidth="1"/>
    <col min="28" max="29" width="8.28515625" style="819" customWidth="1"/>
    <col min="30" max="30" width="8.5703125" style="819" customWidth="1"/>
    <col min="31" max="31" width="9.7109375" style="819" customWidth="1"/>
    <col min="32" max="32" width="8.28515625" style="819" customWidth="1"/>
    <col min="33" max="33" width="8.42578125" style="819" customWidth="1"/>
    <col min="34" max="34" width="22.85546875" style="827" customWidth="1"/>
    <col min="35" max="16384" width="9.140625" style="818"/>
  </cols>
  <sheetData>
    <row r="1" spans="1:35" s="792" customFormat="1" ht="42" customHeight="1" x14ac:dyDescent="0.25">
      <c r="A1" s="788" t="s">
        <v>437</v>
      </c>
      <c r="B1" s="788"/>
      <c r="C1" s="788"/>
      <c r="D1" s="788" t="str">
        <f>[5]Présences!E1</f>
        <v>Nkozoa</v>
      </c>
      <c r="E1" s="788"/>
      <c r="F1" s="788"/>
      <c r="G1" s="789"/>
      <c r="H1" s="789"/>
      <c r="I1" s="789"/>
      <c r="J1" s="789"/>
      <c r="K1" s="790" t="s">
        <v>364</v>
      </c>
      <c r="L1" s="2079">
        <f>[5]Présences!O1</f>
        <v>43617</v>
      </c>
      <c r="M1" s="2079"/>
      <c r="N1" s="2079"/>
      <c r="O1" s="789" t="s">
        <v>365</v>
      </c>
      <c r="P1" s="2079">
        <f>EDATE(L1,1)-DAY(1)</f>
        <v>43646</v>
      </c>
      <c r="Q1" s="2079"/>
      <c r="R1" s="2079"/>
      <c r="S1" s="791"/>
      <c r="U1" s="2080"/>
      <c r="V1" s="2080"/>
      <c r="W1" s="2080"/>
      <c r="X1" s="793"/>
      <c r="Y1" s="793"/>
      <c r="Z1" s="789"/>
      <c r="AA1" s="789"/>
      <c r="AF1" s="794"/>
    </row>
    <row r="2" spans="1:35" s="688" customFormat="1" ht="12" customHeight="1" x14ac:dyDescent="0.25"/>
    <row r="3" spans="1:35" s="795" customFormat="1" ht="20.25" customHeight="1" x14ac:dyDescent="0.25">
      <c r="B3" s="2081" t="s">
        <v>438</v>
      </c>
      <c r="C3" s="688"/>
      <c r="D3" s="796" t="s">
        <v>439</v>
      </c>
      <c r="E3" s="796"/>
      <c r="F3" s="796"/>
      <c r="G3" s="796"/>
      <c r="H3" s="796"/>
      <c r="I3" s="796"/>
      <c r="J3" s="796"/>
      <c r="K3" s="796"/>
      <c r="L3" s="796"/>
      <c r="M3" s="796"/>
      <c r="N3" s="796"/>
      <c r="O3" s="796"/>
      <c r="P3" s="797"/>
      <c r="Q3" s="798"/>
      <c r="T3" s="799"/>
      <c r="V3" s="688"/>
      <c r="W3" s="688"/>
      <c r="X3" s="688"/>
      <c r="AC3" s="800"/>
      <c r="AD3" s="800"/>
      <c r="AG3" s="801"/>
      <c r="AH3" s="802"/>
    </row>
    <row r="4" spans="1:35" s="688" customFormat="1" ht="16.5" customHeight="1" x14ac:dyDescent="0.25">
      <c r="B4" s="2081"/>
    </row>
    <row r="5" spans="1:35" s="803" customFormat="1" ht="18" customHeight="1" x14ac:dyDescent="0.3">
      <c r="B5" s="2081"/>
      <c r="C5" s="804">
        <f>L1</f>
        <v>43617</v>
      </c>
      <c r="D5" s="804">
        <f>C5+1</f>
        <v>43618</v>
      </c>
      <c r="E5" s="804">
        <f t="shared" ref="E5:AG5" si="0">D5+1</f>
        <v>43619</v>
      </c>
      <c r="F5" s="804">
        <f t="shared" si="0"/>
        <v>43620</v>
      </c>
      <c r="G5" s="804">
        <f t="shared" si="0"/>
        <v>43621</v>
      </c>
      <c r="H5" s="804">
        <f t="shared" si="0"/>
        <v>43622</v>
      </c>
      <c r="I5" s="804">
        <f t="shared" si="0"/>
        <v>43623</v>
      </c>
      <c r="J5" s="804">
        <f t="shared" si="0"/>
        <v>43624</v>
      </c>
      <c r="K5" s="804">
        <f t="shared" si="0"/>
        <v>43625</v>
      </c>
      <c r="L5" s="804">
        <f t="shared" si="0"/>
        <v>43626</v>
      </c>
      <c r="M5" s="804">
        <f t="shared" si="0"/>
        <v>43627</v>
      </c>
      <c r="N5" s="804">
        <f t="shared" si="0"/>
        <v>43628</v>
      </c>
      <c r="O5" s="804">
        <f t="shared" si="0"/>
        <v>43629</v>
      </c>
      <c r="P5" s="804">
        <f t="shared" si="0"/>
        <v>43630</v>
      </c>
      <c r="Q5" s="804">
        <f t="shared" si="0"/>
        <v>43631</v>
      </c>
      <c r="R5" s="804">
        <f t="shared" si="0"/>
        <v>43632</v>
      </c>
      <c r="S5" s="804">
        <f t="shared" si="0"/>
        <v>43633</v>
      </c>
      <c r="T5" s="804">
        <f t="shared" si="0"/>
        <v>43634</v>
      </c>
      <c r="U5" s="804">
        <f t="shared" si="0"/>
        <v>43635</v>
      </c>
      <c r="V5" s="804">
        <f t="shared" si="0"/>
        <v>43636</v>
      </c>
      <c r="W5" s="804">
        <f t="shared" si="0"/>
        <v>43637</v>
      </c>
      <c r="X5" s="804">
        <f t="shared" si="0"/>
        <v>43638</v>
      </c>
      <c r="Y5" s="804">
        <f t="shared" si="0"/>
        <v>43639</v>
      </c>
      <c r="Z5" s="804">
        <f t="shared" si="0"/>
        <v>43640</v>
      </c>
      <c r="AA5" s="804">
        <f t="shared" si="0"/>
        <v>43641</v>
      </c>
      <c r="AB5" s="804">
        <f t="shared" si="0"/>
        <v>43642</v>
      </c>
      <c r="AC5" s="804">
        <f t="shared" si="0"/>
        <v>43643</v>
      </c>
      <c r="AD5" s="804">
        <f t="shared" si="0"/>
        <v>43644</v>
      </c>
      <c r="AE5" s="804">
        <f t="shared" si="0"/>
        <v>43645</v>
      </c>
      <c r="AF5" s="804">
        <f t="shared" si="0"/>
        <v>43646</v>
      </c>
      <c r="AG5" s="804">
        <f t="shared" si="0"/>
        <v>43647</v>
      </c>
      <c r="AH5" s="805" t="s">
        <v>33</v>
      </c>
    </row>
    <row r="6" spans="1:35" s="806" customFormat="1" ht="14.25" customHeight="1" x14ac:dyDescent="0.25">
      <c r="B6" s="807" t="s">
        <v>440</v>
      </c>
      <c r="C6" s="808" t="s">
        <v>387</v>
      </c>
      <c r="D6" s="808" t="s">
        <v>388</v>
      </c>
      <c r="E6" s="808" t="s">
        <v>389</v>
      </c>
      <c r="F6" s="808" t="s">
        <v>390</v>
      </c>
      <c r="G6" s="808" t="s">
        <v>391</v>
      </c>
      <c r="H6" s="808" t="s">
        <v>392</v>
      </c>
      <c r="I6" s="808" t="s">
        <v>393</v>
      </c>
      <c r="J6" s="808" t="s">
        <v>394</v>
      </c>
      <c r="K6" s="808" t="s">
        <v>395</v>
      </c>
      <c r="L6" s="808" t="s">
        <v>396</v>
      </c>
      <c r="M6" s="808" t="s">
        <v>397</v>
      </c>
      <c r="N6" s="808" t="s">
        <v>398</v>
      </c>
      <c r="O6" s="808" t="s">
        <v>399</v>
      </c>
      <c r="P6" s="808" t="s">
        <v>400</v>
      </c>
      <c r="Q6" s="808" t="s">
        <v>401</v>
      </c>
      <c r="R6" s="808" t="s">
        <v>402</v>
      </c>
      <c r="S6" s="808" t="s">
        <v>403</v>
      </c>
      <c r="T6" s="808" t="s">
        <v>404</v>
      </c>
      <c r="U6" s="808" t="s">
        <v>405</v>
      </c>
      <c r="V6" s="808" t="s">
        <v>406</v>
      </c>
      <c r="W6" s="808" t="s">
        <v>407</v>
      </c>
      <c r="X6" s="808" t="s">
        <v>408</v>
      </c>
      <c r="Y6" s="808" t="s">
        <v>409</v>
      </c>
      <c r="Z6" s="808" t="s">
        <v>410</v>
      </c>
      <c r="AA6" s="808" t="s">
        <v>411</v>
      </c>
      <c r="AB6" s="808" t="s">
        <v>412</v>
      </c>
      <c r="AC6" s="808" t="s">
        <v>413</v>
      </c>
      <c r="AD6" s="808" t="s">
        <v>414</v>
      </c>
      <c r="AE6" s="808" t="s">
        <v>415</v>
      </c>
      <c r="AF6" s="808" t="s">
        <v>416</v>
      </c>
      <c r="AG6" s="808" t="s">
        <v>417</v>
      </c>
      <c r="AH6" s="809" t="s">
        <v>441</v>
      </c>
      <c r="AI6" s="810"/>
    </row>
    <row r="7" spans="1:35" s="811" customFormat="1" ht="16.5" customHeight="1" x14ac:dyDescent="0.25">
      <c r="B7" s="812" t="s">
        <v>481</v>
      </c>
      <c r="C7" s="813">
        <v>0</v>
      </c>
      <c r="D7" s="813">
        <v>0</v>
      </c>
      <c r="E7" s="813"/>
      <c r="F7" s="813"/>
      <c r="G7" s="813"/>
      <c r="H7" s="813"/>
      <c r="I7" s="813"/>
      <c r="J7" s="813"/>
      <c r="K7" s="813"/>
      <c r="L7" s="813"/>
      <c r="M7" s="813"/>
      <c r="N7" s="813"/>
      <c r="O7" s="813"/>
      <c r="P7" s="813"/>
      <c r="Q7" s="813"/>
      <c r="R7" s="813"/>
      <c r="S7" s="813"/>
      <c r="T7" s="813"/>
      <c r="U7" s="813"/>
      <c r="V7" s="813"/>
      <c r="W7" s="813"/>
      <c r="X7" s="813"/>
      <c r="Y7" s="813"/>
      <c r="Z7" s="813"/>
      <c r="AA7" s="813"/>
      <c r="AB7" s="813"/>
      <c r="AC7" s="813"/>
      <c r="AD7" s="813"/>
      <c r="AE7" s="813"/>
      <c r="AF7" s="813"/>
      <c r="AG7" s="813"/>
      <c r="AH7" s="814">
        <f>SUM(EtatPresence3[[#This Row],[jour 1]:[jour 31]])</f>
        <v>0</v>
      </c>
      <c r="AI7" s="815"/>
    </row>
    <row r="8" spans="1:35" s="811" customFormat="1" ht="16.5" customHeight="1" x14ac:dyDescent="0.25">
      <c r="B8" s="812" t="s">
        <v>462</v>
      </c>
      <c r="C8" s="813">
        <v>-950</v>
      </c>
      <c r="D8" s="813">
        <v>0</v>
      </c>
      <c r="E8" s="813"/>
      <c r="F8" s="813"/>
      <c r="G8" s="813"/>
      <c r="H8" s="813"/>
      <c r="I8" s="813"/>
      <c r="J8" s="813"/>
      <c r="K8" s="813"/>
      <c r="L8" s="813"/>
      <c r="M8" s="813"/>
      <c r="N8" s="813"/>
      <c r="O8" s="813"/>
      <c r="P8" s="813"/>
      <c r="Q8" s="813"/>
      <c r="R8" s="813"/>
      <c r="S8" s="813"/>
      <c r="T8" s="813"/>
      <c r="U8" s="813"/>
      <c r="V8" s="813"/>
      <c r="W8" s="813"/>
      <c r="X8" s="813"/>
      <c r="Y8" s="813"/>
      <c r="Z8" s="813"/>
      <c r="AA8" s="813"/>
      <c r="AB8" s="813"/>
      <c r="AC8" s="813"/>
      <c r="AD8" s="813"/>
      <c r="AE8" s="813"/>
      <c r="AF8" s="813"/>
      <c r="AG8" s="813"/>
      <c r="AH8" s="814">
        <f>SUM(EtatPresence3[[#This Row],[jour 1]:[jour 31]])</f>
        <v>-950</v>
      </c>
      <c r="AI8" s="815"/>
    </row>
    <row r="9" spans="1:35" s="816" customFormat="1" ht="16.5" customHeight="1" x14ac:dyDescent="0.25">
      <c r="B9" s="812" t="s">
        <v>463</v>
      </c>
      <c r="C9" s="813">
        <v>105</v>
      </c>
      <c r="D9" s="813">
        <v>0</v>
      </c>
      <c r="E9" s="813"/>
      <c r="F9" s="813"/>
      <c r="G9" s="813"/>
      <c r="H9" s="813"/>
      <c r="I9" s="813"/>
      <c r="J9" s="813"/>
      <c r="K9" s="813"/>
      <c r="L9" s="813"/>
      <c r="M9" s="813"/>
      <c r="N9" s="813"/>
      <c r="O9" s="813"/>
      <c r="P9" s="813"/>
      <c r="Q9" s="813"/>
      <c r="R9" s="813"/>
      <c r="S9" s="813"/>
      <c r="T9" s="813"/>
      <c r="U9" s="813"/>
      <c r="V9" s="813"/>
      <c r="W9" s="813"/>
      <c r="X9" s="813"/>
      <c r="Y9" s="813"/>
      <c r="Z9" s="813"/>
      <c r="AA9" s="813"/>
      <c r="AB9" s="813"/>
      <c r="AC9" s="813"/>
      <c r="AD9" s="813"/>
      <c r="AE9" s="813"/>
      <c r="AF9" s="813"/>
      <c r="AG9" s="813"/>
      <c r="AH9" s="814">
        <f>SUM(EtatPresence3[[#This Row],[jour 1]:[jour 31]])</f>
        <v>105</v>
      </c>
      <c r="AI9" s="817"/>
    </row>
    <row r="10" spans="1:35" ht="16.5" customHeight="1" x14ac:dyDescent="0.25">
      <c r="B10" s="812" t="s">
        <v>464</v>
      </c>
      <c r="C10" s="813">
        <v>-2060</v>
      </c>
      <c r="D10" s="813">
        <v>-1860</v>
      </c>
      <c r="E10" s="813"/>
      <c r="F10" s="813"/>
      <c r="G10" s="813"/>
      <c r="H10" s="813"/>
      <c r="I10" s="813"/>
      <c r="J10" s="813"/>
      <c r="K10" s="813"/>
      <c r="L10" s="813"/>
      <c r="M10" s="813"/>
      <c r="N10" s="813"/>
      <c r="O10" s="813"/>
      <c r="P10" s="813"/>
      <c r="Q10" s="813"/>
      <c r="R10" s="813"/>
      <c r="S10" s="813"/>
      <c r="T10" s="813"/>
      <c r="U10" s="813"/>
      <c r="V10" s="813"/>
      <c r="W10" s="813"/>
      <c r="X10" s="813"/>
      <c r="Y10" s="813"/>
      <c r="Z10" s="813"/>
      <c r="AA10" s="813"/>
      <c r="AB10" s="813"/>
      <c r="AC10" s="813"/>
      <c r="AD10" s="813"/>
      <c r="AE10" s="813"/>
      <c r="AF10" s="813"/>
      <c r="AG10" s="813"/>
      <c r="AH10" s="814">
        <f>SUM(EtatPresence3[[#This Row],[jour 1]:[jour 31]])</f>
        <v>-3920</v>
      </c>
      <c r="AI10" s="819"/>
    </row>
    <row r="11" spans="1:35" ht="16.5" customHeight="1" x14ac:dyDescent="0.25">
      <c r="B11" s="812" t="s">
        <v>465</v>
      </c>
      <c r="C11" s="813">
        <v>-1430</v>
      </c>
      <c r="D11" s="813">
        <v>-1540</v>
      </c>
      <c r="E11" s="813"/>
      <c r="F11" s="813"/>
      <c r="G11" s="813"/>
      <c r="H11" s="813"/>
      <c r="I11" s="813"/>
      <c r="J11" s="813"/>
      <c r="K11" s="813"/>
      <c r="L11" s="813"/>
      <c r="M11" s="813"/>
      <c r="N11" s="813"/>
      <c r="O11" s="813"/>
      <c r="P11" s="813"/>
      <c r="Q11" s="813"/>
      <c r="R11" s="813"/>
      <c r="S11" s="813"/>
      <c r="T11" s="813"/>
      <c r="U11" s="813"/>
      <c r="V11" s="813"/>
      <c r="W11" s="813"/>
      <c r="X11" s="813"/>
      <c r="Y11" s="813"/>
      <c r="Z11" s="813"/>
      <c r="AA11" s="813"/>
      <c r="AB11" s="813"/>
      <c r="AC11" s="813"/>
      <c r="AD11" s="813"/>
      <c r="AE11" s="813"/>
      <c r="AF11" s="813"/>
      <c r="AG11" s="813"/>
      <c r="AH11" s="814">
        <f>SUM(EtatPresence3[[#This Row],[jour 1]:[jour 31]])</f>
        <v>-2970</v>
      </c>
      <c r="AI11" s="819"/>
    </row>
    <row r="12" spans="1:35" ht="16.5" customHeight="1" x14ac:dyDescent="0.25">
      <c r="B12" s="812" t="s">
        <v>466</v>
      </c>
      <c r="C12" s="813">
        <v>45</v>
      </c>
      <c r="D12" s="813">
        <v>-230</v>
      </c>
      <c r="E12" s="813"/>
      <c r="F12" s="813"/>
      <c r="G12" s="813"/>
      <c r="H12" s="813"/>
      <c r="I12" s="813"/>
      <c r="J12" s="813"/>
      <c r="K12" s="813"/>
      <c r="L12" s="813"/>
      <c r="M12" s="813"/>
      <c r="N12" s="813"/>
      <c r="O12" s="813"/>
      <c r="P12" s="813"/>
      <c r="Q12" s="813"/>
      <c r="R12" s="813"/>
      <c r="S12" s="813"/>
      <c r="T12" s="813"/>
      <c r="U12" s="813"/>
      <c r="V12" s="813"/>
      <c r="W12" s="813"/>
      <c r="X12" s="813"/>
      <c r="Y12" s="813"/>
      <c r="Z12" s="813"/>
      <c r="AA12" s="813"/>
      <c r="AB12" s="813"/>
      <c r="AC12" s="813"/>
      <c r="AD12" s="813"/>
      <c r="AE12" s="813"/>
      <c r="AF12" s="813"/>
      <c r="AG12" s="813"/>
      <c r="AH12" s="814">
        <f>SUM(EtatPresence3[[#This Row],[jour 1]:[jour 31]])</f>
        <v>-185</v>
      </c>
      <c r="AI12" s="819"/>
    </row>
    <row r="13" spans="1:35" ht="16.5" customHeight="1" x14ac:dyDescent="0.25">
      <c r="B13" s="812" t="s">
        <v>467</v>
      </c>
      <c r="C13" s="813">
        <v>-1765</v>
      </c>
      <c r="D13" s="813">
        <v>0</v>
      </c>
      <c r="E13" s="813"/>
      <c r="F13" s="813"/>
      <c r="G13" s="813"/>
      <c r="H13" s="813"/>
      <c r="I13" s="813"/>
      <c r="J13" s="813"/>
      <c r="K13" s="813"/>
      <c r="L13" s="813"/>
      <c r="M13" s="813"/>
      <c r="N13" s="813"/>
      <c r="O13" s="813"/>
      <c r="P13" s="813"/>
      <c r="Q13" s="813"/>
      <c r="R13" s="813"/>
      <c r="S13" s="813"/>
      <c r="T13" s="813"/>
      <c r="U13" s="813"/>
      <c r="V13" s="813"/>
      <c r="W13" s="813"/>
      <c r="X13" s="813"/>
      <c r="Y13" s="813"/>
      <c r="Z13" s="813"/>
      <c r="AA13" s="813"/>
      <c r="AB13" s="813"/>
      <c r="AC13" s="813"/>
      <c r="AD13" s="813"/>
      <c r="AE13" s="813"/>
      <c r="AF13" s="813"/>
      <c r="AG13" s="813"/>
      <c r="AH13" s="814">
        <f>SUM(EtatPresence3[[#This Row],[jour 1]:[jour 31]])</f>
        <v>-1765</v>
      </c>
      <c r="AI13" s="819"/>
    </row>
    <row r="14" spans="1:35" ht="16.5" customHeight="1" x14ac:dyDescent="0.25">
      <c r="B14" s="812" t="s">
        <v>468</v>
      </c>
      <c r="C14" s="813"/>
      <c r="D14" s="813"/>
      <c r="E14" s="813"/>
      <c r="F14" s="813"/>
      <c r="G14" s="813"/>
      <c r="H14" s="813"/>
      <c r="I14" s="813"/>
      <c r="J14" s="813"/>
      <c r="K14" s="813"/>
      <c r="L14" s="813"/>
      <c r="M14" s="813"/>
      <c r="N14" s="813"/>
      <c r="O14" s="813"/>
      <c r="P14" s="813"/>
      <c r="Q14" s="813"/>
      <c r="R14" s="813"/>
      <c r="S14" s="813"/>
      <c r="T14" s="813"/>
      <c r="U14" s="813"/>
      <c r="V14" s="813"/>
      <c r="W14" s="813"/>
      <c r="X14" s="813"/>
      <c r="Y14" s="813"/>
      <c r="Z14" s="813"/>
      <c r="AA14" s="813"/>
      <c r="AB14" s="813"/>
      <c r="AC14" s="813"/>
      <c r="AD14" s="813"/>
      <c r="AE14" s="813"/>
      <c r="AF14" s="813"/>
      <c r="AG14" s="813"/>
      <c r="AH14" s="814">
        <f>SUM(EtatPresence3[[#This Row],[jour 1]:[jour 31]])</f>
        <v>0</v>
      </c>
      <c r="AI14" s="819"/>
    </row>
    <row r="15" spans="1:35" ht="16.5" customHeight="1" x14ac:dyDescent="0.25">
      <c r="B15" s="812" t="s">
        <v>482</v>
      </c>
      <c r="C15" s="813"/>
      <c r="D15" s="813"/>
      <c r="E15" s="813"/>
      <c r="F15" s="813"/>
      <c r="G15" s="813"/>
      <c r="H15" s="813"/>
      <c r="I15" s="813"/>
      <c r="J15" s="813"/>
      <c r="K15" s="813"/>
      <c r="L15" s="813"/>
      <c r="M15" s="813"/>
      <c r="N15" s="813"/>
      <c r="O15" s="813"/>
      <c r="P15" s="813"/>
      <c r="Q15" s="813"/>
      <c r="R15" s="813"/>
      <c r="S15" s="813"/>
      <c r="T15" s="813"/>
      <c r="U15" s="813"/>
      <c r="V15" s="813"/>
      <c r="W15" s="813"/>
      <c r="X15" s="813"/>
      <c r="Y15" s="813"/>
      <c r="Z15" s="813"/>
      <c r="AA15" s="813"/>
      <c r="AB15" s="813"/>
      <c r="AC15" s="813"/>
      <c r="AD15" s="813"/>
      <c r="AE15" s="813"/>
      <c r="AF15" s="813"/>
      <c r="AG15" s="813"/>
      <c r="AH15" s="814">
        <f>SUM(EtatPresence3[[#This Row],[jour 1]:[jour 31]])</f>
        <v>0</v>
      </c>
      <c r="AI15" s="819"/>
    </row>
    <row r="16" spans="1:35" ht="16.5" customHeight="1" x14ac:dyDescent="0.25">
      <c r="B16" s="812" t="s">
        <v>470</v>
      </c>
      <c r="C16" s="813"/>
      <c r="D16" s="813"/>
      <c r="E16" s="813"/>
      <c r="F16" s="813"/>
      <c r="G16" s="813"/>
      <c r="H16" s="813"/>
      <c r="I16" s="813"/>
      <c r="J16" s="813"/>
      <c r="K16" s="813"/>
      <c r="L16" s="813"/>
      <c r="M16" s="813"/>
      <c r="N16" s="813"/>
      <c r="O16" s="813"/>
      <c r="P16" s="813"/>
      <c r="Q16" s="813"/>
      <c r="R16" s="813"/>
      <c r="S16" s="813"/>
      <c r="T16" s="813"/>
      <c r="U16" s="813"/>
      <c r="V16" s="813"/>
      <c r="W16" s="813"/>
      <c r="X16" s="813"/>
      <c r="Y16" s="813"/>
      <c r="Z16" s="813"/>
      <c r="AA16" s="813"/>
      <c r="AB16" s="813"/>
      <c r="AC16" s="813"/>
      <c r="AD16" s="813"/>
      <c r="AE16" s="813"/>
      <c r="AF16" s="813"/>
      <c r="AG16" s="813"/>
      <c r="AH16" s="814">
        <f>SUM(EtatPresence3[[#This Row],[jour 1]:[jour 31]])</f>
        <v>0</v>
      </c>
      <c r="AI16" s="819"/>
    </row>
    <row r="17" spans="2:35" ht="16.5" customHeight="1" x14ac:dyDescent="0.25">
      <c r="B17" s="812" t="s">
        <v>471</v>
      </c>
      <c r="C17" s="813"/>
      <c r="D17" s="813"/>
      <c r="E17" s="813"/>
      <c r="F17" s="813"/>
      <c r="G17" s="813"/>
      <c r="H17" s="813"/>
      <c r="I17" s="813"/>
      <c r="J17" s="813"/>
      <c r="K17" s="813"/>
      <c r="L17" s="813"/>
      <c r="M17" s="813"/>
      <c r="N17" s="813"/>
      <c r="O17" s="813"/>
      <c r="P17" s="813"/>
      <c r="Q17" s="813"/>
      <c r="R17" s="813"/>
      <c r="S17" s="813"/>
      <c r="T17" s="813"/>
      <c r="U17" s="813"/>
      <c r="V17" s="813"/>
      <c r="W17" s="813"/>
      <c r="X17" s="813"/>
      <c r="Y17" s="813"/>
      <c r="Z17" s="813"/>
      <c r="AA17" s="813"/>
      <c r="AB17" s="813"/>
      <c r="AC17" s="813"/>
      <c r="AD17" s="813"/>
      <c r="AE17" s="813"/>
      <c r="AF17" s="813"/>
      <c r="AG17" s="813"/>
      <c r="AH17" s="814">
        <f>SUM(EtatPresence3[[#This Row],[jour 1]:[jour 31]])</f>
        <v>0</v>
      </c>
      <c r="AI17" s="819"/>
    </row>
    <row r="18" spans="2:35" ht="16.5" customHeight="1" x14ac:dyDescent="0.25">
      <c r="B18" s="812" t="s">
        <v>472</v>
      </c>
      <c r="C18" s="813"/>
      <c r="D18" s="813"/>
      <c r="E18" s="813"/>
      <c r="F18" s="813"/>
      <c r="G18" s="813"/>
      <c r="H18" s="813"/>
      <c r="I18" s="813"/>
      <c r="J18" s="813"/>
      <c r="K18" s="813"/>
      <c r="L18" s="813"/>
      <c r="M18" s="813"/>
      <c r="N18" s="813"/>
      <c r="O18" s="813"/>
      <c r="P18" s="813"/>
      <c r="Q18" s="813"/>
      <c r="R18" s="813"/>
      <c r="S18" s="813"/>
      <c r="T18" s="813"/>
      <c r="U18" s="813"/>
      <c r="V18" s="813"/>
      <c r="W18" s="813"/>
      <c r="X18" s="813"/>
      <c r="Y18" s="813"/>
      <c r="Z18" s="813"/>
      <c r="AA18" s="813"/>
      <c r="AB18" s="813"/>
      <c r="AC18" s="813"/>
      <c r="AD18" s="813"/>
      <c r="AE18" s="813"/>
      <c r="AF18" s="813"/>
      <c r="AG18" s="813"/>
      <c r="AH18" s="814">
        <f>SUM(EtatPresence3[[#This Row],[jour 1]:[jour 31]])</f>
        <v>0</v>
      </c>
      <c r="AI18" s="819"/>
    </row>
    <row r="19" spans="2:35" ht="16.5" customHeight="1" x14ac:dyDescent="0.25">
      <c r="B19" s="812">
        <f>[5]Présences!D19</f>
        <v>0</v>
      </c>
      <c r="C19" s="813"/>
      <c r="D19" s="813"/>
      <c r="E19" s="813"/>
      <c r="F19" s="813"/>
      <c r="G19" s="813"/>
      <c r="H19" s="813"/>
      <c r="I19" s="813"/>
      <c r="J19" s="813"/>
      <c r="K19" s="813"/>
      <c r="L19" s="813"/>
      <c r="M19" s="813"/>
      <c r="N19" s="813"/>
      <c r="O19" s="813"/>
      <c r="P19" s="813"/>
      <c r="Q19" s="813"/>
      <c r="R19" s="813"/>
      <c r="S19" s="813"/>
      <c r="T19" s="813"/>
      <c r="U19" s="813"/>
      <c r="V19" s="813"/>
      <c r="W19" s="813"/>
      <c r="X19" s="813"/>
      <c r="Y19" s="813"/>
      <c r="Z19" s="813"/>
      <c r="AA19" s="813"/>
      <c r="AB19" s="813"/>
      <c r="AC19" s="813"/>
      <c r="AD19" s="813"/>
      <c r="AE19" s="813"/>
      <c r="AF19" s="813"/>
      <c r="AG19" s="813"/>
      <c r="AH19" s="814">
        <f>SUM(EtatPresence3[[#This Row],[jour 1]:[jour 31]])</f>
        <v>0</v>
      </c>
      <c r="AI19" s="819"/>
    </row>
    <row r="20" spans="2:35" ht="16.5" customHeight="1" x14ac:dyDescent="0.25">
      <c r="B20" s="812">
        <f>[5]Présences!D20</f>
        <v>0</v>
      </c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813"/>
      <c r="AB20" s="813"/>
      <c r="AC20" s="813"/>
      <c r="AD20" s="813"/>
      <c r="AE20" s="813"/>
      <c r="AF20" s="813"/>
      <c r="AG20" s="813"/>
      <c r="AH20" s="814">
        <f>SUM(EtatPresence3[[#This Row],[jour 1]:[jour 31]])</f>
        <v>0</v>
      </c>
      <c r="AI20" s="819"/>
    </row>
    <row r="21" spans="2:35" ht="16.5" customHeight="1" x14ac:dyDescent="0.25">
      <c r="B21" s="812">
        <f>[5]Présences!D21</f>
        <v>0</v>
      </c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813"/>
      <c r="AB21" s="813"/>
      <c r="AC21" s="813"/>
      <c r="AD21" s="813"/>
      <c r="AE21" s="813"/>
      <c r="AF21" s="813"/>
      <c r="AG21" s="813"/>
      <c r="AH21" s="814">
        <f>SUM(EtatPresence3[[#This Row],[jour 1]:[jour 31]])</f>
        <v>0</v>
      </c>
      <c r="AI21" s="819"/>
    </row>
    <row r="22" spans="2:35" ht="16.5" customHeight="1" x14ac:dyDescent="0.25">
      <c r="B22" s="812">
        <f>[5]Présences!D22</f>
        <v>0</v>
      </c>
      <c r="C22" s="813"/>
      <c r="D22" s="813"/>
      <c r="E22" s="813"/>
      <c r="F22" s="813"/>
      <c r="G22" s="813"/>
      <c r="H22" s="813"/>
      <c r="I22" s="813"/>
      <c r="J22" s="813"/>
      <c r="K22" s="813"/>
      <c r="L22" s="813"/>
      <c r="M22" s="813"/>
      <c r="N22" s="813"/>
      <c r="O22" s="813"/>
      <c r="P22" s="813"/>
      <c r="Q22" s="813"/>
      <c r="R22" s="813"/>
      <c r="S22" s="813"/>
      <c r="T22" s="813"/>
      <c r="U22" s="813"/>
      <c r="V22" s="813"/>
      <c r="W22" s="813"/>
      <c r="X22" s="813"/>
      <c r="Y22" s="813"/>
      <c r="Z22" s="813"/>
      <c r="AA22" s="813"/>
      <c r="AB22" s="813"/>
      <c r="AC22" s="813"/>
      <c r="AD22" s="813"/>
      <c r="AE22" s="813"/>
      <c r="AF22" s="813"/>
      <c r="AG22" s="813"/>
      <c r="AH22" s="814">
        <f>SUM(EtatPresence3[[#This Row],[jour 1]:[jour 31]])</f>
        <v>0</v>
      </c>
      <c r="AI22" s="819"/>
    </row>
    <row r="23" spans="2:35" ht="16.5" customHeight="1" x14ac:dyDescent="0.25">
      <c r="B23" s="812">
        <f>[5]Présences!D23</f>
        <v>0</v>
      </c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3"/>
      <c r="P23" s="813"/>
      <c r="Q23" s="813"/>
      <c r="R23" s="813"/>
      <c r="S23" s="813"/>
      <c r="T23" s="813"/>
      <c r="U23" s="813"/>
      <c r="V23" s="813"/>
      <c r="W23" s="813"/>
      <c r="X23" s="813"/>
      <c r="Y23" s="813"/>
      <c r="Z23" s="813"/>
      <c r="AA23" s="813"/>
      <c r="AB23" s="813"/>
      <c r="AC23" s="813"/>
      <c r="AD23" s="813"/>
      <c r="AE23" s="813"/>
      <c r="AF23" s="813"/>
      <c r="AG23" s="813"/>
      <c r="AH23" s="814">
        <f>SUM(EtatPresence3[[#This Row],[jour 1]:[jour 31]])</f>
        <v>0</v>
      </c>
      <c r="AI23" s="819"/>
    </row>
    <row r="24" spans="2:35" ht="16.5" customHeight="1" x14ac:dyDescent="0.25">
      <c r="B24" s="812">
        <f>[5]Présences!D24</f>
        <v>0</v>
      </c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3"/>
      <c r="P24" s="813"/>
      <c r="Q24" s="813"/>
      <c r="R24" s="813"/>
      <c r="S24" s="813"/>
      <c r="T24" s="813"/>
      <c r="U24" s="813"/>
      <c r="V24" s="813"/>
      <c r="W24" s="813"/>
      <c r="X24" s="813"/>
      <c r="Y24" s="813"/>
      <c r="Z24" s="813"/>
      <c r="AA24" s="813"/>
      <c r="AB24" s="813"/>
      <c r="AC24" s="813"/>
      <c r="AD24" s="813"/>
      <c r="AE24" s="813"/>
      <c r="AF24" s="813"/>
      <c r="AG24" s="813"/>
      <c r="AH24" s="814">
        <f>SUM(EtatPresence3[[#This Row],[jour 1]:[jour 31]])</f>
        <v>0</v>
      </c>
      <c r="AI24" s="819"/>
    </row>
    <row r="25" spans="2:35" ht="16.5" customHeight="1" x14ac:dyDescent="0.25">
      <c r="B25" s="812">
        <f>[5]Présences!D25</f>
        <v>0</v>
      </c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20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813"/>
      <c r="AB25" s="813"/>
      <c r="AC25" s="813"/>
      <c r="AD25" s="813"/>
      <c r="AE25" s="813"/>
      <c r="AF25" s="813"/>
      <c r="AG25" s="813"/>
      <c r="AH25" s="814">
        <f>SUM(EtatPresence3[[#This Row],[jour 1]:[jour 31]])</f>
        <v>0</v>
      </c>
      <c r="AI25" s="819"/>
    </row>
    <row r="26" spans="2:35" ht="16.5" customHeight="1" x14ac:dyDescent="0.25">
      <c r="B26" s="812">
        <f>[5]Présences!D26</f>
        <v>0</v>
      </c>
      <c r="C26" s="813"/>
      <c r="D26" s="813"/>
      <c r="E26" s="813"/>
      <c r="F26" s="813"/>
      <c r="G26" s="813"/>
      <c r="H26" s="813"/>
      <c r="I26" s="813"/>
      <c r="J26" s="813"/>
      <c r="K26" s="813"/>
      <c r="L26" s="813"/>
      <c r="M26" s="813"/>
      <c r="N26" s="813"/>
      <c r="O26" s="820"/>
      <c r="P26" s="813"/>
      <c r="Q26" s="813"/>
      <c r="R26" s="813"/>
      <c r="S26" s="813"/>
      <c r="T26" s="813"/>
      <c r="U26" s="813"/>
      <c r="V26" s="813"/>
      <c r="W26" s="813"/>
      <c r="X26" s="813"/>
      <c r="Y26" s="813"/>
      <c r="Z26" s="813"/>
      <c r="AA26" s="813"/>
      <c r="AB26" s="813"/>
      <c r="AC26" s="813"/>
      <c r="AD26" s="813"/>
      <c r="AE26" s="813"/>
      <c r="AF26" s="813"/>
      <c r="AG26" s="813"/>
      <c r="AH26" s="814">
        <f>SUM(EtatPresence3[[#This Row],[jour 1]:[jour 31]])</f>
        <v>0</v>
      </c>
      <c r="AI26" s="819"/>
    </row>
    <row r="27" spans="2:35" ht="16.5" customHeight="1" x14ac:dyDescent="0.25">
      <c r="B27" s="812">
        <f>[5]Présences!D27</f>
        <v>0</v>
      </c>
      <c r="C27" s="813"/>
      <c r="D27" s="813"/>
      <c r="E27" s="813"/>
      <c r="F27" s="813"/>
      <c r="G27" s="813"/>
      <c r="H27" s="813"/>
      <c r="I27" s="813"/>
      <c r="J27" s="813"/>
      <c r="K27" s="813"/>
      <c r="L27" s="813"/>
      <c r="M27" s="813"/>
      <c r="N27" s="813"/>
      <c r="O27" s="813"/>
      <c r="P27" s="813"/>
      <c r="Q27" s="813"/>
      <c r="R27" s="813"/>
      <c r="S27" s="813"/>
      <c r="T27" s="813"/>
      <c r="U27" s="813"/>
      <c r="V27" s="813"/>
      <c r="W27" s="813"/>
      <c r="X27" s="813"/>
      <c r="Y27" s="813"/>
      <c r="Z27" s="813"/>
      <c r="AA27" s="813"/>
      <c r="AB27" s="813"/>
      <c r="AC27" s="813"/>
      <c r="AD27" s="813"/>
      <c r="AE27" s="813"/>
      <c r="AF27" s="813"/>
      <c r="AG27" s="813"/>
      <c r="AH27" s="814">
        <f>SUM(EtatPresence3[[#This Row],[jour 1]:[jour 31]])</f>
        <v>0</v>
      </c>
      <c r="AI27" s="819"/>
    </row>
    <row r="28" spans="2:35" ht="16.5" customHeight="1" x14ac:dyDescent="0.25">
      <c r="B28" s="812">
        <f>[5]Présences!D28</f>
        <v>0</v>
      </c>
      <c r="C28" s="813"/>
      <c r="D28" s="813"/>
      <c r="E28" s="813"/>
      <c r="F28" s="813"/>
      <c r="G28" s="813"/>
      <c r="H28" s="813"/>
      <c r="I28" s="813"/>
      <c r="J28" s="813"/>
      <c r="K28" s="813"/>
      <c r="L28" s="813"/>
      <c r="M28" s="813"/>
      <c r="N28" s="813"/>
      <c r="O28" s="813"/>
      <c r="P28" s="813"/>
      <c r="Q28" s="813"/>
      <c r="R28" s="813"/>
      <c r="S28" s="813"/>
      <c r="T28" s="813"/>
      <c r="U28" s="813"/>
      <c r="V28" s="813"/>
      <c r="W28" s="813"/>
      <c r="X28" s="813"/>
      <c r="Y28" s="813"/>
      <c r="Z28" s="813"/>
      <c r="AA28" s="813"/>
      <c r="AB28" s="813"/>
      <c r="AC28" s="813"/>
      <c r="AD28" s="813"/>
      <c r="AE28" s="813"/>
      <c r="AF28" s="813"/>
      <c r="AG28" s="813"/>
      <c r="AH28" s="814">
        <f>SUM(EtatPresence3[[#This Row],[jour 1]:[jour 31]])</f>
        <v>0</v>
      </c>
      <c r="AI28" s="819"/>
    </row>
    <row r="29" spans="2:35" ht="16.5" customHeight="1" x14ac:dyDescent="0.25">
      <c r="B29" s="812">
        <f>[5]Présences!D29</f>
        <v>0</v>
      </c>
      <c r="C29" s="813"/>
      <c r="D29" s="813"/>
      <c r="E29" s="813"/>
      <c r="F29" s="813"/>
      <c r="G29" s="813"/>
      <c r="H29" s="813"/>
      <c r="I29" s="813"/>
      <c r="J29" s="813"/>
      <c r="K29" s="813"/>
      <c r="L29" s="813"/>
      <c r="M29" s="813"/>
      <c r="N29" s="813"/>
      <c r="O29" s="813"/>
      <c r="P29" s="813"/>
      <c r="Q29" s="813"/>
      <c r="R29" s="813"/>
      <c r="S29" s="813"/>
      <c r="T29" s="813"/>
      <c r="U29" s="813"/>
      <c r="V29" s="813"/>
      <c r="W29" s="813"/>
      <c r="X29" s="813"/>
      <c r="Y29" s="813"/>
      <c r="Z29" s="813"/>
      <c r="AA29" s="813"/>
      <c r="AB29" s="813"/>
      <c r="AC29" s="813"/>
      <c r="AD29" s="813"/>
      <c r="AE29" s="813"/>
      <c r="AF29" s="813"/>
      <c r="AG29" s="813"/>
      <c r="AH29" s="814">
        <f>SUM(EtatPresence3[[#This Row],[jour 1]:[jour 31]])</f>
        <v>0</v>
      </c>
      <c r="AI29" s="819"/>
    </row>
    <row r="30" spans="2:35" ht="16.5" customHeight="1" x14ac:dyDescent="0.25">
      <c r="B30" s="821"/>
      <c r="C30" s="822">
        <f>COUNTIF(EtatPresence3[jour 1],"NJ")+COUNTIF(EtatPresence3[jour 1],"S")+COUNTIF(EtatPresence3[jour 1],"J")</f>
        <v>0</v>
      </c>
      <c r="D30" s="822">
        <f>COUNTIF(EtatPresence3[jour 2],"N1")+COUNTIF(EtatPresence3[jour 2],"E")</f>
        <v>0</v>
      </c>
      <c r="E30" s="822">
        <f>COUNTIF(EtatPresence3[jour 3],"N1")+COUNTIF(EtatPresence3[jour 3],"E")</f>
        <v>0</v>
      </c>
      <c r="F30" s="822">
        <f>COUNTIF(EtatPresence3[jour 4],"N1")+COUNTIF(EtatPresence3[jour 4],"E")</f>
        <v>0</v>
      </c>
      <c r="G30" s="822">
        <f>COUNTIF(EtatPresence3[jour 5],"N1")+COUNTIF(EtatPresence3[jour 5],"E")</f>
        <v>0</v>
      </c>
      <c r="H30" s="822">
        <f>COUNTIF(EtatPresence3[jour 6],"N1")+COUNTIF(EtatPresence3[jour 6],"E")</f>
        <v>0</v>
      </c>
      <c r="I30" s="822">
        <f>COUNTIF(EtatPresence3[jour 7],"N1")+COUNTIF(EtatPresence3[jour 7],"E")</f>
        <v>0</v>
      </c>
      <c r="J30" s="822">
        <f>COUNTIF(EtatPresence3[jour 8],"N1")+COUNTIF(EtatPresence3[jour 8],"E")</f>
        <v>0</v>
      </c>
      <c r="K30" s="822">
        <f>COUNTIF(EtatPresence3[jour 9],"N1")+COUNTIF(EtatPresence3[jour 9],"E")</f>
        <v>0</v>
      </c>
      <c r="L30" s="822">
        <f>COUNTIF(EtatPresence3[jour 10],"N1")+COUNTIF(EtatPresence3[jour 10],"E")</f>
        <v>0</v>
      </c>
      <c r="M30" s="822">
        <f>COUNTIF(EtatPresence3[jour 11],"N1")+COUNTIF(EtatPresence3[jour 11],"E")</f>
        <v>0</v>
      </c>
      <c r="N30" s="822">
        <f>COUNTIF(EtatPresence3[jour 12],"N1")+COUNTIF(EtatPresence3[jour 12],"E")</f>
        <v>0</v>
      </c>
      <c r="O30" s="822"/>
      <c r="P30" s="822">
        <f>COUNTIF(EtatPresence3[jour 14],"N1")+COUNTIF(EtatPresence3[jour 14],"E")</f>
        <v>0</v>
      </c>
      <c r="Q30" s="822">
        <f>COUNTIF(EtatPresence3[jour 15],"N1")+COUNTIF(EtatPresence3[jour 15],"E")</f>
        <v>0</v>
      </c>
      <c r="R30" s="822">
        <f>COUNTIF(EtatPresence3[jour 16],"N1")+COUNTIF(EtatPresence3[jour 16],"E")</f>
        <v>0</v>
      </c>
      <c r="S30" s="822">
        <f>COUNTIF(EtatPresence3[jour 17],"N1")+COUNTIF(EtatPresence3[jour 17],"E")</f>
        <v>0</v>
      </c>
      <c r="T30" s="822">
        <f>COUNTIF(EtatPresence3[jour 18],"N1")+COUNTIF(EtatPresence3[jour 18],"E")</f>
        <v>0</v>
      </c>
      <c r="U30" s="822">
        <f>COUNTIF(EtatPresence3[jour 19],"N1")+COUNTIF(EtatPresence3[jour 19],"E")</f>
        <v>0</v>
      </c>
      <c r="V30" s="822">
        <f>COUNTIF(EtatPresence3[jour 20],"N1")+COUNTIF(EtatPresence3[jour 20],"E")</f>
        <v>0</v>
      </c>
      <c r="W30" s="822">
        <f>COUNTIF(EtatPresence3[jour 21],"N1")+COUNTIF(EtatPresence3[jour 21],"E")</f>
        <v>0</v>
      </c>
      <c r="X30" s="822">
        <f>COUNTIF(EtatPresence3[jour 22],"N1")+COUNTIF(EtatPresence3[jour 22],"E")</f>
        <v>0</v>
      </c>
      <c r="Y30" s="822">
        <f>COUNTIF(EtatPresence3[jour 23],"N1")+COUNTIF(EtatPresence3[jour 23],"E")</f>
        <v>0</v>
      </c>
      <c r="Z30" s="822">
        <f>COUNTIF(EtatPresence3[jour 24],"N1")+COUNTIF(EtatPresence3[jour 24],"E")</f>
        <v>0</v>
      </c>
      <c r="AA30" s="822">
        <f>COUNTIF(EtatPresence3[jour 25],"N1")+COUNTIF(EtatPresence3[jour 25],"E")</f>
        <v>0</v>
      </c>
      <c r="AB30" s="822">
        <f>COUNTIF(EtatPresence3[jour 26],"N1")+COUNTIF(EtatPresence3[jour 26],"E")</f>
        <v>0</v>
      </c>
      <c r="AC30" s="822">
        <f>COUNTIF(EtatPresence3[jour 27],"N1")+COUNTIF(EtatPresence3[jour 27],"E")</f>
        <v>0</v>
      </c>
      <c r="AD30" s="822">
        <f>COUNTIF(EtatPresence3[jour 28],"N1")+COUNTIF(EtatPresence3[jour 28],"E")</f>
        <v>0</v>
      </c>
      <c r="AE30" s="822">
        <f>COUNTIF(EtatPresence3[jour 29],"N1")+COUNTIF(EtatPresence3[jour 29],"E")</f>
        <v>0</v>
      </c>
      <c r="AF30" s="822">
        <f>COUNTIF(EtatPresence3[jour 30],"N1")+COUNTIF(EtatPresence3[jour 30],"E")</f>
        <v>0</v>
      </c>
      <c r="AG30" s="822">
        <f>COUNTIF(EtatPresence3[jour 31],"N1")+COUNTIF(EtatPresence3[jour 31],"E")</f>
        <v>0</v>
      </c>
      <c r="AH30" s="823">
        <f>SUM(AH7:AH29)</f>
        <v>-9685</v>
      </c>
    </row>
    <row r="31" spans="2:35" ht="16.5" customHeight="1" x14ac:dyDescent="0.25">
      <c r="B31" s="824"/>
      <c r="C31" s="825"/>
      <c r="D31" s="825"/>
      <c r="E31" s="825"/>
      <c r="F31" s="825"/>
      <c r="G31" s="825"/>
      <c r="H31" s="825"/>
      <c r="I31" s="825"/>
      <c r="J31" s="825"/>
      <c r="K31" s="825"/>
      <c r="L31" s="825"/>
      <c r="M31" s="825"/>
      <c r="N31" s="825"/>
      <c r="O31" s="825"/>
      <c r="P31" s="825"/>
      <c r="Q31" s="825"/>
      <c r="R31" s="825"/>
      <c r="S31" s="825"/>
      <c r="T31" s="825"/>
      <c r="U31" s="825"/>
      <c r="V31" s="825"/>
      <c r="W31" s="825"/>
      <c r="X31" s="825"/>
      <c r="Y31" s="825"/>
      <c r="Z31" s="825"/>
      <c r="AA31" s="825"/>
      <c r="AB31" s="825"/>
      <c r="AC31" s="825"/>
      <c r="AD31" s="825"/>
      <c r="AE31" s="825"/>
      <c r="AF31" s="825"/>
      <c r="AG31" s="825"/>
      <c r="AH31" s="825"/>
    </row>
    <row r="32" spans="2:35" ht="16.5" customHeight="1" x14ac:dyDescent="0.25"/>
    <row r="33" spans="33:34" ht="16.5" customHeight="1" x14ac:dyDescent="0.25"/>
    <row r="34" spans="33:34" ht="16.5" customHeight="1" x14ac:dyDescent="0.25"/>
    <row r="35" spans="33:34" ht="16.5" customHeight="1" x14ac:dyDescent="0.25">
      <c r="AG35" s="827"/>
      <c r="AH35" s="819"/>
    </row>
    <row r="36" spans="33:34" ht="16.5" customHeight="1" x14ac:dyDescent="0.25">
      <c r="AG36" s="827"/>
      <c r="AH36" s="819"/>
    </row>
    <row r="37" spans="33:34" ht="16.5" customHeight="1" x14ac:dyDescent="0.25">
      <c r="AG37" s="827"/>
      <c r="AH37" s="819"/>
    </row>
    <row r="38" spans="33:34" ht="16.5" customHeight="1" x14ac:dyDescent="0.25">
      <c r="AG38" s="827"/>
      <c r="AH38" s="819"/>
    </row>
    <row r="39" spans="33:34" ht="16.5" customHeight="1" x14ac:dyDescent="0.25">
      <c r="AG39" s="827"/>
      <c r="AH39" s="819"/>
    </row>
    <row r="40" spans="33:34" ht="16.5" customHeight="1" x14ac:dyDescent="0.25"/>
    <row r="41" spans="33:34" ht="16.5" customHeight="1" x14ac:dyDescent="0.25"/>
    <row r="42" spans="33:34" ht="16.5" customHeight="1" x14ac:dyDescent="0.25"/>
    <row r="43" spans="33:34" ht="16.5" customHeight="1" x14ac:dyDescent="0.25"/>
    <row r="44" spans="33:34" ht="16.5" customHeight="1" x14ac:dyDescent="0.25"/>
    <row r="45" spans="33:34" ht="16.5" customHeight="1" x14ac:dyDescent="0.25"/>
    <row r="46" spans="33:34" ht="16.5" customHeight="1" x14ac:dyDescent="0.25"/>
    <row r="47" spans="33:34" ht="16.5" customHeight="1" x14ac:dyDescent="0.25"/>
    <row r="48" spans="33:34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</sheetData>
  <mergeCells count="4">
    <mergeCell ref="L1:N1"/>
    <mergeCell ref="P1:R1"/>
    <mergeCell ref="U1:W1"/>
    <mergeCell ref="B3:B5"/>
  </mergeCells>
  <conditionalFormatting sqref="C7:AG29">
    <cfRule type="cellIs" dxfId="632" priority="2" operator="lessThanOrEqual">
      <formula>-3000</formula>
    </cfRule>
  </conditionalFormatting>
  <conditionalFormatting sqref="AH7:AH29">
    <cfRule type="dataBar" priority="1">
      <dataBar>
        <cfvo type="num" val="-10000"/>
        <cfvo type="num" val="-1"/>
        <color rgb="FFFF0000"/>
      </dataBar>
    </cfRule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2"/>
  <sheetViews>
    <sheetView workbookViewId="0">
      <selection activeCell="O7" sqref="O7"/>
    </sheetView>
  </sheetViews>
  <sheetFormatPr baseColWidth="10" defaultRowHeight="15" x14ac:dyDescent="0.25"/>
  <cols>
    <col min="1" max="1" width="5.42578125" style="688" customWidth="1"/>
    <col min="2" max="2" width="6.28515625" style="862" customWidth="1"/>
    <col min="3" max="3" width="35.140625" style="862" customWidth="1"/>
    <col min="4" max="4" width="13.85546875" style="688" customWidth="1"/>
    <col min="5" max="5" width="14.7109375" style="688" customWidth="1"/>
    <col min="6" max="6" width="15.5703125" style="688" customWidth="1"/>
    <col min="7" max="9" width="14" style="688" customWidth="1"/>
    <col min="10" max="10" width="12.7109375" style="688" customWidth="1"/>
    <col min="11" max="11" width="22.7109375" style="688" customWidth="1"/>
    <col min="12" max="12" width="10.85546875" style="688" customWidth="1"/>
    <col min="13" max="13" width="9.42578125" style="688" customWidth="1"/>
    <col min="14" max="14" width="10.42578125" style="688" hidden="1" customWidth="1"/>
    <col min="15" max="16384" width="11.42578125" style="688"/>
  </cols>
  <sheetData>
    <row r="1" spans="1:30" s="833" customFormat="1" ht="24.75" customHeight="1" x14ac:dyDescent="0.25">
      <c r="A1" s="828"/>
      <c r="B1" s="828"/>
      <c r="C1" s="828"/>
      <c r="D1" s="829" t="s">
        <v>442</v>
      </c>
      <c r="E1" s="830"/>
      <c r="F1" s="831" t="str">
        <f>[5]Présences!E1</f>
        <v>Nkozoa</v>
      </c>
      <c r="G1" s="832"/>
      <c r="H1" s="832"/>
      <c r="I1" s="832"/>
      <c r="M1" s="834"/>
      <c r="N1" s="834"/>
      <c r="O1" s="835"/>
      <c r="P1" s="835"/>
      <c r="U1" s="836"/>
      <c r="X1" s="837"/>
      <c r="AB1" s="838"/>
      <c r="AC1" s="838"/>
      <c r="AD1" s="839"/>
    </row>
    <row r="2" spans="1:30" s="847" customFormat="1" ht="22.5" customHeight="1" x14ac:dyDescent="0.25">
      <c r="A2" s="840"/>
      <c r="B2" s="840"/>
      <c r="C2" s="841" t="s">
        <v>443</v>
      </c>
      <c r="D2" s="842">
        <f>[5]Présences!O1</f>
        <v>43617</v>
      </c>
      <c r="E2" s="843" t="s">
        <v>365</v>
      </c>
      <c r="F2" s="844">
        <f>[5]Présences!S1</f>
        <v>43646</v>
      </c>
      <c r="G2" s="845"/>
      <c r="H2" s="845"/>
      <c r="I2" s="845"/>
      <c r="J2" s="833"/>
      <c r="K2" s="846"/>
      <c r="L2" s="846"/>
    </row>
    <row r="3" spans="1:30" s="848" customFormat="1" ht="82.5" customHeight="1" x14ac:dyDescent="0.25">
      <c r="B3" s="849" t="s">
        <v>384</v>
      </c>
      <c r="C3" s="849" t="s">
        <v>444</v>
      </c>
      <c r="D3" s="850" t="s">
        <v>445</v>
      </c>
      <c r="E3" s="850" t="s">
        <v>446</v>
      </c>
      <c r="F3" s="850" t="s">
        <v>447</v>
      </c>
      <c r="G3" s="850" t="s">
        <v>448</v>
      </c>
      <c r="H3" s="850" t="s">
        <v>449</v>
      </c>
      <c r="I3" s="850" t="s">
        <v>450</v>
      </c>
      <c r="J3" s="851" t="s">
        <v>441</v>
      </c>
      <c r="K3" s="852" t="s">
        <v>451</v>
      </c>
      <c r="N3" s="853">
        <f>DATE(2019,1,1)</f>
        <v>43466</v>
      </c>
    </row>
    <row r="4" spans="1:30" ht="15.75" x14ac:dyDescent="0.25">
      <c r="B4" s="854">
        <f>[5]Présences!B7</f>
        <v>1</v>
      </c>
      <c r="C4" s="854" t="str">
        <f>[5]Présences!D7</f>
        <v>BELA</v>
      </c>
      <c r="D4" s="855">
        <f>[5]Présences!AK7+[5]Présences!AL7</f>
        <v>0</v>
      </c>
      <c r="E4" s="855">
        <f>[5]Présences!AM7</f>
        <v>0</v>
      </c>
      <c r="F4" s="856">
        <f>[5]Présences!AJ7</f>
        <v>0</v>
      </c>
      <c r="G4" s="855">
        <f>[5]Présences!AN7+[5]Présences!AP7</f>
        <v>2</v>
      </c>
      <c r="H4" s="855">
        <f>[5]Présences!AQ7</f>
        <v>0</v>
      </c>
      <c r="I4" s="855">
        <f>[5]Présences!AO7+[5]Présences!AN7</f>
        <v>2</v>
      </c>
      <c r="J4" s="856">
        <f>[5]Manquants!AH7</f>
        <v>0</v>
      </c>
      <c r="K4" s="857"/>
      <c r="N4" s="858">
        <f>EDATE(N3,1)</f>
        <v>43497</v>
      </c>
    </row>
    <row r="5" spans="1:30" ht="15.75" x14ac:dyDescent="0.25">
      <c r="B5" s="854">
        <f>[5]Présences!B8</f>
        <v>2</v>
      </c>
      <c r="C5" s="854" t="str">
        <f>[5]Présences!D8</f>
        <v>BITOMO</v>
      </c>
      <c r="D5" s="855">
        <f>[5]Présences!AK8+[5]Présences!AL8</f>
        <v>0</v>
      </c>
      <c r="E5" s="855">
        <f>[5]Présences!AM8</f>
        <v>0</v>
      </c>
      <c r="F5" s="856">
        <f>[5]Présences!AJ8</f>
        <v>0</v>
      </c>
      <c r="G5" s="855">
        <f>[5]Présences!AN8+[5]Présences!AP8</f>
        <v>1</v>
      </c>
      <c r="H5" s="855">
        <f>[5]Présences!AQ8</f>
        <v>0</v>
      </c>
      <c r="I5" s="855">
        <f>[5]Présences!AO8+[5]Présences!AN8</f>
        <v>2</v>
      </c>
      <c r="J5" s="856">
        <f>[5]Manquants!AH8</f>
        <v>-950</v>
      </c>
      <c r="K5" s="857"/>
      <c r="N5" s="858">
        <f t="shared" ref="N5:N30" si="0">EDATE(N4,1)</f>
        <v>43525</v>
      </c>
    </row>
    <row r="6" spans="1:30" ht="15.75" x14ac:dyDescent="0.25">
      <c r="B6" s="854">
        <f>[5]Présences!B9</f>
        <v>3</v>
      </c>
      <c r="C6" s="854" t="str">
        <f>[5]Présences!D9</f>
        <v>ANABA</v>
      </c>
      <c r="D6" s="855">
        <f>[5]Présences!AK9+[5]Présences!AL9</f>
        <v>0</v>
      </c>
      <c r="E6" s="855">
        <f>[5]Présences!AM9</f>
        <v>0</v>
      </c>
      <c r="F6" s="856">
        <f>[5]Présences!AJ9</f>
        <v>0</v>
      </c>
      <c r="G6" s="855">
        <f>[5]Présences!AN9+[5]Présences!AP9</f>
        <v>1</v>
      </c>
      <c r="H6" s="855">
        <f>[5]Présences!AQ9</f>
        <v>0</v>
      </c>
      <c r="I6" s="855">
        <f>[5]Présences!AO9+[5]Présences!AN9</f>
        <v>2</v>
      </c>
      <c r="J6" s="856">
        <f>[5]Manquants!AH9</f>
        <v>105</v>
      </c>
      <c r="K6" s="857"/>
      <c r="N6" s="858">
        <f t="shared" si="0"/>
        <v>43556</v>
      </c>
    </row>
    <row r="7" spans="1:30" ht="15.75" x14ac:dyDescent="0.25">
      <c r="B7" s="854">
        <f>[5]Présences!B10</f>
        <v>4</v>
      </c>
      <c r="C7" s="854" t="str">
        <f>[5]Présences!D10</f>
        <v>KENGNE</v>
      </c>
      <c r="D7" s="855">
        <f>[5]Présences!AK10+[5]Présences!AL10</f>
        <v>0</v>
      </c>
      <c r="E7" s="855">
        <f>[5]Présences!AM10</f>
        <v>0</v>
      </c>
      <c r="F7" s="856">
        <f>[5]Présences!AJ10</f>
        <v>0</v>
      </c>
      <c r="G7" s="855">
        <f>[5]Présences!AN10+[5]Présences!AP10</f>
        <v>2</v>
      </c>
      <c r="H7" s="855">
        <f>[5]Présences!AQ10</f>
        <v>0</v>
      </c>
      <c r="I7" s="855">
        <f>[5]Présences!AO10+[5]Présences!AN10</f>
        <v>2</v>
      </c>
      <c r="J7" s="856">
        <f>[5]Manquants!AH10</f>
        <v>-3920</v>
      </c>
      <c r="K7" s="857"/>
      <c r="N7" s="858">
        <f t="shared" si="0"/>
        <v>43586</v>
      </c>
    </row>
    <row r="8" spans="1:30" ht="15.75" x14ac:dyDescent="0.25">
      <c r="B8" s="854">
        <f>[5]Présences!B11</f>
        <v>5</v>
      </c>
      <c r="C8" s="854" t="str">
        <f>[5]Présences!D11</f>
        <v>MELINGUI J</v>
      </c>
      <c r="D8" s="855">
        <f>[5]Présences!AK11+[5]Présences!AL11</f>
        <v>0</v>
      </c>
      <c r="E8" s="855">
        <f>[5]Présences!AM11</f>
        <v>0</v>
      </c>
      <c r="F8" s="856">
        <f>[5]Présences!AJ11</f>
        <v>0</v>
      </c>
      <c r="G8" s="855">
        <f>[5]Présences!AN11+[5]Présences!AP11</f>
        <v>2</v>
      </c>
      <c r="H8" s="855">
        <f>[5]Présences!AQ11</f>
        <v>0</v>
      </c>
      <c r="I8" s="855">
        <f>[5]Présences!AO11+[5]Présences!AN11</f>
        <v>2</v>
      </c>
      <c r="J8" s="856">
        <f>[5]Manquants!AH11</f>
        <v>-2970</v>
      </c>
      <c r="K8" s="857"/>
      <c r="N8" s="858">
        <f t="shared" si="0"/>
        <v>43617</v>
      </c>
    </row>
    <row r="9" spans="1:30" ht="15.75" x14ac:dyDescent="0.25">
      <c r="B9" s="854">
        <f>[5]Présences!B12</f>
        <v>6</v>
      </c>
      <c r="C9" s="854" t="str">
        <f>[5]Présences!D12</f>
        <v xml:space="preserve">NDI ASSEMBE </v>
      </c>
      <c r="D9" s="855">
        <f>[5]Présences!AK12+[5]Présences!AL12</f>
        <v>0</v>
      </c>
      <c r="E9" s="855">
        <f>[5]Présences!AM12</f>
        <v>0</v>
      </c>
      <c r="F9" s="856">
        <f>[5]Présences!AJ12</f>
        <v>0</v>
      </c>
      <c r="G9" s="855">
        <f>[5]Présences!AN12+[5]Présences!AP12</f>
        <v>2</v>
      </c>
      <c r="H9" s="855">
        <f>[5]Présences!AQ12</f>
        <v>0</v>
      </c>
      <c r="I9" s="855">
        <f>[5]Présences!AO12+[5]Présences!AN12</f>
        <v>2</v>
      </c>
      <c r="J9" s="856">
        <f>[5]Manquants!AH12</f>
        <v>-185</v>
      </c>
      <c r="K9" s="857"/>
      <c r="N9" s="858">
        <f t="shared" si="0"/>
        <v>43647</v>
      </c>
    </row>
    <row r="10" spans="1:30" ht="15.75" x14ac:dyDescent="0.25">
      <c r="B10" s="854">
        <f>[5]Présences!B13</f>
        <v>7</v>
      </c>
      <c r="C10" s="854" t="str">
        <f>[5]Présences!D13</f>
        <v>ISSAH MARTINIEN</v>
      </c>
      <c r="D10" s="855">
        <f>[5]Présences!AK13+[5]Présences!AL13</f>
        <v>0</v>
      </c>
      <c r="E10" s="855">
        <f>[5]Présences!AM13</f>
        <v>0</v>
      </c>
      <c r="F10" s="856">
        <f>[5]Présences!AJ13</f>
        <v>0</v>
      </c>
      <c r="G10" s="855">
        <f>[5]Présences!AN13+[5]Présences!AP13</f>
        <v>2</v>
      </c>
      <c r="H10" s="855">
        <f>[5]Présences!AQ13</f>
        <v>0</v>
      </c>
      <c r="I10" s="855">
        <f>[5]Présences!AO13+[5]Présences!AN13</f>
        <v>2</v>
      </c>
      <c r="J10" s="856">
        <f>[5]Manquants!AH13</f>
        <v>-1765</v>
      </c>
      <c r="K10" s="857"/>
      <c r="N10" s="858">
        <f t="shared" si="0"/>
        <v>43678</v>
      </c>
    </row>
    <row r="11" spans="1:30" ht="15.75" x14ac:dyDescent="0.25">
      <c r="B11" s="854">
        <f>[5]Présences!B14</f>
        <v>8</v>
      </c>
      <c r="C11" s="854" t="str">
        <f>[5]Présences!D14</f>
        <v>BILE</v>
      </c>
      <c r="D11" s="855">
        <f>[5]Présences!AK14+[5]Présences!AL14</f>
        <v>0</v>
      </c>
      <c r="E11" s="855">
        <f>[5]Présences!AM14</f>
        <v>0</v>
      </c>
      <c r="F11" s="856">
        <f>[5]Présences!AJ14</f>
        <v>0</v>
      </c>
      <c r="G11" s="855">
        <f>[5]Présences!AN14+[5]Présences!AP14</f>
        <v>2</v>
      </c>
      <c r="H11" s="855">
        <f>[5]Présences!AQ14</f>
        <v>0</v>
      </c>
      <c r="I11" s="855">
        <f>[5]Présences!AO14+[5]Présences!AN14</f>
        <v>2</v>
      </c>
      <c r="J11" s="856">
        <f>[5]Manquants!AH14</f>
        <v>0</v>
      </c>
      <c r="K11" s="857"/>
      <c r="N11" s="858">
        <f t="shared" si="0"/>
        <v>43709</v>
      </c>
    </row>
    <row r="12" spans="1:30" ht="15.75" x14ac:dyDescent="0.25">
      <c r="B12" s="854">
        <f>[5]Présences!B15</f>
        <v>9</v>
      </c>
      <c r="C12" s="854">
        <f>[5]Présences!D15</f>
        <v>0</v>
      </c>
      <c r="D12" s="855">
        <f>[5]Présences!AK15+[5]Présences!AL15</f>
        <v>0</v>
      </c>
      <c r="E12" s="855">
        <f>[5]Présences!AM15</f>
        <v>0</v>
      </c>
      <c r="F12" s="856">
        <f>[5]Présences!AJ15</f>
        <v>0</v>
      </c>
      <c r="G12" s="855">
        <f>[5]Présences!AN15+[5]Présences!AP15</f>
        <v>0</v>
      </c>
      <c r="H12" s="855">
        <f>[5]Présences!AQ15</f>
        <v>0</v>
      </c>
      <c r="I12" s="855">
        <f>[5]Présences!AO15+[5]Présences!AN15</f>
        <v>0</v>
      </c>
      <c r="J12" s="856">
        <f>[5]Manquants!AH15</f>
        <v>0</v>
      </c>
      <c r="K12" s="857"/>
      <c r="N12" s="858">
        <f t="shared" si="0"/>
        <v>43739</v>
      </c>
    </row>
    <row r="13" spans="1:30" ht="15.75" x14ac:dyDescent="0.25">
      <c r="B13" s="854">
        <f>[5]Présences!B16</f>
        <v>10</v>
      </c>
      <c r="C13" s="854">
        <f>[5]Présences!D16</f>
        <v>0</v>
      </c>
      <c r="D13" s="855">
        <f>[5]Présences!AK16+[5]Présences!AL16</f>
        <v>0</v>
      </c>
      <c r="E13" s="855">
        <f>[5]Présences!AM16</f>
        <v>0</v>
      </c>
      <c r="F13" s="856">
        <f>[5]Présences!AJ16</f>
        <v>0</v>
      </c>
      <c r="G13" s="855">
        <f>[5]Présences!AN16+[5]Présences!AP16</f>
        <v>0</v>
      </c>
      <c r="H13" s="855">
        <f>[5]Présences!AQ16</f>
        <v>0</v>
      </c>
      <c r="I13" s="855">
        <f>[5]Présences!AO16+[5]Présences!AN16</f>
        <v>0</v>
      </c>
      <c r="J13" s="856">
        <f>[5]Manquants!AH16</f>
        <v>0</v>
      </c>
      <c r="K13" s="857"/>
      <c r="N13" s="858">
        <f t="shared" si="0"/>
        <v>43770</v>
      </c>
    </row>
    <row r="14" spans="1:30" ht="15.75" x14ac:dyDescent="0.25">
      <c r="B14" s="854">
        <f>[5]Présences!B17</f>
        <v>11</v>
      </c>
      <c r="C14" s="854">
        <f>[5]Présences!D17</f>
        <v>0</v>
      </c>
      <c r="D14" s="855">
        <f>[5]Présences!AK17+[5]Présences!AL17</f>
        <v>0</v>
      </c>
      <c r="E14" s="855">
        <f>[5]Présences!AM17</f>
        <v>0</v>
      </c>
      <c r="F14" s="856">
        <f>[5]Présences!AJ17</f>
        <v>0</v>
      </c>
      <c r="G14" s="855">
        <f>[5]Présences!AN17+[5]Présences!AP17</f>
        <v>0</v>
      </c>
      <c r="H14" s="855">
        <f>[5]Présences!AQ17</f>
        <v>0</v>
      </c>
      <c r="I14" s="855">
        <f>[5]Présences!AO17+[5]Présences!AN17</f>
        <v>0</v>
      </c>
      <c r="J14" s="856">
        <f>[5]Manquants!AH17</f>
        <v>0</v>
      </c>
      <c r="K14" s="857"/>
      <c r="N14" s="858">
        <f t="shared" si="0"/>
        <v>43800</v>
      </c>
    </row>
    <row r="15" spans="1:30" ht="15.75" x14ac:dyDescent="0.25">
      <c r="B15" s="854">
        <f>[5]Présences!B18</f>
        <v>12</v>
      </c>
      <c r="C15" s="854">
        <f>[5]Présences!D18</f>
        <v>0</v>
      </c>
      <c r="D15" s="855">
        <f>[5]Présences!AK18+[5]Présences!AL18</f>
        <v>0</v>
      </c>
      <c r="E15" s="855">
        <f>[5]Présences!AM18</f>
        <v>0</v>
      </c>
      <c r="F15" s="856">
        <f>[5]Présences!AJ18</f>
        <v>0</v>
      </c>
      <c r="G15" s="855">
        <f>[5]Présences!AN18+[5]Présences!AP18</f>
        <v>0</v>
      </c>
      <c r="H15" s="855">
        <f>[5]Présences!AQ18</f>
        <v>0</v>
      </c>
      <c r="I15" s="855">
        <f>[5]Présences!AO18+[5]Présences!AN18</f>
        <v>0</v>
      </c>
      <c r="J15" s="856">
        <f>[5]Manquants!AH18</f>
        <v>0</v>
      </c>
      <c r="K15" s="857"/>
      <c r="N15" s="858">
        <f t="shared" si="0"/>
        <v>43831</v>
      </c>
    </row>
    <row r="16" spans="1:30" ht="15.75" x14ac:dyDescent="0.25">
      <c r="B16" s="854">
        <f>[5]Présences!B19</f>
        <v>13</v>
      </c>
      <c r="C16" s="854">
        <f>[5]Présences!D19</f>
        <v>0</v>
      </c>
      <c r="D16" s="855">
        <f>[5]Présences!AK19+[5]Présences!AL19</f>
        <v>0</v>
      </c>
      <c r="E16" s="855">
        <f>[5]Présences!AM19</f>
        <v>0</v>
      </c>
      <c r="F16" s="856">
        <f>[5]Présences!AJ19</f>
        <v>0</v>
      </c>
      <c r="G16" s="855">
        <f>[5]Présences!AN19+[5]Présences!AP19</f>
        <v>0</v>
      </c>
      <c r="H16" s="855">
        <f>[5]Présences!AQ19</f>
        <v>0</v>
      </c>
      <c r="I16" s="855">
        <f>[5]Présences!AO19+[5]Présences!AN19</f>
        <v>0</v>
      </c>
      <c r="J16" s="856">
        <f>[5]Manquants!AH19</f>
        <v>0</v>
      </c>
      <c r="K16" s="857"/>
      <c r="N16" s="858">
        <f t="shared" si="0"/>
        <v>43862</v>
      </c>
    </row>
    <row r="17" spans="1:14" ht="15.75" x14ac:dyDescent="0.25">
      <c r="B17" s="854">
        <f>[5]Présences!B20</f>
        <v>14</v>
      </c>
      <c r="C17" s="854">
        <f>[5]Présences!D20</f>
        <v>0</v>
      </c>
      <c r="D17" s="855">
        <f>[5]Présences!AK20+[5]Présences!AL20</f>
        <v>0</v>
      </c>
      <c r="E17" s="855">
        <f>[5]Présences!AM20</f>
        <v>0</v>
      </c>
      <c r="F17" s="856">
        <f>[5]Présences!AJ20</f>
        <v>0</v>
      </c>
      <c r="G17" s="855">
        <f>[5]Présences!AN20+[5]Présences!AP20</f>
        <v>0</v>
      </c>
      <c r="H17" s="855">
        <f>[5]Présences!AQ20</f>
        <v>0</v>
      </c>
      <c r="I17" s="855">
        <f>[5]Présences!AO20+[5]Présences!AN20</f>
        <v>0</v>
      </c>
      <c r="J17" s="856">
        <f>[5]Manquants!AH20</f>
        <v>0</v>
      </c>
      <c r="K17" s="857"/>
      <c r="N17" s="858">
        <f t="shared" si="0"/>
        <v>43891</v>
      </c>
    </row>
    <row r="18" spans="1:14" ht="15.75" x14ac:dyDescent="0.25">
      <c r="B18" s="854">
        <f>[5]Présences!B21</f>
        <v>15</v>
      </c>
      <c r="C18" s="854">
        <f>[5]Présences!D21</f>
        <v>0</v>
      </c>
      <c r="D18" s="855">
        <f>[5]Présences!AK21+[5]Présences!AL21</f>
        <v>0</v>
      </c>
      <c r="E18" s="855">
        <f>[5]Présences!AM21</f>
        <v>0</v>
      </c>
      <c r="F18" s="856">
        <f>[5]Présences!AJ21</f>
        <v>0</v>
      </c>
      <c r="G18" s="855">
        <f>[5]Présences!AN21+[5]Présences!AP21</f>
        <v>0</v>
      </c>
      <c r="H18" s="855">
        <f>[5]Présences!AQ21</f>
        <v>0</v>
      </c>
      <c r="I18" s="855">
        <f>[5]Présences!AO21+[5]Présences!AN21</f>
        <v>0</v>
      </c>
      <c r="J18" s="856">
        <f>[5]Manquants!AH21</f>
        <v>0</v>
      </c>
      <c r="K18" s="857"/>
      <c r="N18" s="858">
        <f t="shared" si="0"/>
        <v>43922</v>
      </c>
    </row>
    <row r="19" spans="1:14" ht="15.75" x14ac:dyDescent="0.25">
      <c r="B19" s="854">
        <f>[5]Présences!B22</f>
        <v>16</v>
      </c>
      <c r="C19" s="854">
        <f>[5]Présences!D22</f>
        <v>0</v>
      </c>
      <c r="D19" s="855">
        <f>[5]Présences!AK22+[5]Présences!AL22</f>
        <v>0</v>
      </c>
      <c r="E19" s="855">
        <f>[5]Présences!AM22</f>
        <v>0</v>
      </c>
      <c r="F19" s="856">
        <f>[5]Présences!AJ22</f>
        <v>0</v>
      </c>
      <c r="G19" s="855">
        <f>[5]Présences!AN22+[5]Présences!AP22</f>
        <v>0</v>
      </c>
      <c r="H19" s="855">
        <f>[5]Présences!AQ22</f>
        <v>0</v>
      </c>
      <c r="I19" s="855">
        <f>[5]Présences!AO22+[5]Présences!AN22</f>
        <v>0</v>
      </c>
      <c r="J19" s="856">
        <f>[5]Manquants!AH22</f>
        <v>0</v>
      </c>
      <c r="K19" s="857"/>
      <c r="N19" s="858">
        <f t="shared" si="0"/>
        <v>43952</v>
      </c>
    </row>
    <row r="20" spans="1:14" ht="15.75" x14ac:dyDescent="0.25">
      <c r="B20" s="854">
        <f>[5]Présences!B23</f>
        <v>17</v>
      </c>
      <c r="C20" s="854">
        <f>[5]Présences!D23</f>
        <v>0</v>
      </c>
      <c r="D20" s="855">
        <f>[5]Présences!AK23+[5]Présences!AL23</f>
        <v>0</v>
      </c>
      <c r="E20" s="855">
        <f>[5]Présences!AM23</f>
        <v>0</v>
      </c>
      <c r="F20" s="856">
        <f>[5]Présences!AJ23</f>
        <v>0</v>
      </c>
      <c r="G20" s="855">
        <f>[5]Présences!AN23+[5]Présences!AP23</f>
        <v>0</v>
      </c>
      <c r="H20" s="855">
        <f>[5]Présences!AQ23</f>
        <v>0</v>
      </c>
      <c r="I20" s="855">
        <f>[5]Présences!AO23+[5]Présences!AN23</f>
        <v>0</v>
      </c>
      <c r="J20" s="856">
        <f>[5]Manquants!AH23</f>
        <v>0</v>
      </c>
      <c r="K20" s="857"/>
      <c r="N20" s="858">
        <f t="shared" si="0"/>
        <v>43983</v>
      </c>
    </row>
    <row r="21" spans="1:14" ht="15.75" x14ac:dyDescent="0.25">
      <c r="B21" s="854">
        <f>[5]Présences!B24</f>
        <v>18</v>
      </c>
      <c r="C21" s="854">
        <f>[5]Présences!D24</f>
        <v>0</v>
      </c>
      <c r="D21" s="855">
        <f>[5]Présences!AK24+[5]Présences!AL24</f>
        <v>0</v>
      </c>
      <c r="E21" s="855">
        <f>[5]Présences!AM24</f>
        <v>0</v>
      </c>
      <c r="F21" s="856">
        <f>[5]Présences!AJ24</f>
        <v>0</v>
      </c>
      <c r="G21" s="855">
        <f>[5]Présences!AN24+[5]Présences!AP24</f>
        <v>0</v>
      </c>
      <c r="H21" s="855">
        <f>[5]Présences!AQ24</f>
        <v>0</v>
      </c>
      <c r="I21" s="855">
        <f>[5]Présences!AO24+[5]Présences!AN24</f>
        <v>0</v>
      </c>
      <c r="J21" s="856">
        <f>[5]Manquants!AH24</f>
        <v>0</v>
      </c>
      <c r="K21" s="857"/>
      <c r="N21" s="858">
        <f t="shared" si="0"/>
        <v>44013</v>
      </c>
    </row>
    <row r="22" spans="1:14" ht="15.75" x14ac:dyDescent="0.25">
      <c r="B22" s="854">
        <f>[5]Présences!B25</f>
        <v>19</v>
      </c>
      <c r="C22" s="854">
        <f>[5]Présences!D25</f>
        <v>0</v>
      </c>
      <c r="D22" s="855">
        <f>[5]Présences!AK25+[5]Présences!AL25</f>
        <v>0</v>
      </c>
      <c r="E22" s="855">
        <f>[5]Présences!AM25</f>
        <v>0</v>
      </c>
      <c r="F22" s="856">
        <f>[5]Présences!AJ25</f>
        <v>0</v>
      </c>
      <c r="G22" s="855">
        <f>[5]Présences!AN25+[5]Présences!AP25</f>
        <v>0</v>
      </c>
      <c r="H22" s="855">
        <f>[5]Présences!AQ25</f>
        <v>0</v>
      </c>
      <c r="I22" s="855">
        <f>[5]Présences!AO25+[5]Présences!AN25</f>
        <v>0</v>
      </c>
      <c r="J22" s="856">
        <f>[5]Manquants!AH25</f>
        <v>0</v>
      </c>
      <c r="K22" s="857"/>
      <c r="N22" s="858">
        <f t="shared" si="0"/>
        <v>44044</v>
      </c>
    </row>
    <row r="23" spans="1:14" ht="15.75" x14ac:dyDescent="0.25">
      <c r="B23" s="854">
        <f>[5]Présences!B26</f>
        <v>20</v>
      </c>
      <c r="C23" s="854">
        <f>[5]Présences!D26</f>
        <v>0</v>
      </c>
      <c r="D23" s="855">
        <f>[5]Présences!AK26+[5]Présences!AL26</f>
        <v>0</v>
      </c>
      <c r="E23" s="855">
        <f>[5]Présences!AM26</f>
        <v>0</v>
      </c>
      <c r="F23" s="856">
        <f>[5]Présences!AJ26</f>
        <v>0</v>
      </c>
      <c r="G23" s="855">
        <f>[5]Présences!AN26+[5]Présences!AP26</f>
        <v>0</v>
      </c>
      <c r="H23" s="855">
        <f>[5]Présences!AQ26</f>
        <v>0</v>
      </c>
      <c r="I23" s="855">
        <f>[5]Présences!AO26+[5]Présences!AN26</f>
        <v>0</v>
      </c>
      <c r="J23" s="856">
        <f>[5]Manquants!AH26</f>
        <v>0</v>
      </c>
      <c r="K23" s="857"/>
      <c r="N23" s="858">
        <f t="shared" si="0"/>
        <v>44075</v>
      </c>
    </row>
    <row r="24" spans="1:14" ht="15.75" x14ac:dyDescent="0.25">
      <c r="B24" s="854">
        <f>[5]Présences!B27</f>
        <v>21</v>
      </c>
      <c r="C24" s="854">
        <f>[5]Présences!D27</f>
        <v>0</v>
      </c>
      <c r="D24" s="855">
        <f>[5]Présences!AK27+[5]Présences!AL27</f>
        <v>0</v>
      </c>
      <c r="E24" s="855">
        <f>[5]Présences!AM27</f>
        <v>0</v>
      </c>
      <c r="F24" s="856">
        <f>[5]Présences!AJ27</f>
        <v>0</v>
      </c>
      <c r="G24" s="855">
        <f>[5]Présences!AN27+[5]Présences!AP27</f>
        <v>0</v>
      </c>
      <c r="H24" s="855">
        <f>[5]Présences!AQ27</f>
        <v>0</v>
      </c>
      <c r="I24" s="855">
        <f>[5]Présences!AO27+[5]Présences!AN27</f>
        <v>0</v>
      </c>
      <c r="J24" s="856">
        <f>[5]Manquants!AH27</f>
        <v>0</v>
      </c>
      <c r="K24" s="857"/>
      <c r="N24" s="858">
        <f t="shared" si="0"/>
        <v>44105</v>
      </c>
    </row>
    <row r="25" spans="1:14" ht="15.75" x14ac:dyDescent="0.25">
      <c r="B25" s="854">
        <f>[5]Présences!B28</f>
        <v>22</v>
      </c>
      <c r="C25" s="854">
        <f>[5]Présences!D28</f>
        <v>0</v>
      </c>
      <c r="D25" s="855">
        <f>[5]Présences!AK28+[5]Présences!AL28</f>
        <v>0</v>
      </c>
      <c r="E25" s="855">
        <f>[5]Présences!AM28</f>
        <v>0</v>
      </c>
      <c r="F25" s="856">
        <f>[5]Présences!AJ28</f>
        <v>0</v>
      </c>
      <c r="G25" s="855">
        <f>[5]Présences!AN28+[5]Présences!AP28</f>
        <v>0</v>
      </c>
      <c r="H25" s="855">
        <f>[5]Présences!AQ28</f>
        <v>0</v>
      </c>
      <c r="I25" s="855">
        <f>[5]Présences!AO28+[5]Présences!AN28</f>
        <v>0</v>
      </c>
      <c r="J25" s="856">
        <f>[5]Manquants!AH28</f>
        <v>0</v>
      </c>
      <c r="K25" s="857"/>
      <c r="N25" s="858">
        <f t="shared" si="0"/>
        <v>44136</v>
      </c>
    </row>
    <row r="26" spans="1:14" ht="15.75" x14ac:dyDescent="0.25">
      <c r="B26" s="854">
        <f>[5]Présences!B29</f>
        <v>23</v>
      </c>
      <c r="C26" s="854">
        <f>[5]Présences!D29</f>
        <v>0</v>
      </c>
      <c r="D26" s="855">
        <f>[5]Présences!AK29+[5]Présences!AL29</f>
        <v>0</v>
      </c>
      <c r="E26" s="855">
        <f>[5]Présences!AM29</f>
        <v>0</v>
      </c>
      <c r="F26" s="856">
        <f>[5]Présences!AJ29</f>
        <v>0</v>
      </c>
      <c r="G26" s="855">
        <f>[5]Présences!AN29+[5]Présences!AP29</f>
        <v>0</v>
      </c>
      <c r="H26" s="855">
        <f>[5]Présences!AQ29</f>
        <v>0</v>
      </c>
      <c r="I26" s="855">
        <f>[5]Présences!AO29+[5]Présences!AN29</f>
        <v>0</v>
      </c>
      <c r="J26" s="856">
        <f>[5]Manquants!AH29</f>
        <v>0</v>
      </c>
      <c r="K26" s="857"/>
      <c r="N26" s="858">
        <f t="shared" si="0"/>
        <v>44166</v>
      </c>
    </row>
    <row r="27" spans="1:14" ht="26.25" x14ac:dyDescent="0.4">
      <c r="B27" s="859"/>
      <c r="C27" s="860" t="s">
        <v>33</v>
      </c>
      <c r="D27" s="861">
        <f>SUM(D4:D26)</f>
        <v>0</v>
      </c>
      <c r="E27" s="861">
        <f>SUM(E4:E26)</f>
        <v>0</v>
      </c>
      <c r="F27" s="861">
        <f>SUM(F4:F26)</f>
        <v>0</v>
      </c>
      <c r="G27" s="861">
        <f>SUM(G4:G26)</f>
        <v>14</v>
      </c>
      <c r="H27" s="861">
        <f>[5]Présences!AQ30</f>
        <v>0</v>
      </c>
      <c r="I27" s="861">
        <f>[5]Présences!AO30+[5]Présences!AN30</f>
        <v>16</v>
      </c>
      <c r="J27" s="861">
        <f>SUM(J4:J26)</f>
        <v>-9685</v>
      </c>
      <c r="K27" s="861">
        <f>SUM(K4:K26)</f>
        <v>0</v>
      </c>
      <c r="N27" s="858">
        <f t="shared" si="0"/>
        <v>44197</v>
      </c>
    </row>
    <row r="28" spans="1:14" x14ac:dyDescent="0.25">
      <c r="N28" s="858">
        <f t="shared" si="0"/>
        <v>44228</v>
      </c>
    </row>
    <row r="29" spans="1:14" x14ac:dyDescent="0.25">
      <c r="C29" s="863"/>
      <c r="D29" s="864"/>
      <c r="E29" s="864"/>
      <c r="F29" s="865" t="s">
        <v>452</v>
      </c>
      <c r="G29" s="866" t="e">
        <f>-([5]!EtatPresence3[[#Totals],[Total Manquant]]/(3000*[5]Présences!M33-[5]Présences!L33))</f>
        <v>#REF!</v>
      </c>
      <c r="H29" s="866"/>
      <c r="I29" s="866"/>
      <c r="J29" s="864" t="s">
        <v>453</v>
      </c>
      <c r="K29" s="867"/>
      <c r="N29" s="858">
        <f t="shared" si="0"/>
        <v>44256</v>
      </c>
    </row>
    <row r="30" spans="1:14" x14ac:dyDescent="0.25">
      <c r="C30" s="868"/>
      <c r="D30" s="869"/>
      <c r="E30" s="869"/>
      <c r="F30" s="870"/>
      <c r="G30" s="869"/>
      <c r="H30" s="869"/>
      <c r="I30" s="869"/>
      <c r="J30" s="870" t="s">
        <v>454</v>
      </c>
      <c r="K30" s="871" t="e">
        <f>[5]!EtatPresence[[#Totals],[Jours d’absence ce mois]]/[5]Présences!M33</f>
        <v>#REF!</v>
      </c>
      <c r="N30" s="858">
        <f t="shared" si="0"/>
        <v>44287</v>
      </c>
    </row>
    <row r="31" spans="1:14" x14ac:dyDescent="0.25">
      <c r="N31" s="858"/>
    </row>
    <row r="32" spans="1:14" ht="26.25" x14ac:dyDescent="0.4">
      <c r="A32" s="2082" t="s">
        <v>455</v>
      </c>
      <c r="B32" s="2082"/>
      <c r="C32" s="2082"/>
      <c r="D32" s="2082"/>
      <c r="E32" s="2082"/>
      <c r="F32" s="2082"/>
      <c r="G32" s="2082"/>
      <c r="H32" s="2082"/>
      <c r="I32" s="2082"/>
      <c r="J32" s="2082"/>
      <c r="K32" s="2082"/>
    </row>
  </sheetData>
  <sheetProtection sheet="1" objects="1" scenarios="1"/>
  <mergeCells count="1">
    <mergeCell ref="A32:K32"/>
  </mergeCells>
  <pageMargins left="0.7" right="0.7" top="0.75" bottom="0.75" header="0.3" footer="0.3"/>
  <pageSetup paperSize="9" scale="73" orientation="landscape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5"/>
  <sheetViews>
    <sheetView topLeftCell="B1" workbookViewId="0">
      <selection activeCell="L8" sqref="L8"/>
    </sheetView>
  </sheetViews>
  <sheetFormatPr baseColWidth="10" defaultColWidth="9.140625" defaultRowHeight="13.5" x14ac:dyDescent="0.25"/>
  <cols>
    <col min="1" max="1" width="2.140625" style="775" customWidth="1"/>
    <col min="2" max="2" width="3.140625" style="780" customWidth="1"/>
    <col min="3" max="3" width="18.85546875" style="780" customWidth="1"/>
    <col min="4" max="4" width="26" style="780" customWidth="1"/>
    <col min="5" max="5" width="13.5703125" style="786" customWidth="1"/>
    <col min="6" max="6" width="12.140625" style="776" customWidth="1"/>
    <col min="7" max="7" width="10" style="776" customWidth="1"/>
    <col min="8" max="8" width="9.28515625" style="776" customWidth="1"/>
    <col min="9" max="9" width="10" style="776" customWidth="1"/>
    <col min="10" max="10" width="9" style="776" customWidth="1"/>
    <col min="11" max="12" width="9.42578125" style="776" customWidth="1"/>
    <col min="13" max="13" width="8.28515625" style="776" customWidth="1"/>
    <col min="14" max="14" width="9.7109375" style="776" customWidth="1"/>
    <col min="15" max="20" width="7" style="776" bestFit="1" customWidth="1"/>
    <col min="21" max="21" width="10.140625" style="776" bestFit="1" customWidth="1"/>
    <col min="22" max="23" width="7" style="776" bestFit="1" customWidth="1"/>
    <col min="24" max="24" width="8" style="776" customWidth="1"/>
    <col min="25" max="25" width="8.5703125" style="776" customWidth="1"/>
    <col min="26" max="26" width="8.7109375" style="776" customWidth="1"/>
    <col min="27" max="27" width="7.85546875" style="776" customWidth="1"/>
    <col min="28" max="28" width="8.85546875" style="776" customWidth="1"/>
    <col min="29" max="29" width="7.85546875" style="776" customWidth="1"/>
    <col min="30" max="30" width="8.5703125" style="776" customWidth="1"/>
    <col min="31" max="32" width="8.28515625" style="776" customWidth="1"/>
    <col min="33" max="33" width="8.5703125" style="776" customWidth="1"/>
    <col min="34" max="34" width="9.7109375" style="776" customWidth="1"/>
    <col min="35" max="35" width="8.28515625" style="776" customWidth="1"/>
    <col min="36" max="36" width="14.28515625" style="787" customWidth="1"/>
    <col min="37" max="37" width="14.85546875" style="776" customWidth="1"/>
    <col min="38" max="38" width="15.5703125" style="775" customWidth="1"/>
    <col min="39" max="41" width="13.85546875" style="775" customWidth="1"/>
    <col min="42" max="42" width="17.7109375" style="775" customWidth="1"/>
    <col min="43" max="43" width="18.85546875" style="775" customWidth="1"/>
    <col min="44" max="44" width="25" style="775" customWidth="1"/>
    <col min="45" max="45" width="25.7109375" style="775" customWidth="1"/>
    <col min="46" max="16384" width="9.140625" style="775"/>
  </cols>
  <sheetData>
    <row r="1" spans="1:45" s="732" customFormat="1" ht="42" customHeight="1" x14ac:dyDescent="0.25">
      <c r="A1" s="727"/>
      <c r="B1" s="727"/>
      <c r="C1" s="727" t="s">
        <v>582</v>
      </c>
      <c r="D1" s="727"/>
      <c r="E1" s="727" t="s">
        <v>483</v>
      </c>
      <c r="F1" s="727"/>
      <c r="G1" s="727"/>
      <c r="H1" s="728"/>
      <c r="I1" s="729"/>
      <c r="J1" s="729"/>
      <c r="K1" s="729"/>
      <c r="L1" s="729"/>
      <c r="M1" s="729"/>
      <c r="N1" s="730" t="s">
        <v>364</v>
      </c>
      <c r="O1" s="2077">
        <v>44440</v>
      </c>
      <c r="P1" s="2077"/>
      <c r="Q1" s="2077"/>
      <c r="R1" s="729" t="s">
        <v>365</v>
      </c>
      <c r="S1" s="2078">
        <f>EDATE(O1,1)-DAY(1)</f>
        <v>44469</v>
      </c>
      <c r="T1" s="2078"/>
      <c r="U1" s="2078"/>
      <c r="V1" s="731"/>
      <c r="X1" s="2066"/>
      <c r="Y1" s="2066"/>
      <c r="Z1" s="2066"/>
      <c r="AA1" s="733"/>
      <c r="AB1" s="733"/>
      <c r="AC1" s="729"/>
      <c r="AD1" s="729"/>
      <c r="AI1" s="734"/>
      <c r="AK1" s="735"/>
      <c r="AP1" s="736"/>
      <c r="AQ1" s="736"/>
      <c r="AR1" s="736"/>
      <c r="AS1" s="737"/>
    </row>
    <row r="2" spans="1:45" s="738" customFormat="1" ht="15" x14ac:dyDescent="0.25">
      <c r="B2" s="739"/>
      <c r="C2" s="2067" t="s">
        <v>366</v>
      </c>
      <c r="D2" s="2069" t="s">
        <v>367</v>
      </c>
    </row>
    <row r="3" spans="1:45" s="740" customFormat="1" ht="12.75" customHeight="1" x14ac:dyDescent="0.25">
      <c r="B3" s="741"/>
      <c r="C3" s="2067"/>
      <c r="D3" s="2069"/>
      <c r="E3" s="742" t="s">
        <v>368</v>
      </c>
      <c r="F3" s="743" t="s">
        <v>369</v>
      </c>
      <c r="G3" s="744" t="s">
        <v>370</v>
      </c>
      <c r="H3" s="745" t="s">
        <v>371</v>
      </c>
      <c r="I3" s="740" t="s">
        <v>372</v>
      </c>
      <c r="J3" s="743" t="s">
        <v>373</v>
      </c>
      <c r="K3" s="746" t="s">
        <v>374</v>
      </c>
      <c r="M3" s="743" t="s">
        <v>375</v>
      </c>
      <c r="N3" s="747" t="s">
        <v>376</v>
      </c>
      <c r="O3" s="746"/>
      <c r="P3" s="748" t="s">
        <v>377</v>
      </c>
      <c r="Q3" s="747" t="s">
        <v>378</v>
      </c>
      <c r="R3" s="749" t="s">
        <v>379</v>
      </c>
      <c r="S3" s="747" t="s">
        <v>380</v>
      </c>
      <c r="T3" s="750" t="s">
        <v>381</v>
      </c>
      <c r="U3" s="740" t="s">
        <v>382</v>
      </c>
      <c r="W3" s="751" t="s">
        <v>383</v>
      </c>
      <c r="Y3" s="738"/>
      <c r="Z3" s="738"/>
      <c r="AA3" s="738"/>
      <c r="AF3" s="752"/>
      <c r="AG3" s="752"/>
      <c r="AJ3" s="753"/>
      <c r="AL3" s="754"/>
      <c r="AM3" s="754"/>
      <c r="AN3" s="754"/>
      <c r="AO3" s="754"/>
    </row>
    <row r="4" spans="1:45" s="738" customFormat="1" ht="16.5" customHeight="1" x14ac:dyDescent="0.25">
      <c r="B4" s="739"/>
      <c r="C4" s="2067"/>
      <c r="D4" s="2069"/>
    </row>
    <row r="5" spans="1:45" s="755" customFormat="1" ht="18" customHeight="1" x14ac:dyDescent="0.3">
      <c r="B5" s="756"/>
      <c r="C5" s="2068"/>
      <c r="D5" s="2070"/>
      <c r="E5" s="757">
        <f>O1</f>
        <v>44440</v>
      </c>
      <c r="F5" s="757">
        <f>E5+1</f>
        <v>44441</v>
      </c>
      <c r="G5" s="757">
        <f>F5+1</f>
        <v>44442</v>
      </c>
      <c r="H5" s="757">
        <f t="shared" ref="H5:N5" si="0">G5+1</f>
        <v>44443</v>
      </c>
      <c r="I5" s="757">
        <f t="shared" si="0"/>
        <v>44444</v>
      </c>
      <c r="J5" s="757">
        <f t="shared" si="0"/>
        <v>44445</v>
      </c>
      <c r="K5" s="757">
        <f t="shared" si="0"/>
        <v>44446</v>
      </c>
      <c r="L5" s="757">
        <f t="shared" si="0"/>
        <v>44447</v>
      </c>
      <c r="M5" s="757">
        <f t="shared" si="0"/>
        <v>44448</v>
      </c>
      <c r="N5" s="757">
        <f t="shared" si="0"/>
        <v>44449</v>
      </c>
      <c r="O5" s="757">
        <f>N5+1</f>
        <v>44450</v>
      </c>
      <c r="P5" s="757">
        <f>O5+1</f>
        <v>44451</v>
      </c>
      <c r="Q5" s="757">
        <f t="shared" ref="Q5:AI5" si="1">P5+1</f>
        <v>44452</v>
      </c>
      <c r="R5" s="757">
        <f t="shared" si="1"/>
        <v>44453</v>
      </c>
      <c r="S5" s="757">
        <f t="shared" si="1"/>
        <v>44454</v>
      </c>
      <c r="T5" s="757">
        <f t="shared" si="1"/>
        <v>44455</v>
      </c>
      <c r="U5" s="757">
        <f t="shared" si="1"/>
        <v>44456</v>
      </c>
      <c r="V5" s="757">
        <f t="shared" si="1"/>
        <v>44457</v>
      </c>
      <c r="W5" s="757">
        <f t="shared" si="1"/>
        <v>44458</v>
      </c>
      <c r="X5" s="757">
        <f t="shared" si="1"/>
        <v>44459</v>
      </c>
      <c r="Y5" s="757">
        <f t="shared" si="1"/>
        <v>44460</v>
      </c>
      <c r="Z5" s="757">
        <f t="shared" si="1"/>
        <v>44461</v>
      </c>
      <c r="AA5" s="757">
        <f t="shared" si="1"/>
        <v>44462</v>
      </c>
      <c r="AB5" s="757">
        <f t="shared" si="1"/>
        <v>44463</v>
      </c>
      <c r="AC5" s="757">
        <f t="shared" si="1"/>
        <v>44464</v>
      </c>
      <c r="AD5" s="757">
        <f t="shared" si="1"/>
        <v>44465</v>
      </c>
      <c r="AE5" s="757">
        <f t="shared" si="1"/>
        <v>44466</v>
      </c>
      <c r="AF5" s="757">
        <f t="shared" si="1"/>
        <v>44467</v>
      </c>
      <c r="AG5" s="757">
        <f t="shared" si="1"/>
        <v>44468</v>
      </c>
      <c r="AH5" s="757">
        <f t="shared" si="1"/>
        <v>44469</v>
      </c>
      <c r="AI5" s="757">
        <f t="shared" si="1"/>
        <v>44470</v>
      </c>
      <c r="AJ5" s="2071" t="s">
        <v>33</v>
      </c>
      <c r="AK5" s="2072"/>
      <c r="AL5" s="2072"/>
      <c r="AM5" s="2072"/>
      <c r="AN5" s="2072"/>
      <c r="AO5" s="2072"/>
      <c r="AP5" s="2072"/>
      <c r="AQ5" s="2072"/>
      <c r="AR5" s="2072"/>
      <c r="AS5" s="758"/>
    </row>
    <row r="6" spans="1:45" s="759" customFormat="1" ht="14.25" customHeight="1" x14ac:dyDescent="0.25">
      <c r="B6" s="760" t="s">
        <v>384</v>
      </c>
      <c r="C6" s="761" t="s">
        <v>385</v>
      </c>
      <c r="D6" s="762" t="s">
        <v>386</v>
      </c>
      <c r="E6" s="763" t="s">
        <v>387</v>
      </c>
      <c r="F6" s="763" t="s">
        <v>388</v>
      </c>
      <c r="G6" s="763" t="s">
        <v>389</v>
      </c>
      <c r="H6" s="763" t="s">
        <v>390</v>
      </c>
      <c r="I6" s="763" t="s">
        <v>391</v>
      </c>
      <c r="J6" s="763" t="s">
        <v>392</v>
      </c>
      <c r="K6" s="763" t="s">
        <v>393</v>
      </c>
      <c r="L6" s="763" t="s">
        <v>394</v>
      </c>
      <c r="M6" s="763" t="s">
        <v>395</v>
      </c>
      <c r="N6" s="763" t="s">
        <v>396</v>
      </c>
      <c r="O6" s="763" t="s">
        <v>397</v>
      </c>
      <c r="P6" s="763" t="s">
        <v>398</v>
      </c>
      <c r="Q6" s="763" t="s">
        <v>399</v>
      </c>
      <c r="R6" s="763" t="s">
        <v>400</v>
      </c>
      <c r="S6" s="763" t="s">
        <v>401</v>
      </c>
      <c r="T6" s="763" t="s">
        <v>402</v>
      </c>
      <c r="U6" s="763" t="s">
        <v>403</v>
      </c>
      <c r="V6" s="763" t="s">
        <v>404</v>
      </c>
      <c r="W6" s="763" t="s">
        <v>405</v>
      </c>
      <c r="X6" s="763" t="s">
        <v>406</v>
      </c>
      <c r="Y6" s="763" t="s">
        <v>407</v>
      </c>
      <c r="Z6" s="763" t="s">
        <v>408</v>
      </c>
      <c r="AA6" s="763" t="s">
        <v>409</v>
      </c>
      <c r="AB6" s="763" t="s">
        <v>410</v>
      </c>
      <c r="AC6" s="763" t="s">
        <v>411</v>
      </c>
      <c r="AD6" s="763" t="s">
        <v>412</v>
      </c>
      <c r="AE6" s="763" t="s">
        <v>413</v>
      </c>
      <c r="AF6" s="763" t="s">
        <v>414</v>
      </c>
      <c r="AG6" s="763" t="s">
        <v>415</v>
      </c>
      <c r="AH6" s="763" t="s">
        <v>416</v>
      </c>
      <c r="AI6" s="763" t="s">
        <v>417</v>
      </c>
      <c r="AJ6" s="885" t="s">
        <v>418</v>
      </c>
      <c r="AK6" s="885" t="s">
        <v>419</v>
      </c>
      <c r="AL6" s="885" t="s">
        <v>420</v>
      </c>
      <c r="AM6" s="885" t="s">
        <v>421</v>
      </c>
      <c r="AN6" s="885" t="s">
        <v>422</v>
      </c>
      <c r="AO6" s="885" t="s">
        <v>423</v>
      </c>
      <c r="AP6" s="885" t="s">
        <v>424</v>
      </c>
      <c r="AQ6" s="885" t="s">
        <v>425</v>
      </c>
      <c r="AR6" s="886" t="s">
        <v>426</v>
      </c>
      <c r="AS6" s="758"/>
    </row>
    <row r="7" spans="1:45" s="766" customFormat="1" ht="16.5" customHeight="1" x14ac:dyDescent="0.25">
      <c r="B7" s="767">
        <v>1</v>
      </c>
      <c r="C7" s="768" t="s">
        <v>427</v>
      </c>
      <c r="D7" s="763" t="s">
        <v>580</v>
      </c>
      <c r="E7" s="769" t="s">
        <v>377</v>
      </c>
      <c r="F7" s="769" t="s">
        <v>377</v>
      </c>
      <c r="G7" s="769" t="s">
        <v>377</v>
      </c>
      <c r="H7" s="769" t="s">
        <v>377</v>
      </c>
      <c r="I7" s="769" t="s">
        <v>377</v>
      </c>
      <c r="J7" s="769" t="s">
        <v>377</v>
      </c>
      <c r="K7" s="769" t="s">
        <v>377</v>
      </c>
      <c r="L7" s="769" t="s">
        <v>377</v>
      </c>
      <c r="M7" s="769" t="s">
        <v>377</v>
      </c>
      <c r="N7" s="769" t="s">
        <v>377</v>
      </c>
      <c r="O7" s="769" t="s">
        <v>377</v>
      </c>
      <c r="P7" s="769" t="s">
        <v>377</v>
      </c>
      <c r="Q7" s="769" t="s">
        <v>377</v>
      </c>
      <c r="R7" s="769" t="s">
        <v>377</v>
      </c>
      <c r="S7" s="769" t="s">
        <v>377</v>
      </c>
      <c r="T7" s="769" t="s">
        <v>377</v>
      </c>
      <c r="U7" s="769" t="s">
        <v>377</v>
      </c>
      <c r="V7" s="769" t="s">
        <v>377</v>
      </c>
      <c r="W7" s="769" t="s">
        <v>377</v>
      </c>
      <c r="X7" s="769" t="s">
        <v>377</v>
      </c>
      <c r="Y7" s="769" t="s">
        <v>377</v>
      </c>
      <c r="Z7" s="769" t="s">
        <v>377</v>
      </c>
      <c r="AA7" s="769" t="s">
        <v>377</v>
      </c>
      <c r="AB7" s="769" t="s">
        <v>377</v>
      </c>
      <c r="AC7" s="769" t="s">
        <v>377</v>
      </c>
      <c r="AD7" s="769" t="s">
        <v>377</v>
      </c>
      <c r="AE7" s="769" t="s">
        <v>377</v>
      </c>
      <c r="AF7" s="769" t="s">
        <v>377</v>
      </c>
      <c r="AG7" s="769" t="s">
        <v>373</v>
      </c>
      <c r="AH7" s="769" t="s">
        <v>373</v>
      </c>
      <c r="AI7" s="769"/>
      <c r="AJ7" s="770"/>
      <c r="AK7" s="770">
        <f>COUNTIF(EtatPresence7[[#This Row],[jour 1]:[jour 31]],"NJ")</f>
        <v>0</v>
      </c>
      <c r="AL7" s="770">
        <f>COUNTIF(EtatPresence7[[#This Row],[jour 1]:[jour 31]],"S")</f>
        <v>0</v>
      </c>
      <c r="AM7" s="770">
        <f>COUNTIF(EtatPresence7[[#This Row],[jour 1]:[jour 31]],"MP")</f>
        <v>0</v>
      </c>
      <c r="AN7" s="770">
        <f>COUNTIF(EtatPresence7[[#This Row],[jour 1]:[jour 31]],Code4)</f>
        <v>0</v>
      </c>
      <c r="AO7" s="770">
        <f>COUNTIF(EtatPresence7[[#This Row],[jour 1]:[jour 31]],"RP")</f>
        <v>0</v>
      </c>
      <c r="AP7" s="770">
        <f>COUNTIF(EtatPresence7[[#This Row],[jour 1]:[jour 31]],"Rt")</f>
        <v>0</v>
      </c>
      <c r="AQ7" s="770">
        <f>COUNTIF(EtatPresence7[[#This Row],[jour 1]:[jour 31]],"Congé")</f>
        <v>0</v>
      </c>
      <c r="AR7" s="771">
        <f>SUM(EtatPresence7[[#This Row],[Abs. ]:[Mises a pied]])</f>
        <v>0</v>
      </c>
      <c r="AS7" s="772"/>
    </row>
    <row r="8" spans="1:45" s="766" customFormat="1" ht="16.5" customHeight="1" x14ac:dyDescent="0.25">
      <c r="B8" s="767">
        <f>B7+1</f>
        <v>2</v>
      </c>
      <c r="C8" s="768" t="s">
        <v>428</v>
      </c>
      <c r="D8" s="763" t="s">
        <v>577</v>
      </c>
      <c r="E8" s="769" t="s">
        <v>377</v>
      </c>
      <c r="F8" s="769" t="s">
        <v>375</v>
      </c>
      <c r="G8" s="769" t="s">
        <v>375</v>
      </c>
      <c r="H8" s="769" t="s">
        <v>377</v>
      </c>
      <c r="I8" s="769" t="s">
        <v>377</v>
      </c>
      <c r="J8" s="769" t="s">
        <v>377</v>
      </c>
      <c r="K8" s="769" t="s">
        <v>377</v>
      </c>
      <c r="L8" s="769" t="s">
        <v>377</v>
      </c>
      <c r="M8" s="769" t="s">
        <v>379</v>
      </c>
      <c r="N8" s="769" t="s">
        <v>377</v>
      </c>
      <c r="O8" s="769" t="s">
        <v>377</v>
      </c>
      <c r="P8" s="769" t="s">
        <v>377</v>
      </c>
      <c r="Q8" s="769" t="s">
        <v>377</v>
      </c>
      <c r="R8" s="769" t="s">
        <v>377</v>
      </c>
      <c r="S8" s="769" t="s">
        <v>377</v>
      </c>
      <c r="T8" s="769" t="s">
        <v>377</v>
      </c>
      <c r="U8" s="769" t="s">
        <v>377</v>
      </c>
      <c r="V8" s="769" t="s">
        <v>379</v>
      </c>
      <c r="W8" s="769" t="s">
        <v>377</v>
      </c>
      <c r="X8" s="769" t="s">
        <v>377</v>
      </c>
      <c r="Y8" s="769" t="s">
        <v>377</v>
      </c>
      <c r="Z8" s="769" t="s">
        <v>377</v>
      </c>
      <c r="AA8" s="769" t="s">
        <v>377</v>
      </c>
      <c r="AB8" s="769" t="s">
        <v>377</v>
      </c>
      <c r="AC8" s="769" t="s">
        <v>377</v>
      </c>
      <c r="AD8" s="769" t="s">
        <v>379</v>
      </c>
      <c r="AE8" s="769" t="s">
        <v>377</v>
      </c>
      <c r="AF8" s="769" t="s">
        <v>377</v>
      </c>
      <c r="AG8" s="769" t="s">
        <v>379</v>
      </c>
      <c r="AH8" s="769" t="s">
        <v>377</v>
      </c>
      <c r="AI8" s="769"/>
      <c r="AJ8" s="770">
        <f>COUNTIF(EtatPresence7[[#This Row],[jour 1]:[jour 31]],"Abs")</f>
        <v>0</v>
      </c>
      <c r="AK8" s="770">
        <f>COUNTIF(EtatPresence7[[#This Row],[jour 1]:[jour 31]],"NJ")</f>
        <v>2</v>
      </c>
      <c r="AL8" s="770">
        <f>COUNTIF(EtatPresence7[[#This Row],[jour 1]:[jour 31]],"S")</f>
        <v>0</v>
      </c>
      <c r="AM8" s="770">
        <f>COUNTIF(EtatPresence7[[#This Row],[jour 1]:[jour 31]],"MP")</f>
        <v>0</v>
      </c>
      <c r="AN8" s="770">
        <f>COUNTIF(EtatPresence7[[#This Row],[jour 1]:[jour 31]],Code4)</f>
        <v>0</v>
      </c>
      <c r="AO8" s="770">
        <f>COUNTIF(EtatPresence7[[#This Row],[jour 1]:[jour 31]],"RP")</f>
        <v>4</v>
      </c>
      <c r="AP8" s="770">
        <f>COUNTIF(EtatPresence7[[#This Row],[jour 1]:[jour 31]],"Rt")</f>
        <v>0</v>
      </c>
      <c r="AQ8" s="770">
        <f>COUNTIF(EtatPresence7[[#This Row],[jour 1]:[jour 31]],"Congé")</f>
        <v>0</v>
      </c>
      <c r="AR8" s="771">
        <f>SUM(EtatPresence7[[#This Row],[Abs. ]:[Mises a pied]])</f>
        <v>2</v>
      </c>
      <c r="AS8" s="772"/>
    </row>
    <row r="9" spans="1:45" s="773" customFormat="1" ht="16.5" customHeight="1" x14ac:dyDescent="0.25">
      <c r="B9" s="767">
        <f t="shared" ref="B9:B29" si="2">B8+1</f>
        <v>3</v>
      </c>
      <c r="C9" s="768" t="s">
        <v>428</v>
      </c>
      <c r="D9" s="763" t="s">
        <v>484</v>
      </c>
      <c r="E9" s="769" t="s">
        <v>383</v>
      </c>
      <c r="F9" s="769" t="s">
        <v>383</v>
      </c>
      <c r="G9" s="769" t="s">
        <v>383</v>
      </c>
      <c r="H9" s="769" t="s">
        <v>383</v>
      </c>
      <c r="I9" s="769" t="s">
        <v>383</v>
      </c>
      <c r="J9" s="769" t="s">
        <v>383</v>
      </c>
      <c r="K9" s="769" t="s">
        <v>377</v>
      </c>
      <c r="L9" s="769" t="s">
        <v>377</v>
      </c>
      <c r="M9" s="769" t="s">
        <v>377</v>
      </c>
      <c r="N9" s="769" t="s">
        <v>377</v>
      </c>
      <c r="O9" s="769" t="s">
        <v>377</v>
      </c>
      <c r="P9" s="769" t="s">
        <v>379</v>
      </c>
      <c r="Q9" s="769" t="s">
        <v>377</v>
      </c>
      <c r="R9" s="769" t="s">
        <v>377</v>
      </c>
      <c r="S9" s="769" t="s">
        <v>377</v>
      </c>
      <c r="T9" s="769" t="s">
        <v>377</v>
      </c>
      <c r="U9" s="769" t="s">
        <v>377</v>
      </c>
      <c r="V9" s="769" t="s">
        <v>377</v>
      </c>
      <c r="W9" s="769" t="s">
        <v>379</v>
      </c>
      <c r="X9" s="769" t="s">
        <v>377</v>
      </c>
      <c r="Y9" s="769" t="s">
        <v>377</v>
      </c>
      <c r="Z9" s="769" t="s">
        <v>377</v>
      </c>
      <c r="AA9" s="769" t="s">
        <v>377</v>
      </c>
      <c r="AB9" s="769" t="s">
        <v>379</v>
      </c>
      <c r="AC9" s="769" t="s">
        <v>377</v>
      </c>
      <c r="AD9" s="769" t="s">
        <v>377</v>
      </c>
      <c r="AE9" s="769" t="s">
        <v>377</v>
      </c>
      <c r="AF9" s="769" t="s">
        <v>377</v>
      </c>
      <c r="AG9" s="769" t="s">
        <v>377</v>
      </c>
      <c r="AH9" s="769" t="s">
        <v>377</v>
      </c>
      <c r="AI9" s="769"/>
      <c r="AJ9" s="770">
        <f>COUNTIF(EtatPresence7[[#This Row],[jour 1]:[jour 31]],"Abs")</f>
        <v>0</v>
      </c>
      <c r="AK9" s="770">
        <f>COUNTIF(EtatPresence7[[#This Row],[jour 1]:[jour 31]],"NJ")</f>
        <v>0</v>
      </c>
      <c r="AL9" s="770">
        <f>COUNTIF(EtatPresence7[[#This Row],[jour 1]:[jour 31]],"S")</f>
        <v>0</v>
      </c>
      <c r="AM9" s="770">
        <f>COUNTIF(EtatPresence7[[#This Row],[jour 1]:[jour 31]],"MP")</f>
        <v>0</v>
      </c>
      <c r="AN9" s="770">
        <f>COUNTIF(EtatPresence7[[#This Row],[jour 1]:[jour 31]],Code4)</f>
        <v>0</v>
      </c>
      <c r="AO9" s="770">
        <f>COUNTIF(EtatPresence7[[#This Row],[jour 1]:[jour 31]],"RP")</f>
        <v>3</v>
      </c>
      <c r="AP9" s="770">
        <f>COUNTIF(EtatPresence7[[#This Row],[jour 1]:[jour 31]],"Rt")</f>
        <v>0</v>
      </c>
      <c r="AQ9" s="770">
        <f>COUNTIF(EtatPresence7[[#This Row],[jour 1]:[jour 31]],"Congé")</f>
        <v>6</v>
      </c>
      <c r="AR9" s="771">
        <f>SUM(EtatPresence7[[#This Row],[Abs. ]:[Mises a pied]])</f>
        <v>0</v>
      </c>
      <c r="AS9" s="774"/>
    </row>
    <row r="10" spans="1:45" s="975" customFormat="1" ht="16.5" customHeight="1" x14ac:dyDescent="0.25">
      <c r="B10" s="767">
        <f t="shared" si="2"/>
        <v>4</v>
      </c>
      <c r="C10" s="768" t="s">
        <v>428</v>
      </c>
      <c r="D10" s="763" t="s">
        <v>575</v>
      </c>
      <c r="E10" s="769" t="s">
        <v>377</v>
      </c>
      <c r="F10" s="769" t="s">
        <v>377</v>
      </c>
      <c r="G10" s="769" t="s">
        <v>379</v>
      </c>
      <c r="H10" s="769" t="s">
        <v>377</v>
      </c>
      <c r="I10" s="769" t="s">
        <v>377</v>
      </c>
      <c r="J10" s="769" t="s">
        <v>377</v>
      </c>
      <c r="K10" s="769" t="s">
        <v>377</v>
      </c>
      <c r="L10" s="769" t="s">
        <v>377</v>
      </c>
      <c r="M10" s="769" t="s">
        <v>379</v>
      </c>
      <c r="N10" s="769" t="s">
        <v>377</v>
      </c>
      <c r="O10" s="769" t="s">
        <v>377</v>
      </c>
      <c r="P10" s="769" t="s">
        <v>377</v>
      </c>
      <c r="Q10" s="769" t="s">
        <v>377</v>
      </c>
      <c r="R10" s="769" t="s">
        <v>377</v>
      </c>
      <c r="S10" s="769" t="s">
        <v>377</v>
      </c>
      <c r="T10" s="769" t="s">
        <v>379</v>
      </c>
      <c r="U10" s="769" t="s">
        <v>377</v>
      </c>
      <c r="V10" s="769" t="s">
        <v>377</v>
      </c>
      <c r="W10" s="769" t="s">
        <v>377</v>
      </c>
      <c r="X10" s="769" t="s">
        <v>377</v>
      </c>
      <c r="Y10" s="769" t="s">
        <v>377</v>
      </c>
      <c r="Z10" s="769" t="s">
        <v>379</v>
      </c>
      <c r="AA10" s="769" t="s">
        <v>377</v>
      </c>
      <c r="AB10" s="769" t="s">
        <v>377</v>
      </c>
      <c r="AC10" s="769" t="s">
        <v>377</v>
      </c>
      <c r="AD10" s="769" t="s">
        <v>377</v>
      </c>
      <c r="AE10" s="769" t="s">
        <v>377</v>
      </c>
      <c r="AF10" s="769" t="s">
        <v>377</v>
      </c>
      <c r="AG10" s="769" t="s">
        <v>377</v>
      </c>
      <c r="AH10" s="769" t="s">
        <v>377</v>
      </c>
      <c r="AI10" s="769"/>
      <c r="AJ10" s="976">
        <f>COUNTIF(EtatPresence7[[#This Row],[jour 1]:[jour 31]],"Abs")</f>
        <v>0</v>
      </c>
      <c r="AK10" s="976">
        <f>COUNTIF(EtatPresence7[[#This Row],[jour 1]:[jour 31]],"NJ")</f>
        <v>0</v>
      </c>
      <c r="AL10" s="976">
        <f>COUNTIF(EtatPresence7[[#This Row],[jour 1]:[jour 31]],"S")</f>
        <v>0</v>
      </c>
      <c r="AM10" s="976">
        <f>COUNTIF(EtatPresence7[[#This Row],[jour 1]:[jour 31]],"MP")</f>
        <v>0</v>
      </c>
      <c r="AN10" s="976">
        <f>COUNTIF(EtatPresence7[[#This Row],[jour 1]:[jour 31]],Code4)</f>
        <v>0</v>
      </c>
      <c r="AO10" s="770">
        <f>COUNTIF(EtatPresence7[[#This Row],[jour 1]:[jour 31]],"RP")</f>
        <v>4</v>
      </c>
      <c r="AP10" s="976">
        <f>COUNTIF(EtatPresence7[[#This Row],[jour 1]:[jour 31]],"Rt")</f>
        <v>0</v>
      </c>
      <c r="AQ10" s="770">
        <f>COUNTIF(EtatPresence7[[#This Row],[jour 1]:[jour 31]],"Congé")</f>
        <v>0</v>
      </c>
      <c r="AR10" s="977">
        <f>SUM(EtatPresence7[[#This Row],[Abs. ]:[Mises a pied]])</f>
        <v>0</v>
      </c>
      <c r="AS10" s="978"/>
    </row>
    <row r="11" spans="1:45" ht="16.5" customHeight="1" x14ac:dyDescent="0.25">
      <c r="B11" s="767">
        <f t="shared" si="2"/>
        <v>5</v>
      </c>
      <c r="C11" s="768" t="s">
        <v>428</v>
      </c>
      <c r="D11" s="763" t="s">
        <v>578</v>
      </c>
      <c r="E11" s="769" t="s">
        <v>377</v>
      </c>
      <c r="F11" s="769" t="s">
        <v>377</v>
      </c>
      <c r="G11" s="769" t="s">
        <v>375</v>
      </c>
      <c r="H11" s="769" t="s">
        <v>377</v>
      </c>
      <c r="I11" s="769" t="s">
        <v>379</v>
      </c>
      <c r="J11" s="769" t="s">
        <v>377</v>
      </c>
      <c r="K11" s="769" t="s">
        <v>377</v>
      </c>
      <c r="L11" s="769" t="s">
        <v>375</v>
      </c>
      <c r="M11" s="769" t="s">
        <v>377</v>
      </c>
      <c r="N11" s="769" t="s">
        <v>377</v>
      </c>
      <c r="O11" s="769" t="s">
        <v>377</v>
      </c>
      <c r="P11" s="769" t="s">
        <v>377</v>
      </c>
      <c r="Q11" s="769" t="s">
        <v>377</v>
      </c>
      <c r="R11" s="769" t="s">
        <v>379</v>
      </c>
      <c r="S11" s="769" t="s">
        <v>377</v>
      </c>
      <c r="T11" s="769" t="s">
        <v>377</v>
      </c>
      <c r="U11" s="769" t="s">
        <v>375</v>
      </c>
      <c r="V11" s="769" t="s">
        <v>377</v>
      </c>
      <c r="W11" s="769" t="s">
        <v>377</v>
      </c>
      <c r="X11" s="769" t="s">
        <v>377</v>
      </c>
      <c r="Y11" s="769" t="s">
        <v>379</v>
      </c>
      <c r="Z11" s="769" t="s">
        <v>377</v>
      </c>
      <c r="AA11" s="769" t="s">
        <v>377</v>
      </c>
      <c r="AB11" s="769" t="s">
        <v>377</v>
      </c>
      <c r="AC11" s="769" t="s">
        <v>377</v>
      </c>
      <c r="AD11" s="769" t="s">
        <v>377</v>
      </c>
      <c r="AE11" s="769" t="s">
        <v>377</v>
      </c>
      <c r="AF11" s="769" t="s">
        <v>377</v>
      </c>
      <c r="AG11" s="769" t="s">
        <v>377</v>
      </c>
      <c r="AH11" s="769" t="s">
        <v>377</v>
      </c>
      <c r="AI11" s="769"/>
      <c r="AJ11" s="770">
        <f>COUNTIF(EtatPresence7[[#This Row],[jour 1]:[jour 31]],"Abs")</f>
        <v>0</v>
      </c>
      <c r="AK11" s="770">
        <f>COUNTIF(EtatPresence7[[#This Row],[jour 1]:[jour 31]],"NJ")</f>
        <v>3</v>
      </c>
      <c r="AL11" s="770">
        <f>COUNTIF(EtatPresence7[[#This Row],[jour 1]:[jour 31]],"S")</f>
        <v>0</v>
      </c>
      <c r="AM11" s="770">
        <f>COUNTIF(EtatPresence7[[#This Row],[jour 1]:[jour 31]],"MP")</f>
        <v>0</v>
      </c>
      <c r="AN11" s="770">
        <f>COUNTIF(EtatPresence7[[#This Row],[jour 1]:[jour 31]],Code4)</f>
        <v>0</v>
      </c>
      <c r="AO11" s="770">
        <f>COUNTIF(EtatPresence7[[#This Row],[jour 1]:[jour 31]],"RP")</f>
        <v>3</v>
      </c>
      <c r="AP11" s="770">
        <f>COUNTIF(EtatPresence7[[#This Row],[jour 1]:[jour 31]],"Rt")</f>
        <v>0</v>
      </c>
      <c r="AQ11" s="770">
        <f>COUNTIF(EtatPresence7[[#This Row],[jour 1]:[jour 31]],"Congé")</f>
        <v>0</v>
      </c>
      <c r="AR11" s="771">
        <f>SUM(EtatPresence7[[#This Row],[Abs. ]:[Mises a pied]])</f>
        <v>3</v>
      </c>
      <c r="AS11" s="776"/>
    </row>
    <row r="12" spans="1:45" ht="16.5" customHeight="1" x14ac:dyDescent="0.25">
      <c r="B12" s="767">
        <f t="shared" si="2"/>
        <v>6</v>
      </c>
      <c r="C12" s="768" t="s">
        <v>428</v>
      </c>
      <c r="D12" s="763" t="s">
        <v>576</v>
      </c>
      <c r="E12" s="769" t="s">
        <v>377</v>
      </c>
      <c r="F12" s="769" t="s">
        <v>377</v>
      </c>
      <c r="G12" s="769" t="s">
        <v>379</v>
      </c>
      <c r="H12" s="769" t="s">
        <v>377</v>
      </c>
      <c r="I12" s="769" t="s">
        <v>377</v>
      </c>
      <c r="J12" s="769" t="s">
        <v>377</v>
      </c>
      <c r="K12" s="769" t="s">
        <v>377</v>
      </c>
      <c r="L12" s="769" t="s">
        <v>377</v>
      </c>
      <c r="M12" s="769" t="s">
        <v>379</v>
      </c>
      <c r="N12" s="769" t="s">
        <v>377</v>
      </c>
      <c r="O12" s="769" t="s">
        <v>377</v>
      </c>
      <c r="P12" s="769" t="s">
        <v>377</v>
      </c>
      <c r="Q12" s="769" t="s">
        <v>377</v>
      </c>
      <c r="R12" s="769" t="s">
        <v>377</v>
      </c>
      <c r="S12" s="769" t="s">
        <v>377</v>
      </c>
      <c r="T12" s="769" t="s">
        <v>379</v>
      </c>
      <c r="U12" s="769" t="s">
        <v>377</v>
      </c>
      <c r="V12" s="769" t="s">
        <v>377</v>
      </c>
      <c r="W12" s="769" t="s">
        <v>377</v>
      </c>
      <c r="X12" s="769" t="s">
        <v>377</v>
      </c>
      <c r="Y12" s="769" t="s">
        <v>377</v>
      </c>
      <c r="Z12" s="769" t="s">
        <v>377</v>
      </c>
      <c r="AA12" s="769" t="s">
        <v>379</v>
      </c>
      <c r="AB12" s="769" t="s">
        <v>377</v>
      </c>
      <c r="AC12" s="769" t="s">
        <v>377</v>
      </c>
      <c r="AD12" s="769" t="s">
        <v>377</v>
      </c>
      <c r="AE12" s="769" t="s">
        <v>377</v>
      </c>
      <c r="AF12" s="769" t="s">
        <v>377</v>
      </c>
      <c r="AG12" s="769" t="s">
        <v>377</v>
      </c>
      <c r="AH12" s="769" t="s">
        <v>379</v>
      </c>
      <c r="AI12" s="769"/>
      <c r="AJ12" s="770">
        <f>COUNTIF(EtatPresence7[[#This Row],[jour 1]:[jour 31]],"Abs")</f>
        <v>0</v>
      </c>
      <c r="AK12" s="770">
        <f>COUNTIF(EtatPresence7[[#This Row],[jour 1]:[jour 31]],"NJ")</f>
        <v>0</v>
      </c>
      <c r="AL12" s="770">
        <f>COUNTIF(EtatPresence7[[#This Row],[jour 1]:[jour 31]],"S")</f>
        <v>0</v>
      </c>
      <c r="AM12" s="770">
        <f>COUNTIF(EtatPresence7[[#This Row],[jour 1]:[jour 31]],"MP")</f>
        <v>0</v>
      </c>
      <c r="AN12" s="770">
        <f>COUNTIF(EtatPresence7[[#This Row],[jour 1]:[jour 31]],Code4)</f>
        <v>0</v>
      </c>
      <c r="AO12" s="770">
        <f>COUNTIF(EtatPresence7[[#This Row],[jour 1]:[jour 31]],"RP")</f>
        <v>5</v>
      </c>
      <c r="AP12" s="770">
        <f>COUNTIF(EtatPresence7[[#This Row],[jour 1]:[jour 31]],"Rt")</f>
        <v>0</v>
      </c>
      <c r="AQ12" s="770">
        <f>COUNTIF(EtatPresence7[[#This Row],[jour 1]:[jour 31]],"Congé")</f>
        <v>0</v>
      </c>
      <c r="AR12" s="771">
        <f>SUM(EtatPresence7[[#This Row],[Abs. ]:[Mises a pied]])</f>
        <v>0</v>
      </c>
      <c r="AS12" s="776"/>
    </row>
    <row r="13" spans="1:45" ht="16.5" customHeight="1" x14ac:dyDescent="0.25">
      <c r="B13" s="767">
        <f t="shared" si="2"/>
        <v>7</v>
      </c>
      <c r="C13" s="768" t="s">
        <v>428</v>
      </c>
      <c r="D13" s="763" t="s">
        <v>588</v>
      </c>
      <c r="E13" s="769" t="s">
        <v>377</v>
      </c>
      <c r="F13" s="769" t="s">
        <v>377</v>
      </c>
      <c r="G13" s="769" t="s">
        <v>377</v>
      </c>
      <c r="H13" s="769" t="s">
        <v>379</v>
      </c>
      <c r="I13" s="769" t="s">
        <v>377</v>
      </c>
      <c r="J13" s="769" t="s">
        <v>377</v>
      </c>
      <c r="K13" s="769" t="s">
        <v>377</v>
      </c>
      <c r="L13" s="769" t="s">
        <v>377</v>
      </c>
      <c r="M13" s="769" t="s">
        <v>377</v>
      </c>
      <c r="N13" s="769" t="s">
        <v>379</v>
      </c>
      <c r="O13" s="769" t="s">
        <v>377</v>
      </c>
      <c r="P13" s="769" t="s">
        <v>377</v>
      </c>
      <c r="Q13" s="769" t="s">
        <v>377</v>
      </c>
      <c r="R13" s="769" t="s">
        <v>377</v>
      </c>
      <c r="S13" s="769" t="s">
        <v>377</v>
      </c>
      <c r="T13" s="769" t="s">
        <v>379</v>
      </c>
      <c r="U13" s="769" t="s">
        <v>377</v>
      </c>
      <c r="V13" s="769" t="s">
        <v>377</v>
      </c>
      <c r="W13" s="769" t="s">
        <v>377</v>
      </c>
      <c r="X13" s="769" t="s">
        <v>377</v>
      </c>
      <c r="Y13" s="769" t="s">
        <v>379</v>
      </c>
      <c r="Z13" s="769" t="s">
        <v>377</v>
      </c>
      <c r="AA13" s="769" t="s">
        <v>377</v>
      </c>
      <c r="AB13" s="769" t="s">
        <v>377</v>
      </c>
      <c r="AC13" s="769" t="s">
        <v>377</v>
      </c>
      <c r="AD13" s="769" t="s">
        <v>377</v>
      </c>
      <c r="AE13" s="769" t="s">
        <v>377</v>
      </c>
      <c r="AF13" s="769" t="s">
        <v>379</v>
      </c>
      <c r="AG13" s="769" t="s">
        <v>377</v>
      </c>
      <c r="AH13" s="769" t="s">
        <v>377</v>
      </c>
      <c r="AI13" s="769"/>
      <c r="AJ13" s="770">
        <v>0</v>
      </c>
      <c r="AK13" s="770">
        <v>0</v>
      </c>
      <c r="AL13" s="770">
        <v>0</v>
      </c>
      <c r="AM13" s="770">
        <v>0</v>
      </c>
      <c r="AN13" s="770">
        <v>0</v>
      </c>
      <c r="AO13" s="770">
        <f>COUNTIF(EtatPresence7[[#This Row],[jour 1]:[jour 31]],"RP")</f>
        <v>5</v>
      </c>
      <c r="AP13" s="770">
        <v>0</v>
      </c>
      <c r="AQ13" s="770">
        <f>COUNTIF(EtatPresence7[[#This Row],[jour 1]:[jour 31]],"Congé")</f>
        <v>0</v>
      </c>
      <c r="AR13" s="771">
        <v>0</v>
      </c>
      <c r="AS13" s="776"/>
    </row>
    <row r="14" spans="1:45" ht="16.5" customHeight="1" x14ac:dyDescent="0.25">
      <c r="B14" s="767">
        <f>B13+1</f>
        <v>8</v>
      </c>
      <c r="C14" s="768" t="s">
        <v>434</v>
      </c>
      <c r="D14" s="763" t="s">
        <v>589</v>
      </c>
      <c r="E14" s="769" t="s">
        <v>377</v>
      </c>
      <c r="F14" s="769" t="s">
        <v>377</v>
      </c>
      <c r="G14" s="769" t="s">
        <v>377</v>
      </c>
      <c r="H14" s="769" t="s">
        <v>377</v>
      </c>
      <c r="I14" s="769" t="s">
        <v>379</v>
      </c>
      <c r="J14" s="769" t="s">
        <v>377</v>
      </c>
      <c r="K14" s="769" t="s">
        <v>377</v>
      </c>
      <c r="L14" s="769" t="s">
        <v>377</v>
      </c>
      <c r="M14" s="769" t="s">
        <v>377</v>
      </c>
      <c r="N14" s="769" t="s">
        <v>377</v>
      </c>
      <c r="O14" s="769" t="s">
        <v>377</v>
      </c>
      <c r="P14" s="769" t="s">
        <v>379</v>
      </c>
      <c r="Q14" s="769" t="s">
        <v>377</v>
      </c>
      <c r="R14" s="769" t="s">
        <v>377</v>
      </c>
      <c r="S14" s="769" t="s">
        <v>377</v>
      </c>
      <c r="T14" s="769" t="s">
        <v>377</v>
      </c>
      <c r="U14" s="769" t="s">
        <v>377</v>
      </c>
      <c r="V14" s="769" t="s">
        <v>379</v>
      </c>
      <c r="W14" s="769" t="s">
        <v>377</v>
      </c>
      <c r="X14" s="769" t="s">
        <v>377</v>
      </c>
      <c r="Y14" s="769" t="s">
        <v>377</v>
      </c>
      <c r="Z14" s="769" t="s">
        <v>377</v>
      </c>
      <c r="AA14" s="769" t="s">
        <v>377</v>
      </c>
      <c r="AB14" s="769" t="s">
        <v>377</v>
      </c>
      <c r="AC14" s="769" t="s">
        <v>377</v>
      </c>
      <c r="AD14" s="769" t="s">
        <v>379</v>
      </c>
      <c r="AE14" s="769" t="s">
        <v>377</v>
      </c>
      <c r="AF14" s="769" t="s">
        <v>377</v>
      </c>
      <c r="AG14" s="769" t="s">
        <v>379</v>
      </c>
      <c r="AH14" s="769" t="s">
        <v>377</v>
      </c>
      <c r="AI14" s="769"/>
      <c r="AJ14" s="770">
        <v>0</v>
      </c>
      <c r="AK14" s="770">
        <v>0</v>
      </c>
      <c r="AL14" s="770">
        <v>0</v>
      </c>
      <c r="AM14" s="770">
        <v>0</v>
      </c>
      <c r="AN14" s="770">
        <v>0</v>
      </c>
      <c r="AO14" s="770">
        <f>COUNTIF(EtatPresence7[[#This Row],[jour 1]:[jour 31]],"RP")</f>
        <v>5</v>
      </c>
      <c r="AP14" s="770">
        <v>0</v>
      </c>
      <c r="AQ14" s="770">
        <f>COUNTIF(EtatPresence7[[#This Row],[jour 1]:[jour 31]],"Congé")</f>
        <v>0</v>
      </c>
      <c r="AR14" s="771">
        <v>0</v>
      </c>
      <c r="AS14" s="776"/>
    </row>
    <row r="15" spans="1:45" ht="16.5" customHeight="1" x14ac:dyDescent="0.25">
      <c r="B15" s="767">
        <f t="shared" si="2"/>
        <v>9</v>
      </c>
      <c r="C15" s="768" t="s">
        <v>434</v>
      </c>
      <c r="D15" s="763" t="s">
        <v>598</v>
      </c>
      <c r="E15" s="769" t="s">
        <v>377</v>
      </c>
      <c r="F15" s="769" t="s">
        <v>377</v>
      </c>
      <c r="G15" s="769" t="s">
        <v>377</v>
      </c>
      <c r="H15" s="769" t="s">
        <v>377</v>
      </c>
      <c r="I15" s="769" t="s">
        <v>379</v>
      </c>
      <c r="J15" s="769" t="s">
        <v>377</v>
      </c>
      <c r="K15" s="769" t="s">
        <v>377</v>
      </c>
      <c r="L15" s="769" t="s">
        <v>377</v>
      </c>
      <c r="M15" s="769" t="s">
        <v>377</v>
      </c>
      <c r="N15" s="769" t="s">
        <v>377</v>
      </c>
      <c r="O15" s="769" t="s">
        <v>377</v>
      </c>
      <c r="P15" s="769" t="s">
        <v>379</v>
      </c>
      <c r="Q15" s="769" t="s">
        <v>377</v>
      </c>
      <c r="R15" s="769" t="s">
        <v>377</v>
      </c>
      <c r="S15" s="769" t="s">
        <v>377</v>
      </c>
      <c r="T15" s="769" t="s">
        <v>377</v>
      </c>
      <c r="U15" s="769" t="s">
        <v>377</v>
      </c>
      <c r="V15" s="769" t="s">
        <v>377</v>
      </c>
      <c r="W15" s="769" t="s">
        <v>379</v>
      </c>
      <c r="X15" s="769" t="s">
        <v>375</v>
      </c>
      <c r="Y15" s="769" t="s">
        <v>375</v>
      </c>
      <c r="Z15" s="769" t="s">
        <v>375</v>
      </c>
      <c r="AA15" s="769" t="s">
        <v>377</v>
      </c>
      <c r="AB15" s="769" t="s">
        <v>377</v>
      </c>
      <c r="AC15" s="769" t="s">
        <v>377</v>
      </c>
      <c r="AD15" s="769" t="s">
        <v>377</v>
      </c>
      <c r="AE15" s="769" t="s">
        <v>377</v>
      </c>
      <c r="AF15" s="769" t="s">
        <v>377</v>
      </c>
      <c r="AG15" s="769" t="s">
        <v>377</v>
      </c>
      <c r="AH15" s="769" t="s">
        <v>377</v>
      </c>
      <c r="AI15" s="769"/>
      <c r="AJ15" s="770">
        <v>0</v>
      </c>
      <c r="AK15" s="770">
        <v>0</v>
      </c>
      <c r="AL15" s="770">
        <v>0</v>
      </c>
      <c r="AM15" s="770">
        <v>0</v>
      </c>
      <c r="AN15" s="770">
        <v>0</v>
      </c>
      <c r="AO15" s="770">
        <f>COUNTIF(EtatPresence7[[#This Row],[jour 1]:[jour 31]],"RP")</f>
        <v>3</v>
      </c>
      <c r="AP15" s="770">
        <v>0</v>
      </c>
      <c r="AQ15" s="770">
        <f>COUNTIF(EtatPresence7[[#This Row],[jour 1]:[jour 31]],"Congé")</f>
        <v>0</v>
      </c>
      <c r="AR15" s="771">
        <v>0</v>
      </c>
      <c r="AS15" s="776"/>
    </row>
    <row r="16" spans="1:45" ht="16.5" customHeight="1" x14ac:dyDescent="0.25">
      <c r="B16" s="767">
        <f t="shared" si="2"/>
        <v>10</v>
      </c>
      <c r="C16" s="768" t="s">
        <v>434</v>
      </c>
      <c r="D16" s="763" t="s">
        <v>597</v>
      </c>
      <c r="E16" s="769" t="s">
        <v>377</v>
      </c>
      <c r="F16" s="769" t="s">
        <v>377</v>
      </c>
      <c r="G16" s="769" t="s">
        <v>377</v>
      </c>
      <c r="H16" s="769" t="s">
        <v>377</v>
      </c>
      <c r="I16" s="769" t="s">
        <v>379</v>
      </c>
      <c r="J16" s="769" t="s">
        <v>377</v>
      </c>
      <c r="K16" s="769" t="s">
        <v>377</v>
      </c>
      <c r="L16" s="769" t="s">
        <v>377</v>
      </c>
      <c r="M16" s="769" t="s">
        <v>377</v>
      </c>
      <c r="N16" s="769" t="s">
        <v>377</v>
      </c>
      <c r="O16" s="769" t="s">
        <v>377</v>
      </c>
      <c r="P16" s="769" t="s">
        <v>379</v>
      </c>
      <c r="Q16" s="769" t="s">
        <v>377</v>
      </c>
      <c r="R16" s="769" t="s">
        <v>377</v>
      </c>
      <c r="S16" s="769" t="s">
        <v>377</v>
      </c>
      <c r="T16" s="769" t="s">
        <v>377</v>
      </c>
      <c r="U16" s="769" t="s">
        <v>377</v>
      </c>
      <c r="V16" s="769" t="s">
        <v>377</v>
      </c>
      <c r="W16" s="769" t="s">
        <v>379</v>
      </c>
      <c r="X16" s="769" t="s">
        <v>377</v>
      </c>
      <c r="Y16" s="769" t="s">
        <v>377</v>
      </c>
      <c r="Z16" s="769" t="s">
        <v>377</v>
      </c>
      <c r="AA16" s="769" t="s">
        <v>377</v>
      </c>
      <c r="AB16" s="769" t="s">
        <v>377</v>
      </c>
      <c r="AC16" s="769" t="s">
        <v>377</v>
      </c>
      <c r="AD16" s="769" t="s">
        <v>379</v>
      </c>
      <c r="AE16" s="769" t="s">
        <v>377</v>
      </c>
      <c r="AF16" s="769" t="s">
        <v>377</v>
      </c>
      <c r="AG16" s="769" t="s">
        <v>373</v>
      </c>
      <c r="AH16" s="769" t="s">
        <v>373</v>
      </c>
      <c r="AI16" s="769"/>
      <c r="AJ16" s="770">
        <v>0</v>
      </c>
      <c r="AK16" s="770">
        <v>0</v>
      </c>
      <c r="AL16" s="770">
        <v>0</v>
      </c>
      <c r="AM16" s="770">
        <v>0</v>
      </c>
      <c r="AN16" s="770">
        <v>0</v>
      </c>
      <c r="AO16" s="770">
        <f>COUNTIF(EtatPresence7[[#This Row],[jour 1]:[jour 31]],"RP")</f>
        <v>4</v>
      </c>
      <c r="AP16" s="770">
        <v>0</v>
      </c>
      <c r="AQ16" s="770">
        <f>COUNTIF(EtatPresence7[[#This Row],[jour 1]:[jour 31]],"Congé")</f>
        <v>0</v>
      </c>
      <c r="AR16" s="771">
        <v>0</v>
      </c>
      <c r="AS16" s="776"/>
    </row>
    <row r="17" spans="2:45" ht="16.5" customHeight="1" x14ac:dyDescent="0.25">
      <c r="B17" s="767">
        <f t="shared" si="2"/>
        <v>11</v>
      </c>
      <c r="C17" s="768" t="s">
        <v>429</v>
      </c>
      <c r="D17" s="763" t="s">
        <v>579</v>
      </c>
      <c r="E17" s="769" t="s">
        <v>377</v>
      </c>
      <c r="F17" s="769" t="s">
        <v>377</v>
      </c>
      <c r="G17" s="769" t="s">
        <v>377</v>
      </c>
      <c r="H17" s="769" t="s">
        <v>377</v>
      </c>
      <c r="I17" s="769" t="s">
        <v>379</v>
      </c>
      <c r="J17" s="769" t="s">
        <v>379</v>
      </c>
      <c r="K17" s="769" t="s">
        <v>379</v>
      </c>
      <c r="L17" s="769" t="s">
        <v>379</v>
      </c>
      <c r="M17" s="769" t="s">
        <v>377</v>
      </c>
      <c r="N17" s="769" t="s">
        <v>377</v>
      </c>
      <c r="O17" s="769" t="s">
        <v>377</v>
      </c>
      <c r="P17" s="769" t="s">
        <v>377</v>
      </c>
      <c r="Q17" s="769" t="s">
        <v>379</v>
      </c>
      <c r="R17" s="769" t="s">
        <v>379</v>
      </c>
      <c r="S17" s="769" t="s">
        <v>379</v>
      </c>
      <c r="T17" s="769" t="s">
        <v>379</v>
      </c>
      <c r="U17" s="769" t="s">
        <v>377</v>
      </c>
      <c r="V17" s="769" t="s">
        <v>377</v>
      </c>
      <c r="W17" s="769" t="s">
        <v>377</v>
      </c>
      <c r="X17" s="769" t="s">
        <v>377</v>
      </c>
      <c r="Y17" s="769" t="s">
        <v>379</v>
      </c>
      <c r="Z17" s="769" t="s">
        <v>379</v>
      </c>
      <c r="AA17" s="769" t="s">
        <v>379</v>
      </c>
      <c r="AB17" s="769" t="s">
        <v>379</v>
      </c>
      <c r="AC17" s="769" t="s">
        <v>377</v>
      </c>
      <c r="AD17" s="769" t="s">
        <v>377</v>
      </c>
      <c r="AE17" s="769" t="s">
        <v>377</v>
      </c>
      <c r="AF17" s="769" t="s">
        <v>377</v>
      </c>
      <c r="AG17" s="769" t="s">
        <v>379</v>
      </c>
      <c r="AH17" s="769" t="s">
        <v>377</v>
      </c>
      <c r="AI17" s="769"/>
      <c r="AJ17" s="770">
        <v>0</v>
      </c>
      <c r="AK17" s="770">
        <v>0</v>
      </c>
      <c r="AL17" s="770">
        <v>0</v>
      </c>
      <c r="AM17" s="770">
        <v>0</v>
      </c>
      <c r="AN17" s="770">
        <v>0</v>
      </c>
      <c r="AO17" s="770">
        <f>COUNTIF(EtatPresence7[[#This Row],[jour 1]:[jour 31]],"RP")</f>
        <v>13</v>
      </c>
      <c r="AP17" s="770">
        <v>0</v>
      </c>
      <c r="AQ17" s="770">
        <f>COUNTIF(EtatPresence7[[#This Row],[jour 1]:[jour 31]],"Congé")</f>
        <v>0</v>
      </c>
      <c r="AR17" s="771">
        <v>0</v>
      </c>
      <c r="AS17" s="776"/>
    </row>
    <row r="18" spans="2:45" ht="16.5" customHeight="1" x14ac:dyDescent="0.25">
      <c r="B18" s="767">
        <f t="shared" si="2"/>
        <v>12</v>
      </c>
      <c r="C18" s="768" t="s">
        <v>429</v>
      </c>
      <c r="D18" s="763" t="s">
        <v>586</v>
      </c>
      <c r="E18" s="769" t="s">
        <v>379</v>
      </c>
      <c r="F18" s="769" t="s">
        <v>379</v>
      </c>
      <c r="G18" s="769" t="s">
        <v>379</v>
      </c>
      <c r="H18" s="769" t="s">
        <v>379</v>
      </c>
      <c r="I18" s="769" t="s">
        <v>377</v>
      </c>
      <c r="J18" s="769" t="s">
        <v>377</v>
      </c>
      <c r="K18" s="769" t="s">
        <v>377</v>
      </c>
      <c r="L18" s="769" t="s">
        <v>377</v>
      </c>
      <c r="M18" s="769" t="s">
        <v>379</v>
      </c>
      <c r="N18" s="769" t="s">
        <v>379</v>
      </c>
      <c r="O18" s="769" t="s">
        <v>379</v>
      </c>
      <c r="P18" s="769" t="s">
        <v>379</v>
      </c>
      <c r="Q18" s="769" t="s">
        <v>377</v>
      </c>
      <c r="R18" s="769" t="s">
        <v>377</v>
      </c>
      <c r="S18" s="769" t="s">
        <v>377</v>
      </c>
      <c r="T18" s="769" t="s">
        <v>377</v>
      </c>
      <c r="U18" s="769" t="s">
        <v>379</v>
      </c>
      <c r="V18" s="769" t="s">
        <v>379</v>
      </c>
      <c r="W18" s="769" t="s">
        <v>379</v>
      </c>
      <c r="X18" s="769" t="s">
        <v>379</v>
      </c>
      <c r="Y18" s="769" t="s">
        <v>377</v>
      </c>
      <c r="Z18" s="769" t="s">
        <v>377</v>
      </c>
      <c r="AA18" s="769" t="s">
        <v>377</v>
      </c>
      <c r="AB18" s="769" t="s">
        <v>377</v>
      </c>
      <c r="AC18" s="769" t="s">
        <v>379</v>
      </c>
      <c r="AD18" s="769" t="s">
        <v>379</v>
      </c>
      <c r="AE18" s="769" t="s">
        <v>379</v>
      </c>
      <c r="AF18" s="769" t="s">
        <v>379</v>
      </c>
      <c r="AG18" s="769" t="s">
        <v>377</v>
      </c>
      <c r="AH18" s="769" t="s">
        <v>377</v>
      </c>
      <c r="AI18" s="769"/>
      <c r="AJ18" s="770">
        <v>0</v>
      </c>
      <c r="AK18" s="770">
        <v>0</v>
      </c>
      <c r="AL18" s="770">
        <v>0</v>
      </c>
      <c r="AM18" s="770">
        <v>0</v>
      </c>
      <c r="AN18" s="770">
        <v>0</v>
      </c>
      <c r="AO18" s="770">
        <f>COUNTIF(EtatPresence7[[#This Row],[jour 1]:[jour 31]],"RP")</f>
        <v>16</v>
      </c>
      <c r="AP18" s="770">
        <v>0</v>
      </c>
      <c r="AQ18" s="770">
        <f>COUNTIF(EtatPresence7[[#This Row],[jour 1]:[jour 31]],"Congé")</f>
        <v>0</v>
      </c>
      <c r="AR18" s="771">
        <v>0</v>
      </c>
      <c r="AS18" s="776"/>
    </row>
    <row r="19" spans="2:45" ht="16.5" customHeight="1" x14ac:dyDescent="0.25">
      <c r="B19" s="767">
        <f t="shared" si="2"/>
        <v>13</v>
      </c>
      <c r="C19" s="768" t="s">
        <v>429</v>
      </c>
      <c r="D19" s="763" t="s">
        <v>581</v>
      </c>
      <c r="E19" s="769" t="s">
        <v>377</v>
      </c>
      <c r="F19" s="769" t="s">
        <v>377</v>
      </c>
      <c r="G19" s="769" t="s">
        <v>377</v>
      </c>
      <c r="H19" s="769" t="s">
        <v>377</v>
      </c>
      <c r="I19" s="769" t="s">
        <v>379</v>
      </c>
      <c r="J19" s="769" t="s">
        <v>377</v>
      </c>
      <c r="K19" s="769" t="s">
        <v>377</v>
      </c>
      <c r="L19" s="769" t="s">
        <v>377</v>
      </c>
      <c r="M19" s="769" t="s">
        <v>377</v>
      </c>
      <c r="N19" s="769" t="s">
        <v>377</v>
      </c>
      <c r="O19" s="769" t="s">
        <v>377</v>
      </c>
      <c r="P19" s="769" t="s">
        <v>379</v>
      </c>
      <c r="Q19" s="769" t="s">
        <v>377</v>
      </c>
      <c r="R19" s="769" t="s">
        <v>377</v>
      </c>
      <c r="S19" s="769" t="s">
        <v>377</v>
      </c>
      <c r="T19" s="769" t="s">
        <v>377</v>
      </c>
      <c r="U19" s="769" t="s">
        <v>377</v>
      </c>
      <c r="V19" s="769" t="s">
        <v>377</v>
      </c>
      <c r="W19" s="769" t="s">
        <v>379</v>
      </c>
      <c r="X19" s="769" t="s">
        <v>377</v>
      </c>
      <c r="Y19" s="769" t="s">
        <v>377</v>
      </c>
      <c r="Z19" s="769" t="s">
        <v>377</v>
      </c>
      <c r="AA19" s="769" t="s">
        <v>377</v>
      </c>
      <c r="AB19" s="769" t="s">
        <v>377</v>
      </c>
      <c r="AC19" s="769" t="s">
        <v>377</v>
      </c>
      <c r="AD19" s="769" t="s">
        <v>379</v>
      </c>
      <c r="AE19" s="769" t="s">
        <v>377</v>
      </c>
      <c r="AF19" s="769" t="s">
        <v>377</v>
      </c>
      <c r="AG19" s="769" t="s">
        <v>377</v>
      </c>
      <c r="AH19" s="769" t="s">
        <v>377</v>
      </c>
      <c r="AI19" s="769"/>
      <c r="AJ19" s="770">
        <v>0</v>
      </c>
      <c r="AK19" s="770">
        <v>0</v>
      </c>
      <c r="AL19" s="770">
        <v>0</v>
      </c>
      <c r="AM19" s="770">
        <v>0</v>
      </c>
      <c r="AN19" s="770">
        <v>0</v>
      </c>
      <c r="AO19" s="770">
        <f>COUNTIF(EtatPresence7[[#This Row],[jour 1]:[jour 31]],"RP")</f>
        <v>4</v>
      </c>
      <c r="AP19" s="770">
        <v>0</v>
      </c>
      <c r="AQ19" s="770">
        <f>COUNTIF(EtatPresence7[[#This Row],[jour 1]:[jour 31]],"Congé")</f>
        <v>0</v>
      </c>
      <c r="AR19" s="771">
        <v>0</v>
      </c>
      <c r="AS19" s="776"/>
    </row>
    <row r="20" spans="2:45" ht="16.5" customHeight="1" x14ac:dyDescent="0.25">
      <c r="B20" s="767">
        <f t="shared" si="2"/>
        <v>14</v>
      </c>
      <c r="C20" s="768"/>
      <c r="D20" s="763"/>
      <c r="E20" s="769"/>
      <c r="F20" s="769"/>
      <c r="G20" s="769"/>
      <c r="H20" s="769"/>
      <c r="I20" s="769"/>
      <c r="J20" s="769"/>
      <c r="K20" s="769"/>
      <c r="L20" s="769"/>
      <c r="M20" s="769"/>
      <c r="N20" s="769"/>
      <c r="O20" s="769"/>
      <c r="P20" s="769"/>
      <c r="Q20" s="769"/>
      <c r="R20" s="769"/>
      <c r="S20" s="769"/>
      <c r="T20" s="769"/>
      <c r="U20" s="769"/>
      <c r="V20" s="769"/>
      <c r="W20" s="769"/>
      <c r="X20" s="769"/>
      <c r="Y20" s="769"/>
      <c r="Z20" s="769"/>
      <c r="AA20" s="769"/>
      <c r="AB20" s="769"/>
      <c r="AC20" s="769"/>
      <c r="AD20" s="769"/>
      <c r="AE20" s="769"/>
      <c r="AF20" s="769"/>
      <c r="AG20" s="769"/>
      <c r="AH20" s="769"/>
      <c r="AI20" s="769"/>
      <c r="AJ20" s="770">
        <f>COUNTIF(EtatPresence7[[#This Row],[jour 1]:[jour 31]],"Abs")</f>
        <v>0</v>
      </c>
      <c r="AK20" s="770">
        <f>COUNTIF(EtatPresence7[[#This Row],[jour 1]:[jour 31]],"NJ")</f>
        <v>0</v>
      </c>
      <c r="AL20" s="770">
        <f>COUNTIF(EtatPresence7[[#This Row],[jour 1]:[jour 31]],"S")</f>
        <v>0</v>
      </c>
      <c r="AM20" s="770">
        <f>COUNTIF(EtatPresence7[[#This Row],[jour 1]:[jour 31]],"MP")</f>
        <v>0</v>
      </c>
      <c r="AN20" s="770">
        <f>COUNTIF(EtatPresence7[[#This Row],[jour 1]:[jour 31]],Code4)</f>
        <v>0</v>
      </c>
      <c r="AO20" s="770">
        <f>COUNTIF(EtatPresence7[[#This Row],[jour 1]:[jour 31]],"RP")</f>
        <v>0</v>
      </c>
      <c r="AP20" s="770">
        <f>COUNTIF(EtatPresence7[[#This Row],[jour 1]:[jour 31]],"Rt")</f>
        <v>0</v>
      </c>
      <c r="AQ20" s="770">
        <f>COUNTIF(EtatPresence7[[#This Row],[jour 1]:[jour 31]],"Congé")</f>
        <v>0</v>
      </c>
      <c r="AR20" s="771">
        <f>SUM(EtatPresence7[[#This Row],[Abs. ]:[Mises a pied]])</f>
        <v>0</v>
      </c>
      <c r="AS20" s="776"/>
    </row>
    <row r="21" spans="2:45" ht="16.5" customHeight="1" x14ac:dyDescent="0.25">
      <c r="B21" s="767">
        <f t="shared" si="2"/>
        <v>15</v>
      </c>
      <c r="C21" s="768"/>
      <c r="D21" s="763"/>
      <c r="E21" s="769"/>
      <c r="F21" s="769"/>
      <c r="G21" s="769"/>
      <c r="H21" s="769"/>
      <c r="I21" s="769"/>
      <c r="J21" s="769"/>
      <c r="K21" s="769"/>
      <c r="L21" s="769"/>
      <c r="M21" s="769"/>
      <c r="N21" s="769"/>
      <c r="O21" s="769"/>
      <c r="P21" s="769"/>
      <c r="Q21" s="769"/>
      <c r="R21" s="769"/>
      <c r="S21" s="769"/>
      <c r="T21" s="769"/>
      <c r="U21" s="769"/>
      <c r="V21" s="769"/>
      <c r="W21" s="769"/>
      <c r="X21" s="769"/>
      <c r="Y21" s="769"/>
      <c r="Z21" s="769"/>
      <c r="AA21" s="769"/>
      <c r="AB21" s="769"/>
      <c r="AC21" s="969"/>
      <c r="AD21" s="769"/>
      <c r="AE21" s="969"/>
      <c r="AF21" s="769"/>
      <c r="AG21" s="769"/>
      <c r="AH21" s="769"/>
      <c r="AI21" s="769"/>
      <c r="AJ21" s="770">
        <f>COUNTIF(EtatPresence7[[#This Row],[jour 1]:[jour 31]],"Abs")</f>
        <v>0</v>
      </c>
      <c r="AK21" s="770">
        <f>COUNTIF(EtatPresence7[[#This Row],[jour 1]:[jour 31]],"NJ")</f>
        <v>0</v>
      </c>
      <c r="AL21" s="770">
        <f>COUNTIF(EtatPresence7[[#This Row],[jour 1]:[jour 31]],"S")</f>
        <v>0</v>
      </c>
      <c r="AM21" s="770">
        <f>COUNTIF(EtatPresence7[[#This Row],[jour 1]:[jour 31]],"MP")</f>
        <v>0</v>
      </c>
      <c r="AN21" s="770">
        <f>COUNTIF(EtatPresence7[[#This Row],[jour 1]:[jour 31]],Code4)</f>
        <v>0</v>
      </c>
      <c r="AO21" s="770">
        <f>COUNTIF(EtatPresence7[[#This Row],[jour 1]:[jour 31]],"RP")</f>
        <v>0</v>
      </c>
      <c r="AP21" s="770">
        <f>COUNTIF(EtatPresence7[[#This Row],[jour 1]:[jour 31]],"Rt")</f>
        <v>0</v>
      </c>
      <c r="AQ21" s="770">
        <f>COUNTIF(EtatPresence7[[#This Row],[jour 1]:[jour 31]],"Congé")</f>
        <v>0</v>
      </c>
      <c r="AR21" s="771">
        <f>SUM(EtatPresence7[[#This Row],[Abs. ]:[Mises a pied]])</f>
        <v>0</v>
      </c>
      <c r="AS21" s="776"/>
    </row>
    <row r="22" spans="2:45" ht="16.5" customHeight="1" x14ac:dyDescent="0.25">
      <c r="B22" s="767">
        <f t="shared" si="2"/>
        <v>16</v>
      </c>
      <c r="C22" s="768"/>
      <c r="D22" s="763"/>
      <c r="E22" s="769"/>
      <c r="F22" s="769"/>
      <c r="G22" s="769"/>
      <c r="H22" s="769"/>
      <c r="I22" s="769"/>
      <c r="J22" s="969"/>
      <c r="K22" s="969"/>
      <c r="L22" s="769"/>
      <c r="M22" s="769"/>
      <c r="N22" s="769"/>
      <c r="O22" s="769"/>
      <c r="P22" s="769"/>
      <c r="Q22" s="769"/>
      <c r="R22" s="769"/>
      <c r="S22" s="769"/>
      <c r="T22" s="769"/>
      <c r="U22" s="769"/>
      <c r="V22" s="769"/>
      <c r="W22" s="769"/>
      <c r="X22" s="769"/>
      <c r="Y22" s="769"/>
      <c r="Z22" s="769"/>
      <c r="AA22" s="769"/>
      <c r="AB22" s="769"/>
      <c r="AC22" s="769"/>
      <c r="AD22" s="769"/>
      <c r="AE22" s="769"/>
      <c r="AF22" s="769"/>
      <c r="AG22" s="769"/>
      <c r="AH22" s="769"/>
      <c r="AI22" s="769"/>
      <c r="AJ22" s="770">
        <f>COUNTIF(EtatPresence7[[#This Row],[jour 1]:[jour 31]],"Abs")</f>
        <v>0</v>
      </c>
      <c r="AK22" s="770">
        <f>COUNTIF(EtatPresence7[[#This Row],[jour 1]:[jour 31]],"NJ")</f>
        <v>0</v>
      </c>
      <c r="AL22" s="770">
        <f>COUNTIF(EtatPresence7[[#This Row],[jour 1]:[jour 31]],"S")</f>
        <v>0</v>
      </c>
      <c r="AM22" s="770">
        <f>COUNTIF(EtatPresence7[[#This Row],[jour 1]:[jour 31]],"MP")</f>
        <v>0</v>
      </c>
      <c r="AN22" s="770">
        <f>COUNTIF(EtatPresence7[[#This Row],[jour 1]:[jour 31]],Code4)</f>
        <v>0</v>
      </c>
      <c r="AO22" s="770">
        <f>COUNTIF(EtatPresence7[[#This Row],[jour 1]:[jour 31]],"RP")</f>
        <v>0</v>
      </c>
      <c r="AP22" s="770">
        <f>COUNTIF(EtatPresence7[[#This Row],[jour 1]:[jour 31]],"Rt")</f>
        <v>0</v>
      </c>
      <c r="AQ22" s="770">
        <f>COUNTIF(EtatPresence7[[#This Row],[jour 1]:[jour 31]],"Congé")</f>
        <v>0</v>
      </c>
      <c r="AR22" s="771">
        <f>SUM(EtatPresence7[[#This Row],[Abs. ]:[Mises a pied]])</f>
        <v>0</v>
      </c>
      <c r="AS22" s="776"/>
    </row>
    <row r="23" spans="2:45" ht="16.5" customHeight="1" x14ac:dyDescent="0.25">
      <c r="B23" s="767">
        <f t="shared" si="2"/>
        <v>17</v>
      </c>
      <c r="C23" s="768"/>
      <c r="D23" s="763"/>
      <c r="E23" s="769"/>
      <c r="F23" s="769"/>
      <c r="G23" s="769"/>
      <c r="H23" s="769"/>
      <c r="I23" s="769"/>
      <c r="J23" s="769"/>
      <c r="K23" s="769"/>
      <c r="L23" s="769"/>
      <c r="M23" s="769"/>
      <c r="N23" s="769"/>
      <c r="O23" s="769"/>
      <c r="P23" s="769"/>
      <c r="Q23" s="769"/>
      <c r="R23" s="769"/>
      <c r="S23" s="769"/>
      <c r="T23" s="769"/>
      <c r="U23" s="769"/>
      <c r="V23" s="769"/>
      <c r="W23" s="769"/>
      <c r="X23" s="769"/>
      <c r="Y23" s="769"/>
      <c r="Z23" s="769"/>
      <c r="AA23" s="769"/>
      <c r="AB23" s="769"/>
      <c r="AC23" s="769"/>
      <c r="AD23" s="769"/>
      <c r="AE23" s="769"/>
      <c r="AF23" s="769"/>
      <c r="AG23" s="769"/>
      <c r="AH23" s="769"/>
      <c r="AI23" s="769"/>
      <c r="AJ23" s="770">
        <f>COUNTIF(EtatPresence7[[#This Row],[jour 1]:[jour 31]],"Abs")</f>
        <v>0</v>
      </c>
      <c r="AK23" s="770">
        <f>COUNTIF(EtatPresence7[[#This Row],[jour 1]:[jour 31]],"NJ")</f>
        <v>0</v>
      </c>
      <c r="AL23" s="770">
        <f>COUNTIF(EtatPresence7[[#This Row],[jour 1]:[jour 31]],"S")</f>
        <v>0</v>
      </c>
      <c r="AM23" s="770">
        <f>COUNTIF(EtatPresence7[[#This Row],[jour 1]:[jour 31]],"MP")</f>
        <v>0</v>
      </c>
      <c r="AN23" s="770">
        <f>COUNTIF(EtatPresence7[[#This Row],[jour 1]:[jour 31]],Code4)</f>
        <v>0</v>
      </c>
      <c r="AO23" s="770">
        <f>COUNTIF(EtatPresence7[[#This Row],[jour 1]:[jour 31]],"RP")</f>
        <v>0</v>
      </c>
      <c r="AP23" s="770">
        <f>COUNTIF(EtatPresence7[[#This Row],[jour 1]:[jour 31]],"Rt")</f>
        <v>0</v>
      </c>
      <c r="AQ23" s="770">
        <f>COUNTIF(EtatPresence7[[#This Row],[jour 1]:[jour 31]],"Congé")</f>
        <v>0</v>
      </c>
      <c r="AR23" s="771">
        <f>SUM(EtatPresence7[[#This Row],[Abs. ]:[Mises a pied]])</f>
        <v>0</v>
      </c>
      <c r="AS23" s="776"/>
    </row>
    <row r="24" spans="2:45" ht="16.5" customHeight="1" x14ac:dyDescent="0.25">
      <c r="B24" s="767">
        <f>B23+1</f>
        <v>18</v>
      </c>
      <c r="C24" s="768"/>
      <c r="D24" s="763"/>
      <c r="E24" s="769"/>
      <c r="F24" s="769"/>
      <c r="G24" s="769"/>
      <c r="H24" s="769"/>
      <c r="I24" s="769"/>
      <c r="J24" s="769"/>
      <c r="K24" s="769"/>
      <c r="L24" s="769"/>
      <c r="M24" s="769"/>
      <c r="N24" s="769"/>
      <c r="O24" s="769"/>
      <c r="P24" s="769"/>
      <c r="Q24" s="769"/>
      <c r="R24" s="769"/>
      <c r="S24" s="769"/>
      <c r="T24" s="769"/>
      <c r="U24" s="769"/>
      <c r="V24" s="769"/>
      <c r="W24" s="769"/>
      <c r="X24" s="769"/>
      <c r="Y24" s="769"/>
      <c r="Z24" s="769"/>
      <c r="AA24" s="769"/>
      <c r="AB24" s="769"/>
      <c r="AC24" s="769"/>
      <c r="AD24" s="769"/>
      <c r="AE24" s="769"/>
      <c r="AF24" s="769"/>
      <c r="AG24" s="769"/>
      <c r="AH24" s="769"/>
      <c r="AI24" s="769"/>
      <c r="AJ24" s="770">
        <f>COUNTIF(EtatPresence7[[#This Row],[jour 1]:[jour 31]],"Abs")</f>
        <v>0</v>
      </c>
      <c r="AK24" s="770">
        <f>COUNTIF(EtatPresence7[[#This Row],[jour 1]:[jour 31]],"NJ")</f>
        <v>0</v>
      </c>
      <c r="AL24" s="770">
        <f>COUNTIF(EtatPresence7[[#This Row],[jour 1]:[jour 31]],"S")</f>
        <v>0</v>
      </c>
      <c r="AM24" s="770">
        <f>COUNTIF(EtatPresence7[[#This Row],[jour 1]:[jour 31]],"MP")</f>
        <v>0</v>
      </c>
      <c r="AN24" s="770">
        <f>COUNTIF(EtatPresence7[[#This Row],[jour 1]:[jour 31]],Code4)</f>
        <v>0</v>
      </c>
      <c r="AO24" s="770">
        <f>COUNTIF(EtatPresence7[[#This Row],[jour 1]:[jour 31]],"RP")</f>
        <v>0</v>
      </c>
      <c r="AP24" s="770">
        <f>COUNTIF(EtatPresence7[[#This Row],[jour 1]:[jour 31]],"Rt")</f>
        <v>0</v>
      </c>
      <c r="AQ24" s="770">
        <f>COUNTIF(EtatPresence7[[#This Row],[jour 1]:[jour 31]],"Congé")</f>
        <v>0</v>
      </c>
      <c r="AR24" s="771">
        <f>SUM(EtatPresence7[[#This Row],[Abs. ]:[Mises a pied]])</f>
        <v>0</v>
      </c>
      <c r="AS24" s="776"/>
    </row>
    <row r="25" spans="2:45" ht="16.5" customHeight="1" x14ac:dyDescent="0.25">
      <c r="B25" s="767">
        <f>B24+1</f>
        <v>19</v>
      </c>
      <c r="C25" s="768"/>
      <c r="D25" s="763"/>
      <c r="E25" s="769"/>
      <c r="F25" s="769"/>
      <c r="G25" s="769"/>
      <c r="H25" s="769"/>
      <c r="I25" s="769"/>
      <c r="J25" s="769"/>
      <c r="K25" s="769"/>
      <c r="L25" s="769"/>
      <c r="M25" s="769"/>
      <c r="N25" s="769"/>
      <c r="O25" s="769"/>
      <c r="P25" s="769"/>
      <c r="Q25" s="769"/>
      <c r="R25" s="769"/>
      <c r="S25" s="769"/>
      <c r="T25" s="769"/>
      <c r="U25" s="769"/>
      <c r="V25" s="769"/>
      <c r="W25" s="769"/>
      <c r="X25" s="769"/>
      <c r="Y25" s="769"/>
      <c r="Z25" s="769"/>
      <c r="AA25" s="769"/>
      <c r="AB25" s="769"/>
      <c r="AC25" s="769"/>
      <c r="AD25" s="769"/>
      <c r="AE25" s="769"/>
      <c r="AF25" s="769"/>
      <c r="AG25" s="769"/>
      <c r="AH25" s="769"/>
      <c r="AI25" s="769"/>
      <c r="AJ25" s="770">
        <f>COUNTIF(EtatPresence7[[#This Row],[jour 1]:[jour 31]],"Abs")</f>
        <v>0</v>
      </c>
      <c r="AK25" s="770">
        <f>COUNTIF(EtatPresence7[[#This Row],[jour 1]:[jour 31]],"NJ")</f>
        <v>0</v>
      </c>
      <c r="AL25" s="770">
        <f>COUNTIF(EtatPresence7[[#This Row],[jour 1]:[jour 31]],"S")</f>
        <v>0</v>
      </c>
      <c r="AM25" s="770">
        <f>COUNTIF(EtatPresence7[[#This Row],[jour 1]:[jour 31]],"MP")</f>
        <v>0</v>
      </c>
      <c r="AN25" s="770">
        <f>COUNTIF(EtatPresence7[[#This Row],[jour 1]:[jour 31]],Code4)</f>
        <v>0</v>
      </c>
      <c r="AO25" s="770">
        <f>COUNTIF(EtatPresence7[[#This Row],[jour 1]:[jour 31]],"RP")</f>
        <v>0</v>
      </c>
      <c r="AP25" s="770">
        <f>COUNTIF(EtatPresence7[[#This Row],[jour 1]:[jour 31]],"Rt")</f>
        <v>0</v>
      </c>
      <c r="AQ25" s="770">
        <f>COUNTIF(EtatPresence7[[#This Row],[jour 1]:[jour 31]],"Congé")</f>
        <v>0</v>
      </c>
      <c r="AR25" s="771">
        <f>SUM(EtatPresence7[[#This Row],[Abs. ]:[Mises a pied]])</f>
        <v>0</v>
      </c>
      <c r="AS25" s="776"/>
    </row>
    <row r="26" spans="2:45" ht="16.5" customHeight="1" x14ac:dyDescent="0.25">
      <c r="B26" s="767">
        <f t="shared" si="2"/>
        <v>20</v>
      </c>
      <c r="C26" s="768"/>
      <c r="D26" s="763"/>
      <c r="E26" s="769"/>
      <c r="F26" s="769"/>
      <c r="G26" s="769"/>
      <c r="H26" s="769"/>
      <c r="I26" s="769"/>
      <c r="J26" s="769"/>
      <c r="K26" s="769"/>
      <c r="L26" s="769"/>
      <c r="M26" s="769"/>
      <c r="N26" s="769"/>
      <c r="O26" s="769"/>
      <c r="P26" s="769"/>
      <c r="Q26" s="769"/>
      <c r="R26" s="769"/>
      <c r="S26" s="769"/>
      <c r="T26" s="769"/>
      <c r="U26" s="769"/>
      <c r="V26" s="769"/>
      <c r="W26" s="769"/>
      <c r="X26" s="769"/>
      <c r="Y26" s="769"/>
      <c r="Z26" s="769"/>
      <c r="AA26" s="769"/>
      <c r="AB26" s="769"/>
      <c r="AC26" s="769"/>
      <c r="AD26" s="769"/>
      <c r="AE26" s="769"/>
      <c r="AF26" s="769"/>
      <c r="AG26" s="769"/>
      <c r="AH26" s="769"/>
      <c r="AI26" s="769"/>
      <c r="AJ26" s="770">
        <f>COUNTIF(EtatPresence7[[#This Row],[jour 1]:[jour 31]],"Abs")</f>
        <v>0</v>
      </c>
      <c r="AK26" s="770">
        <f>COUNTIF(EtatPresence7[[#This Row],[jour 1]:[jour 31]],"NJ")</f>
        <v>0</v>
      </c>
      <c r="AL26" s="770">
        <f>COUNTIF(EtatPresence7[[#This Row],[jour 1]:[jour 31]],"S")</f>
        <v>0</v>
      </c>
      <c r="AM26" s="770">
        <f>COUNTIF(EtatPresence7[[#This Row],[jour 1]:[jour 31]],"MP")</f>
        <v>0</v>
      </c>
      <c r="AN26" s="770">
        <f>COUNTIF(EtatPresence7[[#This Row],[jour 1]:[jour 31]],Code4)</f>
        <v>0</v>
      </c>
      <c r="AO26" s="770">
        <f>COUNTIF(EtatPresence7[[#This Row],[jour 1]:[jour 31]],"RP")</f>
        <v>0</v>
      </c>
      <c r="AP26" s="770">
        <f>COUNTIF(EtatPresence7[[#This Row],[jour 1]:[jour 31]],"Rt")</f>
        <v>0</v>
      </c>
      <c r="AQ26" s="770">
        <f>COUNTIF(EtatPresence7[[#This Row],[jour 1]:[jour 31]],"Congé")</f>
        <v>0</v>
      </c>
      <c r="AR26" s="771">
        <f>SUM(EtatPresence7[[#This Row],[Abs. ]:[Mises a pied]])</f>
        <v>0</v>
      </c>
      <c r="AS26" s="776"/>
    </row>
    <row r="27" spans="2:45" ht="16.5" customHeight="1" x14ac:dyDescent="0.25">
      <c r="B27" s="767">
        <f t="shared" si="2"/>
        <v>21</v>
      </c>
      <c r="C27" s="768"/>
      <c r="D27" s="763"/>
      <c r="E27" s="769"/>
      <c r="F27" s="769"/>
      <c r="G27" s="769"/>
      <c r="H27" s="769"/>
      <c r="I27" s="769"/>
      <c r="J27" s="769"/>
      <c r="K27" s="769"/>
      <c r="L27" s="769"/>
      <c r="M27" s="769"/>
      <c r="N27" s="769"/>
      <c r="O27" s="769"/>
      <c r="P27" s="769"/>
      <c r="Q27" s="769"/>
      <c r="R27" s="769"/>
      <c r="S27" s="769"/>
      <c r="T27" s="769"/>
      <c r="U27" s="769"/>
      <c r="V27" s="769"/>
      <c r="W27" s="769"/>
      <c r="X27" s="769"/>
      <c r="Y27" s="769"/>
      <c r="Z27" s="769"/>
      <c r="AA27" s="769"/>
      <c r="AB27" s="769"/>
      <c r="AC27" s="769"/>
      <c r="AD27" s="769"/>
      <c r="AE27" s="769"/>
      <c r="AF27" s="769"/>
      <c r="AG27" s="769"/>
      <c r="AH27" s="769"/>
      <c r="AI27" s="769"/>
      <c r="AJ27" s="770">
        <f>COUNTIF(EtatPresence7[[#This Row],[jour 1]:[jour 31]],"Abs")</f>
        <v>0</v>
      </c>
      <c r="AK27" s="770">
        <f>COUNTIF(EtatPresence7[[#This Row],[jour 1]:[jour 31]],"NJ")</f>
        <v>0</v>
      </c>
      <c r="AL27" s="770">
        <f>COUNTIF(EtatPresence7[[#This Row],[jour 1]:[jour 31]],"S")</f>
        <v>0</v>
      </c>
      <c r="AM27" s="770">
        <f>COUNTIF(EtatPresence7[[#This Row],[jour 1]:[jour 31]],"MP")</f>
        <v>0</v>
      </c>
      <c r="AN27" s="770">
        <f>COUNTIF(EtatPresence7[[#This Row],[jour 1]:[jour 31]],Code4)</f>
        <v>0</v>
      </c>
      <c r="AO27" s="770">
        <f>COUNTIF(EtatPresence7[[#This Row],[jour 1]:[jour 31]],"RP")</f>
        <v>0</v>
      </c>
      <c r="AP27" s="770">
        <f>COUNTIF(EtatPresence7[[#This Row],[jour 1]:[jour 31]],"Rt")</f>
        <v>0</v>
      </c>
      <c r="AQ27" s="770">
        <f>COUNTIF(EtatPresence7[[#This Row],[jour 1]:[jour 31]],"Congé")</f>
        <v>0</v>
      </c>
      <c r="AR27" s="771">
        <f>SUM(EtatPresence7[[#This Row],[Abs. ]:[Mises a pied]])</f>
        <v>0</v>
      </c>
      <c r="AS27" s="776"/>
    </row>
    <row r="28" spans="2:45" ht="16.5" customHeight="1" x14ac:dyDescent="0.25">
      <c r="B28" s="767">
        <f t="shared" si="2"/>
        <v>22</v>
      </c>
      <c r="C28" s="768"/>
      <c r="D28" s="763"/>
      <c r="E28" s="769"/>
      <c r="F28" s="769"/>
      <c r="G28" s="769"/>
      <c r="H28" s="769"/>
      <c r="I28" s="769"/>
      <c r="J28" s="769"/>
      <c r="K28" s="769"/>
      <c r="L28" s="769"/>
      <c r="M28" s="769"/>
      <c r="N28" s="769"/>
      <c r="O28" s="769"/>
      <c r="P28" s="769"/>
      <c r="Q28" s="769"/>
      <c r="R28" s="769"/>
      <c r="S28" s="769"/>
      <c r="T28" s="769"/>
      <c r="U28" s="769"/>
      <c r="V28" s="769"/>
      <c r="W28" s="769"/>
      <c r="X28" s="769"/>
      <c r="Y28" s="769"/>
      <c r="Z28" s="769"/>
      <c r="AA28" s="769"/>
      <c r="AB28" s="769"/>
      <c r="AC28" s="769"/>
      <c r="AD28" s="769"/>
      <c r="AE28" s="769"/>
      <c r="AF28" s="769"/>
      <c r="AG28" s="769"/>
      <c r="AH28" s="769"/>
      <c r="AI28" s="769"/>
      <c r="AJ28" s="770">
        <f>COUNTIF(EtatPresence7[[#This Row],[jour 1]:[jour 31]],"Abs")</f>
        <v>0</v>
      </c>
      <c r="AK28" s="770">
        <f>COUNTIF(EtatPresence7[[#This Row],[jour 1]:[jour 31]],"NJ")</f>
        <v>0</v>
      </c>
      <c r="AL28" s="770">
        <f>COUNTIF(EtatPresence7[[#This Row],[jour 1]:[jour 31]],"S")</f>
        <v>0</v>
      </c>
      <c r="AM28" s="770">
        <f>COUNTIF(EtatPresence7[[#This Row],[jour 1]:[jour 31]],"MP")</f>
        <v>0</v>
      </c>
      <c r="AN28" s="770">
        <f>COUNTIF(EtatPresence7[[#This Row],[jour 1]:[jour 31]],Code4)</f>
        <v>0</v>
      </c>
      <c r="AO28" s="770">
        <f>COUNTIF(EtatPresence7[[#This Row],[jour 1]:[jour 31]],"RP")</f>
        <v>0</v>
      </c>
      <c r="AP28" s="770">
        <f>COUNTIF(EtatPresence7[[#This Row],[jour 1]:[jour 31]],"Rt")</f>
        <v>0</v>
      </c>
      <c r="AQ28" s="770">
        <f>COUNTIF(EtatPresence7[[#This Row],[jour 1]:[jour 31]],"Congé")</f>
        <v>0</v>
      </c>
      <c r="AR28" s="771">
        <f>SUM(EtatPresence7[[#This Row],[Abs. ]:[Mises a pied]])</f>
        <v>0</v>
      </c>
      <c r="AS28" s="776"/>
    </row>
    <row r="29" spans="2:45" ht="16.5" customHeight="1" x14ac:dyDescent="0.25">
      <c r="B29" s="767">
        <f t="shared" si="2"/>
        <v>23</v>
      </c>
      <c r="C29" s="768"/>
      <c r="D29" s="763"/>
      <c r="E29" s="769"/>
      <c r="F29" s="769"/>
      <c r="G29" s="769"/>
      <c r="H29" s="769"/>
      <c r="I29" s="769"/>
      <c r="J29" s="769"/>
      <c r="K29" s="769"/>
      <c r="L29" s="769"/>
      <c r="M29" s="769"/>
      <c r="N29" s="769"/>
      <c r="O29" s="769"/>
      <c r="P29" s="769"/>
      <c r="Q29" s="769"/>
      <c r="R29" s="769"/>
      <c r="S29" s="769"/>
      <c r="T29" s="769"/>
      <c r="U29" s="769"/>
      <c r="V29" s="769"/>
      <c r="W29" s="769"/>
      <c r="X29" s="769"/>
      <c r="Y29" s="769"/>
      <c r="Z29" s="769"/>
      <c r="AA29" s="769"/>
      <c r="AB29" s="769"/>
      <c r="AC29" s="769"/>
      <c r="AD29" s="769"/>
      <c r="AE29" s="769"/>
      <c r="AF29" s="769"/>
      <c r="AG29" s="769"/>
      <c r="AH29" s="769"/>
      <c r="AI29" s="769"/>
      <c r="AJ29" s="770">
        <f>COUNTIF(EtatPresence7[[#This Row],[jour 1]:[jour 31]],"Abs")</f>
        <v>0</v>
      </c>
      <c r="AK29" s="770">
        <f>COUNTIF(EtatPresence7[[#This Row],[jour 1]:[jour 31]],"NJ")</f>
        <v>0</v>
      </c>
      <c r="AL29" s="770">
        <f>COUNTIF(EtatPresence7[[#This Row],[jour 1]:[jour 31]],"S")</f>
        <v>0</v>
      </c>
      <c r="AM29" s="770">
        <f>COUNTIF(EtatPresence7[[#This Row],[jour 1]:[jour 31]],"MP")</f>
        <v>0</v>
      </c>
      <c r="AN29" s="770">
        <f>COUNTIF(EtatPresence7[[#This Row],[jour 1]:[jour 31]],Code4)</f>
        <v>0</v>
      </c>
      <c r="AO29" s="770">
        <f>COUNTIF(EtatPresence7[[#This Row],[jour 1]:[jour 31]],"RP")</f>
        <v>0</v>
      </c>
      <c r="AP29" s="770">
        <f>COUNTIF(EtatPresence7[[#This Row],[jour 1]:[jour 31]],"Rt")</f>
        <v>0</v>
      </c>
      <c r="AQ29" s="770">
        <f>COUNTIF(EtatPresence7[[#This Row],[jour 1]:[jour 31]],"Congé")</f>
        <v>0</v>
      </c>
      <c r="AR29" s="771">
        <f>SUM(EtatPresence7[[#This Row],[Abs. ]:[Mises a pied]])</f>
        <v>0</v>
      </c>
      <c r="AS29" s="776"/>
    </row>
    <row r="30" spans="2:45" ht="16.5" customHeight="1" x14ac:dyDescent="0.25">
      <c r="B30" s="777"/>
      <c r="C30" s="778"/>
      <c r="D30" s="778"/>
      <c r="E30" s="979" t="e">
        <f>COUNTIF([6]![#Data],"NJ")+COUNTIF([6]![#Data],"S")+COUNTIF([6]![#Data],"J")</f>
        <v>#REF!</v>
      </c>
      <c r="F30" s="979" t="e">
        <f>COUNTIF([6]![#Data],"N1")+COUNTIF([6]![#Data],"E")</f>
        <v>#REF!</v>
      </c>
      <c r="G30" s="979" t="e">
        <f>COUNTIF([6]![#Data],"N1")+COUNTIF([6]![#Data],"E")</f>
        <v>#REF!</v>
      </c>
      <c r="H30" s="979" t="e">
        <f>COUNTIF([6]![#Data],"N1")+COUNTIF([6]![#Data],"E")</f>
        <v>#REF!</v>
      </c>
      <c r="I30" s="979" t="e">
        <f>COUNTIF([6]![#Data],"N1")+COUNTIF([6]![#Data],"E")</f>
        <v>#REF!</v>
      </c>
      <c r="J30" s="979" t="e">
        <f>COUNTIF([6]![#Data],"N1")+COUNTIF([6]![#Data],"E")</f>
        <v>#REF!</v>
      </c>
      <c r="K30" s="979" t="e">
        <f>COUNTIF([6]![#Data],"N1")+COUNTIF([6]![#Data],"E")</f>
        <v>#REF!</v>
      </c>
      <c r="L30" s="979" t="e">
        <f>COUNTIF([6]![#Data],"N1")+COUNTIF([6]![#Data],"E")</f>
        <v>#REF!</v>
      </c>
      <c r="M30" s="979" t="e">
        <f>COUNTIF([6]![#Data],"N1")+COUNTIF([6]![#Data],"E")</f>
        <v>#REF!</v>
      </c>
      <c r="N30" s="979" t="e">
        <f>COUNTIF([6]![#Data],"N1")+COUNTIF([6]![#Data],"E")</f>
        <v>#REF!</v>
      </c>
      <c r="O30" s="979">
        <f>COUNTIF(EtatPresence7[jour 11],"N1")+COUNTIF(EtatPresence7[jour 11],"E")</f>
        <v>0</v>
      </c>
      <c r="P30" s="979">
        <f>COUNTIF(EtatPresence7[jour 12],"N1")+COUNTIF(EtatPresence7[jour 12],"E")</f>
        <v>0</v>
      </c>
      <c r="Q30" s="979">
        <f>SUBTOTAL(109,EtatPresence7[jour 13])</f>
        <v>0</v>
      </c>
      <c r="R30" s="979">
        <f>COUNTIF(EtatPresence7[jour 14],"N1")+COUNTIF(EtatPresence7[jour 14],"E")</f>
        <v>0</v>
      </c>
      <c r="S30" s="979">
        <f>COUNTIF(EtatPresence7[jour 15],"N1")+COUNTIF(EtatPresence7[jour 15],"E")</f>
        <v>0</v>
      </c>
      <c r="T30" s="979">
        <f>COUNTIF(EtatPresence7[jour 16],"N1")+COUNTIF(EtatPresence7[jour 16],"E")</f>
        <v>0</v>
      </c>
      <c r="U30" s="979">
        <f>COUNTIF(EtatPresence7[jour 17],"N1")+COUNTIF(EtatPresence7[jour 17],"E")</f>
        <v>0</v>
      </c>
      <c r="V30" s="979">
        <f>COUNTIF(EtatPresence7[jour 18],"N1")+COUNTIF(EtatPresence7[jour 18],"E")</f>
        <v>0</v>
      </c>
      <c r="W30" s="979">
        <f>COUNTIF(EtatPresence7[jour 19],"N1")+COUNTIF(EtatPresence7[jour 19],"E")</f>
        <v>0</v>
      </c>
      <c r="X30" s="979">
        <f>COUNTIF(EtatPresence7[jour 20],"N1")+COUNTIF(EtatPresence7[jour 20],"E")</f>
        <v>0</v>
      </c>
      <c r="Y30" s="979">
        <f>COUNTIF(EtatPresence7[jour 21],"N1")+COUNTIF(EtatPresence7[jour 21],"E")</f>
        <v>0</v>
      </c>
      <c r="Z30" s="979">
        <f>COUNTIF(EtatPresence7[jour 22],"N1")+COUNTIF(EtatPresence7[jour 22],"E")</f>
        <v>0</v>
      </c>
      <c r="AA30" s="979">
        <f>COUNTIF(EtatPresence7[jour 23],"N1")+COUNTIF(EtatPresence7[jour 23],"E")</f>
        <v>0</v>
      </c>
      <c r="AB30" s="979">
        <f>COUNTIF(EtatPresence7[jour 24],"N1")+COUNTIF(EtatPresence7[jour 24],"E")</f>
        <v>0</v>
      </c>
      <c r="AC30" s="979">
        <f>COUNTIF(EtatPresence7[jour 25],"N1")+COUNTIF(EtatPresence7[jour 25],"E")</f>
        <v>0</v>
      </c>
      <c r="AD30" s="979">
        <f>COUNTIF(EtatPresence7[jour 26],"N1")+COUNTIF(EtatPresence7[jour 26],"E")</f>
        <v>0</v>
      </c>
      <c r="AE30" s="979">
        <f>COUNTIF(EtatPresence7[jour 27],"N1")+COUNTIF(EtatPresence7[jour 27],"E")</f>
        <v>0</v>
      </c>
      <c r="AF30" s="979">
        <f>COUNTIF(EtatPresence7[jour 28],"N1")+COUNTIF(EtatPresence7[jour 28],"E")</f>
        <v>0</v>
      </c>
      <c r="AG30" s="979">
        <f>COUNTIF(EtatPresence7[jour 29],"N1")+COUNTIF(EtatPresence7[jour 29],"E")</f>
        <v>0</v>
      </c>
      <c r="AH30" s="979">
        <f>COUNTIF(EtatPresence7[jour 30],"N1")+COUNTIF(EtatPresence7[jour 30],"E")</f>
        <v>0</v>
      </c>
      <c r="AI30" s="979">
        <f>COUNTIF(EtatPresence7[jour 31],"N1")+COUNTIF(EtatPresence7[jour 31],"E")</f>
        <v>0</v>
      </c>
      <c r="AJ30" s="979">
        <f>SUBTOTAL(109,EtatPresence7[Abs. ])</f>
        <v>0</v>
      </c>
      <c r="AK30" s="979">
        <f>SUBTOTAL(109,EtatPresence7[Abs. Non Justif.])</f>
        <v>5</v>
      </c>
      <c r="AL30" s="979"/>
      <c r="AM30" s="979"/>
      <c r="AN30" s="979">
        <f>SUBTOTAL(109,EtatPresence7[Présences])</f>
        <v>0</v>
      </c>
      <c r="AO30" s="979">
        <f>SUBTOTAL(109,EtatPresence7[Repos ce mois])</f>
        <v>69</v>
      </c>
      <c r="AP30" s="979">
        <f>SUM(EtatPresence7[Retards ce mois2])</f>
        <v>0</v>
      </c>
      <c r="AQ30" s="979"/>
      <c r="AR30" s="979">
        <f>SUBTOTAL(109,EtatPresence7[Jours d’absence ce mois])</f>
        <v>5</v>
      </c>
    </row>
    <row r="31" spans="2:45" ht="16.5" customHeight="1" x14ac:dyDescent="0.25">
      <c r="C31" s="2073" t="s">
        <v>430</v>
      </c>
      <c r="D31" s="2073"/>
      <c r="E31" s="2074" t="s">
        <v>431</v>
      </c>
      <c r="F31" s="2075" t="s">
        <v>432</v>
      </c>
      <c r="G31" s="2076"/>
      <c r="H31" s="2076"/>
      <c r="I31" s="2076"/>
      <c r="J31" s="2076"/>
      <c r="K31" s="2076"/>
      <c r="L31" s="2076"/>
      <c r="M31" s="2076"/>
      <c r="AJ31" s="776"/>
      <c r="AK31" s="775"/>
    </row>
    <row r="32" spans="2:45" ht="16.5" customHeight="1" x14ac:dyDescent="0.25">
      <c r="C32" s="2073"/>
      <c r="D32" s="2073"/>
      <c r="E32" s="2074"/>
      <c r="F32" s="781" t="s">
        <v>427</v>
      </c>
      <c r="G32" s="782" t="s">
        <v>428</v>
      </c>
      <c r="H32" s="782" t="s">
        <v>433</v>
      </c>
      <c r="I32" s="782" t="s">
        <v>434</v>
      </c>
      <c r="J32" s="782" t="s">
        <v>429</v>
      </c>
      <c r="K32" s="782" t="s">
        <v>435</v>
      </c>
      <c r="L32" s="782" t="s">
        <v>436</v>
      </c>
      <c r="M32" s="783" t="s">
        <v>33</v>
      </c>
      <c r="AJ32" s="776"/>
      <c r="AK32" s="775"/>
    </row>
    <row r="33" spans="3:37" ht="15.75" x14ac:dyDescent="0.25">
      <c r="C33" s="2073"/>
      <c r="D33" s="2073"/>
      <c r="E33" s="2074"/>
      <c r="F33" s="784">
        <f>COUNTIF(C7:C29, "Chef de piste")</f>
        <v>1</v>
      </c>
      <c r="G33" s="784">
        <f>COUNTIF(C7:C29, "Pompiste")</f>
        <v>6</v>
      </c>
      <c r="H33" s="784">
        <f>COUNTIF(C7:C29, "Graisseur")</f>
        <v>0</v>
      </c>
      <c r="I33" s="784">
        <f>COUNTIF(C7:C29, "Stagiaire")</f>
        <v>3</v>
      </c>
      <c r="J33" s="784">
        <f>COUNTIF(C7:C29, "Boutique")</f>
        <v>3</v>
      </c>
      <c r="K33" s="784">
        <f>COUNTIF(C7:C29, "en Formation")</f>
        <v>0</v>
      </c>
      <c r="L33" s="784">
        <f>COUNTIF(C7:C29, "Vigile")</f>
        <v>0</v>
      </c>
      <c r="M33" s="785">
        <f>SUM(F33:L33)</f>
        <v>13</v>
      </c>
      <c r="AJ33" s="776"/>
      <c r="AK33" s="775"/>
    </row>
    <row r="34" spans="3:37" x14ac:dyDescent="0.25">
      <c r="C34" s="2073"/>
      <c r="D34" s="2073"/>
      <c r="E34" s="2074"/>
      <c r="AJ34" s="776"/>
      <c r="AK34" s="775"/>
    </row>
    <row r="35" spans="3:37" x14ac:dyDescent="0.25">
      <c r="AJ35" s="776"/>
      <c r="AK35" s="775"/>
    </row>
  </sheetData>
  <mergeCells count="9">
    <mergeCell ref="X1:Z1"/>
    <mergeCell ref="C2:C5"/>
    <mergeCell ref="D2:D5"/>
    <mergeCell ref="AJ5:AR5"/>
    <mergeCell ref="C31:D34"/>
    <mergeCell ref="E31:E34"/>
    <mergeCell ref="F31:M31"/>
    <mergeCell ref="O1:Q1"/>
    <mergeCell ref="S1:U1"/>
  </mergeCells>
  <conditionalFormatting sqref="P3 F3 J3 H3 M3 E22:AI29 AF21:AI21 AD21 E21:AB21 E7:AI20">
    <cfRule type="expression" dxfId="552" priority="1692" stopIfTrue="1">
      <formula>E3=Code2</formula>
    </cfRule>
  </conditionalFormatting>
  <conditionalFormatting sqref="P3 F3 J3 H3 M3 E22:AI29 AF21:AI21 AD21 E21:AB21 E7:AI20">
    <cfRule type="expression" dxfId="551" priority="1688" stopIfTrue="1">
      <formula>E3=Code5</formula>
    </cfRule>
    <cfRule type="expression" dxfId="550" priority="1689" stopIfTrue="1">
      <formula>E3=Code4</formula>
    </cfRule>
    <cfRule type="expression" dxfId="549" priority="1690" stopIfTrue="1">
      <formula>E3=Code3</formula>
    </cfRule>
    <cfRule type="expression" dxfId="548" priority="1691" stopIfTrue="1">
      <formula>E3=Code1</formula>
    </cfRule>
  </conditionalFormatting>
  <conditionalFormatting sqref="AR7:AR29">
    <cfRule type="dataBar" priority="1687">
      <dataBar>
        <cfvo type="min"/>
        <cfvo type="num" val="31"/>
        <color theme="4"/>
      </dataBar>
    </cfRule>
  </conditionalFormatting>
  <conditionalFormatting sqref="E22:AI29 AF21:AI21 AD21 E21:AB21 E7:AI20">
    <cfRule type="cellIs" dxfId="547" priority="1675" operator="equal">
      <formula>"MP"</formula>
    </cfRule>
    <cfRule type="cellIs" dxfId="546" priority="1676" stopIfTrue="1" operator="equal">
      <formula>"NJ"</formula>
    </cfRule>
    <cfRule type="cellIs" dxfId="545" priority="1677" operator="equal">
      <formula>"S"</formula>
    </cfRule>
    <cfRule type="cellIs" dxfId="544" priority="1678" operator="equal">
      <formula>"P"</formula>
    </cfRule>
    <cfRule type="cellIs" dxfId="543" priority="1679" stopIfTrue="1" operator="equal">
      <formula>"Abs"</formula>
    </cfRule>
    <cfRule type="cellIs" dxfId="542" priority="1680" operator="equal">
      <formula>"Rp"</formula>
    </cfRule>
    <cfRule type="cellIs" dxfId="541" priority="1681" operator="equal">
      <formula>"Rt"</formula>
    </cfRule>
  </conditionalFormatting>
  <conditionalFormatting sqref="F3">
    <cfRule type="cellIs" dxfId="540" priority="1664" operator="equal">
      <formula>"S"</formula>
    </cfRule>
    <cfRule type="cellIs" dxfId="539" priority="1665" operator="equal">
      <formula>"P"</formula>
    </cfRule>
    <cfRule type="cellIs" dxfId="538" priority="1666" operator="equal">
      <formula>"J"</formula>
    </cfRule>
    <cfRule type="cellIs" dxfId="537" priority="1667" operator="equal">
      <formula>"N1"</formula>
    </cfRule>
    <cfRule type="cellIs" dxfId="536" priority="1668" operator="equal">
      <formula>"Rp"</formula>
    </cfRule>
    <cfRule type="cellIs" dxfId="535" priority="1669" operator="equal">
      <formula>"Rt"</formula>
    </cfRule>
  </conditionalFormatting>
  <conditionalFormatting sqref="J3">
    <cfRule type="cellIs" dxfId="534" priority="1653" operator="equal">
      <formula>"S"</formula>
    </cfRule>
    <cfRule type="cellIs" dxfId="533" priority="1654" operator="equal">
      <formula>"P"</formula>
    </cfRule>
    <cfRule type="cellIs" dxfId="532" priority="1655" stopIfTrue="1" operator="equal">
      <formula>"Abs"</formula>
    </cfRule>
    <cfRule type="cellIs" dxfId="531" priority="1656" operator="equal">
      <formula>"N1"</formula>
    </cfRule>
    <cfRule type="cellIs" dxfId="530" priority="1657" operator="equal">
      <formula>"Rp"</formula>
    </cfRule>
    <cfRule type="cellIs" dxfId="529" priority="1658" operator="equal">
      <formula>"Rt"</formula>
    </cfRule>
  </conditionalFormatting>
  <conditionalFormatting sqref="H3 M3">
    <cfRule type="cellIs" dxfId="528" priority="1641" operator="equal">
      <formula>"NJ"</formula>
    </cfRule>
    <cfRule type="cellIs" dxfId="527" priority="1642" operator="equal">
      <formula>"S"</formula>
    </cfRule>
    <cfRule type="cellIs" dxfId="526" priority="1643" operator="equal">
      <formula>"P"</formula>
    </cfRule>
    <cfRule type="cellIs" dxfId="525" priority="1644" operator="equal">
      <formula>"J"</formula>
    </cfRule>
    <cfRule type="cellIs" dxfId="524" priority="1645" operator="equal">
      <formula>"N1"</formula>
    </cfRule>
    <cfRule type="cellIs" dxfId="523" priority="1646" operator="equal">
      <formula>"Rp"</formula>
    </cfRule>
    <cfRule type="cellIs" dxfId="522" priority="1647" operator="equal">
      <formula>"Rt"</formula>
    </cfRule>
  </conditionalFormatting>
  <conditionalFormatting sqref="E7:N15 U8:Y8 E17:N21 W15:X17 K12:AH12 V17:Y17 E16:AI16 V17:X18 E8:W19 X8:X15 V9:AI9 AD17:AF18 F7:AI7 Y8:AC19">
    <cfRule type="expression" dxfId="521" priority="1624" stopIfTrue="1">
      <formula>E7=Code5</formula>
    </cfRule>
    <cfRule type="expression" dxfId="520" priority="1625" stopIfTrue="1">
      <formula>E7=Code4</formula>
    </cfRule>
    <cfRule type="expression" dxfId="519" priority="1626" stopIfTrue="1">
      <formula>E7=a</formula>
    </cfRule>
    <cfRule type="expression" dxfId="518" priority="1627" stopIfTrue="1">
      <formula>E7=code</formula>
    </cfRule>
  </conditionalFormatting>
  <conditionalFormatting sqref="E7:N15 U8:Y8 E17:N21 W15:X17 K12:AH12 V17:Y17 E16:AI16 V17:X18 E8:W19 X8:X15 V9:AI9 AD17:AF18 F7:AI7 Y8:AC19">
    <cfRule type="expression" dxfId="517" priority="1612" stopIfTrue="1">
      <formula>E7=Code5</formula>
    </cfRule>
    <cfRule type="expression" dxfId="516" priority="1613" stopIfTrue="1">
      <formula>E7=kj</formula>
    </cfRule>
    <cfRule type="expression" dxfId="515" priority="1614" stopIfTrue="1">
      <formula>E7=a</formula>
    </cfRule>
    <cfRule type="expression" dxfId="514" priority="1615" stopIfTrue="1">
      <formula>E7=code</formula>
    </cfRule>
  </conditionalFormatting>
  <conditionalFormatting sqref="F3 J3 H3 E19:L29 E7:N15 U8:Y8 E17:N21 W15:X17 K12:AH12 V17:Y17 E16:AI16 V17:X18 E8:W19 X8:X15 V9:AI9 AD17:AF18 F7:AI7 Y8:AC19">
    <cfRule type="expression" dxfId="513" priority="1568" stopIfTrue="1">
      <formula>E3=de</formula>
    </cfRule>
  </conditionalFormatting>
  <conditionalFormatting sqref="F3 J3 H3 E19:L29 E7:N15 U8:Y8 E17:N21 W15:X17 K12:AH12 V17:Y17 E16:AI16 V17:X18 E8:W19 X8:X15 V9:AI9 AD17:AF18 F7:AI7 Y8:AC19">
    <cfRule type="expression" dxfId="512" priority="1564" stopIfTrue="1">
      <formula>E3=Code5</formula>
    </cfRule>
    <cfRule type="expression" dxfId="511" priority="1565" stopIfTrue="1">
      <formula>E3=code10</formula>
    </cfRule>
    <cfRule type="expression" dxfId="510" priority="1566" stopIfTrue="1">
      <formula>E3=Code3</formula>
    </cfRule>
    <cfRule type="expression" dxfId="509" priority="1567" stopIfTrue="1">
      <formula>E3=codes</formula>
    </cfRule>
  </conditionalFormatting>
  <conditionalFormatting sqref="E7:N15 U8:Y8 E17:N21 W15:X17 K12:AH12 V17:Y17 E16:AI16 V17:X18 E8:W19 X8:X15 V9:AI9 AD17:AF18 F7:AI7 Y8:AC19">
    <cfRule type="expression" dxfId="508" priority="1518" stopIfTrue="1">
      <formula>E7=Code5</formula>
    </cfRule>
    <cfRule type="expression" dxfId="507" priority="1519" stopIfTrue="1">
      <formula>E7=kj</formula>
    </cfRule>
    <cfRule type="expression" dxfId="506" priority="1520" stopIfTrue="1">
      <formula>E7=Code3</formula>
    </cfRule>
    <cfRule type="expression" dxfId="505" priority="1521" stopIfTrue="1">
      <formula>E7=codes</formula>
    </cfRule>
  </conditionalFormatting>
  <conditionalFormatting sqref="E7:P15 U8:Y8 E17:P21 W15:X17 K12:AH12 V17:Y17 E16:AI16 V17:X18 E8:W19 X8:X15 V9:AI9 AD17:AF18 F7:AI7 Y8:AC19">
    <cfRule type="expression" dxfId="504" priority="1474" stopIfTrue="1">
      <formula>E7=CODE33</formula>
    </cfRule>
  </conditionalFormatting>
  <conditionalFormatting sqref="E7:P15 U8:Y8 E17:P21 W15:X17 K12:AH12 V17:Y17 E16:AI16 V17:X18 E8:W19 X8:X15 V9:AI9 AD17:AF18 F7:AI7 Y8:AC19">
    <cfRule type="expression" dxfId="503" priority="1470" stopIfTrue="1">
      <formula>E7=Code5</formula>
    </cfRule>
    <cfRule type="expression" dxfId="502" priority="1471" stopIfTrue="1">
      <formula>E7=code6</formula>
    </cfRule>
    <cfRule type="expression" dxfId="501" priority="1472" stopIfTrue="1">
      <formula>E7=Code3</formula>
    </cfRule>
    <cfRule type="expression" dxfId="500" priority="1473" stopIfTrue="1">
      <formula>E7=Code1</formula>
    </cfRule>
  </conditionalFormatting>
  <conditionalFormatting sqref="U8:Y8 U15:AH15 K12:AH12 S8:W18 V17:Y17 F19:W19 E16:AI16 V16:X18 E7:V21 W8:W19 X8:X15 V9:AI9 AD17:AF18 G7:AI7 Y8:AC19">
    <cfRule type="expression" dxfId="499" priority="1458" stopIfTrue="1">
      <formula>E7=Code5</formula>
    </cfRule>
    <cfRule type="expression" dxfId="498" priority="1459" stopIfTrue="1">
      <formula>E7=kj</formula>
    </cfRule>
    <cfRule type="expression" dxfId="497" priority="1460" stopIfTrue="1">
      <formula>E7=Code3</formula>
    </cfRule>
    <cfRule type="expression" dxfId="496" priority="1461" stopIfTrue="1">
      <formula>E7=Code1</formula>
    </cfRule>
  </conditionalFormatting>
  <conditionalFormatting sqref="E7:U15 U8:Y8 E17:U21 U15:AH15 K12:AH12 V17:Y17 E16:AI16 V16:X18 E8:W19 X8:X15 V9:AI9 AD17:AF18 F7:AI7 Y8:AC19">
    <cfRule type="expression" dxfId="495" priority="1394" stopIfTrue="1">
      <formula>E7=Code5</formula>
    </cfRule>
    <cfRule type="expression" dxfId="494" priority="1395" stopIfTrue="1">
      <formula>E7=Code4</formula>
    </cfRule>
    <cfRule type="expression" dxfId="493" priority="1396" stopIfTrue="1">
      <formula>E7=Code3</formula>
    </cfRule>
    <cfRule type="expression" dxfId="492" priority="1397" stopIfTrue="1">
      <formula>E7=code20</formula>
    </cfRule>
  </conditionalFormatting>
  <conditionalFormatting sqref="E7:U15 U8:Y8 E17:U21 U15:AH15 K12:AH12 V17:Y17 E16:AI16 V16:X18 E8:W19 X8:X15 V9:AI9 AD17:AF18 F7:AI7 Y8:AC19">
    <cfRule type="expression" dxfId="491" priority="1383" stopIfTrue="1">
      <formula>E7=Code5</formula>
    </cfRule>
    <cfRule type="expression" dxfId="490" priority="1384" stopIfTrue="1">
      <formula>E7=kj</formula>
    </cfRule>
    <cfRule type="expression" dxfId="489" priority="1385" stopIfTrue="1">
      <formula>E7=Code3</formula>
    </cfRule>
    <cfRule type="expression" dxfId="488" priority="1386" stopIfTrue="1">
      <formula>E7=code20</formula>
    </cfRule>
  </conditionalFormatting>
  <conditionalFormatting sqref="E7:N15 U8:Y8 E17:N21 W15:X17 K12:AH12 V17:Y17 E16:AI16 V17:X18 E8:W19 X8:X15 V9:AI9 AD17:AF18 F7:AI7 Y8:AC19">
    <cfRule type="expression" dxfId="487" priority="1215" stopIfTrue="1">
      <formula>E7=code34</formula>
    </cfRule>
  </conditionalFormatting>
  <conditionalFormatting sqref="E7:N15 U8:Y8 E17:N21 W15:X17 K12:AH12 V17:Y17 E16:AI16 V17:X18 E8:W19 X8:X15 V9:AI9 AD17:AF18 F7:AI7 Y8:AC19">
    <cfRule type="expression" dxfId="486" priority="1135" stopIfTrue="1">
      <formula>E7=Code5</formula>
    </cfRule>
    <cfRule type="expression" dxfId="485" priority="1136" stopIfTrue="1">
      <formula>E7=Code4</formula>
    </cfRule>
    <cfRule type="expression" dxfId="484" priority="1137" stopIfTrue="1">
      <formula>E7=Code3</formula>
    </cfRule>
    <cfRule type="expression" dxfId="483" priority="1138" stopIfTrue="1">
      <formula>E7=code38</formula>
    </cfRule>
  </conditionalFormatting>
  <conditionalFormatting sqref="E7:N15 U8:Y8 E17:N21 W15:X17 K12:AH12 V17:Y17 E16:AI16 V17:X18 E8:W19 X8:X15 V9:AI9 AD17:AF18 F7:AI7 Y8:AC19">
    <cfRule type="expression" dxfId="482" priority="1124" stopIfTrue="1">
      <formula>E7=Code5</formula>
    </cfRule>
    <cfRule type="expression" dxfId="481" priority="1125" stopIfTrue="1">
      <formula>E7=kj</formula>
    </cfRule>
    <cfRule type="expression" dxfId="480" priority="1126" stopIfTrue="1">
      <formula>E7=Code3</formula>
    </cfRule>
    <cfRule type="expression" dxfId="479" priority="1127" stopIfTrue="1">
      <formula>E7=code38</formula>
    </cfRule>
  </conditionalFormatting>
  <conditionalFormatting sqref="AD8">
    <cfRule type="expression" dxfId="478" priority="40" stopIfTrue="1">
      <formula>AD8=Code5</formula>
    </cfRule>
    <cfRule type="expression" dxfId="477" priority="41" stopIfTrue="1">
      <formula>AD8=Code4</formula>
    </cfRule>
    <cfRule type="expression" dxfId="476" priority="42" stopIfTrue="1">
      <formula>AD8=a</formula>
    </cfRule>
    <cfRule type="expression" dxfId="475" priority="43" stopIfTrue="1">
      <formula>AD8=code</formula>
    </cfRule>
  </conditionalFormatting>
  <conditionalFormatting sqref="AD8">
    <cfRule type="expression" dxfId="474" priority="36" stopIfTrue="1">
      <formula>AD8=Code5</formula>
    </cfRule>
    <cfRule type="expression" dxfId="473" priority="37" stopIfTrue="1">
      <formula>AD8=kj</formula>
    </cfRule>
    <cfRule type="expression" dxfId="472" priority="38" stopIfTrue="1">
      <formula>AD8=a</formula>
    </cfRule>
    <cfRule type="expression" dxfId="471" priority="39" stopIfTrue="1">
      <formula>AD8=code</formula>
    </cfRule>
  </conditionalFormatting>
  <conditionalFormatting sqref="AD8">
    <cfRule type="expression" dxfId="470" priority="35" stopIfTrue="1">
      <formula>AD8=de</formula>
    </cfRule>
  </conditionalFormatting>
  <conditionalFormatting sqref="AD8">
    <cfRule type="expression" dxfId="469" priority="31" stopIfTrue="1">
      <formula>AD8=Code5</formula>
    </cfRule>
    <cfRule type="expression" dxfId="468" priority="32" stopIfTrue="1">
      <formula>AD8=code10</formula>
    </cfRule>
    <cfRule type="expression" dxfId="467" priority="33" stopIfTrue="1">
      <formula>AD8=Code3</formula>
    </cfRule>
    <cfRule type="expression" dxfId="466" priority="34" stopIfTrue="1">
      <formula>AD8=codes</formula>
    </cfRule>
  </conditionalFormatting>
  <conditionalFormatting sqref="AD8">
    <cfRule type="expression" dxfId="465" priority="27" stopIfTrue="1">
      <formula>AD8=Code5</formula>
    </cfRule>
    <cfRule type="expression" dxfId="464" priority="28" stopIfTrue="1">
      <formula>AD8=kj</formula>
    </cfRule>
    <cfRule type="expression" dxfId="463" priority="29" stopIfTrue="1">
      <formula>AD8=Code3</formula>
    </cfRule>
    <cfRule type="expression" dxfId="462" priority="30" stopIfTrue="1">
      <formula>AD8=codes</formula>
    </cfRule>
  </conditionalFormatting>
  <conditionalFormatting sqref="AD8">
    <cfRule type="expression" dxfId="461" priority="26" stopIfTrue="1">
      <formula>AD8=CODE33</formula>
    </cfRule>
  </conditionalFormatting>
  <conditionalFormatting sqref="AD8">
    <cfRule type="expression" dxfId="460" priority="22" stopIfTrue="1">
      <formula>AD8=Code5</formula>
    </cfRule>
    <cfRule type="expression" dxfId="459" priority="23" stopIfTrue="1">
      <formula>AD8=code6</formula>
    </cfRule>
    <cfRule type="expression" dxfId="458" priority="24" stopIfTrue="1">
      <formula>AD8=Code3</formula>
    </cfRule>
    <cfRule type="expression" dxfId="457" priority="25" stopIfTrue="1">
      <formula>AD8=Code1</formula>
    </cfRule>
  </conditionalFormatting>
  <conditionalFormatting sqref="AD8">
    <cfRule type="expression" dxfId="456" priority="18" stopIfTrue="1">
      <formula>AD8=Code5</formula>
    </cfRule>
    <cfRule type="expression" dxfId="455" priority="19" stopIfTrue="1">
      <formula>AD8=kj</formula>
    </cfRule>
    <cfRule type="expression" dxfId="454" priority="20" stopIfTrue="1">
      <formula>AD8=Code3</formula>
    </cfRule>
    <cfRule type="expression" dxfId="453" priority="21" stopIfTrue="1">
      <formula>AD8=Code1</formula>
    </cfRule>
  </conditionalFormatting>
  <conditionalFormatting sqref="AD8">
    <cfRule type="expression" dxfId="452" priority="14" stopIfTrue="1">
      <formula>AD8=Code5</formula>
    </cfRule>
    <cfRule type="expression" dxfId="451" priority="15" stopIfTrue="1">
      <formula>AD8=Code4</formula>
    </cfRule>
    <cfRule type="expression" dxfId="450" priority="16" stopIfTrue="1">
      <formula>AD8=Code3</formula>
    </cfRule>
    <cfRule type="expression" dxfId="449" priority="17" stopIfTrue="1">
      <formula>AD8=code20</formula>
    </cfRule>
  </conditionalFormatting>
  <conditionalFormatting sqref="AD8">
    <cfRule type="expression" dxfId="448" priority="10" stopIfTrue="1">
      <formula>AD8=Code5</formula>
    </cfRule>
    <cfRule type="expression" dxfId="447" priority="11" stopIfTrue="1">
      <formula>AD8=kj</formula>
    </cfRule>
    <cfRule type="expression" dxfId="446" priority="12" stopIfTrue="1">
      <formula>AD8=Code3</formula>
    </cfRule>
    <cfRule type="expression" dxfId="445" priority="13" stopIfTrue="1">
      <formula>AD8=code20</formula>
    </cfRule>
  </conditionalFormatting>
  <conditionalFormatting sqref="AD8">
    <cfRule type="expression" dxfId="444" priority="9" stopIfTrue="1">
      <formula>AD8=code34</formula>
    </cfRule>
  </conditionalFormatting>
  <conditionalFormatting sqref="AD8">
    <cfRule type="expression" dxfId="443" priority="5" stopIfTrue="1">
      <formula>AD8=Code5</formula>
    </cfRule>
    <cfRule type="expression" dxfId="442" priority="6" stopIfTrue="1">
      <formula>AD8=Code4</formula>
    </cfRule>
    <cfRule type="expression" dxfId="441" priority="7" stopIfTrue="1">
      <formula>AD8=Code3</formula>
    </cfRule>
    <cfRule type="expression" dxfId="440" priority="8" stopIfTrue="1">
      <formula>AD8=code38</formula>
    </cfRule>
  </conditionalFormatting>
  <conditionalFormatting sqref="AD8">
    <cfRule type="expression" dxfId="439" priority="1" stopIfTrue="1">
      <formula>AD8=Code5</formula>
    </cfRule>
    <cfRule type="expression" dxfId="438" priority="2" stopIfTrue="1">
      <formula>AD8=kj</formula>
    </cfRule>
    <cfRule type="expression" dxfId="437" priority="3" stopIfTrue="1">
      <formula>AD8=Code3</formula>
    </cfRule>
    <cfRule type="expression" dxfId="436" priority="4" stopIfTrue="1">
      <formula>AD8=code38</formula>
    </cfRule>
  </conditionalFormatting>
  <dataValidations count="3">
    <dataValidation type="list" showInputMessage="1" showErrorMessage="1" sqref="E1">
      <formula1>"Nkolafamba, Nkozoa, Nkwen, Kena, Stade Yassa, Yassa1, Yapaki, Yakombo, Buea 1, Bomaka, Kumba 1, Mabanda, Kano, Nkolbikon, Betare-oya, Malang, Malo Goni, Bekha, Sambo, Loum,"</formula1>
    </dataValidation>
    <dataValidation type="list" allowBlank="1" showInputMessage="1" showErrorMessage="1" sqref="J23:K29 J21:K21 J20:L20 AB21 AB22:AE29 E20:I29 L21:L29 M20:V29 Y20:AA29 AB20:AC20 W10:Y17 V9:V19 W18:X29 E8:U19 V8:AH8 E7:AH7 Z10:AC19 Y18:Y19 AD10:AD21 AI7:AI29 AE10:AE20 W9:AE9 AF9:AH29">
      <formula1>"P,Rp,Rt,S,Abs,NJ, MP, Congé"</formula1>
    </dataValidation>
    <dataValidation type="list" allowBlank="1" showInputMessage="1" showErrorMessage="1" sqref="C7:C29">
      <formula1>"Vigile,Pompiste,Stagiaire,en Formation,Graisseur,Boutique,Chef de piste,"</formula1>
    </dataValidation>
  </dataValidations>
  <pageMargins left="0.7" right="0.7" top="0.75" bottom="0.75" header="0.3" footer="0.3"/>
  <ignoredErrors>
    <ignoredError sqref="B14" unlockedFormula="1"/>
  </ignoredErrors>
  <drawing r:id="rId1"/>
  <legacyDrawing r:id="rId2"/>
  <tableParts count="2">
    <tablePart r:id="rId3"/>
    <tablePart r:id="rId4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topLeftCell="E1" workbookViewId="0">
      <selection activeCell="AD21" sqref="AD21"/>
    </sheetView>
  </sheetViews>
  <sheetFormatPr baseColWidth="10" defaultColWidth="9.140625" defaultRowHeight="13.5" x14ac:dyDescent="0.25"/>
  <cols>
    <col min="1" max="1" width="2" style="818" customWidth="1"/>
    <col min="2" max="2" width="33.5703125" style="826" customWidth="1"/>
    <col min="3" max="3" width="10.5703125" style="819" customWidth="1"/>
    <col min="4" max="4" width="10" style="819" customWidth="1"/>
    <col min="5" max="5" width="9.28515625" style="819" customWidth="1"/>
    <col min="6" max="6" width="10" style="819" customWidth="1"/>
    <col min="7" max="7" width="8.42578125" style="819" customWidth="1"/>
    <col min="8" max="8" width="9.42578125" style="819" customWidth="1"/>
    <col min="9" max="9" width="9" style="819" customWidth="1"/>
    <col min="10" max="10" width="10" style="819" customWidth="1"/>
    <col min="11" max="11" width="6.7109375" style="819" customWidth="1"/>
    <col min="12" max="20" width="7" style="819" bestFit="1" customWidth="1"/>
    <col min="21" max="21" width="8" style="819" customWidth="1"/>
    <col min="22" max="22" width="6.85546875" style="819" customWidth="1"/>
    <col min="23" max="23" width="7" style="819" bestFit="1" customWidth="1"/>
    <col min="24" max="24" width="8.42578125" style="819" customWidth="1"/>
    <col min="25" max="25" width="8.85546875" style="819" customWidth="1"/>
    <col min="26" max="26" width="7.85546875" style="819" customWidth="1"/>
    <col min="27" max="27" width="8.5703125" style="819" customWidth="1"/>
    <col min="28" max="29" width="8.28515625" style="819" customWidth="1"/>
    <col min="30" max="30" width="8.5703125" style="819" customWidth="1"/>
    <col min="31" max="31" width="9.7109375" style="819" customWidth="1"/>
    <col min="32" max="32" width="8.28515625" style="819" customWidth="1"/>
    <col min="33" max="33" width="8.42578125" style="819" customWidth="1"/>
    <col min="34" max="34" width="22.85546875" style="827" customWidth="1"/>
    <col min="35" max="16384" width="9.140625" style="818"/>
  </cols>
  <sheetData>
    <row r="1" spans="1:36" s="792" customFormat="1" ht="42" customHeight="1" x14ac:dyDescent="0.25">
      <c r="A1" s="788" t="s">
        <v>437</v>
      </c>
      <c r="B1" s="788"/>
      <c r="C1" s="788"/>
      <c r="D1" s="788" t="str">
        <f>[7]Présences!E1</f>
        <v>Kena</v>
      </c>
      <c r="E1" s="788"/>
      <c r="F1" s="788"/>
      <c r="G1" s="789"/>
      <c r="H1" s="789"/>
      <c r="I1" s="789"/>
      <c r="J1" s="789"/>
      <c r="K1" s="790" t="s">
        <v>364</v>
      </c>
      <c r="L1" s="2079">
        <f>presences!O1</f>
        <v>44440</v>
      </c>
      <c r="M1" s="2079"/>
      <c r="N1" s="2079"/>
      <c r="O1" s="789" t="s">
        <v>365</v>
      </c>
      <c r="P1" s="2079">
        <f>EDATE(L1,1)-DAY(1)</f>
        <v>44469</v>
      </c>
      <c r="Q1" s="2079"/>
      <c r="R1" s="2079"/>
      <c r="S1" s="791"/>
      <c r="U1" s="2080"/>
      <c r="V1" s="2080"/>
      <c r="W1" s="2080"/>
      <c r="X1" s="793"/>
      <c r="Y1" s="793"/>
      <c r="Z1" s="789"/>
      <c r="AA1" s="789"/>
      <c r="AF1" s="794"/>
    </row>
    <row r="2" spans="1:36" s="688" customFormat="1" ht="12" customHeight="1" x14ac:dyDescent="0.25"/>
    <row r="3" spans="1:36" s="795" customFormat="1" ht="20.25" customHeight="1" x14ac:dyDescent="0.25">
      <c r="B3" s="2081" t="s">
        <v>438</v>
      </c>
      <c r="C3" s="688"/>
      <c r="D3" s="796" t="s">
        <v>439</v>
      </c>
      <c r="E3" s="796"/>
      <c r="F3" s="796"/>
      <c r="G3" s="796"/>
      <c r="H3" s="796"/>
      <c r="I3" s="796"/>
      <c r="J3" s="796"/>
      <c r="K3" s="796"/>
      <c r="L3" s="796"/>
      <c r="M3" s="796"/>
      <c r="N3" s="796"/>
      <c r="O3" s="796"/>
      <c r="P3" s="797"/>
      <c r="Q3" s="798"/>
      <c r="T3" s="799"/>
      <c r="V3" s="688"/>
      <c r="W3" s="688"/>
      <c r="X3" s="688"/>
      <c r="AC3" s="800"/>
      <c r="AD3" s="800"/>
      <c r="AG3" s="801"/>
      <c r="AH3" s="802"/>
    </row>
    <row r="4" spans="1:36" s="688" customFormat="1" ht="16.5" customHeight="1" x14ac:dyDescent="0.25">
      <c r="B4" s="2081"/>
    </row>
    <row r="5" spans="1:36" s="803" customFormat="1" ht="18" customHeight="1" x14ac:dyDescent="0.3">
      <c r="A5" s="363"/>
      <c r="B5" s="2081"/>
      <c r="C5" s="804">
        <f>L1</f>
        <v>44440</v>
      </c>
      <c r="D5" s="804">
        <f t="shared" ref="D5:I5" si="0">C5+1</f>
        <v>44441</v>
      </c>
      <c r="E5" s="804">
        <f t="shared" si="0"/>
        <v>44442</v>
      </c>
      <c r="F5" s="804">
        <f t="shared" si="0"/>
        <v>44443</v>
      </c>
      <c r="G5" s="804">
        <f t="shared" si="0"/>
        <v>44444</v>
      </c>
      <c r="H5" s="804">
        <f t="shared" si="0"/>
        <v>44445</v>
      </c>
      <c r="I5" s="804">
        <f t="shared" si="0"/>
        <v>44446</v>
      </c>
      <c r="J5" s="804">
        <f t="shared" ref="J5:AG5" si="1">I5+1</f>
        <v>44447</v>
      </c>
      <c r="K5" s="804">
        <f t="shared" si="1"/>
        <v>44448</v>
      </c>
      <c r="L5" s="804">
        <f t="shared" si="1"/>
        <v>44449</v>
      </c>
      <c r="M5" s="804">
        <f t="shared" si="1"/>
        <v>44450</v>
      </c>
      <c r="N5" s="804">
        <f t="shared" si="1"/>
        <v>44451</v>
      </c>
      <c r="O5" s="804">
        <f t="shared" si="1"/>
        <v>44452</v>
      </c>
      <c r="P5" s="804">
        <f t="shared" si="1"/>
        <v>44453</v>
      </c>
      <c r="Q5" s="804">
        <f t="shared" si="1"/>
        <v>44454</v>
      </c>
      <c r="R5" s="804">
        <f t="shared" si="1"/>
        <v>44455</v>
      </c>
      <c r="S5" s="804">
        <f t="shared" si="1"/>
        <v>44456</v>
      </c>
      <c r="T5" s="804">
        <f t="shared" si="1"/>
        <v>44457</v>
      </c>
      <c r="U5" s="804">
        <f t="shared" si="1"/>
        <v>44458</v>
      </c>
      <c r="V5" s="804">
        <f t="shared" ref="V5" si="2">U5+1</f>
        <v>44459</v>
      </c>
      <c r="W5" s="804">
        <f t="shared" ref="W5" si="3">V5+1</f>
        <v>44460</v>
      </c>
      <c r="X5" s="804">
        <f t="shared" ref="X5" si="4">W5+1</f>
        <v>44461</v>
      </c>
      <c r="Y5" s="804">
        <f t="shared" ref="Y5" si="5">X5+1</f>
        <v>44462</v>
      </c>
      <c r="Z5" s="804">
        <f t="shared" ref="Z5" si="6">Y5+1</f>
        <v>44463</v>
      </c>
      <c r="AA5" s="804">
        <f t="shared" ref="AA5" si="7">Z5+1</f>
        <v>44464</v>
      </c>
      <c r="AB5" s="804">
        <f t="shared" ref="AB5" si="8">AA5+1</f>
        <v>44465</v>
      </c>
      <c r="AC5" s="804">
        <f t="shared" ref="AC5" si="9">AB5+1</f>
        <v>44466</v>
      </c>
      <c r="AD5" s="804">
        <f t="shared" ref="AD5" si="10">AC5+1</f>
        <v>44467</v>
      </c>
      <c r="AE5" s="804">
        <f t="shared" ref="AE5" si="11">AD5+1</f>
        <v>44468</v>
      </c>
      <c r="AF5" s="804">
        <f t="shared" ref="AF5" si="12">AE5+1</f>
        <v>44469</v>
      </c>
      <c r="AG5" s="804">
        <f t="shared" si="1"/>
        <v>44470</v>
      </c>
      <c r="AH5" s="805" t="s">
        <v>33</v>
      </c>
    </row>
    <row r="6" spans="1:36" s="806" customFormat="1" ht="14.25" customHeight="1" x14ac:dyDescent="0.25">
      <c r="A6" s="363"/>
      <c r="B6" s="807" t="s">
        <v>440</v>
      </c>
      <c r="C6" s="808" t="s">
        <v>387</v>
      </c>
      <c r="D6" s="808" t="s">
        <v>388</v>
      </c>
      <c r="E6" s="808" t="s">
        <v>389</v>
      </c>
      <c r="F6" s="808" t="s">
        <v>390</v>
      </c>
      <c r="G6" s="808" t="s">
        <v>391</v>
      </c>
      <c r="H6" s="808" t="s">
        <v>392</v>
      </c>
      <c r="I6" s="808" t="s">
        <v>393</v>
      </c>
      <c r="J6" s="808" t="s">
        <v>394</v>
      </c>
      <c r="K6" s="808" t="s">
        <v>395</v>
      </c>
      <c r="L6" s="808" t="s">
        <v>396</v>
      </c>
      <c r="M6" s="808" t="s">
        <v>397</v>
      </c>
      <c r="N6" s="808" t="s">
        <v>398</v>
      </c>
      <c r="O6" s="808" t="s">
        <v>399</v>
      </c>
      <c r="P6" s="808" t="s">
        <v>400</v>
      </c>
      <c r="Q6" s="808" t="s">
        <v>401</v>
      </c>
      <c r="R6" s="808" t="s">
        <v>402</v>
      </c>
      <c r="S6" s="808" t="s">
        <v>403</v>
      </c>
      <c r="T6" s="808" t="s">
        <v>404</v>
      </c>
      <c r="U6" s="808" t="s">
        <v>405</v>
      </c>
      <c r="V6" s="808" t="s">
        <v>406</v>
      </c>
      <c r="W6" s="808" t="s">
        <v>407</v>
      </c>
      <c r="X6" s="808" t="s">
        <v>408</v>
      </c>
      <c r="Y6" s="808" t="s">
        <v>409</v>
      </c>
      <c r="Z6" s="808" t="s">
        <v>410</v>
      </c>
      <c r="AA6" s="808" t="s">
        <v>411</v>
      </c>
      <c r="AB6" s="808" t="s">
        <v>412</v>
      </c>
      <c r="AC6" s="808" t="s">
        <v>413</v>
      </c>
      <c r="AD6" s="808" t="s">
        <v>414</v>
      </c>
      <c r="AE6" s="808" t="s">
        <v>415</v>
      </c>
      <c r="AF6" s="808" t="s">
        <v>416</v>
      </c>
      <c r="AG6" s="808" t="s">
        <v>417</v>
      </c>
      <c r="AH6" s="887" t="s">
        <v>441</v>
      </c>
      <c r="AI6" s="810"/>
      <c r="AJ6" s="363"/>
    </row>
    <row r="7" spans="1:36" s="811" customFormat="1" ht="16.5" customHeight="1" x14ac:dyDescent="0.25">
      <c r="A7" s="363"/>
      <c r="B7" s="812" t="s">
        <v>580</v>
      </c>
      <c r="C7" s="813"/>
      <c r="D7" s="813"/>
      <c r="E7" s="813"/>
      <c r="F7" s="813"/>
      <c r="G7" s="813"/>
      <c r="H7" s="813"/>
      <c r="I7" s="813"/>
      <c r="J7" s="813"/>
      <c r="K7" s="813"/>
      <c r="L7" s="813"/>
      <c r="M7" s="813"/>
      <c r="N7" s="813"/>
      <c r="O7" s="813"/>
      <c r="P7" s="813"/>
      <c r="Q7" s="813"/>
      <c r="R7" s="813"/>
      <c r="S7" s="813"/>
      <c r="T7" s="813"/>
      <c r="U7" s="813"/>
      <c r="V7" s="813"/>
      <c r="W7" s="813"/>
      <c r="X7" s="813"/>
      <c r="Y7" s="813"/>
      <c r="Z7" s="813"/>
      <c r="AA7" s="813"/>
      <c r="AB7" s="813"/>
      <c r="AC7" s="813"/>
      <c r="AD7" s="813"/>
      <c r="AE7" s="813"/>
      <c r="AF7" s="813"/>
      <c r="AG7" s="813"/>
      <c r="AH7" s="814">
        <f>SUM(EtatPresence39[[#This Row],[jour 1]:[jour 31]])</f>
        <v>0</v>
      </c>
      <c r="AI7" s="815"/>
      <c r="AJ7" s="363"/>
    </row>
    <row r="8" spans="1:36" s="811" customFormat="1" ht="16.5" customHeight="1" x14ac:dyDescent="0.25">
      <c r="A8" s="363"/>
      <c r="B8" s="812" t="s">
        <v>577</v>
      </c>
      <c r="C8" s="982">
        <v>0</v>
      </c>
      <c r="D8" s="813">
        <v>0</v>
      </c>
      <c r="E8" s="813">
        <v>0</v>
      </c>
      <c r="F8" s="813">
        <v>0</v>
      </c>
      <c r="G8" s="813">
        <v>65</v>
      </c>
      <c r="H8" s="813">
        <v>50</v>
      </c>
      <c r="I8" s="813">
        <v>-685</v>
      </c>
      <c r="J8" s="813">
        <v>0</v>
      </c>
      <c r="K8" s="813">
        <v>310</v>
      </c>
      <c r="L8" s="813">
        <v>0</v>
      </c>
      <c r="M8" s="813">
        <v>155</v>
      </c>
      <c r="N8" s="813">
        <v>25</v>
      </c>
      <c r="O8" s="813">
        <v>460</v>
      </c>
      <c r="P8" s="813">
        <v>50</v>
      </c>
      <c r="Q8" s="813">
        <v>0</v>
      </c>
      <c r="R8" s="813">
        <v>720</v>
      </c>
      <c r="S8" s="813">
        <v>-220</v>
      </c>
      <c r="T8" s="813">
        <v>-565</v>
      </c>
      <c r="U8" s="813">
        <v>0</v>
      </c>
      <c r="V8" s="813">
        <v>0</v>
      </c>
      <c r="W8" s="813">
        <v>0</v>
      </c>
      <c r="X8" s="813">
        <v>0</v>
      </c>
      <c r="Y8" s="813">
        <v>0</v>
      </c>
      <c r="Z8" s="813">
        <v>-465</v>
      </c>
      <c r="AA8" s="813">
        <v>-810</v>
      </c>
      <c r="AB8" s="813">
        <v>0</v>
      </c>
      <c r="AC8" s="813">
        <v>-1990</v>
      </c>
      <c r="AD8" s="813">
        <v>1440</v>
      </c>
      <c r="AE8" s="813">
        <v>0</v>
      </c>
      <c r="AF8" s="813">
        <v>45</v>
      </c>
      <c r="AG8" s="813"/>
      <c r="AH8" s="814">
        <f>SUM(EtatPresence39[[#This Row],[jour 1]:[jour 31]])</f>
        <v>-1415</v>
      </c>
      <c r="AI8" s="815"/>
      <c r="AJ8" s="363"/>
    </row>
    <row r="9" spans="1:36" s="816" customFormat="1" ht="16.5" customHeight="1" x14ac:dyDescent="0.25">
      <c r="A9" s="363"/>
      <c r="B9" s="812" t="s">
        <v>484</v>
      </c>
      <c r="C9" s="813">
        <v>0</v>
      </c>
      <c r="D9" s="813">
        <v>0</v>
      </c>
      <c r="E9" s="813">
        <v>0</v>
      </c>
      <c r="F9" s="813">
        <v>0</v>
      </c>
      <c r="G9" s="813">
        <v>0</v>
      </c>
      <c r="H9" s="813">
        <v>0</v>
      </c>
      <c r="I9" s="813">
        <v>0</v>
      </c>
      <c r="J9" s="813">
        <v>60</v>
      </c>
      <c r="K9" s="813">
        <v>80</v>
      </c>
      <c r="L9" s="813">
        <v>-590</v>
      </c>
      <c r="M9" s="813">
        <v>305</v>
      </c>
      <c r="N9" s="813">
        <v>0</v>
      </c>
      <c r="O9" s="813">
        <v>70</v>
      </c>
      <c r="P9" s="813">
        <v>215</v>
      </c>
      <c r="Q9" s="813">
        <v>-55</v>
      </c>
      <c r="R9" s="813">
        <v>-155</v>
      </c>
      <c r="S9" s="813">
        <v>-205</v>
      </c>
      <c r="T9" s="813">
        <v>0</v>
      </c>
      <c r="U9" s="813">
        <v>0</v>
      </c>
      <c r="V9" s="813">
        <v>5</v>
      </c>
      <c r="W9" s="813">
        <v>445</v>
      </c>
      <c r="X9" s="813">
        <v>-460</v>
      </c>
      <c r="Y9" s="813">
        <v>0</v>
      </c>
      <c r="Z9" s="813">
        <v>300</v>
      </c>
      <c r="AA9" s="813">
        <v>0</v>
      </c>
      <c r="AB9" s="813">
        <v>0</v>
      </c>
      <c r="AC9" s="813">
        <v>70</v>
      </c>
      <c r="AD9" s="813">
        <v>-670</v>
      </c>
      <c r="AE9" s="813">
        <v>190</v>
      </c>
      <c r="AF9" s="813">
        <v>0</v>
      </c>
      <c r="AG9" s="813"/>
      <c r="AH9" s="814">
        <f>SUM(EtatPresence39[[#This Row],[jour 1]:[jour 31]])</f>
        <v>-395</v>
      </c>
      <c r="AI9" s="817"/>
      <c r="AJ9" s="363"/>
    </row>
    <row r="10" spans="1:36" ht="17.25" customHeight="1" x14ac:dyDescent="0.25">
      <c r="A10" s="363"/>
      <c r="B10" s="812" t="s">
        <v>575</v>
      </c>
      <c r="C10" s="813">
        <v>365</v>
      </c>
      <c r="D10" s="813">
        <v>-105</v>
      </c>
      <c r="E10" s="813">
        <v>60</v>
      </c>
      <c r="F10" s="813">
        <v>-10</v>
      </c>
      <c r="G10" s="813">
        <v>0</v>
      </c>
      <c r="H10" s="813">
        <v>20</v>
      </c>
      <c r="I10" s="813">
        <v>0</v>
      </c>
      <c r="J10" s="813">
        <v>-35</v>
      </c>
      <c r="K10" s="813">
        <v>0</v>
      </c>
      <c r="L10" s="813">
        <v>-140</v>
      </c>
      <c r="M10" s="813">
        <v>60</v>
      </c>
      <c r="N10" s="813">
        <v>-240</v>
      </c>
      <c r="O10" s="813">
        <v>40</v>
      </c>
      <c r="P10" s="813">
        <v>-340</v>
      </c>
      <c r="Q10" s="813">
        <v>-655</v>
      </c>
      <c r="R10" s="813">
        <v>0</v>
      </c>
      <c r="S10" s="813">
        <v>345</v>
      </c>
      <c r="T10" s="813">
        <v>40</v>
      </c>
      <c r="U10" s="813">
        <v>-655</v>
      </c>
      <c r="V10" s="813">
        <v>-180</v>
      </c>
      <c r="W10" s="813">
        <v>470</v>
      </c>
      <c r="X10" s="813">
        <v>-280</v>
      </c>
      <c r="Y10" s="813">
        <v>-85</v>
      </c>
      <c r="Z10" s="813">
        <v>0</v>
      </c>
      <c r="AA10" s="813">
        <v>0</v>
      </c>
      <c r="AB10" s="813">
        <v>-265</v>
      </c>
      <c r="AC10" s="813">
        <v>165</v>
      </c>
      <c r="AD10" s="813">
        <v>-295</v>
      </c>
      <c r="AE10" s="813">
        <v>380</v>
      </c>
      <c r="AF10" s="813">
        <v>-360</v>
      </c>
      <c r="AG10" s="813"/>
      <c r="AH10" s="814">
        <f>SUM(EtatPresence39[[#This Row],[jour 1]:[jour 31]])</f>
        <v>-1700</v>
      </c>
      <c r="AI10" s="819"/>
      <c r="AJ10" s="363"/>
    </row>
    <row r="11" spans="1:36" ht="16.5" customHeight="1" x14ac:dyDescent="0.25">
      <c r="A11" s="363"/>
      <c r="B11" s="812" t="s">
        <v>578</v>
      </c>
      <c r="C11" s="813">
        <v>0</v>
      </c>
      <c r="D11" s="813">
        <v>50</v>
      </c>
      <c r="E11" s="813">
        <v>255</v>
      </c>
      <c r="F11" s="813">
        <v>250</v>
      </c>
      <c r="G11" s="813">
        <v>110</v>
      </c>
      <c r="H11" s="813">
        <v>200</v>
      </c>
      <c r="I11" s="813">
        <v>-70</v>
      </c>
      <c r="J11" s="813">
        <v>0</v>
      </c>
      <c r="K11" s="813">
        <v>-375</v>
      </c>
      <c r="L11" s="813">
        <v>0</v>
      </c>
      <c r="M11" s="813">
        <v>0</v>
      </c>
      <c r="N11" s="813">
        <v>45</v>
      </c>
      <c r="O11" s="813">
        <v>-400</v>
      </c>
      <c r="P11" s="813">
        <v>0</v>
      </c>
      <c r="Q11" s="813">
        <v>0</v>
      </c>
      <c r="R11" s="813">
        <v>0</v>
      </c>
      <c r="S11" s="813">
        <v>0</v>
      </c>
      <c r="T11" s="813">
        <v>0</v>
      </c>
      <c r="U11" s="813">
        <v>0</v>
      </c>
      <c r="V11" s="813">
        <v>65</v>
      </c>
      <c r="W11" s="813">
        <v>90</v>
      </c>
      <c r="X11" s="813">
        <v>190</v>
      </c>
      <c r="Y11" s="813">
        <v>0</v>
      </c>
      <c r="Z11" s="813">
        <v>0</v>
      </c>
      <c r="AA11" s="813">
        <v>-50</v>
      </c>
      <c r="AB11" s="813">
        <v>5</v>
      </c>
      <c r="AC11" s="813">
        <v>40</v>
      </c>
      <c r="AD11" s="813">
        <v>-415</v>
      </c>
      <c r="AE11" s="813">
        <v>735</v>
      </c>
      <c r="AF11" s="813">
        <v>625</v>
      </c>
      <c r="AG11" s="813"/>
      <c r="AH11" s="814">
        <f>SUM(EtatPresence39[[#This Row],[jour 1]:[jour 31]])</f>
        <v>1350</v>
      </c>
      <c r="AI11" s="819"/>
      <c r="AJ11" s="363"/>
    </row>
    <row r="12" spans="1:36" ht="16.5" customHeight="1" x14ac:dyDescent="0.25">
      <c r="A12" s="363"/>
      <c r="B12" s="812" t="s">
        <v>576</v>
      </c>
      <c r="C12" s="813">
        <v>0</v>
      </c>
      <c r="D12" s="813">
        <v>0</v>
      </c>
      <c r="E12" s="813">
        <v>0</v>
      </c>
      <c r="F12" s="813">
        <v>-1195</v>
      </c>
      <c r="G12" s="813">
        <v>-985</v>
      </c>
      <c r="H12" s="813">
        <v>375</v>
      </c>
      <c r="I12" s="813">
        <v>0</v>
      </c>
      <c r="J12" s="813">
        <v>-700</v>
      </c>
      <c r="K12" s="813">
        <v>-765</v>
      </c>
      <c r="L12" s="813">
        <v>65</v>
      </c>
      <c r="M12" s="813">
        <v>285</v>
      </c>
      <c r="N12" s="813">
        <v>-680</v>
      </c>
      <c r="O12" s="813">
        <v>520</v>
      </c>
      <c r="P12" s="813">
        <v>-160</v>
      </c>
      <c r="Q12" s="813">
        <v>0</v>
      </c>
      <c r="R12" s="813">
        <v>40</v>
      </c>
      <c r="S12" s="813">
        <v>-185</v>
      </c>
      <c r="T12" s="813">
        <v>0</v>
      </c>
      <c r="U12" s="813">
        <v>-375</v>
      </c>
      <c r="V12" s="813">
        <v>410</v>
      </c>
      <c r="W12" s="813">
        <v>115</v>
      </c>
      <c r="X12" s="813">
        <v>0</v>
      </c>
      <c r="Y12" s="813">
        <v>-850</v>
      </c>
      <c r="Z12" s="813">
        <v>25</v>
      </c>
      <c r="AA12" s="813">
        <v>65</v>
      </c>
      <c r="AB12" s="813">
        <v>510</v>
      </c>
      <c r="AC12" s="813">
        <v>-450</v>
      </c>
      <c r="AD12" s="813">
        <v>-3400</v>
      </c>
      <c r="AE12" s="813">
        <v>3465</v>
      </c>
      <c r="AF12" s="813">
        <v>0</v>
      </c>
      <c r="AG12" s="813"/>
      <c r="AH12" s="814">
        <f>SUM(EtatPresence39[[#This Row],[jour 1]:[jour 31]])</f>
        <v>-3870</v>
      </c>
      <c r="AI12" s="819"/>
      <c r="AJ12" s="363"/>
    </row>
    <row r="13" spans="1:36" ht="16.5" customHeight="1" x14ac:dyDescent="0.25">
      <c r="A13" s="363"/>
      <c r="B13" s="812" t="s">
        <v>588</v>
      </c>
      <c r="C13" s="813">
        <v>-1315</v>
      </c>
      <c r="D13" s="813">
        <v>0</v>
      </c>
      <c r="E13" s="813">
        <v>85</v>
      </c>
      <c r="F13" s="813">
        <v>295</v>
      </c>
      <c r="G13" s="813">
        <v>545</v>
      </c>
      <c r="H13" s="813">
        <v>5</v>
      </c>
      <c r="I13" s="813">
        <v>120</v>
      </c>
      <c r="J13" s="813">
        <v>190</v>
      </c>
      <c r="K13" s="813">
        <v>0</v>
      </c>
      <c r="L13" s="813">
        <v>-1285</v>
      </c>
      <c r="M13" s="813">
        <v>55</v>
      </c>
      <c r="N13" s="813">
        <v>60</v>
      </c>
      <c r="O13" s="813">
        <v>190</v>
      </c>
      <c r="P13" s="813">
        <v>215</v>
      </c>
      <c r="Q13" s="813">
        <v>120</v>
      </c>
      <c r="R13" s="813">
        <v>290</v>
      </c>
      <c r="S13" s="813">
        <v>190</v>
      </c>
      <c r="T13" s="813">
        <v>185</v>
      </c>
      <c r="U13" s="813">
        <v>0</v>
      </c>
      <c r="V13" s="813">
        <v>-1880</v>
      </c>
      <c r="W13" s="813">
        <v>285</v>
      </c>
      <c r="X13" s="813">
        <v>0</v>
      </c>
      <c r="Y13" s="813">
        <v>405</v>
      </c>
      <c r="Z13" s="813">
        <v>35</v>
      </c>
      <c r="AA13" s="813">
        <v>-1795</v>
      </c>
      <c r="AB13" s="813">
        <v>30</v>
      </c>
      <c r="AC13" s="813">
        <v>-545</v>
      </c>
      <c r="AD13" s="813">
        <v>0</v>
      </c>
      <c r="AE13" s="813">
        <v>65</v>
      </c>
      <c r="AF13" s="813">
        <v>180</v>
      </c>
      <c r="AG13" s="813"/>
      <c r="AH13" s="814">
        <f>SUM(EtatPresence39[[#This Row],[jour 1]:[jour 31]])</f>
        <v>-3275</v>
      </c>
      <c r="AI13" s="819"/>
      <c r="AJ13" s="363"/>
    </row>
    <row r="14" spans="1:36" ht="16.5" customHeight="1" x14ac:dyDescent="0.25">
      <c r="A14" s="363"/>
      <c r="B14" s="812" t="s">
        <v>589</v>
      </c>
      <c r="C14" s="813">
        <v>280</v>
      </c>
      <c r="D14" s="813">
        <v>35</v>
      </c>
      <c r="E14" s="813">
        <v>-15</v>
      </c>
      <c r="F14" s="813">
        <v>110</v>
      </c>
      <c r="G14" s="813">
        <v>30</v>
      </c>
      <c r="H14" s="813">
        <v>0</v>
      </c>
      <c r="I14" s="813">
        <v>185</v>
      </c>
      <c r="J14" s="813">
        <v>70</v>
      </c>
      <c r="K14" s="813">
        <v>70</v>
      </c>
      <c r="L14" s="813">
        <v>-60</v>
      </c>
      <c r="M14" s="813">
        <v>280</v>
      </c>
      <c r="N14" s="813">
        <v>0</v>
      </c>
      <c r="O14" s="813">
        <v>-10</v>
      </c>
      <c r="P14" s="813">
        <v>40</v>
      </c>
      <c r="Q14" s="813">
        <v>-130</v>
      </c>
      <c r="R14" s="813">
        <v>30</v>
      </c>
      <c r="S14" s="813">
        <v>0</v>
      </c>
      <c r="T14" s="813">
        <v>80</v>
      </c>
      <c r="U14" s="813">
        <v>165</v>
      </c>
      <c r="V14" s="813">
        <v>0</v>
      </c>
      <c r="W14" s="813">
        <v>15</v>
      </c>
      <c r="X14" s="813">
        <v>50</v>
      </c>
      <c r="Y14" s="813">
        <v>490</v>
      </c>
      <c r="Z14" s="813">
        <v>0</v>
      </c>
      <c r="AA14" s="813">
        <v>40</v>
      </c>
      <c r="AB14" s="813">
        <v>320</v>
      </c>
      <c r="AC14" s="813">
        <v>25</v>
      </c>
      <c r="AD14" s="813">
        <v>-300</v>
      </c>
      <c r="AE14" s="813">
        <v>0</v>
      </c>
      <c r="AF14" s="813">
        <v>-1795</v>
      </c>
      <c r="AG14" s="813"/>
      <c r="AH14" s="814">
        <f>SUM(EtatPresence39[[#This Row],[jour 1]:[jour 31]])</f>
        <v>5</v>
      </c>
      <c r="AI14" s="819"/>
      <c r="AJ14" s="363"/>
    </row>
    <row r="15" spans="1:36" ht="16.5" customHeight="1" x14ac:dyDescent="0.25">
      <c r="A15" s="363"/>
      <c r="B15" s="812" t="s">
        <v>598</v>
      </c>
      <c r="C15" s="813">
        <v>-725</v>
      </c>
      <c r="D15" s="813">
        <v>365</v>
      </c>
      <c r="E15" s="813">
        <v>140</v>
      </c>
      <c r="F15" s="813">
        <v>135</v>
      </c>
      <c r="G15" s="813">
        <v>0</v>
      </c>
      <c r="H15" s="813">
        <v>0</v>
      </c>
      <c r="I15" s="813">
        <v>0</v>
      </c>
      <c r="J15" s="813">
        <v>120</v>
      </c>
      <c r="K15" s="813">
        <v>-435</v>
      </c>
      <c r="L15" s="813">
        <v>30</v>
      </c>
      <c r="M15" s="813">
        <v>300</v>
      </c>
      <c r="N15" s="813">
        <v>0</v>
      </c>
      <c r="O15" s="813">
        <v>110</v>
      </c>
      <c r="P15" s="813">
        <v>160</v>
      </c>
      <c r="Q15" s="813">
        <v>180</v>
      </c>
      <c r="R15" s="813">
        <v>490</v>
      </c>
      <c r="S15" s="813">
        <v>-6140</v>
      </c>
      <c r="T15" s="813">
        <v>2395</v>
      </c>
      <c r="U15" s="813">
        <v>0</v>
      </c>
      <c r="V15" s="813">
        <v>0</v>
      </c>
      <c r="W15" s="813">
        <v>0</v>
      </c>
      <c r="X15" s="813">
        <v>0</v>
      </c>
      <c r="Y15" s="813">
        <v>0</v>
      </c>
      <c r="Z15" s="813">
        <v>0</v>
      </c>
      <c r="AA15" s="813">
        <v>0</v>
      </c>
      <c r="AB15" s="813">
        <v>0</v>
      </c>
      <c r="AC15" s="813">
        <v>-200</v>
      </c>
      <c r="AD15" s="813">
        <v>490</v>
      </c>
      <c r="AE15" s="813">
        <v>-135</v>
      </c>
      <c r="AF15" s="813">
        <v>170</v>
      </c>
      <c r="AG15" s="813"/>
      <c r="AH15" s="814">
        <f>SUM(EtatPresence39[[#This Row],[jour 1]:[jour 31]])</f>
        <v>-2550</v>
      </c>
      <c r="AI15" s="819"/>
      <c r="AJ15" s="363"/>
    </row>
    <row r="16" spans="1:36" ht="16.5" customHeight="1" x14ac:dyDescent="0.25">
      <c r="A16" s="363"/>
      <c r="B16" s="812" t="s">
        <v>597</v>
      </c>
      <c r="C16" s="813">
        <v>0</v>
      </c>
      <c r="D16" s="813">
        <v>0</v>
      </c>
      <c r="E16" s="813">
        <v>50</v>
      </c>
      <c r="F16" s="813">
        <v>0</v>
      </c>
      <c r="G16" s="813">
        <v>0</v>
      </c>
      <c r="H16" s="813">
        <v>0</v>
      </c>
      <c r="I16" s="813">
        <v>0</v>
      </c>
      <c r="J16" s="813">
        <v>135</v>
      </c>
      <c r="K16" s="813">
        <v>0</v>
      </c>
      <c r="L16" s="813">
        <v>50</v>
      </c>
      <c r="M16" s="813">
        <v>0</v>
      </c>
      <c r="N16" s="813">
        <v>-50</v>
      </c>
      <c r="O16" s="813">
        <v>0</v>
      </c>
      <c r="P16" s="813">
        <v>0</v>
      </c>
      <c r="Q16" s="813">
        <v>150</v>
      </c>
      <c r="R16" s="813">
        <v>0</v>
      </c>
      <c r="S16" s="813">
        <v>-300</v>
      </c>
      <c r="T16" s="813">
        <v>0</v>
      </c>
      <c r="U16" s="813">
        <v>0</v>
      </c>
      <c r="V16" s="813">
        <v>0</v>
      </c>
      <c r="W16" s="813">
        <v>0</v>
      </c>
      <c r="X16" s="813">
        <v>-45</v>
      </c>
      <c r="Y16" s="813">
        <v>165</v>
      </c>
      <c r="Z16" s="813">
        <v>-50</v>
      </c>
      <c r="AA16" s="813">
        <v>0</v>
      </c>
      <c r="AB16" s="813">
        <v>0</v>
      </c>
      <c r="AC16" s="813">
        <v>-75</v>
      </c>
      <c r="AD16" s="813">
        <v>0</v>
      </c>
      <c r="AE16" s="813">
        <v>0</v>
      </c>
      <c r="AF16" s="813">
        <v>0</v>
      </c>
      <c r="AG16" s="813"/>
      <c r="AH16" s="814">
        <f>SUM(EtatPresence39[[#This Row],[jour 1]:[jour 31]])</f>
        <v>30</v>
      </c>
      <c r="AI16" s="819"/>
      <c r="AJ16" s="363"/>
    </row>
    <row r="17" spans="1:36" ht="16.5" customHeight="1" x14ac:dyDescent="0.25">
      <c r="A17" s="363"/>
      <c r="B17" s="812" t="s">
        <v>579</v>
      </c>
      <c r="C17" s="813"/>
      <c r="D17" s="813"/>
      <c r="E17" s="813"/>
      <c r="F17" s="813">
        <v>-900</v>
      </c>
      <c r="G17" s="813"/>
      <c r="H17" s="813"/>
      <c r="I17" s="813"/>
      <c r="J17" s="813"/>
      <c r="K17" s="813"/>
      <c r="L17" s="813"/>
      <c r="M17" s="813"/>
      <c r="N17" s="813"/>
      <c r="O17" s="813"/>
      <c r="P17" s="813"/>
      <c r="Q17" s="813"/>
      <c r="R17" s="813"/>
      <c r="S17" s="813"/>
      <c r="T17" s="813"/>
      <c r="U17" s="813"/>
      <c r="V17" s="813">
        <v>-1966</v>
      </c>
      <c r="W17" s="813"/>
      <c r="X17" s="813"/>
      <c r="Y17" s="813"/>
      <c r="Z17" s="813"/>
      <c r="AA17" s="813"/>
      <c r="AB17" s="813"/>
      <c r="AC17" s="813"/>
      <c r="AD17" s="813">
        <v>2891</v>
      </c>
      <c r="AE17" s="813"/>
      <c r="AF17" s="813"/>
      <c r="AG17" s="813"/>
      <c r="AH17" s="814">
        <f>SUM(EtatPresence39[[#This Row],[jour 1]:[jour 31]])</f>
        <v>25</v>
      </c>
      <c r="AI17" s="819"/>
      <c r="AJ17" s="363"/>
    </row>
    <row r="18" spans="1:36" ht="16.5" customHeight="1" x14ac:dyDescent="0.25">
      <c r="A18" s="363"/>
      <c r="B18" s="812" t="s">
        <v>586</v>
      </c>
      <c r="C18" s="813"/>
      <c r="D18" s="813"/>
      <c r="E18" s="813"/>
      <c r="F18" s="813"/>
      <c r="G18" s="813"/>
      <c r="H18" s="813"/>
      <c r="I18" s="813"/>
      <c r="J18" s="813">
        <v>1925</v>
      </c>
      <c r="K18" s="813"/>
      <c r="L18" s="813"/>
      <c r="M18" s="813"/>
      <c r="N18" s="813"/>
      <c r="O18" s="813"/>
      <c r="P18" s="813"/>
      <c r="Q18" s="813"/>
      <c r="R18" s="813">
        <v>200</v>
      </c>
      <c r="S18" s="813"/>
      <c r="T18" s="813"/>
      <c r="U18" s="813"/>
      <c r="V18" s="813"/>
      <c r="W18" s="813"/>
      <c r="X18" s="813"/>
      <c r="Y18" s="813"/>
      <c r="Z18" s="813">
        <v>-2091</v>
      </c>
      <c r="AA18" s="813"/>
      <c r="AB18" s="813"/>
      <c r="AC18" s="813"/>
      <c r="AD18" s="813"/>
      <c r="AE18" s="813"/>
      <c r="AF18" s="813"/>
      <c r="AG18" s="813"/>
      <c r="AH18" s="814">
        <f>SUM(EtatPresence39[[#This Row],[jour 1]:[jour 31]])</f>
        <v>34</v>
      </c>
      <c r="AI18" s="819"/>
      <c r="AJ18" s="363"/>
    </row>
    <row r="19" spans="1:36" ht="16.5" customHeight="1" x14ac:dyDescent="0.25">
      <c r="A19" s="363"/>
      <c r="B19" s="812" t="s">
        <v>581</v>
      </c>
      <c r="C19" s="813"/>
      <c r="D19" s="813"/>
      <c r="E19" s="813"/>
      <c r="F19" s="813"/>
      <c r="G19" s="813"/>
      <c r="H19" s="813"/>
      <c r="I19" s="813"/>
      <c r="J19" s="813"/>
      <c r="K19" s="813"/>
      <c r="L19" s="813"/>
      <c r="M19" s="813"/>
      <c r="N19" s="813">
        <v>-333</v>
      </c>
      <c r="O19" s="813"/>
      <c r="P19" s="813"/>
      <c r="Q19" s="813"/>
      <c r="R19" s="813"/>
      <c r="S19" s="813"/>
      <c r="T19" s="813"/>
      <c r="U19" s="813"/>
      <c r="V19" s="813"/>
      <c r="W19" s="813"/>
      <c r="X19" s="813"/>
      <c r="Y19" s="813"/>
      <c r="Z19" s="813"/>
      <c r="AA19" s="813"/>
      <c r="AB19" s="813"/>
      <c r="AC19" s="813"/>
      <c r="AD19" s="813"/>
      <c r="AE19" s="813"/>
      <c r="AF19" s="813"/>
      <c r="AG19" s="813"/>
      <c r="AH19" s="814">
        <f>SUM(EtatPresence39[[#This Row],[jour 1]:[jour 31]])</f>
        <v>-333</v>
      </c>
      <c r="AI19" s="819"/>
      <c r="AJ19" s="363"/>
    </row>
    <row r="20" spans="1:36" ht="16.5" customHeight="1" x14ac:dyDescent="0.25">
      <c r="A20" s="363"/>
      <c r="B20" s="812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813"/>
      <c r="AB20" s="813"/>
      <c r="AC20" s="813"/>
      <c r="AD20" s="813"/>
      <c r="AE20" s="813"/>
      <c r="AF20" s="813"/>
      <c r="AG20" s="813"/>
      <c r="AH20" s="814">
        <f>SUM(EtatPresence39[[#This Row],[jour 1]:[jour 31]])</f>
        <v>0</v>
      </c>
      <c r="AI20" s="819"/>
      <c r="AJ20" s="363"/>
    </row>
    <row r="21" spans="1:36" ht="16.5" customHeight="1" x14ac:dyDescent="0.25">
      <c r="A21" s="363"/>
      <c r="B21" s="812">
        <f>[8]RECAP!D21</f>
        <v>0</v>
      </c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813"/>
      <c r="AB21" s="813"/>
      <c r="AC21" s="813"/>
      <c r="AD21" s="813"/>
      <c r="AE21" s="972"/>
      <c r="AF21" s="813"/>
      <c r="AG21" s="813"/>
      <c r="AH21" s="814">
        <f>SUM(EtatPresence39[[#This Row],[jour 1]:[jour 31]])</f>
        <v>0</v>
      </c>
      <c r="AI21" s="819"/>
      <c r="AJ21" s="363"/>
    </row>
    <row r="22" spans="1:36" ht="16.5" customHeight="1" x14ac:dyDescent="0.25">
      <c r="A22" s="363"/>
      <c r="B22" s="812">
        <f>[8]RECAP!D22</f>
        <v>0</v>
      </c>
      <c r="C22" s="813"/>
      <c r="D22" s="813"/>
      <c r="E22" s="813"/>
      <c r="F22" s="813"/>
      <c r="G22" s="813"/>
      <c r="H22" s="813"/>
      <c r="I22" s="813"/>
      <c r="J22" s="813"/>
      <c r="K22" s="813"/>
      <c r="L22" s="813"/>
      <c r="M22" s="813"/>
      <c r="N22" s="813"/>
      <c r="O22" s="813"/>
      <c r="P22" s="813"/>
      <c r="Q22" s="813"/>
      <c r="R22" s="813"/>
      <c r="S22" s="813"/>
      <c r="T22" s="813"/>
      <c r="U22" s="813"/>
      <c r="V22" s="813"/>
      <c r="W22" s="813"/>
      <c r="X22" s="813"/>
      <c r="Y22" s="813"/>
      <c r="Z22" s="813"/>
      <c r="AA22" s="813"/>
      <c r="AB22" s="813"/>
      <c r="AC22" s="813"/>
      <c r="AD22" s="813"/>
      <c r="AE22" s="813"/>
      <c r="AF22" s="813"/>
      <c r="AG22" s="813"/>
      <c r="AH22" s="814">
        <f>SUM(EtatPresence39[[#This Row],[jour 1]:[jour 31]])</f>
        <v>0</v>
      </c>
      <c r="AI22" s="819"/>
      <c r="AJ22" s="363"/>
    </row>
    <row r="23" spans="1:36" ht="16.5" customHeight="1" x14ac:dyDescent="0.25">
      <c r="A23" s="363"/>
      <c r="B23" s="812">
        <f>[8]RECAP!D23</f>
        <v>0</v>
      </c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3"/>
      <c r="P23" s="813"/>
      <c r="Q23" s="813"/>
      <c r="R23" s="813"/>
      <c r="S23" s="813"/>
      <c r="T23" s="813"/>
      <c r="U23" s="813"/>
      <c r="V23" s="813"/>
      <c r="W23" s="813"/>
      <c r="X23" s="813"/>
      <c r="Y23" s="813"/>
      <c r="Z23" s="813"/>
      <c r="AA23" s="813"/>
      <c r="AB23" s="813"/>
      <c r="AC23" s="813"/>
      <c r="AD23" s="813"/>
      <c r="AE23" s="813"/>
      <c r="AF23" s="813"/>
      <c r="AG23" s="813"/>
      <c r="AH23" s="814">
        <f>SUM(EtatPresence39[[#This Row],[jour 1]:[jour 31]])</f>
        <v>0</v>
      </c>
      <c r="AI23" s="819"/>
      <c r="AJ23" s="363"/>
    </row>
    <row r="24" spans="1:36" ht="16.5" customHeight="1" x14ac:dyDescent="0.25">
      <c r="A24" s="363"/>
      <c r="B24" s="812">
        <f>[8]RECAP!D24</f>
        <v>0</v>
      </c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3"/>
      <c r="P24" s="813"/>
      <c r="Q24" s="813"/>
      <c r="R24" s="813"/>
      <c r="S24" s="813"/>
      <c r="T24" s="813"/>
      <c r="U24" s="813"/>
      <c r="V24" s="813"/>
      <c r="W24" s="813"/>
      <c r="X24" s="813"/>
      <c r="Y24" s="813"/>
      <c r="Z24" s="813"/>
      <c r="AA24" s="813"/>
      <c r="AB24" s="813"/>
      <c r="AC24" s="813"/>
      <c r="AD24" s="813"/>
      <c r="AE24" s="813"/>
      <c r="AF24" s="813"/>
      <c r="AG24" s="813"/>
      <c r="AH24" s="814">
        <f>SUM(EtatPresence39[[#This Row],[jour 1]:[jour 31]])</f>
        <v>0</v>
      </c>
      <c r="AI24" s="819"/>
      <c r="AJ24" s="363"/>
    </row>
    <row r="25" spans="1:36" ht="16.5" customHeight="1" x14ac:dyDescent="0.25">
      <c r="B25" s="812">
        <f>[8]RECAP!D25</f>
        <v>0</v>
      </c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20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813"/>
      <c r="AB25" s="813"/>
      <c r="AC25" s="813"/>
      <c r="AD25" s="813"/>
      <c r="AE25" s="813"/>
      <c r="AF25" s="813"/>
      <c r="AG25" s="813"/>
      <c r="AH25" s="814">
        <f>SUM(EtatPresence39[[#This Row],[jour 1]:[jour 31]])</f>
        <v>0</v>
      </c>
      <c r="AI25" s="819"/>
      <c r="AJ25" s="363"/>
    </row>
    <row r="26" spans="1:36" ht="16.5" customHeight="1" x14ac:dyDescent="0.25">
      <c r="B26" s="812">
        <f>[8]RECAP!D26</f>
        <v>0</v>
      </c>
      <c r="C26" s="813"/>
      <c r="D26" s="813"/>
      <c r="E26" s="813"/>
      <c r="F26" s="813"/>
      <c r="G26" s="813"/>
      <c r="H26" s="813"/>
      <c r="I26" s="813"/>
      <c r="J26" s="813"/>
      <c r="K26" s="813"/>
      <c r="L26" s="813"/>
      <c r="M26" s="813"/>
      <c r="N26" s="813"/>
      <c r="O26" s="820"/>
      <c r="P26" s="813"/>
      <c r="Q26" s="813"/>
      <c r="R26" s="813"/>
      <c r="S26" s="813"/>
      <c r="T26" s="813"/>
      <c r="U26" s="813"/>
      <c r="V26" s="813"/>
      <c r="W26" s="813"/>
      <c r="X26" s="813"/>
      <c r="Y26" s="813"/>
      <c r="Z26" s="813"/>
      <c r="AA26" s="813"/>
      <c r="AB26" s="813"/>
      <c r="AC26" s="813"/>
      <c r="AD26" s="813"/>
      <c r="AE26" s="813"/>
      <c r="AF26" s="813"/>
      <c r="AG26" s="813"/>
      <c r="AH26" s="814">
        <f>SUM(EtatPresence39[[#This Row],[jour 1]:[jour 31]])</f>
        <v>0</v>
      </c>
      <c r="AI26" s="819"/>
    </row>
    <row r="27" spans="1:36" ht="16.5" customHeight="1" x14ac:dyDescent="0.25">
      <c r="B27" s="812">
        <f>[8]RECAP!D27</f>
        <v>0</v>
      </c>
      <c r="C27" s="813"/>
      <c r="D27" s="813"/>
      <c r="E27" s="813"/>
      <c r="F27" s="813"/>
      <c r="G27" s="813"/>
      <c r="H27" s="813"/>
      <c r="I27" s="813"/>
      <c r="J27" s="813"/>
      <c r="K27" s="813"/>
      <c r="L27" s="813"/>
      <c r="M27" s="813"/>
      <c r="N27" s="813"/>
      <c r="O27" s="813"/>
      <c r="P27" s="813"/>
      <c r="Q27" s="813"/>
      <c r="R27" s="813"/>
      <c r="S27" s="813"/>
      <c r="T27" s="813"/>
      <c r="U27" s="813"/>
      <c r="V27" s="813"/>
      <c r="W27" s="813"/>
      <c r="X27" s="813"/>
      <c r="Y27" s="813"/>
      <c r="Z27" s="813"/>
      <c r="AA27" s="813"/>
      <c r="AB27" s="813"/>
      <c r="AC27" s="813"/>
      <c r="AD27" s="813"/>
      <c r="AE27" s="813"/>
      <c r="AF27" s="813"/>
      <c r="AG27" s="813"/>
      <c r="AH27" s="814">
        <f>SUM(EtatPresence39[[#This Row],[jour 1]:[jour 31]])</f>
        <v>0</v>
      </c>
      <c r="AI27" s="819"/>
    </row>
    <row r="28" spans="1:36" ht="16.5" customHeight="1" x14ac:dyDescent="0.25">
      <c r="B28" s="812">
        <f>[8]RECAP!D28</f>
        <v>0</v>
      </c>
      <c r="C28" s="813"/>
      <c r="D28" s="813"/>
      <c r="E28" s="813"/>
      <c r="F28" s="813"/>
      <c r="G28" s="813"/>
      <c r="H28" s="813"/>
      <c r="I28" s="813"/>
      <c r="J28" s="813"/>
      <c r="K28" s="813"/>
      <c r="L28" s="813"/>
      <c r="M28" s="813"/>
      <c r="N28" s="813"/>
      <c r="O28" s="813"/>
      <c r="P28" s="813"/>
      <c r="Q28" s="813"/>
      <c r="R28" s="813"/>
      <c r="S28" s="813"/>
      <c r="T28" s="813"/>
      <c r="U28" s="813"/>
      <c r="V28" s="813"/>
      <c r="W28" s="813"/>
      <c r="X28" s="813"/>
      <c r="Y28" s="813"/>
      <c r="Z28" s="813"/>
      <c r="AA28" s="813"/>
      <c r="AB28" s="813"/>
      <c r="AC28" s="813"/>
      <c r="AD28" s="813"/>
      <c r="AE28" s="813"/>
      <c r="AF28" s="813"/>
      <c r="AG28" s="813"/>
      <c r="AH28" s="814">
        <f>SUM(EtatPresence39[[#This Row],[jour 1]:[jour 31]])</f>
        <v>0</v>
      </c>
      <c r="AI28" s="819"/>
    </row>
    <row r="29" spans="1:36" ht="16.5" customHeight="1" x14ac:dyDescent="0.25">
      <c r="B29" s="812">
        <f>[8]RECAP!D29</f>
        <v>0</v>
      </c>
      <c r="C29" s="813"/>
      <c r="D29" s="813"/>
      <c r="E29" s="813"/>
      <c r="F29" s="813"/>
      <c r="G29" s="813"/>
      <c r="H29" s="813"/>
      <c r="I29" s="813"/>
      <c r="J29" s="813"/>
      <c r="K29" s="813"/>
      <c r="L29" s="813"/>
      <c r="M29" s="813"/>
      <c r="N29" s="813"/>
      <c r="O29" s="813"/>
      <c r="P29" s="813"/>
      <c r="Q29" s="813"/>
      <c r="R29" s="813"/>
      <c r="S29" s="813"/>
      <c r="T29" s="813"/>
      <c r="U29" s="813"/>
      <c r="V29" s="813"/>
      <c r="W29" s="813"/>
      <c r="X29" s="813"/>
      <c r="Y29" s="813"/>
      <c r="Z29" s="813"/>
      <c r="AA29" s="813"/>
      <c r="AB29" s="813"/>
      <c r="AC29" s="813"/>
      <c r="AD29" s="813"/>
      <c r="AE29" s="813"/>
      <c r="AF29" s="813"/>
      <c r="AG29" s="813"/>
      <c r="AH29" s="814">
        <f>SUM(EtatPresence39[[#This Row],[jour 1]:[jour 31]])</f>
        <v>0</v>
      </c>
      <c r="AI29" s="819"/>
    </row>
    <row r="30" spans="1:36" ht="16.5" customHeight="1" x14ac:dyDescent="0.25">
      <c r="B30" s="1005"/>
      <c r="C30" s="1006" t="e">
        <f>COUNTIF([7]!EtatPresence3[jour 1],"NJ")+COUNTIF([7]!EtatPresence3[jour 1],"S")+COUNTIF([7]!EtatPresence3[jour 1],"J")</f>
        <v>#REF!</v>
      </c>
      <c r="D30" s="1006" t="e">
        <f>COUNTIF([7]!EtatPresence3[jour 2],"N1")+COUNTIF([7]!EtatPresence3[jour 2],"E")</f>
        <v>#REF!</v>
      </c>
      <c r="E30" s="1006" t="e">
        <f>COUNTIF([7]!EtatPresence3[jour 3],"N1")+COUNTIF([7]!EtatPresence3[jour 3],"E")</f>
        <v>#REF!</v>
      </c>
      <c r="F30" s="1006" t="e">
        <f>COUNTIF([7]!EtatPresence3[jour 4],"N1")+COUNTIF([7]!EtatPresence3[jour 4],"E")</f>
        <v>#REF!</v>
      </c>
      <c r="G30" s="1006" t="e">
        <f>COUNTIF([7]!EtatPresence3[jour 5],"N1")+COUNTIF([7]!EtatPresence3[jour 5],"E")</f>
        <v>#REF!</v>
      </c>
      <c r="H30" s="1006" t="e">
        <f>COUNTIF([7]!EtatPresence3[jour 6],"N1")+COUNTIF([7]!EtatPresence3[jour 6],"E")</f>
        <v>#REF!</v>
      </c>
      <c r="I30" s="1006" t="e">
        <f>COUNTIF([7]!EtatPresence3[jour 7],"N1")+COUNTIF([7]!EtatPresence3[jour 7],"E")</f>
        <v>#REF!</v>
      </c>
      <c r="J30" s="1006">
        <f>COUNTIF(EtatPresence39[jour 8],"N1")+COUNTIF(EtatPresence39[jour 8],"E")</f>
        <v>0</v>
      </c>
      <c r="K30" s="1006">
        <f>COUNTIF(EtatPresence39[jour 9],"N1")+COUNTIF(EtatPresence39[jour 9],"E")</f>
        <v>0</v>
      </c>
      <c r="L30" s="1006">
        <f>COUNTIF(EtatPresence39[jour 10],"N1")+COUNTIF(EtatPresence39[jour 10],"E")</f>
        <v>0</v>
      </c>
      <c r="M30" s="1006">
        <f>COUNTIF(EtatPresence39[jour 11],"N1")+COUNTIF(EtatPresence39[jour 11],"E")</f>
        <v>0</v>
      </c>
      <c r="N30" s="1006">
        <f>COUNTIF(EtatPresence39[jour 12],"N1")+COUNTIF(EtatPresence39[jour 12],"E")</f>
        <v>0</v>
      </c>
      <c r="O30" s="1006"/>
      <c r="P30" s="1006">
        <f>COUNTIF(EtatPresence39[jour 14],"N1")+COUNTIF(EtatPresence39[jour 14],"E")</f>
        <v>0</v>
      </c>
      <c r="Q30" s="1006">
        <f>COUNTIF(EtatPresence39[jour 15],"N1")+COUNTIF(EtatPresence39[jour 15],"E")</f>
        <v>0</v>
      </c>
      <c r="R30" s="1006">
        <f>COUNTIF(EtatPresence39[jour 16],"N1")+COUNTIF(EtatPresence39[jour 16],"E")</f>
        <v>0</v>
      </c>
      <c r="S30" s="1006">
        <f>COUNTIF(EtatPresence39[jour 17],"N1")+COUNTIF(EtatPresence39[jour 17],"E")</f>
        <v>0</v>
      </c>
      <c r="T30" s="1006">
        <f>COUNTIF(EtatPresence39[jour 18],"N1")+COUNTIF(EtatPresence39[jour 18],"E")</f>
        <v>0</v>
      </c>
      <c r="U30" s="1006">
        <f>COUNTIF(EtatPresence39[jour 19],"N1")+COUNTIF(EtatPresence39[jour 19],"E")</f>
        <v>0</v>
      </c>
      <c r="V30" s="1006">
        <f>COUNTIF(EtatPresence39[jour 20],"N1")+COUNTIF(EtatPresence39[jour 20],"E")</f>
        <v>0</v>
      </c>
      <c r="W30" s="1006">
        <f>COUNTIF(EtatPresence39[jour 21],"N1")+COUNTIF(EtatPresence39[jour 21],"E")</f>
        <v>0</v>
      </c>
      <c r="X30" s="1006">
        <f>COUNTIF(EtatPresence39[jour 22],"N1")+COUNTIF(EtatPresence39[jour 22],"E")</f>
        <v>0</v>
      </c>
      <c r="Y30" s="1006">
        <f>COUNTIF(EtatPresence39[jour 23],"N1")+COUNTIF(EtatPresence39[jour 23],"E")</f>
        <v>0</v>
      </c>
      <c r="Z30" s="1006">
        <f>COUNTIF(EtatPresence39[jour 24],"N1")+COUNTIF(EtatPresence39[jour 24],"E")</f>
        <v>0</v>
      </c>
      <c r="AA30" s="1006">
        <f>COUNTIF(EtatPresence39[jour 25],"N1")+COUNTIF(EtatPresence39[jour 25],"E")</f>
        <v>0</v>
      </c>
      <c r="AB30" s="1006">
        <f>COUNTIF(EtatPresence39[jour 26],"N1")+COUNTIF(EtatPresence39[jour 26],"E")</f>
        <v>0</v>
      </c>
      <c r="AC30" s="1006">
        <f>COUNTIF(EtatPresence39[jour 27],"N1")+COUNTIF(EtatPresence39[jour 27],"E")</f>
        <v>0</v>
      </c>
      <c r="AD30" s="1006">
        <f>COUNTIF(EtatPresence39[jour 28],"N1")+COUNTIF(EtatPresence39[jour 28],"E")</f>
        <v>0</v>
      </c>
      <c r="AE30" s="1006">
        <f>COUNTIF(EtatPresence39[jour 29],"N1")+COUNTIF(EtatPresence39[jour 29],"E")</f>
        <v>0</v>
      </c>
      <c r="AF30" s="1006">
        <f>COUNTIF(EtatPresence39[jour 30],"N1")+COUNTIF(EtatPresence39[jour 30],"E")</f>
        <v>0</v>
      </c>
      <c r="AG30" s="1006">
        <f>COUNTIF(EtatPresence39[jour 31],"N1")+COUNTIF(EtatPresence39[jour 31],"E")</f>
        <v>0</v>
      </c>
      <c r="AH30" s="1007">
        <f>SUM(AH7:AH29)</f>
        <v>-12094</v>
      </c>
    </row>
    <row r="31" spans="1:36" ht="16.5" customHeight="1" x14ac:dyDescent="0.25">
      <c r="B31" s="824"/>
      <c r="C31" s="825"/>
      <c r="D31" s="825"/>
      <c r="E31" s="825"/>
      <c r="F31" s="825"/>
      <c r="G31" s="825"/>
      <c r="H31" s="825"/>
      <c r="I31" s="825"/>
      <c r="J31" s="825"/>
      <c r="K31" s="825"/>
      <c r="L31" s="825"/>
      <c r="M31" s="825"/>
      <c r="N31" s="825"/>
      <c r="O31" s="825"/>
      <c r="P31" s="825"/>
      <c r="Q31" s="825"/>
      <c r="R31" s="825"/>
      <c r="S31" s="825"/>
      <c r="T31" s="825"/>
      <c r="U31" s="825"/>
      <c r="V31" s="825"/>
      <c r="W31" s="825"/>
      <c r="X31" s="825"/>
      <c r="Y31" s="825"/>
      <c r="Z31" s="825"/>
      <c r="AA31" s="825"/>
      <c r="AB31" s="825"/>
      <c r="AC31" s="825"/>
      <c r="AD31" s="825"/>
      <c r="AE31" s="825"/>
      <c r="AF31" s="825"/>
      <c r="AG31" s="825"/>
      <c r="AH31" s="825"/>
    </row>
    <row r="32" spans="1:36" ht="16.5" customHeight="1" x14ac:dyDescent="0.25"/>
    <row r="35" spans="33:34" x14ac:dyDescent="0.25">
      <c r="AG35" s="827"/>
      <c r="AH35" s="819"/>
    </row>
    <row r="36" spans="33:34" x14ac:dyDescent="0.25">
      <c r="AG36" s="827"/>
      <c r="AH36" s="819"/>
    </row>
    <row r="37" spans="33:34" x14ac:dyDescent="0.25">
      <c r="AG37" s="827"/>
      <c r="AH37" s="819"/>
    </row>
    <row r="38" spans="33:34" x14ac:dyDescent="0.25">
      <c r="AG38" s="827"/>
      <c r="AH38" s="819"/>
    </row>
    <row r="39" spans="33:34" x14ac:dyDescent="0.25">
      <c r="AG39" s="827"/>
      <c r="AH39" s="819"/>
    </row>
  </sheetData>
  <mergeCells count="4">
    <mergeCell ref="L1:N1"/>
    <mergeCell ref="P1:R1"/>
    <mergeCell ref="U1:W1"/>
    <mergeCell ref="B3:B5"/>
  </mergeCells>
  <conditionalFormatting sqref="D8:AG8 C7:AG7 C9:AG29">
    <cfRule type="cellIs" dxfId="347" priority="14" operator="lessThanOrEqual">
      <formula>-3000</formula>
    </cfRule>
  </conditionalFormatting>
  <conditionalFormatting sqref="AH7:AH29">
    <cfRule type="dataBar" priority="13">
      <dataBar>
        <cfvo type="num" val="-10000"/>
        <cfvo type="num" val="-1"/>
        <color rgb="FFFF0000"/>
      </dataBar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selection activeCell="O12" sqref="O12"/>
    </sheetView>
  </sheetViews>
  <sheetFormatPr baseColWidth="10" defaultRowHeight="15" x14ac:dyDescent="0.25"/>
  <cols>
    <col min="1" max="1" width="5.42578125" style="688" customWidth="1"/>
    <col min="2" max="2" width="6.28515625" style="862" customWidth="1"/>
    <col min="3" max="3" width="27.42578125" style="862" customWidth="1"/>
    <col min="4" max="4" width="10.28515625" style="688" customWidth="1"/>
    <col min="5" max="5" width="10.5703125" style="688" customWidth="1"/>
    <col min="6" max="6" width="13.28515625" style="688" customWidth="1"/>
    <col min="7" max="7" width="9.5703125" style="688" customWidth="1"/>
    <col min="8" max="8" width="7.85546875" style="688" customWidth="1"/>
    <col min="9" max="9" width="10.140625" style="688" customWidth="1"/>
    <col min="10" max="10" width="9.5703125" style="688" customWidth="1"/>
    <col min="11" max="11" width="22.7109375" style="688" customWidth="1"/>
    <col min="12" max="12" width="10.85546875" style="688" customWidth="1"/>
    <col min="13" max="13" width="9.42578125" style="688" customWidth="1"/>
    <col min="14" max="14" width="10.42578125" style="688" hidden="1" customWidth="1"/>
    <col min="15" max="16384" width="11.42578125" style="688"/>
  </cols>
  <sheetData>
    <row r="1" spans="1:30" s="833" customFormat="1" ht="24.75" customHeight="1" x14ac:dyDescent="0.25">
      <c r="A1" s="828"/>
      <c r="B1" s="828"/>
      <c r="C1" s="828"/>
      <c r="D1" s="829" t="s">
        <v>442</v>
      </c>
      <c r="E1" s="830"/>
      <c r="F1" s="831">
        <f>[8]RECAP!E1</f>
        <v>0</v>
      </c>
      <c r="G1" s="832"/>
      <c r="H1" s="832"/>
      <c r="I1" s="832"/>
      <c r="M1" s="834"/>
      <c r="N1" s="834"/>
      <c r="O1" s="835"/>
      <c r="P1" s="835"/>
      <c r="U1" s="836"/>
      <c r="X1" s="837"/>
      <c r="AB1" s="838"/>
      <c r="AC1" s="838"/>
      <c r="AD1" s="839"/>
    </row>
    <row r="2" spans="1:30" s="847" customFormat="1" ht="22.5" customHeight="1" x14ac:dyDescent="0.25">
      <c r="A2" s="840"/>
      <c r="B2" s="840"/>
      <c r="C2" s="841" t="s">
        <v>443</v>
      </c>
      <c r="D2" s="915">
        <f>presences!O1</f>
        <v>44440</v>
      </c>
      <c r="E2" s="843" t="s">
        <v>365</v>
      </c>
      <c r="F2" s="844">
        <f>presences!S1</f>
        <v>44469</v>
      </c>
      <c r="G2" s="845"/>
      <c r="H2" s="845"/>
      <c r="I2" s="845"/>
      <c r="J2" s="833"/>
      <c r="K2" s="846"/>
      <c r="L2" s="846"/>
    </row>
    <row r="3" spans="1:30" s="848" customFormat="1" ht="82.5" customHeight="1" x14ac:dyDescent="0.25">
      <c r="B3" s="849" t="s">
        <v>384</v>
      </c>
      <c r="C3" s="849" t="s">
        <v>444</v>
      </c>
      <c r="D3" s="850" t="s">
        <v>445</v>
      </c>
      <c r="E3" s="850" t="s">
        <v>446</v>
      </c>
      <c r="F3" s="850" t="s">
        <v>447</v>
      </c>
      <c r="G3" s="850" t="s">
        <v>448</v>
      </c>
      <c r="H3" s="850" t="s">
        <v>449</v>
      </c>
      <c r="I3" s="850" t="s">
        <v>450</v>
      </c>
      <c r="J3" s="851" t="s">
        <v>441</v>
      </c>
      <c r="K3" s="852" t="s">
        <v>451</v>
      </c>
      <c r="N3" s="853">
        <f>DATE(2019,1,1)</f>
        <v>43466</v>
      </c>
    </row>
    <row r="4" spans="1:30" ht="15.75" x14ac:dyDescent="0.25">
      <c r="B4" s="854">
        <f>[8]RECAP!B7</f>
        <v>4</v>
      </c>
      <c r="C4" s="763" t="s">
        <v>580</v>
      </c>
      <c r="D4" s="855">
        <f>presences!AK7</f>
        <v>0</v>
      </c>
      <c r="E4" s="855">
        <f>presences!AM7</f>
        <v>0</v>
      </c>
      <c r="F4" s="856">
        <f>presences!AJ7</f>
        <v>0</v>
      </c>
      <c r="G4" s="855">
        <f>presences!AN7</f>
        <v>0</v>
      </c>
      <c r="H4" s="857">
        <f>presences!AQ7</f>
        <v>0</v>
      </c>
      <c r="I4" s="857">
        <f>presences!AN7+presences!AO7</f>
        <v>0</v>
      </c>
      <c r="J4" s="856">
        <f>manquant!AH7</f>
        <v>0</v>
      </c>
      <c r="K4" s="857"/>
      <c r="N4" s="858">
        <f>EDATE(N3,1)</f>
        <v>43497</v>
      </c>
    </row>
    <row r="5" spans="1:30" ht="15.75" x14ac:dyDescent="0.25">
      <c r="B5" s="854">
        <f>[8]RECAP!B8</f>
        <v>5</v>
      </c>
      <c r="C5" s="763" t="s">
        <v>577</v>
      </c>
      <c r="D5" s="855">
        <f>presences!AK8</f>
        <v>2</v>
      </c>
      <c r="E5" s="855">
        <f>presences!AM8</f>
        <v>0</v>
      </c>
      <c r="F5" s="856">
        <f>presences!AJ8</f>
        <v>0</v>
      </c>
      <c r="G5" s="855">
        <f>presences!AN8</f>
        <v>0</v>
      </c>
      <c r="H5" s="857">
        <f>presences!AQ8</f>
        <v>0</v>
      </c>
      <c r="I5" s="857">
        <f>presences!AN8+presences!AO8</f>
        <v>4</v>
      </c>
      <c r="J5" s="856">
        <f>manquant!AH8</f>
        <v>-1415</v>
      </c>
      <c r="K5" s="857"/>
      <c r="N5" s="858">
        <f t="shared" ref="N5:N30" si="0">EDATE(N4,1)</f>
        <v>43525</v>
      </c>
    </row>
    <row r="6" spans="1:30" ht="15.75" x14ac:dyDescent="0.25">
      <c r="B6" s="854">
        <f>[8]RECAP!B9</f>
        <v>6</v>
      </c>
      <c r="C6" s="763" t="s">
        <v>484</v>
      </c>
      <c r="D6" s="855">
        <f>presences!AK9</f>
        <v>0</v>
      </c>
      <c r="E6" s="855">
        <f>presences!AM9</f>
        <v>0</v>
      </c>
      <c r="F6" s="856">
        <f>presences!AJ9</f>
        <v>0</v>
      </c>
      <c r="G6" s="855">
        <f>presences!AN9</f>
        <v>0</v>
      </c>
      <c r="H6" s="857">
        <f>presences!AQ9</f>
        <v>6</v>
      </c>
      <c r="I6" s="857">
        <f>presences!AN9+presences!AO9</f>
        <v>3</v>
      </c>
      <c r="J6" s="856">
        <f>manquant!AH9</f>
        <v>-395</v>
      </c>
      <c r="K6" s="857"/>
      <c r="N6" s="858">
        <f t="shared" si="0"/>
        <v>43556</v>
      </c>
    </row>
    <row r="7" spans="1:30" ht="15.75" x14ac:dyDescent="0.25">
      <c r="B7" s="854">
        <f>[8]RECAP!B10</f>
        <v>7</v>
      </c>
      <c r="C7" s="763" t="s">
        <v>575</v>
      </c>
      <c r="D7" s="855">
        <f>presences!AK10</f>
        <v>0</v>
      </c>
      <c r="E7" s="855">
        <f>presences!AM10</f>
        <v>0</v>
      </c>
      <c r="F7" s="856">
        <f>presences!AJ10</f>
        <v>0</v>
      </c>
      <c r="G7" s="855">
        <f>presences!AN10</f>
        <v>0</v>
      </c>
      <c r="H7" s="857">
        <f>presences!AQ10</f>
        <v>0</v>
      </c>
      <c r="I7" s="857">
        <f>presences!AN10+presences!AO10</f>
        <v>4</v>
      </c>
      <c r="J7" s="856">
        <f>manquant!AH10</f>
        <v>-1700</v>
      </c>
      <c r="K7" s="857"/>
      <c r="N7" s="858">
        <f t="shared" si="0"/>
        <v>43586</v>
      </c>
    </row>
    <row r="8" spans="1:30" ht="15.75" x14ac:dyDescent="0.25">
      <c r="B8" s="854">
        <f>[8]RECAP!B11</f>
        <v>8</v>
      </c>
      <c r="C8" s="763" t="s">
        <v>578</v>
      </c>
      <c r="D8" s="855">
        <f>presences!AK11</f>
        <v>3</v>
      </c>
      <c r="E8" s="855">
        <f>presences!AM11</f>
        <v>0</v>
      </c>
      <c r="F8" s="856">
        <f>presences!AJ11</f>
        <v>0</v>
      </c>
      <c r="G8" s="855">
        <f>presences!AN11</f>
        <v>0</v>
      </c>
      <c r="H8" s="857">
        <f>presences!AQ11</f>
        <v>0</v>
      </c>
      <c r="I8" s="857">
        <f>presences!AN11+presences!AO11</f>
        <v>3</v>
      </c>
      <c r="J8" s="856">
        <f>manquant!AH11</f>
        <v>1350</v>
      </c>
      <c r="K8" s="857"/>
      <c r="N8" s="858">
        <f t="shared" si="0"/>
        <v>43617</v>
      </c>
    </row>
    <row r="9" spans="1:30" ht="15.75" x14ac:dyDescent="0.25">
      <c r="B9" s="854">
        <f>[8]RECAP!B12</f>
        <v>9</v>
      </c>
      <c r="C9" s="763" t="s">
        <v>576</v>
      </c>
      <c r="D9" s="855">
        <f>presences!AK12</f>
        <v>0</v>
      </c>
      <c r="E9" s="855">
        <f>presences!AM12</f>
        <v>0</v>
      </c>
      <c r="F9" s="856">
        <f>presences!AJ12</f>
        <v>0</v>
      </c>
      <c r="G9" s="855">
        <f>presences!AN12</f>
        <v>0</v>
      </c>
      <c r="H9" s="857">
        <f>presences!AQ12</f>
        <v>0</v>
      </c>
      <c r="I9" s="857">
        <f>presences!AN12+presences!AO12</f>
        <v>5</v>
      </c>
      <c r="J9" s="856">
        <f>manquant!AH12</f>
        <v>-3870</v>
      </c>
      <c r="K9" s="857"/>
      <c r="N9" s="858">
        <f t="shared" si="0"/>
        <v>43647</v>
      </c>
    </row>
    <row r="10" spans="1:30" ht="15.75" x14ac:dyDescent="0.25">
      <c r="B10" s="854">
        <f>[8]RECAP!B13</f>
        <v>10</v>
      </c>
      <c r="C10" s="763" t="s">
        <v>588</v>
      </c>
      <c r="D10" s="855">
        <f>presences!AK13</f>
        <v>0</v>
      </c>
      <c r="E10" s="855">
        <f>presences!AM13</f>
        <v>0</v>
      </c>
      <c r="F10" s="856">
        <f>presences!AJ13</f>
        <v>0</v>
      </c>
      <c r="G10" s="855">
        <f>presences!AN13</f>
        <v>0</v>
      </c>
      <c r="H10" s="857">
        <f>presences!AQ13</f>
        <v>0</v>
      </c>
      <c r="I10" s="857">
        <f>presences!AN13+presences!AO13</f>
        <v>5</v>
      </c>
      <c r="J10" s="856">
        <f>manquant!AH13</f>
        <v>-3275</v>
      </c>
      <c r="K10" s="857"/>
      <c r="N10" s="858">
        <f t="shared" si="0"/>
        <v>43678</v>
      </c>
    </row>
    <row r="11" spans="1:30" ht="15.75" x14ac:dyDescent="0.25">
      <c r="B11" s="854">
        <f>[8]RECAP!B14</f>
        <v>11</v>
      </c>
      <c r="C11" s="763" t="s">
        <v>589</v>
      </c>
      <c r="D11" s="855">
        <f>presences!AK14</f>
        <v>0</v>
      </c>
      <c r="E11" s="855">
        <f>presences!AM14</f>
        <v>0</v>
      </c>
      <c r="F11" s="856">
        <f>presences!AJ14</f>
        <v>0</v>
      </c>
      <c r="G11" s="855">
        <f>presences!AN14</f>
        <v>0</v>
      </c>
      <c r="H11" s="857">
        <f>presences!AQ14</f>
        <v>0</v>
      </c>
      <c r="I11" s="857">
        <f>presences!AN14+presences!AO14</f>
        <v>5</v>
      </c>
      <c r="J11" s="856">
        <f>manquant!AH14</f>
        <v>5</v>
      </c>
      <c r="K11" s="857"/>
      <c r="N11" s="858">
        <f t="shared" si="0"/>
        <v>43709</v>
      </c>
    </row>
    <row r="12" spans="1:30" ht="15.75" x14ac:dyDescent="0.25">
      <c r="B12" s="854">
        <f>[8]RECAP!B15</f>
        <v>12</v>
      </c>
      <c r="C12" s="763" t="s">
        <v>598</v>
      </c>
      <c r="D12" s="855">
        <f>presences!AK15</f>
        <v>0</v>
      </c>
      <c r="E12" s="855">
        <f>presences!AM15</f>
        <v>0</v>
      </c>
      <c r="F12" s="856">
        <f>presences!AJ15</f>
        <v>0</v>
      </c>
      <c r="G12" s="855">
        <f>presences!AN15</f>
        <v>0</v>
      </c>
      <c r="H12" s="857">
        <f>presences!AQ15</f>
        <v>0</v>
      </c>
      <c r="I12" s="857">
        <f>presences!AN15+presences!AO15</f>
        <v>3</v>
      </c>
      <c r="J12" s="856">
        <f>manquant!AH15</f>
        <v>-2550</v>
      </c>
      <c r="K12" s="857"/>
      <c r="N12" s="858">
        <f t="shared" si="0"/>
        <v>43739</v>
      </c>
    </row>
    <row r="13" spans="1:30" ht="15.75" x14ac:dyDescent="0.25">
      <c r="B13" s="854">
        <f>[8]RECAP!B16</f>
        <v>13</v>
      </c>
      <c r="C13" s="763" t="s">
        <v>597</v>
      </c>
      <c r="D13" s="855">
        <f>presences!AK16</f>
        <v>0</v>
      </c>
      <c r="E13" s="855">
        <f>presences!AM16</f>
        <v>0</v>
      </c>
      <c r="F13" s="856">
        <f>presences!AJ16</f>
        <v>0</v>
      </c>
      <c r="G13" s="855">
        <f>presences!AN16</f>
        <v>0</v>
      </c>
      <c r="H13" s="857">
        <f>presences!AQ16</f>
        <v>0</v>
      </c>
      <c r="I13" s="857">
        <f>presences!AN16+presences!AO16</f>
        <v>4</v>
      </c>
      <c r="J13" s="856">
        <f>manquant!AH16</f>
        <v>30</v>
      </c>
      <c r="K13" s="857"/>
      <c r="N13" s="858">
        <f t="shared" si="0"/>
        <v>43770</v>
      </c>
    </row>
    <row r="14" spans="1:30" ht="15.75" x14ac:dyDescent="0.25">
      <c r="B14" s="854">
        <f>[8]RECAP!B17</f>
        <v>14</v>
      </c>
      <c r="C14" s="763" t="s">
        <v>579</v>
      </c>
      <c r="D14" s="855">
        <f>presences!AK17</f>
        <v>0</v>
      </c>
      <c r="E14" s="855">
        <f>presences!AM17</f>
        <v>0</v>
      </c>
      <c r="F14" s="856">
        <f>presences!AJ17</f>
        <v>0</v>
      </c>
      <c r="G14" s="855">
        <f>presences!AN17</f>
        <v>0</v>
      </c>
      <c r="H14" s="857">
        <f>presences!AQ17</f>
        <v>0</v>
      </c>
      <c r="I14" s="857">
        <f>presences!AN17+presences!AO17</f>
        <v>13</v>
      </c>
      <c r="J14" s="856">
        <f>manquant!AH17</f>
        <v>25</v>
      </c>
      <c r="K14" s="857"/>
      <c r="N14" s="858">
        <f t="shared" si="0"/>
        <v>43800</v>
      </c>
    </row>
    <row r="15" spans="1:30" ht="15.75" x14ac:dyDescent="0.25">
      <c r="B15" s="854">
        <f>[8]RECAP!B18</f>
        <v>15</v>
      </c>
      <c r="C15" s="763" t="s">
        <v>586</v>
      </c>
      <c r="D15" s="855">
        <f>presences!AK18</f>
        <v>0</v>
      </c>
      <c r="E15" s="855">
        <f>presences!AM18</f>
        <v>0</v>
      </c>
      <c r="F15" s="856">
        <f>presences!AJ18</f>
        <v>0</v>
      </c>
      <c r="G15" s="855">
        <f>presences!AN18</f>
        <v>0</v>
      </c>
      <c r="H15" s="857">
        <f>presences!AQ18</f>
        <v>0</v>
      </c>
      <c r="I15" s="857">
        <f>presences!AN18+presences!AO18</f>
        <v>16</v>
      </c>
      <c r="J15" s="856">
        <f>manquant!AH18</f>
        <v>34</v>
      </c>
      <c r="K15" s="857"/>
      <c r="N15" s="858">
        <f t="shared" si="0"/>
        <v>43831</v>
      </c>
    </row>
    <row r="16" spans="1:30" ht="15.75" x14ac:dyDescent="0.25">
      <c r="B16" s="854">
        <f>[8]RECAP!B19</f>
        <v>16</v>
      </c>
      <c r="C16" s="854" t="s">
        <v>581</v>
      </c>
      <c r="D16" s="855">
        <f>presences!AK19</f>
        <v>0</v>
      </c>
      <c r="E16" s="855">
        <f>presences!AM19</f>
        <v>0</v>
      </c>
      <c r="F16" s="856">
        <f>presences!AJ19</f>
        <v>0</v>
      </c>
      <c r="G16" s="855">
        <f>presences!AN19</f>
        <v>0</v>
      </c>
      <c r="H16" s="857">
        <f>presences!AQ19</f>
        <v>0</v>
      </c>
      <c r="I16" s="857">
        <f>presences!AN19+presences!AO19</f>
        <v>4</v>
      </c>
      <c r="J16" s="856">
        <f>manquant!AH19</f>
        <v>-333</v>
      </c>
      <c r="K16" s="857"/>
      <c r="N16" s="858">
        <f t="shared" si="0"/>
        <v>43862</v>
      </c>
    </row>
    <row r="17" spans="1:14" ht="15.75" x14ac:dyDescent="0.25">
      <c r="B17" s="854">
        <f>[8]RECAP!B20</f>
        <v>17</v>
      </c>
      <c r="C17" s="854"/>
      <c r="D17" s="855">
        <f>presences!AK20</f>
        <v>0</v>
      </c>
      <c r="E17" s="855">
        <f>presences!AM20</f>
        <v>0</v>
      </c>
      <c r="F17" s="856">
        <f>presences!AJ20</f>
        <v>0</v>
      </c>
      <c r="G17" s="855">
        <f>presences!AN20</f>
        <v>0</v>
      </c>
      <c r="H17" s="857">
        <f>presences!AQ20</f>
        <v>0</v>
      </c>
      <c r="I17" s="857">
        <f>presences!AN20+presences!AO20</f>
        <v>0</v>
      </c>
      <c r="J17" s="856">
        <f>manquant!AH20</f>
        <v>0</v>
      </c>
      <c r="K17" s="857"/>
      <c r="N17" s="858">
        <f t="shared" si="0"/>
        <v>43891</v>
      </c>
    </row>
    <row r="18" spans="1:14" ht="15.75" hidden="1" x14ac:dyDescent="0.25">
      <c r="B18" s="854">
        <f>[8]RECAP!B21</f>
        <v>18</v>
      </c>
      <c r="C18" s="854">
        <f>[8]RECAP!D21</f>
        <v>0</v>
      </c>
      <c r="D18" s="855">
        <f>presences!AK21</f>
        <v>0</v>
      </c>
      <c r="E18" s="855">
        <f>presences!AM21</f>
        <v>0</v>
      </c>
      <c r="F18" s="856">
        <f>presences!AJ21</f>
        <v>0</v>
      </c>
      <c r="G18" s="855">
        <f>presences!AN21</f>
        <v>0</v>
      </c>
      <c r="H18" s="857">
        <f>presences!AQ21</f>
        <v>0</v>
      </c>
      <c r="I18" s="857">
        <f>presences!AN21+presences!AO21</f>
        <v>0</v>
      </c>
      <c r="J18" s="856">
        <f>manquant!AH21</f>
        <v>0</v>
      </c>
      <c r="K18" s="857"/>
      <c r="N18" s="858">
        <f t="shared" si="0"/>
        <v>43922</v>
      </c>
    </row>
    <row r="19" spans="1:14" ht="15.75" hidden="1" x14ac:dyDescent="0.25">
      <c r="B19" s="854">
        <f>[8]RECAP!B22</f>
        <v>19</v>
      </c>
      <c r="C19" s="854">
        <f>[8]RECAP!D22</f>
        <v>0</v>
      </c>
      <c r="D19" s="855">
        <f>presences!AK22</f>
        <v>0</v>
      </c>
      <c r="E19" s="855">
        <f>presences!AM22</f>
        <v>0</v>
      </c>
      <c r="F19" s="856">
        <f>presences!AJ22</f>
        <v>0</v>
      </c>
      <c r="G19" s="855">
        <f>presences!AN22</f>
        <v>0</v>
      </c>
      <c r="H19" s="857">
        <f>presences!AQ22</f>
        <v>0</v>
      </c>
      <c r="I19" s="857">
        <f>presences!AN22+presences!AO22</f>
        <v>0</v>
      </c>
      <c r="J19" s="856">
        <f>manquant!AH22</f>
        <v>0</v>
      </c>
      <c r="K19" s="857"/>
      <c r="N19" s="858">
        <f t="shared" si="0"/>
        <v>43952</v>
      </c>
    </row>
    <row r="20" spans="1:14" ht="15.75" hidden="1" x14ac:dyDescent="0.25">
      <c r="B20" s="854">
        <f>[8]RECAP!B23</f>
        <v>20</v>
      </c>
      <c r="C20" s="854">
        <f>[8]RECAP!D23</f>
        <v>0</v>
      </c>
      <c r="D20" s="855">
        <f>presences!AK23</f>
        <v>0</v>
      </c>
      <c r="E20" s="855">
        <f>presences!AM23</f>
        <v>0</v>
      </c>
      <c r="F20" s="856">
        <f>presences!AJ23</f>
        <v>0</v>
      </c>
      <c r="G20" s="855">
        <f>presences!AN23</f>
        <v>0</v>
      </c>
      <c r="H20" s="857">
        <f>presences!AQ23</f>
        <v>0</v>
      </c>
      <c r="I20" s="857">
        <f>presences!AN23+presences!AO23</f>
        <v>0</v>
      </c>
      <c r="J20" s="856">
        <f>manquant!AH23</f>
        <v>0</v>
      </c>
      <c r="K20" s="857"/>
      <c r="N20" s="858">
        <f t="shared" si="0"/>
        <v>43983</v>
      </c>
    </row>
    <row r="21" spans="1:14" ht="15.75" hidden="1" x14ac:dyDescent="0.25">
      <c r="B21" s="854">
        <f>[8]RECAP!B24</f>
        <v>21</v>
      </c>
      <c r="C21" s="854">
        <f>[8]RECAP!D24</f>
        <v>0</v>
      </c>
      <c r="D21" s="855">
        <f>presences!AK24</f>
        <v>0</v>
      </c>
      <c r="E21" s="855">
        <f>presences!AM24</f>
        <v>0</v>
      </c>
      <c r="F21" s="856">
        <f>presences!AJ24</f>
        <v>0</v>
      </c>
      <c r="G21" s="855">
        <f>presences!AN24</f>
        <v>0</v>
      </c>
      <c r="H21" s="857">
        <f>presences!AQ24</f>
        <v>0</v>
      </c>
      <c r="I21" s="857">
        <f>presences!AN24+presences!AO24</f>
        <v>0</v>
      </c>
      <c r="J21" s="856">
        <f>manquant!AH24</f>
        <v>0</v>
      </c>
      <c r="K21" s="857"/>
      <c r="N21" s="858">
        <f t="shared" si="0"/>
        <v>44013</v>
      </c>
    </row>
    <row r="22" spans="1:14" ht="15.75" hidden="1" x14ac:dyDescent="0.25">
      <c r="B22" s="854">
        <f>[8]RECAP!B25</f>
        <v>22</v>
      </c>
      <c r="C22" s="854">
        <f>[8]RECAP!D25</f>
        <v>0</v>
      </c>
      <c r="D22" s="855">
        <f>presences!AK25</f>
        <v>0</v>
      </c>
      <c r="E22" s="855">
        <f>presences!AM25</f>
        <v>0</v>
      </c>
      <c r="F22" s="856">
        <f>presences!AJ25</f>
        <v>0</v>
      </c>
      <c r="G22" s="855">
        <f>presences!AN25</f>
        <v>0</v>
      </c>
      <c r="H22" s="857">
        <f>presences!AQ25</f>
        <v>0</v>
      </c>
      <c r="I22" s="857">
        <f>presences!AN25+presences!AO25</f>
        <v>0</v>
      </c>
      <c r="J22" s="856">
        <f>manquant!AH25</f>
        <v>0</v>
      </c>
      <c r="K22" s="857"/>
      <c r="N22" s="858">
        <f t="shared" si="0"/>
        <v>44044</v>
      </c>
    </row>
    <row r="23" spans="1:14" ht="15.75" hidden="1" x14ac:dyDescent="0.25">
      <c r="B23" s="854">
        <f>[8]RECAP!B26</f>
        <v>23</v>
      </c>
      <c r="C23" s="854">
        <f>[8]RECAP!D26</f>
        <v>0</v>
      </c>
      <c r="D23" s="855">
        <f>presences!AK26</f>
        <v>0</v>
      </c>
      <c r="E23" s="855">
        <f>presences!AM26</f>
        <v>0</v>
      </c>
      <c r="F23" s="856">
        <f>presences!AJ26</f>
        <v>0</v>
      </c>
      <c r="G23" s="855">
        <f>presences!AN26</f>
        <v>0</v>
      </c>
      <c r="H23" s="857">
        <f>presences!AQ26</f>
        <v>0</v>
      </c>
      <c r="I23" s="857">
        <f>presences!AN26+presences!AO26</f>
        <v>0</v>
      </c>
      <c r="J23" s="856">
        <f>manquant!AH26</f>
        <v>0</v>
      </c>
      <c r="K23" s="857"/>
      <c r="N23" s="858">
        <f t="shared" si="0"/>
        <v>44075</v>
      </c>
    </row>
    <row r="24" spans="1:14" ht="15.75" hidden="1" x14ac:dyDescent="0.25">
      <c r="B24" s="854">
        <f>[8]RECAP!B27</f>
        <v>0</v>
      </c>
      <c r="C24" s="854">
        <f>[8]RECAP!D27</f>
        <v>0</v>
      </c>
      <c r="D24" s="855">
        <f>presences!AK27</f>
        <v>0</v>
      </c>
      <c r="E24" s="855">
        <f>presences!AM27</f>
        <v>0</v>
      </c>
      <c r="F24" s="856">
        <f>presences!AJ27</f>
        <v>0</v>
      </c>
      <c r="G24" s="855">
        <f>presences!AN27</f>
        <v>0</v>
      </c>
      <c r="H24" s="857">
        <f>presences!AQ27</f>
        <v>0</v>
      </c>
      <c r="I24" s="857">
        <f>presences!AN27+presences!AO27</f>
        <v>0</v>
      </c>
      <c r="J24" s="856">
        <f>manquant!AH27</f>
        <v>0</v>
      </c>
      <c r="K24" s="857"/>
      <c r="N24" s="858">
        <f t="shared" si="0"/>
        <v>44105</v>
      </c>
    </row>
    <row r="25" spans="1:14" ht="15.75" hidden="1" x14ac:dyDescent="0.25">
      <c r="B25" s="854">
        <f>[8]RECAP!B28</f>
        <v>0</v>
      </c>
      <c r="C25" s="854">
        <f>[8]RECAP!D28</f>
        <v>0</v>
      </c>
      <c r="D25" s="855">
        <f>presences!AK28</f>
        <v>0</v>
      </c>
      <c r="E25" s="855">
        <f>presences!AM28</f>
        <v>0</v>
      </c>
      <c r="F25" s="856">
        <f>presences!AJ28</f>
        <v>0</v>
      </c>
      <c r="G25" s="855">
        <f>presences!AN28</f>
        <v>0</v>
      </c>
      <c r="H25" s="857">
        <f>presences!AQ28</f>
        <v>0</v>
      </c>
      <c r="I25" s="857">
        <f>presences!AN28+presences!AO28</f>
        <v>0</v>
      </c>
      <c r="J25" s="856">
        <f>manquant!AH28</f>
        <v>0</v>
      </c>
      <c r="K25" s="857"/>
      <c r="N25" s="858">
        <f t="shared" si="0"/>
        <v>44136</v>
      </c>
    </row>
    <row r="26" spans="1:14" ht="15.75" hidden="1" x14ac:dyDescent="0.25">
      <c r="B26" s="854">
        <f>[8]RECAP!B29</f>
        <v>0</v>
      </c>
      <c r="C26" s="854">
        <f>[8]RECAP!D29</f>
        <v>0</v>
      </c>
      <c r="D26" s="855">
        <f>presences!AK29</f>
        <v>0</v>
      </c>
      <c r="E26" s="855">
        <f>presences!AM29</f>
        <v>0</v>
      </c>
      <c r="F26" s="856">
        <f>presences!AJ29</f>
        <v>0</v>
      </c>
      <c r="G26" s="855">
        <f>[8]RECAP!AN29+[8]RECAP!AP29</f>
        <v>0</v>
      </c>
      <c r="H26" s="857">
        <f>presences!AQ29</f>
        <v>0</v>
      </c>
      <c r="I26" s="857">
        <f>presences!AN29+presences!AO29</f>
        <v>0</v>
      </c>
      <c r="J26" s="856">
        <f>manquant!AH29</f>
        <v>0</v>
      </c>
      <c r="K26" s="857"/>
      <c r="N26" s="858">
        <f t="shared" si="0"/>
        <v>44166</v>
      </c>
    </row>
    <row r="27" spans="1:14" ht="26.25" x14ac:dyDescent="0.4">
      <c r="B27" s="859"/>
      <c r="C27" s="860" t="s">
        <v>33</v>
      </c>
      <c r="D27" s="861">
        <f>SUM(D4:D26)</f>
        <v>5</v>
      </c>
      <c r="E27" s="861">
        <f>SUM(E4:E26)</f>
        <v>0</v>
      </c>
      <c r="F27" s="861">
        <f>SUM(F4:F26)</f>
        <v>0</v>
      </c>
      <c r="G27" s="861">
        <f>SUM(G4:G26)</f>
        <v>0</v>
      </c>
      <c r="H27" s="861">
        <f>presences!AQ30</f>
        <v>0</v>
      </c>
      <c r="I27" s="861">
        <f>presences!AN30+presences!AO30</f>
        <v>69</v>
      </c>
      <c r="J27" s="916">
        <f>SUM(J4:J26)</f>
        <v>-12094</v>
      </c>
      <c r="K27" s="861">
        <f>SUM(K4:K26)</f>
        <v>0</v>
      </c>
      <c r="N27" s="858">
        <f t="shared" si="0"/>
        <v>44197</v>
      </c>
    </row>
    <row r="28" spans="1:14" x14ac:dyDescent="0.25">
      <c r="N28" s="858">
        <f t="shared" si="0"/>
        <v>44228</v>
      </c>
    </row>
    <row r="29" spans="1:14" x14ac:dyDescent="0.25">
      <c r="C29" s="863"/>
      <c r="D29" s="864"/>
      <c r="E29" s="864"/>
      <c r="F29" s="865" t="s">
        <v>452</v>
      </c>
      <c r="G29" s="866" t="e">
        <f>-([8]!EtatPresence3[[#Totals],[Total Manquant]]/(3000*[8]RECAP!M33-[8]RECAP!L33))</f>
        <v>#REF!</v>
      </c>
      <c r="H29" s="866"/>
      <c r="I29" s="866"/>
      <c r="J29" s="864" t="s">
        <v>453</v>
      </c>
      <c r="K29" s="867"/>
      <c r="N29" s="858">
        <f t="shared" si="0"/>
        <v>44256</v>
      </c>
    </row>
    <row r="30" spans="1:14" x14ac:dyDescent="0.25">
      <c r="C30" s="868"/>
      <c r="D30" s="869"/>
      <c r="E30" s="869"/>
      <c r="F30" s="870"/>
      <c r="G30" s="869"/>
      <c r="H30" s="869"/>
      <c r="I30" s="869"/>
      <c r="J30" s="870" t="s">
        <v>454</v>
      </c>
      <c r="K30" s="871" t="e">
        <f>[8]!EtatPresence[[#Totals],[Jours d’absence ce mois]]/[8]RECAP!M33</f>
        <v>#REF!</v>
      </c>
      <c r="N30" s="858">
        <f t="shared" si="0"/>
        <v>44287</v>
      </c>
    </row>
    <row r="31" spans="1:14" x14ac:dyDescent="0.25">
      <c r="N31" s="858"/>
    </row>
    <row r="32" spans="1:14" ht="26.25" x14ac:dyDescent="0.4">
      <c r="A32" s="2082" t="s">
        <v>455</v>
      </c>
      <c r="B32" s="2082"/>
      <c r="C32" s="2082"/>
      <c r="D32" s="2082"/>
      <c r="E32" s="2082"/>
      <c r="F32" s="2082"/>
      <c r="G32" s="2082"/>
      <c r="H32" s="2082"/>
      <c r="I32" s="2082"/>
      <c r="J32" s="2082"/>
      <c r="K32" s="2082"/>
    </row>
  </sheetData>
  <mergeCells count="1">
    <mergeCell ref="A32:K32"/>
  </mergeCells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47"/>
  <sheetViews>
    <sheetView topLeftCell="AK4" workbookViewId="0">
      <selection activeCell="BB48" sqref="BB48"/>
    </sheetView>
  </sheetViews>
  <sheetFormatPr baseColWidth="10" defaultRowHeight="15" x14ac:dyDescent="0.25"/>
  <cols>
    <col min="2" max="2" width="17" customWidth="1"/>
    <col min="3" max="4" width="11.5703125" customWidth="1"/>
    <col min="6" max="6" width="17.7109375" bestFit="1" customWidth="1"/>
    <col min="14" max="14" width="11.5703125" customWidth="1"/>
  </cols>
  <sheetData>
    <row r="1" spans="1:130" ht="32.25" x14ac:dyDescent="0.5">
      <c r="A1" s="985"/>
      <c r="B1" s="985"/>
      <c r="C1" s="985" t="s">
        <v>311</v>
      </c>
      <c r="D1" s="985"/>
      <c r="E1" s="985"/>
      <c r="F1" s="985"/>
      <c r="G1" s="985"/>
      <c r="H1" s="985"/>
      <c r="I1" s="986"/>
      <c r="J1" s="986"/>
      <c r="K1" s="986"/>
      <c r="L1" s="986"/>
      <c r="M1" s="986"/>
      <c r="N1" s="986"/>
      <c r="O1" s="986"/>
      <c r="P1" s="986"/>
      <c r="Q1" s="986"/>
      <c r="R1" s="986"/>
      <c r="S1" s="986"/>
      <c r="T1" s="986"/>
      <c r="U1" s="986"/>
      <c r="V1" s="986"/>
      <c r="W1" s="986"/>
      <c r="X1" s="986"/>
      <c r="Y1" s="986"/>
      <c r="Z1" s="986"/>
      <c r="AA1" s="986"/>
      <c r="AB1" s="986"/>
      <c r="AC1" s="986"/>
      <c r="AD1" s="986"/>
      <c r="AE1" s="986"/>
      <c r="AF1" s="986"/>
      <c r="AG1" s="986"/>
      <c r="AH1" s="986"/>
      <c r="AI1" s="986"/>
      <c r="AJ1" s="986"/>
      <c r="AK1" s="986"/>
      <c r="AL1" s="986"/>
      <c r="AM1" s="986"/>
      <c r="AN1" s="986"/>
      <c r="AO1" s="986"/>
      <c r="AP1" s="986"/>
      <c r="AQ1" s="986"/>
      <c r="AR1" s="986"/>
      <c r="AS1" s="986"/>
      <c r="AT1" s="986"/>
      <c r="AU1" s="986"/>
      <c r="AV1" s="986"/>
      <c r="AW1" s="986"/>
      <c r="AX1" s="986"/>
      <c r="AY1" s="986"/>
      <c r="AZ1" s="986"/>
      <c r="BA1" s="986"/>
      <c r="BB1" s="986"/>
      <c r="BC1" s="986"/>
      <c r="BD1" s="986"/>
      <c r="BE1" s="986"/>
      <c r="BF1" s="986"/>
      <c r="BG1" s="986"/>
      <c r="BH1" s="986"/>
      <c r="BI1" s="986"/>
      <c r="BJ1" s="986"/>
      <c r="BK1" s="986"/>
      <c r="BL1" s="986"/>
      <c r="BM1" s="986"/>
      <c r="BN1" s="986"/>
      <c r="BO1" s="986"/>
      <c r="BP1" s="986"/>
      <c r="BQ1" s="986"/>
      <c r="BR1" s="986"/>
      <c r="BS1" s="986"/>
      <c r="BT1" s="986"/>
      <c r="BU1" s="986"/>
      <c r="BV1" s="986"/>
      <c r="BW1" s="986"/>
      <c r="BX1" s="986"/>
      <c r="BY1" s="986"/>
      <c r="BZ1" s="986"/>
      <c r="CA1" s="986"/>
      <c r="CB1" s="986"/>
      <c r="CC1" s="986"/>
      <c r="CD1" s="986"/>
      <c r="CE1" s="986"/>
      <c r="CF1" s="986"/>
      <c r="CG1" s="986"/>
      <c r="CH1" s="986"/>
      <c r="CI1" s="986"/>
      <c r="CJ1" s="986"/>
      <c r="CK1" s="986"/>
      <c r="CL1" s="986"/>
      <c r="CM1" s="986"/>
      <c r="CN1" s="986"/>
      <c r="CO1" s="986"/>
      <c r="CP1" s="986"/>
      <c r="CQ1" s="986"/>
      <c r="CR1" s="986"/>
      <c r="CS1" s="986"/>
      <c r="CT1" s="986"/>
      <c r="CU1" s="986"/>
      <c r="CV1" s="986"/>
      <c r="CW1" s="986"/>
      <c r="CX1" s="986"/>
      <c r="CY1" s="986"/>
      <c r="CZ1" s="986"/>
      <c r="DA1" s="986"/>
      <c r="DB1" s="986"/>
      <c r="DC1" s="986"/>
      <c r="DD1" s="986"/>
      <c r="DE1" s="986"/>
      <c r="DF1" s="986"/>
      <c r="DG1" s="986"/>
      <c r="DH1" s="986"/>
      <c r="DI1" s="986"/>
      <c r="DJ1" s="986"/>
      <c r="DK1" s="986"/>
      <c r="DL1" s="986"/>
      <c r="DM1" s="986"/>
      <c r="DN1" s="986"/>
      <c r="DO1" s="986"/>
      <c r="DP1" s="986"/>
      <c r="DQ1" s="986"/>
      <c r="DR1" s="986"/>
      <c r="DS1" s="986"/>
      <c r="DT1" s="986"/>
      <c r="DU1" s="986"/>
      <c r="DV1" s="986"/>
      <c r="DW1" s="986"/>
      <c r="DX1" s="986"/>
      <c r="DY1" s="986"/>
      <c r="DZ1" s="986"/>
    </row>
    <row r="2" spans="1:130" x14ac:dyDescent="0.25">
      <c r="A2" s="694"/>
      <c r="B2" s="694"/>
      <c r="C2" s="1816">
        <v>44317</v>
      </c>
      <c r="D2" s="1816"/>
      <c r="E2" s="1816"/>
      <c r="F2" s="1817"/>
      <c r="G2" s="1816">
        <v>44318</v>
      </c>
      <c r="H2" s="1816"/>
      <c r="I2" s="1816"/>
      <c r="J2" s="1817"/>
      <c r="K2" s="1816">
        <v>44319</v>
      </c>
      <c r="L2" s="1816"/>
      <c r="M2" s="1816"/>
      <c r="N2" s="1817"/>
      <c r="O2" s="1816">
        <v>44320</v>
      </c>
      <c r="P2" s="1816"/>
      <c r="Q2" s="1816"/>
      <c r="R2" s="1817"/>
      <c r="S2" s="1816">
        <v>44321</v>
      </c>
      <c r="T2" s="1816"/>
      <c r="U2" s="1816"/>
      <c r="V2" s="1817"/>
      <c r="W2" s="1816">
        <v>44322</v>
      </c>
      <c r="X2" s="1816"/>
      <c r="Y2" s="1816"/>
      <c r="Z2" s="1817"/>
      <c r="AA2" s="1816">
        <v>44323</v>
      </c>
      <c r="AB2" s="1816"/>
      <c r="AC2" s="1816"/>
      <c r="AD2" s="1817"/>
      <c r="AE2" s="1816">
        <v>44324</v>
      </c>
      <c r="AF2" s="1816"/>
      <c r="AG2" s="1816"/>
      <c r="AH2" s="1817"/>
      <c r="AI2" s="1816">
        <v>44325</v>
      </c>
      <c r="AJ2" s="1816"/>
      <c r="AK2" s="1816"/>
      <c r="AL2" s="1817"/>
      <c r="AM2" s="1816">
        <v>44326</v>
      </c>
      <c r="AN2" s="1816"/>
      <c r="AO2" s="1816"/>
      <c r="AP2" s="1817"/>
      <c r="AQ2" s="1816">
        <v>44327</v>
      </c>
      <c r="AR2" s="1816"/>
      <c r="AS2" s="1816"/>
      <c r="AT2" s="1817"/>
      <c r="AU2" s="1816">
        <v>44328</v>
      </c>
      <c r="AV2" s="1816"/>
      <c r="AW2" s="1816"/>
      <c r="AX2" s="1817"/>
      <c r="AY2" s="1816">
        <v>44329</v>
      </c>
      <c r="AZ2" s="1816"/>
      <c r="BA2" s="1816"/>
      <c r="BB2" s="1817"/>
      <c r="BC2" s="1816">
        <v>44330</v>
      </c>
      <c r="BD2" s="1816"/>
      <c r="BE2" s="1816"/>
      <c r="BF2" s="1817"/>
      <c r="BG2" s="1816">
        <v>44331</v>
      </c>
      <c r="BH2" s="1816"/>
      <c r="BI2" s="1816"/>
      <c r="BJ2" s="1817"/>
      <c r="BK2" s="1816">
        <v>44332</v>
      </c>
      <c r="BL2" s="1816"/>
      <c r="BM2" s="1816"/>
      <c r="BN2" s="1817"/>
      <c r="BO2" s="1816">
        <v>44333</v>
      </c>
      <c r="BP2" s="1816"/>
      <c r="BQ2" s="1816"/>
      <c r="BR2" s="1817"/>
      <c r="BS2" s="1816">
        <v>44334</v>
      </c>
      <c r="BT2" s="1816"/>
      <c r="BU2" s="1816"/>
      <c r="BV2" s="1817"/>
      <c r="BW2" s="1816">
        <v>44335</v>
      </c>
      <c r="BX2" s="1816"/>
      <c r="BY2" s="1816"/>
      <c r="BZ2" s="1817"/>
      <c r="CA2" s="1816">
        <v>44336</v>
      </c>
      <c r="CB2" s="1816"/>
      <c r="CC2" s="1816"/>
      <c r="CD2" s="1817"/>
      <c r="CE2" s="1816">
        <v>44337</v>
      </c>
      <c r="CF2" s="1816"/>
      <c r="CG2" s="1816"/>
      <c r="CH2" s="1817"/>
      <c r="CI2" s="1816">
        <v>44338</v>
      </c>
      <c r="CJ2" s="1816"/>
      <c r="CK2" s="1816"/>
      <c r="CL2" s="1817"/>
      <c r="CM2" s="1816">
        <v>44339</v>
      </c>
      <c r="CN2" s="1816"/>
      <c r="CO2" s="1816"/>
      <c r="CP2" s="1817"/>
      <c r="CQ2" s="1816">
        <v>44340</v>
      </c>
      <c r="CR2" s="1816"/>
      <c r="CS2" s="1816"/>
      <c r="CT2" s="1817"/>
      <c r="CU2" s="1816">
        <v>44341</v>
      </c>
      <c r="CV2" s="1816"/>
      <c r="CW2" s="1816"/>
      <c r="CX2" s="1817"/>
      <c r="CY2" s="1816">
        <v>44342</v>
      </c>
      <c r="CZ2" s="1816"/>
      <c r="DA2" s="1816"/>
      <c r="DB2" s="1817"/>
      <c r="DC2" s="1816">
        <v>44343</v>
      </c>
      <c r="DD2" s="1816"/>
      <c r="DE2" s="1816"/>
      <c r="DF2" s="1817"/>
      <c r="DG2" s="1816">
        <v>44344</v>
      </c>
      <c r="DH2" s="1816"/>
      <c r="DI2" s="1816"/>
      <c r="DJ2" s="1817"/>
      <c r="DK2" s="1816">
        <v>44345</v>
      </c>
      <c r="DL2" s="1816"/>
      <c r="DM2" s="1816"/>
      <c r="DN2" s="1817"/>
      <c r="DO2" s="1816">
        <v>44346</v>
      </c>
      <c r="DP2" s="1816"/>
      <c r="DQ2" s="1816"/>
      <c r="DR2" s="1817"/>
      <c r="DS2" s="1816">
        <v>44347</v>
      </c>
      <c r="DT2" s="1816"/>
      <c r="DU2" s="1816"/>
      <c r="DV2" s="1817"/>
      <c r="DW2" s="1826" t="s">
        <v>312</v>
      </c>
      <c r="DX2" s="1816"/>
      <c r="DY2" s="1816"/>
      <c r="DZ2" s="1817"/>
    </row>
    <row r="3" spans="1:130" ht="27" x14ac:dyDescent="0.3">
      <c r="A3" s="695"/>
      <c r="B3" s="696" t="s">
        <v>313</v>
      </c>
      <c r="C3" s="715" t="s">
        <v>314</v>
      </c>
      <c r="D3" s="715" t="s">
        <v>315</v>
      </c>
      <c r="E3" s="715" t="s">
        <v>316</v>
      </c>
      <c r="F3" s="715" t="s">
        <v>220</v>
      </c>
      <c r="G3" s="715" t="s">
        <v>314</v>
      </c>
      <c r="H3" s="715" t="s">
        <v>315</v>
      </c>
      <c r="I3" s="715" t="s">
        <v>316</v>
      </c>
      <c r="J3" s="715" t="s">
        <v>220</v>
      </c>
      <c r="K3" s="715" t="s">
        <v>314</v>
      </c>
      <c r="L3" s="715" t="s">
        <v>315</v>
      </c>
      <c r="M3" s="715" t="s">
        <v>316</v>
      </c>
      <c r="N3" s="715" t="s">
        <v>220</v>
      </c>
      <c r="O3" s="715" t="s">
        <v>314</v>
      </c>
      <c r="P3" s="715" t="s">
        <v>315</v>
      </c>
      <c r="Q3" s="715" t="s">
        <v>316</v>
      </c>
      <c r="R3" s="715" t="s">
        <v>220</v>
      </c>
      <c r="S3" s="715" t="s">
        <v>314</v>
      </c>
      <c r="T3" s="715" t="s">
        <v>315</v>
      </c>
      <c r="U3" s="715" t="s">
        <v>316</v>
      </c>
      <c r="V3" s="715" t="s">
        <v>220</v>
      </c>
      <c r="W3" s="715" t="s">
        <v>314</v>
      </c>
      <c r="X3" s="715" t="s">
        <v>315</v>
      </c>
      <c r="Y3" s="715" t="s">
        <v>316</v>
      </c>
      <c r="Z3" s="715" t="s">
        <v>220</v>
      </c>
      <c r="AA3" s="715" t="s">
        <v>314</v>
      </c>
      <c r="AB3" s="715" t="s">
        <v>315</v>
      </c>
      <c r="AC3" s="715" t="s">
        <v>316</v>
      </c>
      <c r="AD3" s="715" t="s">
        <v>220</v>
      </c>
      <c r="AE3" s="715" t="s">
        <v>314</v>
      </c>
      <c r="AF3" s="715" t="s">
        <v>315</v>
      </c>
      <c r="AG3" s="715" t="s">
        <v>316</v>
      </c>
      <c r="AH3" s="717" t="s">
        <v>220</v>
      </c>
      <c r="AI3" s="715" t="s">
        <v>314</v>
      </c>
      <c r="AJ3" s="715" t="s">
        <v>315</v>
      </c>
      <c r="AK3" s="715" t="s">
        <v>316</v>
      </c>
      <c r="AL3" s="715" t="s">
        <v>220</v>
      </c>
      <c r="AM3" s="715" t="s">
        <v>314</v>
      </c>
      <c r="AN3" s="715" t="s">
        <v>315</v>
      </c>
      <c r="AO3" s="715" t="s">
        <v>316</v>
      </c>
      <c r="AP3" s="715" t="s">
        <v>220</v>
      </c>
      <c r="AQ3" s="715" t="s">
        <v>314</v>
      </c>
      <c r="AR3" s="715" t="s">
        <v>315</v>
      </c>
      <c r="AS3" s="715" t="s">
        <v>316</v>
      </c>
      <c r="AT3" s="715" t="s">
        <v>220</v>
      </c>
      <c r="AU3" s="715" t="s">
        <v>314</v>
      </c>
      <c r="AV3" s="715" t="s">
        <v>315</v>
      </c>
      <c r="AW3" s="715" t="s">
        <v>316</v>
      </c>
      <c r="AX3" s="715" t="s">
        <v>220</v>
      </c>
      <c r="AY3" s="715" t="s">
        <v>314</v>
      </c>
      <c r="AZ3" s="715" t="s">
        <v>315</v>
      </c>
      <c r="BA3" s="715" t="s">
        <v>316</v>
      </c>
      <c r="BB3" s="715" t="s">
        <v>220</v>
      </c>
      <c r="BC3" s="715" t="s">
        <v>314</v>
      </c>
      <c r="BD3" s="715" t="s">
        <v>315</v>
      </c>
      <c r="BE3" s="715" t="s">
        <v>316</v>
      </c>
      <c r="BF3" s="715" t="s">
        <v>220</v>
      </c>
      <c r="BG3" s="715" t="s">
        <v>314</v>
      </c>
      <c r="BH3" s="715" t="s">
        <v>315</v>
      </c>
      <c r="BI3" s="715" t="s">
        <v>316</v>
      </c>
      <c r="BJ3" s="715" t="s">
        <v>220</v>
      </c>
      <c r="BK3" s="715" t="s">
        <v>314</v>
      </c>
      <c r="BL3" s="715" t="s">
        <v>315</v>
      </c>
      <c r="BM3" s="715" t="s">
        <v>316</v>
      </c>
      <c r="BN3" s="715" t="s">
        <v>220</v>
      </c>
      <c r="BO3" s="715" t="s">
        <v>314</v>
      </c>
      <c r="BP3" s="715" t="s">
        <v>315</v>
      </c>
      <c r="BQ3" s="715" t="s">
        <v>316</v>
      </c>
      <c r="BR3" s="715" t="s">
        <v>220</v>
      </c>
      <c r="BS3" s="715" t="s">
        <v>314</v>
      </c>
      <c r="BT3" s="715" t="s">
        <v>315</v>
      </c>
      <c r="BU3" s="715" t="s">
        <v>316</v>
      </c>
      <c r="BV3" s="715" t="s">
        <v>220</v>
      </c>
      <c r="BW3" s="715" t="s">
        <v>314</v>
      </c>
      <c r="BX3" s="715" t="s">
        <v>315</v>
      </c>
      <c r="BY3" s="715" t="s">
        <v>316</v>
      </c>
      <c r="BZ3" s="715" t="s">
        <v>220</v>
      </c>
      <c r="CA3" s="715" t="s">
        <v>314</v>
      </c>
      <c r="CB3" s="715" t="s">
        <v>315</v>
      </c>
      <c r="CC3" s="715" t="s">
        <v>316</v>
      </c>
      <c r="CD3" s="715" t="s">
        <v>220</v>
      </c>
      <c r="CE3" s="715" t="s">
        <v>314</v>
      </c>
      <c r="CF3" s="715" t="s">
        <v>315</v>
      </c>
      <c r="CG3" s="715" t="s">
        <v>316</v>
      </c>
      <c r="CH3" s="715" t="s">
        <v>220</v>
      </c>
      <c r="CI3" s="715" t="s">
        <v>314</v>
      </c>
      <c r="CJ3" s="715" t="s">
        <v>315</v>
      </c>
      <c r="CK3" s="715" t="s">
        <v>316</v>
      </c>
      <c r="CL3" s="715" t="s">
        <v>220</v>
      </c>
      <c r="CM3" s="715" t="s">
        <v>314</v>
      </c>
      <c r="CN3" s="715" t="s">
        <v>315</v>
      </c>
      <c r="CO3" s="715" t="s">
        <v>316</v>
      </c>
      <c r="CP3" s="715" t="s">
        <v>220</v>
      </c>
      <c r="CQ3" s="715" t="s">
        <v>314</v>
      </c>
      <c r="CR3" s="715" t="s">
        <v>315</v>
      </c>
      <c r="CS3" s="715" t="s">
        <v>316</v>
      </c>
      <c r="CT3" s="715" t="s">
        <v>220</v>
      </c>
      <c r="CU3" s="715" t="s">
        <v>314</v>
      </c>
      <c r="CV3" s="715" t="s">
        <v>315</v>
      </c>
      <c r="CW3" s="715" t="s">
        <v>316</v>
      </c>
      <c r="CX3" s="715" t="s">
        <v>220</v>
      </c>
      <c r="CY3" s="715" t="s">
        <v>314</v>
      </c>
      <c r="CZ3" s="715" t="s">
        <v>315</v>
      </c>
      <c r="DA3" s="715" t="s">
        <v>316</v>
      </c>
      <c r="DB3" s="715" t="s">
        <v>220</v>
      </c>
      <c r="DC3" s="715" t="s">
        <v>314</v>
      </c>
      <c r="DD3" s="715" t="s">
        <v>315</v>
      </c>
      <c r="DE3" s="715" t="s">
        <v>316</v>
      </c>
      <c r="DF3" s="715" t="s">
        <v>220</v>
      </c>
      <c r="DG3" s="715" t="s">
        <v>314</v>
      </c>
      <c r="DH3" s="715" t="s">
        <v>315</v>
      </c>
      <c r="DI3" s="715" t="s">
        <v>316</v>
      </c>
      <c r="DJ3" s="715" t="s">
        <v>220</v>
      </c>
      <c r="DK3" s="715" t="s">
        <v>314</v>
      </c>
      <c r="DL3" s="715" t="s">
        <v>315</v>
      </c>
      <c r="DM3" s="715" t="s">
        <v>316</v>
      </c>
      <c r="DN3" s="715" t="s">
        <v>220</v>
      </c>
      <c r="DO3" s="715" t="s">
        <v>314</v>
      </c>
      <c r="DP3" s="715" t="s">
        <v>315</v>
      </c>
      <c r="DQ3" s="715" t="s">
        <v>316</v>
      </c>
      <c r="DR3" s="715" t="s">
        <v>220</v>
      </c>
      <c r="DS3" s="715" t="s">
        <v>314</v>
      </c>
      <c r="DT3" s="715" t="s">
        <v>315</v>
      </c>
      <c r="DU3" s="715" t="s">
        <v>316</v>
      </c>
      <c r="DV3" s="715" t="s">
        <v>220</v>
      </c>
      <c r="DW3" s="715" t="s">
        <v>314</v>
      </c>
      <c r="DX3" s="715" t="s">
        <v>315</v>
      </c>
      <c r="DY3" s="715" t="s">
        <v>316</v>
      </c>
      <c r="DZ3" s="715" t="s">
        <v>220</v>
      </c>
    </row>
    <row r="4" spans="1:130" x14ac:dyDescent="0.25">
      <c r="A4" s="2083" t="s">
        <v>317</v>
      </c>
      <c r="B4" s="987" t="s">
        <v>318</v>
      </c>
      <c r="C4" s="988">
        <v>3011386</v>
      </c>
      <c r="D4" s="988"/>
      <c r="E4" s="988">
        <v>3012290</v>
      </c>
      <c r="F4" s="989">
        <f>E4-C4-D4</f>
        <v>904</v>
      </c>
      <c r="G4" s="988">
        <f>+E4</f>
        <v>3012290</v>
      </c>
      <c r="H4" s="988"/>
      <c r="I4" s="988">
        <v>3013570</v>
      </c>
      <c r="J4" s="989">
        <f>I4-G4-H4</f>
        <v>1280</v>
      </c>
      <c r="K4" s="988">
        <f t="shared" ref="K4:K20" si="0">+I4</f>
        <v>3013570</v>
      </c>
      <c r="L4" s="988"/>
      <c r="M4" s="988">
        <v>3014572</v>
      </c>
      <c r="N4" s="989">
        <f>M4-K4-L4</f>
        <v>1002</v>
      </c>
      <c r="O4" s="988">
        <f>+M4</f>
        <v>3014572</v>
      </c>
      <c r="P4" s="988"/>
      <c r="Q4" s="988">
        <v>3015496</v>
      </c>
      <c r="R4" s="989">
        <f>Q4-O4-P4</f>
        <v>924</v>
      </c>
      <c r="S4" s="988">
        <f>+Q4</f>
        <v>3015496</v>
      </c>
      <c r="T4" s="988"/>
      <c r="U4" s="988">
        <v>3016292</v>
      </c>
      <c r="V4" s="989">
        <f>U4-S4-T4</f>
        <v>796</v>
      </c>
      <c r="W4" s="988">
        <f>+U4</f>
        <v>3016292</v>
      </c>
      <c r="X4" s="988"/>
      <c r="Y4" s="988">
        <v>3017276</v>
      </c>
      <c r="Z4" s="989">
        <f>Y4-W4-X4</f>
        <v>984</v>
      </c>
      <c r="AA4" s="988">
        <f>+Y4</f>
        <v>3017276</v>
      </c>
      <c r="AB4" s="988"/>
      <c r="AC4" s="988">
        <v>3018463</v>
      </c>
      <c r="AD4" s="989">
        <f>AC4-AA4-AB4</f>
        <v>1187</v>
      </c>
      <c r="AE4" s="988">
        <f>+AC4</f>
        <v>3018463</v>
      </c>
      <c r="AF4" s="988"/>
      <c r="AG4" s="988">
        <v>3019335</v>
      </c>
      <c r="AH4" s="988">
        <f>AG4-AE4-AF4</f>
        <v>872</v>
      </c>
      <c r="AI4" s="988">
        <f>+AG4</f>
        <v>3019335</v>
      </c>
      <c r="AJ4" s="988"/>
      <c r="AK4" s="988">
        <v>3020150</v>
      </c>
      <c r="AL4" s="989">
        <f>AK4-AI4-AJ4</f>
        <v>815</v>
      </c>
      <c r="AM4" s="988">
        <f>+AK4</f>
        <v>3020150</v>
      </c>
      <c r="AN4" s="988"/>
      <c r="AO4" s="988">
        <v>3021200</v>
      </c>
      <c r="AP4" s="989">
        <f>AO4-AM4-AN4</f>
        <v>1050</v>
      </c>
      <c r="AQ4" s="988">
        <f>+AO4</f>
        <v>3021200</v>
      </c>
      <c r="AR4" s="988"/>
      <c r="AS4" s="988">
        <v>3022047</v>
      </c>
      <c r="AT4" s="989">
        <f>AS4-AQ4-AR4</f>
        <v>847</v>
      </c>
      <c r="AU4" s="988">
        <f>+AS4</f>
        <v>3022047</v>
      </c>
      <c r="AV4" s="988"/>
      <c r="AW4" s="990">
        <v>3023033</v>
      </c>
      <c r="AX4" s="989">
        <f>AW4-AU4-AV4</f>
        <v>986</v>
      </c>
      <c r="AY4" s="988">
        <f>+AW4</f>
        <v>3023033</v>
      </c>
      <c r="AZ4" s="988"/>
      <c r="BA4" s="988">
        <v>3023995</v>
      </c>
      <c r="BB4" s="989">
        <f>BA4-AY4-AZ4</f>
        <v>962</v>
      </c>
      <c r="BC4" s="988">
        <f>BA4</f>
        <v>3023995</v>
      </c>
      <c r="BD4" s="988"/>
      <c r="BE4" s="988"/>
      <c r="BF4" s="989">
        <f>BE4-BC4-BD4</f>
        <v>-3023995</v>
      </c>
      <c r="BG4" s="988">
        <f>+BE4</f>
        <v>0</v>
      </c>
      <c r="BH4" s="988"/>
      <c r="BI4" s="988">
        <v>551312</v>
      </c>
      <c r="BJ4" s="989">
        <f>BI4-BG4-BH4</f>
        <v>551312</v>
      </c>
      <c r="BK4" s="988">
        <f>+BI4</f>
        <v>551312</v>
      </c>
      <c r="BL4" s="988">
        <v>20</v>
      </c>
      <c r="BM4" s="988">
        <v>551894</v>
      </c>
      <c r="BN4" s="989">
        <f>BM4-BK4-BL4</f>
        <v>562</v>
      </c>
      <c r="BO4" s="988">
        <f>BM4</f>
        <v>551894</v>
      </c>
      <c r="BP4" s="988"/>
      <c r="BQ4" s="988">
        <v>552584</v>
      </c>
      <c r="BR4" s="989">
        <f>BQ4-BO4-BP4</f>
        <v>690</v>
      </c>
      <c r="BS4" s="988">
        <f>+BQ4</f>
        <v>552584</v>
      </c>
      <c r="BT4" s="988"/>
      <c r="BU4" s="988">
        <v>553036</v>
      </c>
      <c r="BV4" s="989">
        <f>BU4-BS4-BT4</f>
        <v>452</v>
      </c>
      <c r="BW4" s="988">
        <f>+BU4</f>
        <v>553036</v>
      </c>
      <c r="BX4" s="988"/>
      <c r="BY4" s="988">
        <v>553482</v>
      </c>
      <c r="BZ4" s="989">
        <f>BY4-BW4-BX4</f>
        <v>446</v>
      </c>
      <c r="CA4" s="988">
        <f>+BY4</f>
        <v>553482</v>
      </c>
      <c r="CB4" s="988"/>
      <c r="CC4" s="988">
        <v>553989</v>
      </c>
      <c r="CD4" s="989">
        <f>CC4-CA4-CB4</f>
        <v>507</v>
      </c>
      <c r="CE4" s="988">
        <f>CC4</f>
        <v>553989</v>
      </c>
      <c r="CF4" s="988"/>
      <c r="CG4" s="988">
        <v>554586</v>
      </c>
      <c r="CH4" s="989">
        <f>CG4-CE4-CF4</f>
        <v>597</v>
      </c>
      <c r="CI4" s="988">
        <f>+CG4</f>
        <v>554586</v>
      </c>
      <c r="CJ4" s="988"/>
      <c r="CK4" s="988">
        <v>555212</v>
      </c>
      <c r="CL4" s="989">
        <f>CK4-CI4-CJ4</f>
        <v>626</v>
      </c>
      <c r="CM4" s="988">
        <f>+CK4</f>
        <v>555212</v>
      </c>
      <c r="CN4" s="988"/>
      <c r="CO4" s="988">
        <v>555869</v>
      </c>
      <c r="CP4" s="989">
        <f>CO4-CM4-CN4</f>
        <v>657</v>
      </c>
      <c r="CQ4" s="988">
        <f>+CO4</f>
        <v>555869</v>
      </c>
      <c r="CR4" s="988"/>
      <c r="CS4" s="988">
        <v>556428</v>
      </c>
      <c r="CT4" s="989">
        <f>CS4-CQ4-CR4</f>
        <v>559</v>
      </c>
      <c r="CU4" s="988">
        <f>+CS4</f>
        <v>556428</v>
      </c>
      <c r="CV4" s="988"/>
      <c r="CW4" s="988">
        <v>556779</v>
      </c>
      <c r="CX4" s="989">
        <f>CW4-CU4-CV4</f>
        <v>351</v>
      </c>
      <c r="CY4" s="988">
        <f>+CW4</f>
        <v>556779</v>
      </c>
      <c r="CZ4" s="988">
        <v>30</v>
      </c>
      <c r="DA4" s="988">
        <v>557257</v>
      </c>
      <c r="DB4" s="989">
        <f>DA4-CY4-CZ4</f>
        <v>448</v>
      </c>
      <c r="DC4" s="988">
        <f>+DA4</f>
        <v>557257</v>
      </c>
      <c r="DD4" s="988"/>
      <c r="DE4" s="988">
        <v>557651</v>
      </c>
      <c r="DF4" s="989">
        <f>DE4-DC4-DD4</f>
        <v>394</v>
      </c>
      <c r="DG4" s="988">
        <f>+DE4</f>
        <v>557651</v>
      </c>
      <c r="DH4" s="988"/>
      <c r="DI4" s="988">
        <v>558064</v>
      </c>
      <c r="DJ4" s="989">
        <f>DI4-DG4-DH4</f>
        <v>413</v>
      </c>
      <c r="DK4" s="988">
        <f t="shared" ref="DK4:DK19" si="1">DI4</f>
        <v>558064</v>
      </c>
      <c r="DL4" s="988"/>
      <c r="DM4" s="988">
        <v>558438</v>
      </c>
      <c r="DN4" s="989">
        <f>DM4-DK4-DL4</f>
        <v>374</v>
      </c>
      <c r="DO4" s="988">
        <f t="shared" ref="DO4:DO20" si="2">DM4</f>
        <v>558438</v>
      </c>
      <c r="DP4" s="988"/>
      <c r="DQ4" s="988">
        <v>558836</v>
      </c>
      <c r="DR4" s="989">
        <f>DQ4-DO4-DP4</f>
        <v>398</v>
      </c>
      <c r="DS4" s="988">
        <f t="shared" ref="DS4:DS19" si="3">DQ4</f>
        <v>558836</v>
      </c>
      <c r="DT4" s="988"/>
      <c r="DU4" s="988"/>
      <c r="DV4" s="989">
        <f>DU4-DS4-DT4</f>
        <v>-558836</v>
      </c>
      <c r="DW4" s="988">
        <f>AU4</f>
        <v>3022047</v>
      </c>
      <c r="DX4" s="988">
        <f t="shared" ref="DX4:DX20" si="4">DT4+DP4+DL4+DH4+DD4+CZ4+CV4+CR4+CN4+CJ4+CF4+CB4+BX4+BT4+BP4+BL4+BH4+BD4+AZ4+AV4+AR4+AN4+AJ4+AF4+AB4+X4+T4+P4+L4+H4+D4</f>
        <v>50</v>
      </c>
      <c r="DY4" s="988">
        <f>DU4</f>
        <v>0</v>
      </c>
      <c r="DZ4" s="989">
        <f>DY4-DW4-DX4</f>
        <v>-3022097</v>
      </c>
    </row>
    <row r="5" spans="1:130" x14ac:dyDescent="0.25">
      <c r="A5" s="2084"/>
      <c r="B5" s="991" t="s">
        <v>319</v>
      </c>
      <c r="C5" s="988">
        <v>2179281</v>
      </c>
      <c r="D5" s="988"/>
      <c r="E5" s="988">
        <v>2179456</v>
      </c>
      <c r="F5" s="992">
        <f t="shared" ref="F5:F20" si="5">E5-C5-D5</f>
        <v>175</v>
      </c>
      <c r="G5" s="988">
        <f t="shared" ref="G5:G20" si="6">+E5</f>
        <v>2179456</v>
      </c>
      <c r="H5" s="988"/>
      <c r="I5" s="988">
        <v>2179701</v>
      </c>
      <c r="J5" s="992">
        <f t="shared" ref="J5:J20" si="7">I5-G5-H5</f>
        <v>245</v>
      </c>
      <c r="K5" s="988">
        <f t="shared" si="0"/>
        <v>2179701</v>
      </c>
      <c r="L5" s="988"/>
      <c r="M5" s="988">
        <v>2179954</v>
      </c>
      <c r="N5" s="992">
        <f t="shared" ref="N5:N20" si="8">M5-K5-L5</f>
        <v>253</v>
      </c>
      <c r="O5" s="988">
        <f t="shared" ref="O5:O20" si="9">+M5</f>
        <v>2179954</v>
      </c>
      <c r="P5" s="988"/>
      <c r="Q5" s="988">
        <v>2180356</v>
      </c>
      <c r="R5" s="992">
        <f t="shared" ref="R5:R20" si="10">Q5-O5-P5</f>
        <v>402</v>
      </c>
      <c r="S5" s="988">
        <f t="shared" ref="S5:S20" si="11">+Q5</f>
        <v>2180356</v>
      </c>
      <c r="T5" s="988"/>
      <c r="U5" s="988">
        <v>2180687</v>
      </c>
      <c r="V5" s="992">
        <f t="shared" ref="V5:V20" si="12">U5-S5-T5</f>
        <v>331</v>
      </c>
      <c r="W5" s="988">
        <f t="shared" ref="W5:W20" si="13">+U5</f>
        <v>2180687</v>
      </c>
      <c r="X5" s="988"/>
      <c r="Y5" s="988">
        <v>2181016</v>
      </c>
      <c r="Z5" s="992">
        <f t="shared" ref="Z5:Z20" si="14">Y5-W5-X5</f>
        <v>329</v>
      </c>
      <c r="AA5" s="988">
        <f t="shared" ref="AA5:AA20" si="15">+Y5</f>
        <v>2181016</v>
      </c>
      <c r="AB5" s="988"/>
      <c r="AC5" s="988">
        <v>2181641</v>
      </c>
      <c r="AD5" s="992">
        <f t="shared" ref="AD5:AD20" si="16">AC5-AA5-AB5</f>
        <v>625</v>
      </c>
      <c r="AE5" s="988">
        <f t="shared" ref="AE5:AE20" si="17">+AC5</f>
        <v>2181641</v>
      </c>
      <c r="AF5" s="988"/>
      <c r="AG5" s="988">
        <v>2182011</v>
      </c>
      <c r="AH5" s="988">
        <f t="shared" ref="AH5:AH18" si="18">AG5-AE5-AF5</f>
        <v>370</v>
      </c>
      <c r="AI5" s="988">
        <f t="shared" ref="AI5:AI20" si="19">+AG5</f>
        <v>2182011</v>
      </c>
      <c r="AJ5" s="988"/>
      <c r="AK5" s="988">
        <v>2182356</v>
      </c>
      <c r="AL5" s="992">
        <f t="shared" ref="AL5:AL20" si="20">AK5-AI5-AJ5</f>
        <v>345</v>
      </c>
      <c r="AM5" s="988">
        <f t="shared" ref="AM5:AM20" si="21">+AK5</f>
        <v>2182356</v>
      </c>
      <c r="AN5" s="988"/>
      <c r="AO5" s="988">
        <v>2182434</v>
      </c>
      <c r="AP5" s="992">
        <f t="shared" ref="AP5:AP20" si="22">AO5-AM5-AN5</f>
        <v>78</v>
      </c>
      <c r="AQ5" s="988">
        <f t="shared" ref="AQ5:AQ20" si="23">+AO5</f>
        <v>2182434</v>
      </c>
      <c r="AR5" s="988"/>
      <c r="AS5" s="988">
        <v>2182659</v>
      </c>
      <c r="AT5" s="992">
        <f t="shared" ref="AT5:AT20" si="24">AS5-AQ5-AR5</f>
        <v>225</v>
      </c>
      <c r="AU5" s="988">
        <f t="shared" ref="AU5:AU19" si="25">+AS5</f>
        <v>2182659</v>
      </c>
      <c r="AV5" s="988"/>
      <c r="AW5" s="990">
        <v>2183072</v>
      </c>
      <c r="AX5" s="992">
        <f>AW5-AU5-AV5</f>
        <v>413</v>
      </c>
      <c r="AY5" s="988">
        <f t="shared" ref="AY5:AY20" si="26">+AW5</f>
        <v>2183072</v>
      </c>
      <c r="AZ5" s="988"/>
      <c r="BA5" s="988">
        <v>2183398</v>
      </c>
      <c r="BB5" s="992">
        <f t="shared" ref="BB5:BB20" si="27">BA5-AY5-AZ5</f>
        <v>326</v>
      </c>
      <c r="BC5" s="988">
        <f t="shared" ref="BC5:BC20" si="28">BA5</f>
        <v>2183398</v>
      </c>
      <c r="BD5" s="988"/>
      <c r="BE5" s="988"/>
      <c r="BF5" s="992">
        <f t="shared" ref="BF5:BF20" si="29">BE5-BC5-BD5</f>
        <v>-2183398</v>
      </c>
      <c r="BG5" s="988">
        <f t="shared" ref="BG5:BG20" si="30">+BE5</f>
        <v>0</v>
      </c>
      <c r="BH5" s="988"/>
      <c r="BI5" s="988">
        <v>1391097</v>
      </c>
      <c r="BJ5" s="992">
        <f t="shared" ref="BJ5:BJ20" si="31">BI5-BG5-BH5</f>
        <v>1391097</v>
      </c>
      <c r="BK5" s="988">
        <f t="shared" ref="BK5:BK20" si="32">+BI5</f>
        <v>1391097</v>
      </c>
      <c r="BL5" s="988">
        <v>20</v>
      </c>
      <c r="BM5" s="988">
        <v>1393107</v>
      </c>
      <c r="BN5" s="992">
        <f t="shared" ref="BN5:BN20" si="33">BM5-BK5-BL5</f>
        <v>1990</v>
      </c>
      <c r="BO5" s="988">
        <f t="shared" ref="BO5:BO20" si="34">BM5</f>
        <v>1393107</v>
      </c>
      <c r="BP5" s="988"/>
      <c r="BQ5" s="988">
        <v>1395251</v>
      </c>
      <c r="BR5" s="992">
        <f t="shared" ref="BR5:BR20" si="35">BQ5-BO5-BP5</f>
        <v>2144</v>
      </c>
      <c r="BS5" s="988">
        <f t="shared" ref="BS5:BS20" si="36">+BQ5</f>
        <v>1395251</v>
      </c>
      <c r="BT5" s="988"/>
      <c r="BU5" s="988">
        <v>1396338</v>
      </c>
      <c r="BV5" s="992">
        <f t="shared" ref="BV5:BV20" si="37">BU5-BS5-BT5</f>
        <v>1087</v>
      </c>
      <c r="BW5" s="988">
        <f t="shared" ref="BW5:BW20" si="38">+BU5</f>
        <v>1396338</v>
      </c>
      <c r="BX5" s="988"/>
      <c r="BY5" s="988">
        <v>1397876</v>
      </c>
      <c r="BZ5" s="992">
        <f t="shared" ref="BZ5:BZ20" si="39">BY5-BW5-BX5</f>
        <v>1538</v>
      </c>
      <c r="CA5" s="988">
        <f t="shared" ref="CA5:CA20" si="40">+BY5</f>
        <v>1397876</v>
      </c>
      <c r="CB5" s="988"/>
      <c r="CC5" s="988">
        <v>1399309</v>
      </c>
      <c r="CD5" s="992">
        <f t="shared" ref="CD5:CD20" si="41">CC5-CA5-CB5</f>
        <v>1433</v>
      </c>
      <c r="CE5" s="988">
        <f t="shared" ref="CE5:CE20" si="42">CC5</f>
        <v>1399309</v>
      </c>
      <c r="CF5" s="988"/>
      <c r="CG5" s="988">
        <v>1400877</v>
      </c>
      <c r="CH5" s="992">
        <f t="shared" ref="CH5:CH20" si="43">CG5-CE5-CF5</f>
        <v>1568</v>
      </c>
      <c r="CI5" s="988">
        <f t="shared" ref="CI5:CI20" si="44">+CG5</f>
        <v>1400877</v>
      </c>
      <c r="CJ5" s="988"/>
      <c r="CK5" s="988">
        <v>1402443</v>
      </c>
      <c r="CL5" s="992">
        <f t="shared" ref="CL5:CL20" si="45">CK5-CI5-CJ5</f>
        <v>1566</v>
      </c>
      <c r="CM5" s="988">
        <f t="shared" ref="CM5:CM20" si="46">+CK5</f>
        <v>1402443</v>
      </c>
      <c r="CN5" s="988"/>
      <c r="CO5" s="988">
        <v>1404542</v>
      </c>
      <c r="CP5" s="992">
        <f t="shared" ref="CP5:CP20" si="47">CO5-CM5-CN5</f>
        <v>2099</v>
      </c>
      <c r="CQ5" s="988">
        <f t="shared" ref="CQ5:CQ20" si="48">+CO5</f>
        <v>1404542</v>
      </c>
      <c r="CR5" s="988"/>
      <c r="CS5" s="988">
        <v>1406842</v>
      </c>
      <c r="CT5" s="992">
        <f t="shared" ref="CT5:CT20" si="49">CS5-CQ5-CR5</f>
        <v>2300</v>
      </c>
      <c r="CU5" s="988">
        <f t="shared" ref="CU5:CU20" si="50">+CS5</f>
        <v>1406842</v>
      </c>
      <c r="CV5" s="988"/>
      <c r="CW5" s="988">
        <v>1408306</v>
      </c>
      <c r="CX5" s="992">
        <f t="shared" ref="CX5:CX20" si="51">CW5-CU5-CV5</f>
        <v>1464</v>
      </c>
      <c r="CY5" s="988">
        <f t="shared" ref="CY5:CY20" si="52">+CW5</f>
        <v>1408306</v>
      </c>
      <c r="CZ5" s="988">
        <v>30</v>
      </c>
      <c r="DA5" s="988">
        <v>1409833</v>
      </c>
      <c r="DB5" s="992">
        <f t="shared" ref="DB5:DB20" si="53">DA5-CY5-CZ5</f>
        <v>1497</v>
      </c>
      <c r="DC5" s="988">
        <f t="shared" ref="DC5:DC20" si="54">+DA5</f>
        <v>1409833</v>
      </c>
      <c r="DD5" s="988"/>
      <c r="DE5" s="988">
        <v>1411899</v>
      </c>
      <c r="DF5" s="992">
        <f t="shared" ref="DF5:DF20" si="55">DE5-DC5-DD5</f>
        <v>2066</v>
      </c>
      <c r="DG5" s="988">
        <f t="shared" ref="DG5:DG20" si="56">+DE5</f>
        <v>1411899</v>
      </c>
      <c r="DH5" s="988"/>
      <c r="DI5" s="988">
        <v>1413254</v>
      </c>
      <c r="DJ5" s="992">
        <f t="shared" ref="DJ5:DJ20" si="57">DI5-DG5-DH5</f>
        <v>1355</v>
      </c>
      <c r="DK5" s="988">
        <f t="shared" si="1"/>
        <v>1413254</v>
      </c>
      <c r="DL5" s="988"/>
      <c r="DM5" s="988">
        <v>1414574</v>
      </c>
      <c r="DN5" s="992">
        <f t="shared" ref="DN5:DN20" si="58">DM5-DK5-DL5</f>
        <v>1320</v>
      </c>
      <c r="DO5" s="988">
        <f t="shared" si="2"/>
        <v>1414574</v>
      </c>
      <c r="DP5" s="988"/>
      <c r="DQ5" s="988">
        <v>1418317</v>
      </c>
      <c r="DR5" s="992">
        <f t="shared" ref="DR5:DR20" si="59">DQ5-DO5-DP5</f>
        <v>3743</v>
      </c>
      <c r="DS5" s="988">
        <f t="shared" si="3"/>
        <v>1418317</v>
      </c>
      <c r="DT5" s="988"/>
      <c r="DU5" s="988"/>
      <c r="DV5" s="992">
        <f t="shared" ref="DV5:DV20" si="60">DU5-DS5-DT5</f>
        <v>-1418317</v>
      </c>
      <c r="DW5" s="988">
        <f t="shared" ref="DW5:DW20" si="61">AU5</f>
        <v>2182659</v>
      </c>
      <c r="DX5" s="988">
        <f t="shared" si="4"/>
        <v>50</v>
      </c>
      <c r="DY5" s="988">
        <f t="shared" ref="DY5:DY20" si="62">DU5</f>
        <v>0</v>
      </c>
      <c r="DZ5" s="992">
        <f t="shared" ref="DZ5:DZ20" si="63">DY5-DW5-DX5</f>
        <v>-2182709</v>
      </c>
    </row>
    <row r="6" spans="1:130" x14ac:dyDescent="0.25">
      <c r="A6" s="2084"/>
      <c r="B6" s="991" t="s">
        <v>320</v>
      </c>
      <c r="C6" s="988">
        <v>2191870</v>
      </c>
      <c r="D6" s="988"/>
      <c r="E6" s="988">
        <v>2192574</v>
      </c>
      <c r="F6" s="992">
        <f t="shared" si="5"/>
        <v>704</v>
      </c>
      <c r="G6" s="988">
        <f t="shared" si="6"/>
        <v>2192574</v>
      </c>
      <c r="H6" s="988"/>
      <c r="I6" s="988">
        <v>2193326</v>
      </c>
      <c r="J6" s="992">
        <f t="shared" si="7"/>
        <v>752</v>
      </c>
      <c r="K6" s="988">
        <f t="shared" si="0"/>
        <v>2193326</v>
      </c>
      <c r="L6" s="988"/>
      <c r="M6" s="988">
        <v>2194286</v>
      </c>
      <c r="N6" s="992">
        <f t="shared" si="8"/>
        <v>960</v>
      </c>
      <c r="O6" s="988">
        <f t="shared" si="9"/>
        <v>2194286</v>
      </c>
      <c r="P6" s="988"/>
      <c r="Q6" s="988">
        <v>2194948</v>
      </c>
      <c r="R6" s="992">
        <f t="shared" si="10"/>
        <v>662</v>
      </c>
      <c r="S6" s="988">
        <f t="shared" si="11"/>
        <v>2194948</v>
      </c>
      <c r="T6" s="988"/>
      <c r="U6" s="988">
        <v>2195602</v>
      </c>
      <c r="V6" s="992">
        <f t="shared" si="12"/>
        <v>654</v>
      </c>
      <c r="W6" s="988">
        <f t="shared" si="13"/>
        <v>2195602</v>
      </c>
      <c r="X6" s="988"/>
      <c r="Y6" s="988">
        <v>2196856</v>
      </c>
      <c r="Z6" s="992">
        <f t="shared" si="14"/>
        <v>1254</v>
      </c>
      <c r="AA6" s="988">
        <f t="shared" si="15"/>
        <v>2196856</v>
      </c>
      <c r="AB6" s="988"/>
      <c r="AC6" s="988">
        <v>2197590</v>
      </c>
      <c r="AD6" s="992">
        <f t="shared" si="16"/>
        <v>734</v>
      </c>
      <c r="AE6" s="988">
        <f t="shared" si="17"/>
        <v>2197590</v>
      </c>
      <c r="AF6" s="988"/>
      <c r="AG6" s="988">
        <v>2198390</v>
      </c>
      <c r="AH6" s="988">
        <f t="shared" si="18"/>
        <v>800</v>
      </c>
      <c r="AI6" s="988">
        <f t="shared" si="19"/>
        <v>2198390</v>
      </c>
      <c r="AJ6" s="988"/>
      <c r="AK6" s="988">
        <v>2199043</v>
      </c>
      <c r="AL6" s="992">
        <f t="shared" si="20"/>
        <v>653</v>
      </c>
      <c r="AM6" s="988">
        <f t="shared" si="21"/>
        <v>2199043</v>
      </c>
      <c r="AN6" s="988"/>
      <c r="AO6" s="988">
        <v>2199957</v>
      </c>
      <c r="AP6" s="992">
        <f t="shared" si="22"/>
        <v>914</v>
      </c>
      <c r="AQ6" s="988">
        <f t="shared" si="23"/>
        <v>2199957</v>
      </c>
      <c r="AR6" s="988"/>
      <c r="AS6" s="988">
        <v>2200518</v>
      </c>
      <c r="AT6" s="992">
        <f t="shared" si="24"/>
        <v>561</v>
      </c>
      <c r="AU6" s="988">
        <f t="shared" si="25"/>
        <v>2200518</v>
      </c>
      <c r="AV6" s="988"/>
      <c r="AW6" s="990">
        <v>2200924</v>
      </c>
      <c r="AX6" s="992">
        <f t="shared" ref="AX6:AX20" si="64">AW6-AU6-AV6</f>
        <v>406</v>
      </c>
      <c r="AY6" s="988">
        <f t="shared" si="26"/>
        <v>2200924</v>
      </c>
      <c r="AZ6" s="988"/>
      <c r="BA6" s="988">
        <v>2201688</v>
      </c>
      <c r="BB6" s="992">
        <f t="shared" si="27"/>
        <v>764</v>
      </c>
      <c r="BC6" s="988">
        <f t="shared" si="28"/>
        <v>2201688</v>
      </c>
      <c r="BD6" s="988"/>
      <c r="BE6" s="988"/>
      <c r="BF6" s="992">
        <f t="shared" si="29"/>
        <v>-2201688</v>
      </c>
      <c r="BG6" s="988">
        <f t="shared" si="30"/>
        <v>0</v>
      </c>
      <c r="BH6" s="988"/>
      <c r="BI6" s="988">
        <v>513106</v>
      </c>
      <c r="BJ6" s="992">
        <f t="shared" si="31"/>
        <v>513106</v>
      </c>
      <c r="BK6" s="988">
        <f t="shared" si="32"/>
        <v>513106</v>
      </c>
      <c r="BL6" s="988">
        <v>20</v>
      </c>
      <c r="BM6" s="988">
        <v>513412</v>
      </c>
      <c r="BN6" s="992">
        <f t="shared" si="33"/>
        <v>286</v>
      </c>
      <c r="BO6" s="988">
        <f t="shared" si="34"/>
        <v>513412</v>
      </c>
      <c r="BP6" s="988"/>
      <c r="BQ6" s="988">
        <v>513796</v>
      </c>
      <c r="BR6" s="992">
        <f t="shared" si="35"/>
        <v>384</v>
      </c>
      <c r="BS6" s="988">
        <f t="shared" si="36"/>
        <v>513796</v>
      </c>
      <c r="BT6" s="988"/>
      <c r="BU6" s="988">
        <v>514054</v>
      </c>
      <c r="BV6" s="992">
        <f t="shared" si="37"/>
        <v>258</v>
      </c>
      <c r="BW6" s="988">
        <f t="shared" si="38"/>
        <v>514054</v>
      </c>
      <c r="BX6" s="988"/>
      <c r="BY6" s="988">
        <v>514298</v>
      </c>
      <c r="BZ6" s="992">
        <f t="shared" si="39"/>
        <v>244</v>
      </c>
      <c r="CA6" s="988">
        <f t="shared" si="40"/>
        <v>514298</v>
      </c>
      <c r="CB6" s="988"/>
      <c r="CC6" s="988">
        <v>514562</v>
      </c>
      <c r="CD6" s="992">
        <f t="shared" si="41"/>
        <v>264</v>
      </c>
      <c r="CE6" s="988">
        <f t="shared" si="42"/>
        <v>514562</v>
      </c>
      <c r="CF6" s="988"/>
      <c r="CG6" s="988">
        <v>514778</v>
      </c>
      <c r="CH6" s="992">
        <f t="shared" si="43"/>
        <v>216</v>
      </c>
      <c r="CI6" s="988">
        <f t="shared" si="44"/>
        <v>514778</v>
      </c>
      <c r="CJ6" s="988"/>
      <c r="CK6" s="988">
        <v>515055</v>
      </c>
      <c r="CL6" s="992">
        <f t="shared" si="45"/>
        <v>277</v>
      </c>
      <c r="CM6" s="988">
        <f t="shared" si="46"/>
        <v>515055</v>
      </c>
      <c r="CN6" s="988"/>
      <c r="CO6" s="988">
        <v>515520</v>
      </c>
      <c r="CP6" s="992">
        <f t="shared" si="47"/>
        <v>465</v>
      </c>
      <c r="CQ6" s="988">
        <f t="shared" si="48"/>
        <v>515520</v>
      </c>
      <c r="CR6" s="988"/>
      <c r="CS6" s="988">
        <v>515958</v>
      </c>
      <c r="CT6" s="992">
        <f t="shared" si="49"/>
        <v>438</v>
      </c>
      <c r="CU6" s="988">
        <f t="shared" si="50"/>
        <v>515958</v>
      </c>
      <c r="CV6" s="988"/>
      <c r="CW6" s="988">
        <v>516280</v>
      </c>
      <c r="CX6" s="992">
        <f t="shared" si="51"/>
        <v>322</v>
      </c>
      <c r="CY6" s="988">
        <f t="shared" si="52"/>
        <v>516280</v>
      </c>
      <c r="CZ6" s="988">
        <v>30</v>
      </c>
      <c r="DA6" s="988">
        <v>516481</v>
      </c>
      <c r="DB6" s="992">
        <f t="shared" si="53"/>
        <v>171</v>
      </c>
      <c r="DC6" s="988">
        <f t="shared" si="54"/>
        <v>516481</v>
      </c>
      <c r="DD6" s="988"/>
      <c r="DE6" s="988">
        <v>516727</v>
      </c>
      <c r="DF6" s="992">
        <f t="shared" si="55"/>
        <v>246</v>
      </c>
      <c r="DG6" s="988">
        <f t="shared" si="56"/>
        <v>516727</v>
      </c>
      <c r="DH6" s="988"/>
      <c r="DI6" s="988">
        <v>516881</v>
      </c>
      <c r="DJ6" s="992">
        <f t="shared" si="57"/>
        <v>154</v>
      </c>
      <c r="DK6" s="988">
        <f t="shared" si="1"/>
        <v>516881</v>
      </c>
      <c r="DL6" s="988"/>
      <c r="DM6" s="988">
        <v>517114</v>
      </c>
      <c r="DN6" s="992">
        <f t="shared" si="58"/>
        <v>233</v>
      </c>
      <c r="DO6" s="988">
        <f t="shared" si="2"/>
        <v>517114</v>
      </c>
      <c r="DP6" s="988"/>
      <c r="DQ6" s="988">
        <v>517456</v>
      </c>
      <c r="DR6" s="992">
        <f t="shared" si="59"/>
        <v>342</v>
      </c>
      <c r="DS6" s="988">
        <f t="shared" si="3"/>
        <v>517456</v>
      </c>
      <c r="DT6" s="988"/>
      <c r="DU6" s="988"/>
      <c r="DV6" s="992">
        <f t="shared" si="60"/>
        <v>-517456</v>
      </c>
      <c r="DW6" s="988">
        <f t="shared" si="61"/>
        <v>2200518</v>
      </c>
      <c r="DX6" s="988">
        <f t="shared" si="4"/>
        <v>50</v>
      </c>
      <c r="DY6" s="988">
        <f t="shared" si="62"/>
        <v>0</v>
      </c>
      <c r="DZ6" s="992">
        <f t="shared" si="63"/>
        <v>-2200568</v>
      </c>
    </row>
    <row r="7" spans="1:130" x14ac:dyDescent="0.25">
      <c r="A7" s="2084"/>
      <c r="B7" s="991"/>
      <c r="C7" s="988"/>
      <c r="D7" s="988"/>
      <c r="E7" s="988"/>
      <c r="F7" s="992"/>
      <c r="G7" s="988"/>
      <c r="H7" s="988"/>
      <c r="I7" s="988"/>
      <c r="J7" s="992"/>
      <c r="K7" s="988"/>
      <c r="L7" s="988"/>
      <c r="M7" s="988"/>
      <c r="N7" s="992"/>
      <c r="O7" s="988"/>
      <c r="P7" s="988"/>
      <c r="Q7" s="988"/>
      <c r="R7" s="992"/>
      <c r="S7" s="988"/>
      <c r="T7" s="988"/>
      <c r="U7" s="988"/>
      <c r="V7" s="992"/>
      <c r="W7" s="988"/>
      <c r="X7" s="988"/>
      <c r="Y7" s="988"/>
      <c r="Z7" s="992"/>
      <c r="AA7" s="988"/>
      <c r="AB7" s="988"/>
      <c r="AC7" s="988"/>
      <c r="AD7" s="992"/>
      <c r="AE7" s="988"/>
      <c r="AF7" s="988"/>
      <c r="AG7" s="988"/>
      <c r="AH7" s="988"/>
      <c r="AI7" s="988"/>
      <c r="AJ7" s="988"/>
      <c r="AK7" s="988"/>
      <c r="AL7" s="992"/>
      <c r="AM7" s="988"/>
      <c r="AN7" s="988"/>
      <c r="AO7" s="988"/>
      <c r="AP7" s="992"/>
      <c r="AQ7" s="988"/>
      <c r="AR7" s="988"/>
      <c r="AS7" s="988"/>
      <c r="AT7" s="992"/>
      <c r="AU7" s="988"/>
      <c r="AV7" s="988"/>
      <c r="AW7" s="990"/>
      <c r="AX7" s="992"/>
      <c r="AY7" s="988"/>
      <c r="AZ7" s="988"/>
      <c r="BA7" s="988"/>
      <c r="BB7" s="992"/>
      <c r="BC7" s="988"/>
      <c r="BD7" s="988"/>
      <c r="BE7" s="988"/>
      <c r="BF7" s="992"/>
      <c r="BG7" s="988"/>
      <c r="BH7" s="988"/>
      <c r="BI7" s="988"/>
      <c r="BJ7" s="992"/>
      <c r="BK7" s="988"/>
      <c r="BL7" s="988"/>
      <c r="BM7" s="988"/>
      <c r="BN7" s="992"/>
      <c r="BO7" s="988"/>
      <c r="BP7" s="988"/>
      <c r="BQ7" s="988"/>
      <c r="BR7" s="992"/>
      <c r="BS7" s="988"/>
      <c r="BT7" s="988"/>
      <c r="BU7" s="988"/>
      <c r="BV7" s="992"/>
      <c r="BW7" s="988"/>
      <c r="BX7" s="988"/>
      <c r="BY7" s="988"/>
      <c r="BZ7" s="992"/>
      <c r="CA7" s="988"/>
      <c r="CB7" s="988"/>
      <c r="CC7" s="988"/>
      <c r="CD7" s="992"/>
      <c r="CE7" s="988"/>
      <c r="CF7" s="988"/>
      <c r="CG7" s="988"/>
      <c r="CH7" s="992"/>
      <c r="CI7" s="988"/>
      <c r="CJ7" s="988"/>
      <c r="CK7" s="988"/>
      <c r="CL7" s="992"/>
      <c r="CM7" s="988"/>
      <c r="CN7" s="988"/>
      <c r="CO7" s="988"/>
      <c r="CP7" s="992"/>
      <c r="CQ7" s="988"/>
      <c r="CR7" s="988"/>
      <c r="CS7" s="988"/>
      <c r="CT7" s="992"/>
      <c r="CU7" s="988"/>
      <c r="CV7" s="988"/>
      <c r="CW7" s="988"/>
      <c r="CX7" s="992"/>
      <c r="CY7" s="988"/>
      <c r="CZ7" s="988"/>
      <c r="DA7" s="988"/>
      <c r="DB7" s="992"/>
      <c r="DC7" s="988"/>
      <c r="DD7" s="988"/>
      <c r="DE7" s="988"/>
      <c r="DF7" s="992"/>
      <c r="DG7" s="988"/>
      <c r="DH7" s="988"/>
      <c r="DI7" s="988"/>
      <c r="DJ7" s="992"/>
      <c r="DK7" s="988"/>
      <c r="DL7" s="988"/>
      <c r="DM7" s="988"/>
      <c r="DN7" s="992"/>
      <c r="DO7" s="988"/>
      <c r="DP7" s="988"/>
      <c r="DQ7" s="988"/>
      <c r="DR7" s="992"/>
      <c r="DS7" s="988"/>
      <c r="DT7" s="988"/>
      <c r="DU7" s="988"/>
      <c r="DV7" s="992"/>
      <c r="DW7" s="988"/>
      <c r="DX7" s="988"/>
      <c r="DY7" s="988"/>
      <c r="DZ7" s="992"/>
    </row>
    <row r="8" spans="1:130" x14ac:dyDescent="0.25">
      <c r="A8" s="2084"/>
      <c r="B8" s="991" t="s">
        <v>322</v>
      </c>
      <c r="C8" s="988"/>
      <c r="D8" s="988"/>
      <c r="E8" s="988"/>
      <c r="F8" s="992">
        <f t="shared" si="5"/>
        <v>0</v>
      </c>
      <c r="G8" s="988">
        <f t="shared" si="6"/>
        <v>0</v>
      </c>
      <c r="H8" s="988"/>
      <c r="I8" s="988"/>
      <c r="J8" s="992">
        <f t="shared" si="7"/>
        <v>0</v>
      </c>
      <c r="K8" s="988">
        <f t="shared" si="0"/>
        <v>0</v>
      </c>
      <c r="L8" s="988"/>
      <c r="M8" s="988"/>
      <c r="N8" s="992">
        <f t="shared" si="8"/>
        <v>0</v>
      </c>
      <c r="O8" s="988">
        <f t="shared" si="9"/>
        <v>0</v>
      </c>
      <c r="P8" s="988"/>
      <c r="Q8" s="988"/>
      <c r="R8" s="992">
        <f t="shared" si="10"/>
        <v>0</v>
      </c>
      <c r="S8" s="988">
        <f t="shared" si="11"/>
        <v>0</v>
      </c>
      <c r="T8" s="988"/>
      <c r="U8" s="988"/>
      <c r="V8" s="992">
        <f t="shared" si="12"/>
        <v>0</v>
      </c>
      <c r="W8" s="988">
        <f t="shared" si="13"/>
        <v>0</v>
      </c>
      <c r="X8" s="988"/>
      <c r="Y8" s="988"/>
      <c r="Z8" s="992">
        <f t="shared" si="14"/>
        <v>0</v>
      </c>
      <c r="AA8" s="988">
        <f t="shared" si="15"/>
        <v>0</v>
      </c>
      <c r="AB8" s="988"/>
      <c r="AC8" s="988"/>
      <c r="AD8" s="992">
        <f t="shared" si="16"/>
        <v>0</v>
      </c>
      <c r="AE8" s="988">
        <f t="shared" si="17"/>
        <v>0</v>
      </c>
      <c r="AF8" s="988"/>
      <c r="AG8" s="988"/>
      <c r="AH8" s="988">
        <f t="shared" si="18"/>
        <v>0</v>
      </c>
      <c r="AI8" s="988">
        <f t="shared" si="19"/>
        <v>0</v>
      </c>
      <c r="AJ8" s="988"/>
      <c r="AK8" s="988"/>
      <c r="AL8" s="992">
        <f t="shared" si="20"/>
        <v>0</v>
      </c>
      <c r="AM8" s="988">
        <f t="shared" si="21"/>
        <v>0</v>
      </c>
      <c r="AN8" s="988"/>
      <c r="AO8" s="988"/>
      <c r="AP8" s="992">
        <f t="shared" si="22"/>
        <v>0</v>
      </c>
      <c r="AQ8" s="988">
        <f t="shared" si="23"/>
        <v>0</v>
      </c>
      <c r="AR8" s="988"/>
      <c r="AS8" s="988"/>
      <c r="AT8" s="992">
        <f>AS8-AQ8-AR8</f>
        <v>0</v>
      </c>
      <c r="AU8" s="988">
        <f t="shared" si="25"/>
        <v>0</v>
      </c>
      <c r="AV8" s="988"/>
      <c r="AW8" s="990"/>
      <c r="AX8" s="992">
        <f t="shared" si="64"/>
        <v>0</v>
      </c>
      <c r="AY8" s="988">
        <f t="shared" si="26"/>
        <v>0</v>
      </c>
      <c r="AZ8" s="988"/>
      <c r="BA8" s="988"/>
      <c r="BB8" s="992">
        <f t="shared" si="27"/>
        <v>0</v>
      </c>
      <c r="BC8" s="988">
        <f t="shared" si="28"/>
        <v>0</v>
      </c>
      <c r="BD8" s="988"/>
      <c r="BE8" s="988"/>
      <c r="BF8" s="992">
        <f t="shared" si="29"/>
        <v>0</v>
      </c>
      <c r="BG8" s="988">
        <f t="shared" si="30"/>
        <v>0</v>
      </c>
      <c r="BH8" s="988"/>
      <c r="BI8" s="988"/>
      <c r="BJ8" s="992">
        <f t="shared" si="31"/>
        <v>0</v>
      </c>
      <c r="BK8" s="988">
        <f t="shared" si="32"/>
        <v>0</v>
      </c>
      <c r="BL8" s="988"/>
      <c r="BM8" s="988"/>
      <c r="BN8" s="992">
        <f t="shared" si="33"/>
        <v>0</v>
      </c>
      <c r="BO8" s="988">
        <f t="shared" si="34"/>
        <v>0</v>
      </c>
      <c r="BP8" s="988"/>
      <c r="BQ8" s="988"/>
      <c r="BR8" s="992">
        <f t="shared" si="35"/>
        <v>0</v>
      </c>
      <c r="BS8" s="988">
        <f t="shared" si="36"/>
        <v>0</v>
      </c>
      <c r="BT8" s="988"/>
      <c r="BU8" s="988"/>
      <c r="BV8" s="992">
        <f t="shared" si="37"/>
        <v>0</v>
      </c>
      <c r="BW8" s="988">
        <f t="shared" si="38"/>
        <v>0</v>
      </c>
      <c r="BX8" s="988"/>
      <c r="BY8" s="988"/>
      <c r="BZ8" s="992">
        <f t="shared" si="39"/>
        <v>0</v>
      </c>
      <c r="CA8" s="988">
        <f t="shared" si="40"/>
        <v>0</v>
      </c>
      <c r="CB8" s="988"/>
      <c r="CC8" s="988"/>
      <c r="CD8" s="992">
        <f t="shared" si="41"/>
        <v>0</v>
      </c>
      <c r="CE8" s="988">
        <f t="shared" si="42"/>
        <v>0</v>
      </c>
      <c r="CF8" s="988"/>
      <c r="CG8" s="988"/>
      <c r="CH8" s="992">
        <f t="shared" si="43"/>
        <v>0</v>
      </c>
      <c r="CI8" s="988">
        <f t="shared" si="44"/>
        <v>0</v>
      </c>
      <c r="CJ8" s="988"/>
      <c r="CK8" s="988"/>
      <c r="CL8" s="992">
        <f t="shared" si="45"/>
        <v>0</v>
      </c>
      <c r="CM8" s="988">
        <f t="shared" si="46"/>
        <v>0</v>
      </c>
      <c r="CN8" s="988"/>
      <c r="CO8" s="988"/>
      <c r="CP8" s="992">
        <f t="shared" si="47"/>
        <v>0</v>
      </c>
      <c r="CQ8" s="988">
        <f t="shared" si="48"/>
        <v>0</v>
      </c>
      <c r="CR8" s="988"/>
      <c r="CS8" s="988"/>
      <c r="CT8" s="992">
        <f t="shared" si="49"/>
        <v>0</v>
      </c>
      <c r="CU8" s="988">
        <f t="shared" si="50"/>
        <v>0</v>
      </c>
      <c r="CV8" s="988"/>
      <c r="CW8" s="988"/>
      <c r="CX8" s="992">
        <f t="shared" si="51"/>
        <v>0</v>
      </c>
      <c r="CY8" s="988">
        <f t="shared" si="52"/>
        <v>0</v>
      </c>
      <c r="CZ8" s="988"/>
      <c r="DA8" s="988"/>
      <c r="DB8" s="992">
        <f t="shared" si="53"/>
        <v>0</v>
      </c>
      <c r="DC8" s="988">
        <f t="shared" si="54"/>
        <v>0</v>
      </c>
      <c r="DD8" s="988"/>
      <c r="DE8" s="988"/>
      <c r="DF8" s="992">
        <f t="shared" si="55"/>
        <v>0</v>
      </c>
      <c r="DG8" s="988">
        <f t="shared" si="56"/>
        <v>0</v>
      </c>
      <c r="DH8" s="988"/>
      <c r="DI8" s="988"/>
      <c r="DJ8" s="992">
        <f t="shared" si="57"/>
        <v>0</v>
      </c>
      <c r="DK8" s="988">
        <f t="shared" si="1"/>
        <v>0</v>
      </c>
      <c r="DL8" s="988"/>
      <c r="DM8" s="988"/>
      <c r="DN8" s="992">
        <f t="shared" si="58"/>
        <v>0</v>
      </c>
      <c r="DO8" s="988">
        <f t="shared" si="2"/>
        <v>0</v>
      </c>
      <c r="DP8" s="988"/>
      <c r="DQ8" s="988"/>
      <c r="DR8" s="992">
        <f t="shared" si="59"/>
        <v>0</v>
      </c>
      <c r="DS8" s="988">
        <f t="shared" si="3"/>
        <v>0</v>
      </c>
      <c r="DT8" s="988"/>
      <c r="DU8" s="988"/>
      <c r="DV8" s="992">
        <f t="shared" si="60"/>
        <v>0</v>
      </c>
      <c r="DW8" s="988">
        <f t="shared" si="61"/>
        <v>0</v>
      </c>
      <c r="DX8" s="988">
        <f t="shared" si="4"/>
        <v>0</v>
      </c>
      <c r="DY8" s="988">
        <f t="shared" si="62"/>
        <v>0</v>
      </c>
      <c r="DZ8" s="992">
        <f t="shared" si="63"/>
        <v>0</v>
      </c>
    </row>
    <row r="9" spans="1:130" x14ac:dyDescent="0.25">
      <c r="A9" s="2084"/>
      <c r="B9" s="991" t="s">
        <v>323</v>
      </c>
      <c r="C9" s="988"/>
      <c r="D9" s="988"/>
      <c r="E9" s="988"/>
      <c r="F9" s="992">
        <f t="shared" si="5"/>
        <v>0</v>
      </c>
      <c r="G9" s="988">
        <f t="shared" si="6"/>
        <v>0</v>
      </c>
      <c r="H9" s="988"/>
      <c r="I9" s="988"/>
      <c r="J9" s="992">
        <f t="shared" si="7"/>
        <v>0</v>
      </c>
      <c r="K9" s="988">
        <f t="shared" si="0"/>
        <v>0</v>
      </c>
      <c r="L9" s="988"/>
      <c r="M9" s="988"/>
      <c r="N9" s="992">
        <f t="shared" si="8"/>
        <v>0</v>
      </c>
      <c r="O9" s="988">
        <f t="shared" si="9"/>
        <v>0</v>
      </c>
      <c r="P9" s="988"/>
      <c r="Q9" s="988"/>
      <c r="R9" s="992">
        <f t="shared" si="10"/>
        <v>0</v>
      </c>
      <c r="S9" s="988">
        <f t="shared" si="11"/>
        <v>0</v>
      </c>
      <c r="T9" s="988"/>
      <c r="U9" s="988"/>
      <c r="V9" s="992">
        <f t="shared" si="12"/>
        <v>0</v>
      </c>
      <c r="W9" s="988">
        <f t="shared" si="13"/>
        <v>0</v>
      </c>
      <c r="X9" s="988"/>
      <c r="Y9" s="988"/>
      <c r="Z9" s="992">
        <f t="shared" si="14"/>
        <v>0</v>
      </c>
      <c r="AA9" s="988">
        <f t="shared" si="15"/>
        <v>0</v>
      </c>
      <c r="AB9" s="988"/>
      <c r="AC9" s="988"/>
      <c r="AD9" s="992">
        <f t="shared" si="16"/>
        <v>0</v>
      </c>
      <c r="AE9" s="988">
        <f t="shared" si="17"/>
        <v>0</v>
      </c>
      <c r="AF9" s="988"/>
      <c r="AG9" s="988"/>
      <c r="AH9" s="988">
        <f t="shared" si="18"/>
        <v>0</v>
      </c>
      <c r="AI9" s="988">
        <f t="shared" si="19"/>
        <v>0</v>
      </c>
      <c r="AJ9" s="988"/>
      <c r="AK9" s="988"/>
      <c r="AL9" s="992">
        <f t="shared" si="20"/>
        <v>0</v>
      </c>
      <c r="AM9" s="988">
        <f t="shared" si="21"/>
        <v>0</v>
      </c>
      <c r="AN9" s="988"/>
      <c r="AO9" s="988"/>
      <c r="AP9" s="992">
        <f t="shared" si="22"/>
        <v>0</v>
      </c>
      <c r="AQ9" s="988">
        <f t="shared" si="23"/>
        <v>0</v>
      </c>
      <c r="AR9" s="988"/>
      <c r="AS9" s="988"/>
      <c r="AT9" s="992">
        <f t="shared" si="24"/>
        <v>0</v>
      </c>
      <c r="AU9" s="988">
        <f t="shared" si="25"/>
        <v>0</v>
      </c>
      <c r="AV9" s="988"/>
      <c r="AW9" s="990"/>
      <c r="AX9" s="992">
        <f t="shared" si="64"/>
        <v>0</v>
      </c>
      <c r="AY9" s="988">
        <f t="shared" si="26"/>
        <v>0</v>
      </c>
      <c r="AZ9" s="988"/>
      <c r="BA9" s="988"/>
      <c r="BB9" s="992">
        <f t="shared" si="27"/>
        <v>0</v>
      </c>
      <c r="BC9" s="988">
        <f t="shared" si="28"/>
        <v>0</v>
      </c>
      <c r="BD9" s="988"/>
      <c r="BE9" s="988"/>
      <c r="BF9" s="992">
        <f t="shared" si="29"/>
        <v>0</v>
      </c>
      <c r="BG9" s="988">
        <f t="shared" si="30"/>
        <v>0</v>
      </c>
      <c r="BH9" s="988"/>
      <c r="BI9" s="988"/>
      <c r="BJ9" s="992">
        <f t="shared" si="31"/>
        <v>0</v>
      </c>
      <c r="BK9" s="988">
        <f t="shared" si="32"/>
        <v>0</v>
      </c>
      <c r="BL9" s="988"/>
      <c r="BM9" s="988"/>
      <c r="BN9" s="992">
        <f t="shared" si="33"/>
        <v>0</v>
      </c>
      <c r="BO9" s="988">
        <f t="shared" si="34"/>
        <v>0</v>
      </c>
      <c r="BP9" s="988"/>
      <c r="BQ9" s="988"/>
      <c r="BR9" s="992">
        <f t="shared" si="35"/>
        <v>0</v>
      </c>
      <c r="BS9" s="988">
        <f t="shared" si="36"/>
        <v>0</v>
      </c>
      <c r="BT9" s="988"/>
      <c r="BU9" s="988"/>
      <c r="BV9" s="992">
        <f t="shared" si="37"/>
        <v>0</v>
      </c>
      <c r="BW9" s="988">
        <f t="shared" si="38"/>
        <v>0</v>
      </c>
      <c r="BX9" s="988"/>
      <c r="BY9" s="988"/>
      <c r="BZ9" s="992">
        <f t="shared" si="39"/>
        <v>0</v>
      </c>
      <c r="CA9" s="988">
        <f t="shared" si="40"/>
        <v>0</v>
      </c>
      <c r="CB9" s="988"/>
      <c r="CC9" s="988"/>
      <c r="CD9" s="992">
        <f t="shared" si="41"/>
        <v>0</v>
      </c>
      <c r="CE9" s="988">
        <f t="shared" si="42"/>
        <v>0</v>
      </c>
      <c r="CF9" s="988"/>
      <c r="CG9" s="988"/>
      <c r="CH9" s="992">
        <f t="shared" si="43"/>
        <v>0</v>
      </c>
      <c r="CI9" s="988">
        <f t="shared" si="44"/>
        <v>0</v>
      </c>
      <c r="CJ9" s="988"/>
      <c r="CK9" s="988"/>
      <c r="CL9" s="992">
        <f t="shared" si="45"/>
        <v>0</v>
      </c>
      <c r="CM9" s="988">
        <f t="shared" si="46"/>
        <v>0</v>
      </c>
      <c r="CN9" s="988"/>
      <c r="CO9" s="988"/>
      <c r="CP9" s="992">
        <f t="shared" si="47"/>
        <v>0</v>
      </c>
      <c r="CQ9" s="988">
        <f t="shared" si="48"/>
        <v>0</v>
      </c>
      <c r="CR9" s="988"/>
      <c r="CS9" s="988"/>
      <c r="CT9" s="992">
        <f t="shared" si="49"/>
        <v>0</v>
      </c>
      <c r="CU9" s="988">
        <f t="shared" si="50"/>
        <v>0</v>
      </c>
      <c r="CV9" s="988"/>
      <c r="CW9" s="988"/>
      <c r="CX9" s="992">
        <f t="shared" si="51"/>
        <v>0</v>
      </c>
      <c r="CY9" s="988">
        <f t="shared" si="52"/>
        <v>0</v>
      </c>
      <c r="CZ9" s="988"/>
      <c r="DA9" s="988"/>
      <c r="DB9" s="992">
        <f t="shared" si="53"/>
        <v>0</v>
      </c>
      <c r="DC9" s="988">
        <f t="shared" si="54"/>
        <v>0</v>
      </c>
      <c r="DD9" s="988"/>
      <c r="DE9" s="988"/>
      <c r="DF9" s="992">
        <f t="shared" si="55"/>
        <v>0</v>
      </c>
      <c r="DG9" s="988">
        <f t="shared" si="56"/>
        <v>0</v>
      </c>
      <c r="DH9" s="988"/>
      <c r="DI9" s="988"/>
      <c r="DJ9" s="992">
        <f t="shared" si="57"/>
        <v>0</v>
      </c>
      <c r="DK9" s="988">
        <f t="shared" si="1"/>
        <v>0</v>
      </c>
      <c r="DL9" s="988"/>
      <c r="DM9" s="988"/>
      <c r="DN9" s="992">
        <f t="shared" si="58"/>
        <v>0</v>
      </c>
      <c r="DO9" s="988">
        <f t="shared" si="2"/>
        <v>0</v>
      </c>
      <c r="DP9" s="988"/>
      <c r="DQ9" s="988"/>
      <c r="DR9" s="992">
        <f t="shared" si="59"/>
        <v>0</v>
      </c>
      <c r="DS9" s="988">
        <f t="shared" si="3"/>
        <v>0</v>
      </c>
      <c r="DT9" s="988"/>
      <c r="DU9" s="988"/>
      <c r="DV9" s="992">
        <f t="shared" si="60"/>
        <v>0</v>
      </c>
      <c r="DW9" s="988">
        <f t="shared" si="61"/>
        <v>0</v>
      </c>
      <c r="DX9" s="988">
        <f t="shared" si="4"/>
        <v>0</v>
      </c>
      <c r="DY9" s="988">
        <f t="shared" si="62"/>
        <v>0</v>
      </c>
      <c r="DZ9" s="992">
        <f t="shared" si="63"/>
        <v>0</v>
      </c>
    </row>
    <row r="10" spans="1:130" x14ac:dyDescent="0.25">
      <c r="A10" s="2084"/>
      <c r="B10" s="991" t="s">
        <v>324</v>
      </c>
      <c r="C10" s="988">
        <v>762732</v>
      </c>
      <c r="D10" s="988"/>
      <c r="E10" s="988">
        <v>762890</v>
      </c>
      <c r="F10" s="992">
        <f t="shared" si="5"/>
        <v>158</v>
      </c>
      <c r="G10" s="988">
        <f t="shared" si="6"/>
        <v>762890</v>
      </c>
      <c r="H10" s="988"/>
      <c r="I10" s="988">
        <v>763132</v>
      </c>
      <c r="J10" s="992">
        <f t="shared" si="7"/>
        <v>242</v>
      </c>
      <c r="K10" s="988">
        <f t="shared" si="0"/>
        <v>763132</v>
      </c>
      <c r="L10" s="988"/>
      <c r="M10" s="988">
        <v>763241</v>
      </c>
      <c r="N10" s="992">
        <f t="shared" si="8"/>
        <v>109</v>
      </c>
      <c r="O10" s="988">
        <f t="shared" si="9"/>
        <v>763241</v>
      </c>
      <c r="P10" s="988"/>
      <c r="Q10" s="988">
        <v>763645</v>
      </c>
      <c r="R10" s="992">
        <f t="shared" si="10"/>
        <v>404</v>
      </c>
      <c r="S10" s="988">
        <f t="shared" si="11"/>
        <v>763645</v>
      </c>
      <c r="T10" s="988"/>
      <c r="U10" s="988">
        <v>763795</v>
      </c>
      <c r="V10" s="992">
        <f t="shared" si="12"/>
        <v>150</v>
      </c>
      <c r="W10" s="988">
        <f t="shared" si="13"/>
        <v>763795</v>
      </c>
      <c r="X10" s="988"/>
      <c r="Y10" s="988">
        <v>764032</v>
      </c>
      <c r="Z10" s="992">
        <f t="shared" si="14"/>
        <v>237</v>
      </c>
      <c r="AA10" s="988">
        <f t="shared" si="15"/>
        <v>764032</v>
      </c>
      <c r="AB10" s="988"/>
      <c r="AC10" s="988">
        <v>764253</v>
      </c>
      <c r="AD10" s="992">
        <f t="shared" si="16"/>
        <v>221</v>
      </c>
      <c r="AE10" s="988">
        <f t="shared" si="17"/>
        <v>764253</v>
      </c>
      <c r="AF10" s="988"/>
      <c r="AG10" s="988">
        <v>764295</v>
      </c>
      <c r="AH10" s="988">
        <f t="shared" si="18"/>
        <v>42</v>
      </c>
      <c r="AI10" s="988">
        <f t="shared" si="19"/>
        <v>764295</v>
      </c>
      <c r="AJ10" s="988"/>
      <c r="AK10" s="988">
        <v>764411</v>
      </c>
      <c r="AL10" s="992">
        <f t="shared" si="20"/>
        <v>116</v>
      </c>
      <c r="AM10" s="988">
        <f t="shared" si="21"/>
        <v>764411</v>
      </c>
      <c r="AN10" s="988"/>
      <c r="AO10" s="988">
        <v>764746</v>
      </c>
      <c r="AP10" s="992">
        <f t="shared" si="22"/>
        <v>335</v>
      </c>
      <c r="AQ10" s="988">
        <f t="shared" si="23"/>
        <v>764746</v>
      </c>
      <c r="AR10" s="988"/>
      <c r="AS10" s="988">
        <v>764904</v>
      </c>
      <c r="AT10" s="992">
        <f t="shared" si="24"/>
        <v>158</v>
      </c>
      <c r="AU10" s="988">
        <f t="shared" si="25"/>
        <v>764904</v>
      </c>
      <c r="AV10" s="988"/>
      <c r="AW10" s="990">
        <v>764955</v>
      </c>
      <c r="AX10" s="992">
        <f t="shared" si="64"/>
        <v>51</v>
      </c>
      <c r="AY10" s="988">
        <f t="shared" si="26"/>
        <v>764955</v>
      </c>
      <c r="AZ10" s="988"/>
      <c r="BA10" s="988">
        <v>765272</v>
      </c>
      <c r="BB10" s="992">
        <f t="shared" si="27"/>
        <v>317</v>
      </c>
      <c r="BC10" s="988">
        <f t="shared" si="28"/>
        <v>765272</v>
      </c>
      <c r="BD10" s="988"/>
      <c r="BE10" s="988"/>
      <c r="BF10" s="992">
        <f t="shared" si="29"/>
        <v>-765272</v>
      </c>
      <c r="BG10" s="988">
        <f t="shared" si="30"/>
        <v>0</v>
      </c>
      <c r="BH10" s="988"/>
      <c r="BI10" s="988">
        <v>1253623</v>
      </c>
      <c r="BJ10" s="992">
        <f t="shared" si="31"/>
        <v>1253623</v>
      </c>
      <c r="BK10" s="988">
        <f t="shared" si="32"/>
        <v>1253623</v>
      </c>
      <c r="BL10" s="988">
        <v>20</v>
      </c>
      <c r="BM10" s="988">
        <v>1254945</v>
      </c>
      <c r="BN10" s="711">
        <f t="shared" si="33"/>
        <v>1302</v>
      </c>
      <c r="BO10" s="988">
        <f t="shared" si="34"/>
        <v>1254945</v>
      </c>
      <c r="BP10" s="988"/>
      <c r="BQ10" s="988">
        <v>1255568</v>
      </c>
      <c r="BR10" s="992">
        <f t="shared" si="35"/>
        <v>623</v>
      </c>
      <c r="BS10" s="988">
        <f t="shared" si="36"/>
        <v>1255568</v>
      </c>
      <c r="BT10" s="988"/>
      <c r="BU10" s="988">
        <v>1256134</v>
      </c>
      <c r="BV10" s="992">
        <f t="shared" si="37"/>
        <v>566</v>
      </c>
      <c r="BW10" s="988">
        <f t="shared" si="38"/>
        <v>1256134</v>
      </c>
      <c r="BX10" s="988"/>
      <c r="BY10" s="988">
        <v>1256901</v>
      </c>
      <c r="BZ10" s="992">
        <f t="shared" si="39"/>
        <v>767</v>
      </c>
      <c r="CA10" s="988">
        <f t="shared" si="40"/>
        <v>1256901</v>
      </c>
      <c r="CB10" s="988"/>
      <c r="CC10" s="988">
        <v>1259312</v>
      </c>
      <c r="CD10" s="992">
        <f t="shared" si="41"/>
        <v>2411</v>
      </c>
      <c r="CE10" s="988">
        <f t="shared" si="42"/>
        <v>1259312</v>
      </c>
      <c r="CF10" s="988"/>
      <c r="CG10" s="988">
        <v>1260316</v>
      </c>
      <c r="CH10" s="992">
        <f t="shared" si="43"/>
        <v>1004</v>
      </c>
      <c r="CI10" s="988">
        <f t="shared" si="44"/>
        <v>1260316</v>
      </c>
      <c r="CJ10" s="988"/>
      <c r="CK10" s="988">
        <v>1262425</v>
      </c>
      <c r="CL10" s="992">
        <f t="shared" si="45"/>
        <v>2109</v>
      </c>
      <c r="CM10" s="988">
        <f t="shared" si="46"/>
        <v>1262425</v>
      </c>
      <c r="CN10" s="988"/>
      <c r="CO10" s="988">
        <v>1263138</v>
      </c>
      <c r="CP10" s="992">
        <f t="shared" si="47"/>
        <v>713</v>
      </c>
      <c r="CQ10" s="988">
        <f t="shared" si="48"/>
        <v>1263138</v>
      </c>
      <c r="CR10" s="988"/>
      <c r="CS10" s="988">
        <v>1263792</v>
      </c>
      <c r="CT10" s="992">
        <f t="shared" si="49"/>
        <v>654</v>
      </c>
      <c r="CU10" s="988">
        <f t="shared" si="50"/>
        <v>1263792</v>
      </c>
      <c r="CV10" s="988"/>
      <c r="CW10" s="988">
        <v>1264713</v>
      </c>
      <c r="CX10" s="992">
        <f t="shared" si="51"/>
        <v>921</v>
      </c>
      <c r="CY10" s="988">
        <f t="shared" si="52"/>
        <v>1264713</v>
      </c>
      <c r="CZ10" s="988">
        <v>30</v>
      </c>
      <c r="DA10" s="988">
        <v>1265558</v>
      </c>
      <c r="DB10" s="992">
        <f t="shared" si="53"/>
        <v>815</v>
      </c>
      <c r="DC10" s="988">
        <f t="shared" si="54"/>
        <v>1265558</v>
      </c>
      <c r="DD10" s="988"/>
      <c r="DE10" s="988">
        <v>1267230</v>
      </c>
      <c r="DF10" s="992">
        <f t="shared" si="55"/>
        <v>1672</v>
      </c>
      <c r="DG10" s="988">
        <f t="shared" si="56"/>
        <v>1267230</v>
      </c>
      <c r="DH10" s="988"/>
      <c r="DI10" s="988">
        <v>1268718</v>
      </c>
      <c r="DJ10" s="992">
        <f t="shared" si="57"/>
        <v>1488</v>
      </c>
      <c r="DK10" s="988">
        <f t="shared" si="1"/>
        <v>1268718</v>
      </c>
      <c r="DL10" s="988"/>
      <c r="DM10" s="988">
        <v>1270968</v>
      </c>
      <c r="DN10" s="992">
        <f t="shared" si="58"/>
        <v>2250</v>
      </c>
      <c r="DO10" s="988">
        <f t="shared" si="2"/>
        <v>1270968</v>
      </c>
      <c r="DP10" s="988"/>
      <c r="DQ10" s="988">
        <v>1272836</v>
      </c>
      <c r="DR10" s="992">
        <f t="shared" si="59"/>
        <v>1868</v>
      </c>
      <c r="DS10" s="988">
        <f t="shared" si="3"/>
        <v>1272836</v>
      </c>
      <c r="DT10" s="988"/>
      <c r="DU10" s="988"/>
      <c r="DV10" s="992">
        <f t="shared" si="60"/>
        <v>-1272836</v>
      </c>
      <c r="DW10" s="988">
        <f t="shared" si="61"/>
        <v>764904</v>
      </c>
      <c r="DX10" s="988">
        <f t="shared" si="4"/>
        <v>50</v>
      </c>
      <c r="DY10" s="988">
        <f t="shared" si="62"/>
        <v>0</v>
      </c>
      <c r="DZ10" s="992">
        <f t="shared" si="63"/>
        <v>-764954</v>
      </c>
    </row>
    <row r="11" spans="1:130" x14ac:dyDescent="0.25">
      <c r="A11" s="2084"/>
      <c r="B11" s="991" t="s">
        <v>325</v>
      </c>
      <c r="C11" s="988">
        <v>498099</v>
      </c>
      <c r="D11" s="988"/>
      <c r="E11" s="988">
        <v>498102</v>
      </c>
      <c r="F11" s="992">
        <f t="shared" si="5"/>
        <v>3</v>
      </c>
      <c r="G11" s="988">
        <f t="shared" si="6"/>
        <v>498102</v>
      </c>
      <c r="H11" s="988"/>
      <c r="I11" s="988">
        <v>498187</v>
      </c>
      <c r="J11" s="992">
        <f t="shared" si="7"/>
        <v>85</v>
      </c>
      <c r="K11" s="988">
        <f t="shared" si="0"/>
        <v>498187</v>
      </c>
      <c r="L11" s="988"/>
      <c r="M11" s="988">
        <v>498207</v>
      </c>
      <c r="N11" s="992">
        <f t="shared" si="8"/>
        <v>20</v>
      </c>
      <c r="O11" s="988">
        <f t="shared" si="9"/>
        <v>498207</v>
      </c>
      <c r="P11" s="988"/>
      <c r="Q11" s="988">
        <v>498441</v>
      </c>
      <c r="R11" s="992">
        <f t="shared" si="10"/>
        <v>234</v>
      </c>
      <c r="S11" s="988">
        <f t="shared" si="11"/>
        <v>498441</v>
      </c>
      <c r="T11" s="988"/>
      <c r="U11" s="988">
        <v>498542</v>
      </c>
      <c r="V11" s="992">
        <f t="shared" si="12"/>
        <v>101</v>
      </c>
      <c r="W11" s="988">
        <f t="shared" si="13"/>
        <v>498542</v>
      </c>
      <c r="X11" s="988"/>
      <c r="Y11" s="988">
        <v>498841</v>
      </c>
      <c r="Z11" s="992">
        <f t="shared" si="14"/>
        <v>299</v>
      </c>
      <c r="AA11" s="988">
        <f t="shared" si="15"/>
        <v>498841</v>
      </c>
      <c r="AB11" s="988"/>
      <c r="AC11" s="988">
        <v>498949</v>
      </c>
      <c r="AD11" s="992">
        <f t="shared" si="16"/>
        <v>108</v>
      </c>
      <c r="AE11" s="988">
        <f t="shared" si="17"/>
        <v>498949</v>
      </c>
      <c r="AF11" s="988"/>
      <c r="AG11" s="988">
        <v>499070</v>
      </c>
      <c r="AH11" s="988">
        <f t="shared" si="18"/>
        <v>121</v>
      </c>
      <c r="AI11" s="988">
        <f t="shared" si="19"/>
        <v>499070</v>
      </c>
      <c r="AJ11" s="988"/>
      <c r="AK11" s="988">
        <v>499085</v>
      </c>
      <c r="AL11" s="992">
        <f t="shared" si="20"/>
        <v>15</v>
      </c>
      <c r="AM11" s="988">
        <f t="shared" si="21"/>
        <v>499085</v>
      </c>
      <c r="AN11" s="988"/>
      <c r="AO11" s="988">
        <v>499097</v>
      </c>
      <c r="AP11" s="992">
        <f t="shared" si="22"/>
        <v>12</v>
      </c>
      <c r="AQ11" s="988">
        <f t="shared" si="23"/>
        <v>499097</v>
      </c>
      <c r="AR11" s="988"/>
      <c r="AS11" s="988">
        <v>499255</v>
      </c>
      <c r="AT11" s="992">
        <f t="shared" si="24"/>
        <v>158</v>
      </c>
      <c r="AU11" s="988">
        <f t="shared" si="25"/>
        <v>499255</v>
      </c>
      <c r="AV11" s="988"/>
      <c r="AW11" s="988">
        <v>499438</v>
      </c>
      <c r="AX11" s="992">
        <f t="shared" si="64"/>
        <v>183</v>
      </c>
      <c r="AY11" s="988">
        <f t="shared" si="26"/>
        <v>499438</v>
      </c>
      <c r="AZ11" s="988"/>
      <c r="BA11" s="988">
        <v>499670</v>
      </c>
      <c r="BB11" s="992">
        <f t="shared" si="27"/>
        <v>232</v>
      </c>
      <c r="BC11" s="988">
        <f t="shared" si="28"/>
        <v>499670</v>
      </c>
      <c r="BD11" s="988"/>
      <c r="BE11" s="988"/>
      <c r="BF11" s="992">
        <f t="shared" si="29"/>
        <v>-499670</v>
      </c>
      <c r="BG11" s="988">
        <f t="shared" si="30"/>
        <v>0</v>
      </c>
      <c r="BH11" s="988"/>
      <c r="BI11" s="988">
        <v>709567</v>
      </c>
      <c r="BJ11" s="992">
        <f t="shared" si="31"/>
        <v>709567</v>
      </c>
      <c r="BK11" s="988">
        <f t="shared" si="32"/>
        <v>709567</v>
      </c>
      <c r="BL11" s="988">
        <v>20</v>
      </c>
      <c r="BM11" s="988">
        <v>710481</v>
      </c>
      <c r="BN11" s="992">
        <f t="shared" si="33"/>
        <v>894</v>
      </c>
      <c r="BO11" s="988">
        <f t="shared" si="34"/>
        <v>710481</v>
      </c>
      <c r="BP11" s="988"/>
      <c r="BQ11" s="988">
        <v>711610</v>
      </c>
      <c r="BR11" s="992">
        <f t="shared" si="35"/>
        <v>1129</v>
      </c>
      <c r="BS11" s="988">
        <f t="shared" si="36"/>
        <v>711610</v>
      </c>
      <c r="BT11" s="988"/>
      <c r="BU11" s="988">
        <v>712357</v>
      </c>
      <c r="BV11" s="992">
        <f t="shared" si="37"/>
        <v>747</v>
      </c>
      <c r="BW11" s="988">
        <f t="shared" si="38"/>
        <v>712357</v>
      </c>
      <c r="BX11" s="988"/>
      <c r="BY11" s="988">
        <v>712912</v>
      </c>
      <c r="BZ11" s="992">
        <f t="shared" si="39"/>
        <v>555</v>
      </c>
      <c r="CA11" s="988">
        <f t="shared" si="40"/>
        <v>712912</v>
      </c>
      <c r="CB11" s="988"/>
      <c r="CC11" s="988">
        <v>713741</v>
      </c>
      <c r="CD11" s="992">
        <f t="shared" si="41"/>
        <v>829</v>
      </c>
      <c r="CE11" s="988">
        <f t="shared" si="42"/>
        <v>713741</v>
      </c>
      <c r="CF11" s="988"/>
      <c r="CG11" s="988">
        <v>714602</v>
      </c>
      <c r="CH11" s="992">
        <f t="shared" si="43"/>
        <v>861</v>
      </c>
      <c r="CI11" s="988">
        <f t="shared" si="44"/>
        <v>714602</v>
      </c>
      <c r="CJ11" s="988"/>
      <c r="CK11" s="988">
        <v>715144</v>
      </c>
      <c r="CL11" s="992">
        <f t="shared" si="45"/>
        <v>542</v>
      </c>
      <c r="CM11" s="988">
        <f t="shared" si="46"/>
        <v>715144</v>
      </c>
      <c r="CN11" s="988"/>
      <c r="CO11" s="988">
        <v>715760</v>
      </c>
      <c r="CP11" s="992">
        <f t="shared" si="47"/>
        <v>616</v>
      </c>
      <c r="CQ11" s="988">
        <f t="shared" si="48"/>
        <v>715760</v>
      </c>
      <c r="CR11" s="988"/>
      <c r="CS11" s="988">
        <v>716680</v>
      </c>
      <c r="CT11" s="992">
        <f t="shared" si="49"/>
        <v>920</v>
      </c>
      <c r="CU11" s="988">
        <f t="shared" si="50"/>
        <v>716680</v>
      </c>
      <c r="CV11" s="988"/>
      <c r="CW11" s="988">
        <v>717295</v>
      </c>
      <c r="CX11" s="992">
        <f t="shared" si="51"/>
        <v>615</v>
      </c>
      <c r="CY11" s="988">
        <f t="shared" si="52"/>
        <v>717295</v>
      </c>
      <c r="CZ11" s="988">
        <v>30</v>
      </c>
      <c r="DA11" s="988">
        <v>718028</v>
      </c>
      <c r="DB11" s="992">
        <f t="shared" si="53"/>
        <v>703</v>
      </c>
      <c r="DC11" s="988">
        <f t="shared" si="54"/>
        <v>718028</v>
      </c>
      <c r="DD11" s="988"/>
      <c r="DE11" s="988">
        <v>718964</v>
      </c>
      <c r="DF11" s="992">
        <f t="shared" si="55"/>
        <v>936</v>
      </c>
      <c r="DG11" s="988">
        <f t="shared" si="56"/>
        <v>718964</v>
      </c>
      <c r="DH11" s="988"/>
      <c r="DI11" s="988">
        <v>719760</v>
      </c>
      <c r="DJ11" s="992">
        <f t="shared" si="57"/>
        <v>796</v>
      </c>
      <c r="DK11" s="988">
        <f t="shared" si="1"/>
        <v>719760</v>
      </c>
      <c r="DL11" s="988"/>
      <c r="DM11" s="988">
        <v>720755</v>
      </c>
      <c r="DN11" s="992">
        <f t="shared" si="58"/>
        <v>995</v>
      </c>
      <c r="DO11" s="988">
        <f t="shared" si="2"/>
        <v>720755</v>
      </c>
      <c r="DP11" s="988"/>
      <c r="DQ11" s="988">
        <v>721956</v>
      </c>
      <c r="DR11" s="992">
        <f t="shared" si="59"/>
        <v>1201</v>
      </c>
      <c r="DS11" s="988">
        <f t="shared" si="3"/>
        <v>721956</v>
      </c>
      <c r="DT11" s="988"/>
      <c r="DU11" s="988"/>
      <c r="DV11" s="992">
        <f t="shared" si="60"/>
        <v>-721956</v>
      </c>
      <c r="DW11" s="988">
        <f t="shared" si="61"/>
        <v>499255</v>
      </c>
      <c r="DX11" s="988">
        <f t="shared" si="4"/>
        <v>50</v>
      </c>
      <c r="DY11" s="988">
        <f t="shared" si="62"/>
        <v>0</v>
      </c>
      <c r="DZ11" s="992">
        <f t="shared" si="63"/>
        <v>-499305</v>
      </c>
    </row>
    <row r="12" spans="1:130" x14ac:dyDescent="0.25">
      <c r="A12" s="2084"/>
      <c r="B12" s="991" t="s">
        <v>326</v>
      </c>
      <c r="C12" s="988">
        <v>2138729</v>
      </c>
      <c r="D12" s="988"/>
      <c r="E12" s="988">
        <v>2139076</v>
      </c>
      <c r="F12" s="992">
        <f t="shared" si="5"/>
        <v>347</v>
      </c>
      <c r="G12" s="988">
        <f t="shared" si="6"/>
        <v>2139076</v>
      </c>
      <c r="H12" s="988"/>
      <c r="I12" s="988">
        <v>2139521</v>
      </c>
      <c r="J12" s="992">
        <f t="shared" si="7"/>
        <v>445</v>
      </c>
      <c r="K12" s="988">
        <f t="shared" si="0"/>
        <v>2139521</v>
      </c>
      <c r="L12" s="988"/>
      <c r="M12" s="988">
        <v>2139819</v>
      </c>
      <c r="N12" s="992">
        <f t="shared" si="8"/>
        <v>298</v>
      </c>
      <c r="O12" s="988">
        <f t="shared" si="9"/>
        <v>2139819</v>
      </c>
      <c r="P12" s="988"/>
      <c r="Q12" s="988">
        <v>2140452</v>
      </c>
      <c r="R12" s="992">
        <f t="shared" si="10"/>
        <v>633</v>
      </c>
      <c r="S12" s="988">
        <f t="shared" si="11"/>
        <v>2140452</v>
      </c>
      <c r="T12" s="988"/>
      <c r="U12" s="988">
        <v>2141249</v>
      </c>
      <c r="V12" s="992">
        <f t="shared" si="12"/>
        <v>797</v>
      </c>
      <c r="W12" s="988">
        <f t="shared" si="13"/>
        <v>2141249</v>
      </c>
      <c r="X12" s="988"/>
      <c r="Y12" s="988">
        <v>2141772</v>
      </c>
      <c r="Z12" s="992">
        <f t="shared" si="14"/>
        <v>523</v>
      </c>
      <c r="AA12" s="988">
        <f t="shared" si="15"/>
        <v>2141772</v>
      </c>
      <c r="AB12" s="988"/>
      <c r="AC12" s="988">
        <v>2142465</v>
      </c>
      <c r="AD12" s="992">
        <f t="shared" si="16"/>
        <v>693</v>
      </c>
      <c r="AE12" s="988">
        <f t="shared" si="17"/>
        <v>2142465</v>
      </c>
      <c r="AF12" s="988"/>
      <c r="AG12" s="988">
        <v>2142973</v>
      </c>
      <c r="AH12" s="988">
        <f t="shared" si="18"/>
        <v>508</v>
      </c>
      <c r="AI12" s="988">
        <f t="shared" si="19"/>
        <v>2142973</v>
      </c>
      <c r="AJ12" s="988"/>
      <c r="AK12" s="988">
        <v>2143315</v>
      </c>
      <c r="AL12" s="992">
        <f t="shared" si="20"/>
        <v>342</v>
      </c>
      <c r="AM12" s="988">
        <f t="shared" si="21"/>
        <v>2143315</v>
      </c>
      <c r="AN12" s="988"/>
      <c r="AO12" s="988">
        <v>2143865</v>
      </c>
      <c r="AP12" s="992">
        <f t="shared" si="22"/>
        <v>550</v>
      </c>
      <c r="AQ12" s="988">
        <f t="shared" si="23"/>
        <v>2143865</v>
      </c>
      <c r="AR12" s="988"/>
      <c r="AS12" s="988">
        <v>2144260</v>
      </c>
      <c r="AT12" s="992">
        <f t="shared" si="24"/>
        <v>395</v>
      </c>
      <c r="AU12" s="988">
        <f t="shared" si="25"/>
        <v>2144260</v>
      </c>
      <c r="AV12" s="988"/>
      <c r="AW12" s="988">
        <v>2144765</v>
      </c>
      <c r="AX12" s="992">
        <f t="shared" si="64"/>
        <v>505</v>
      </c>
      <c r="AY12" s="988">
        <f t="shared" si="26"/>
        <v>2144765</v>
      </c>
      <c r="AZ12" s="988"/>
      <c r="BA12" s="988">
        <v>2144919</v>
      </c>
      <c r="BB12" s="992">
        <f t="shared" si="27"/>
        <v>154</v>
      </c>
      <c r="BC12" s="988">
        <f t="shared" si="28"/>
        <v>2144919</v>
      </c>
      <c r="BD12" s="988"/>
      <c r="BE12" s="988"/>
      <c r="BF12" s="992">
        <f t="shared" si="29"/>
        <v>-2144919</v>
      </c>
      <c r="BG12" s="988">
        <f t="shared" si="30"/>
        <v>0</v>
      </c>
      <c r="BH12" s="988"/>
      <c r="BI12" s="988">
        <v>902224</v>
      </c>
      <c r="BJ12" s="992">
        <f t="shared" si="31"/>
        <v>902224</v>
      </c>
      <c r="BK12" s="988">
        <f t="shared" si="32"/>
        <v>902224</v>
      </c>
      <c r="BL12" s="988">
        <v>20</v>
      </c>
      <c r="BM12" s="988">
        <v>902266</v>
      </c>
      <c r="BN12" s="992">
        <f t="shared" si="33"/>
        <v>22</v>
      </c>
      <c r="BO12" s="988">
        <f t="shared" si="34"/>
        <v>902266</v>
      </c>
      <c r="BP12" s="988"/>
      <c r="BQ12" s="988">
        <v>902347</v>
      </c>
      <c r="BR12" s="992">
        <f t="shared" si="35"/>
        <v>81</v>
      </c>
      <c r="BS12" s="988">
        <f t="shared" si="36"/>
        <v>902347</v>
      </c>
      <c r="BT12" s="988"/>
      <c r="BU12" s="988">
        <v>902535</v>
      </c>
      <c r="BV12" s="992">
        <f t="shared" si="37"/>
        <v>188</v>
      </c>
      <c r="BW12" s="988">
        <f t="shared" si="38"/>
        <v>902535</v>
      </c>
      <c r="BX12" s="988"/>
      <c r="BY12" s="988">
        <v>902554</v>
      </c>
      <c r="BZ12" s="992">
        <f t="shared" si="39"/>
        <v>19</v>
      </c>
      <c r="CA12" s="988">
        <f t="shared" si="40"/>
        <v>902554</v>
      </c>
      <c r="CB12" s="988"/>
      <c r="CC12" s="988">
        <v>903119</v>
      </c>
      <c r="CD12" s="992">
        <f t="shared" si="41"/>
        <v>565</v>
      </c>
      <c r="CE12" s="988">
        <f t="shared" si="42"/>
        <v>903119</v>
      </c>
      <c r="CF12" s="988"/>
      <c r="CG12" s="988">
        <v>903191</v>
      </c>
      <c r="CH12" s="992">
        <f t="shared" si="43"/>
        <v>72</v>
      </c>
      <c r="CI12" s="988">
        <f t="shared" si="44"/>
        <v>903191</v>
      </c>
      <c r="CJ12" s="988"/>
      <c r="CK12" s="988">
        <v>903308</v>
      </c>
      <c r="CL12" s="992">
        <f t="shared" si="45"/>
        <v>117</v>
      </c>
      <c r="CM12" s="988">
        <f t="shared" si="46"/>
        <v>903308</v>
      </c>
      <c r="CN12" s="988"/>
      <c r="CO12" s="988">
        <v>903376</v>
      </c>
      <c r="CP12" s="992">
        <f t="shared" si="47"/>
        <v>68</v>
      </c>
      <c r="CQ12" s="988">
        <f t="shared" si="48"/>
        <v>903376</v>
      </c>
      <c r="CR12" s="988"/>
      <c r="CS12" s="988">
        <v>903409</v>
      </c>
      <c r="CT12" s="992">
        <f t="shared" si="49"/>
        <v>33</v>
      </c>
      <c r="CU12" s="988">
        <f t="shared" si="50"/>
        <v>903409</v>
      </c>
      <c r="CV12" s="988"/>
      <c r="CW12" s="988">
        <v>903523</v>
      </c>
      <c r="CX12" s="992">
        <f t="shared" si="51"/>
        <v>114</v>
      </c>
      <c r="CY12" s="988">
        <f t="shared" si="52"/>
        <v>903523</v>
      </c>
      <c r="CZ12" s="988">
        <v>30</v>
      </c>
      <c r="DA12" s="988">
        <v>903725</v>
      </c>
      <c r="DB12" s="992">
        <f t="shared" si="53"/>
        <v>172</v>
      </c>
      <c r="DC12" s="988">
        <f t="shared" si="54"/>
        <v>903725</v>
      </c>
      <c r="DD12" s="988"/>
      <c r="DE12" s="988">
        <v>903787</v>
      </c>
      <c r="DF12" s="992">
        <f t="shared" si="55"/>
        <v>62</v>
      </c>
      <c r="DG12" s="988">
        <f t="shared" si="56"/>
        <v>903787</v>
      </c>
      <c r="DH12" s="988"/>
      <c r="DI12" s="988">
        <v>903937</v>
      </c>
      <c r="DJ12" s="992">
        <f t="shared" si="57"/>
        <v>150</v>
      </c>
      <c r="DK12" s="988">
        <f t="shared" si="1"/>
        <v>903937</v>
      </c>
      <c r="DL12" s="988"/>
      <c r="DM12" s="988">
        <v>904074</v>
      </c>
      <c r="DN12" s="992">
        <f t="shared" si="58"/>
        <v>137</v>
      </c>
      <c r="DO12" s="988">
        <f t="shared" si="2"/>
        <v>904074</v>
      </c>
      <c r="DP12" s="988"/>
      <c r="DQ12" s="988">
        <v>904214</v>
      </c>
      <c r="DR12" s="992">
        <f t="shared" si="59"/>
        <v>140</v>
      </c>
      <c r="DS12" s="988">
        <f t="shared" si="3"/>
        <v>904214</v>
      </c>
      <c r="DT12" s="988"/>
      <c r="DU12" s="988"/>
      <c r="DV12" s="992">
        <f t="shared" si="60"/>
        <v>-904214</v>
      </c>
      <c r="DW12" s="988">
        <f t="shared" si="61"/>
        <v>2144260</v>
      </c>
      <c r="DX12" s="988">
        <f t="shared" si="4"/>
        <v>50</v>
      </c>
      <c r="DY12" s="988">
        <f t="shared" si="62"/>
        <v>0</v>
      </c>
      <c r="DZ12" s="992">
        <f t="shared" si="63"/>
        <v>-2144310</v>
      </c>
    </row>
    <row r="13" spans="1:130" x14ac:dyDescent="0.25">
      <c r="A13" s="2084"/>
      <c r="B13" s="991" t="s">
        <v>327</v>
      </c>
      <c r="C13" s="988"/>
      <c r="D13" s="988"/>
      <c r="E13" s="988"/>
      <c r="F13" s="992">
        <f t="shared" si="5"/>
        <v>0</v>
      </c>
      <c r="G13" s="988">
        <f t="shared" si="6"/>
        <v>0</v>
      </c>
      <c r="H13" s="988"/>
      <c r="I13" s="988"/>
      <c r="J13" s="992"/>
      <c r="K13" s="988"/>
      <c r="L13" s="988"/>
      <c r="M13" s="988"/>
      <c r="N13" s="992"/>
      <c r="O13" s="988"/>
      <c r="P13" s="988"/>
      <c r="Q13" s="988"/>
      <c r="R13" s="992"/>
      <c r="S13" s="988"/>
      <c r="T13" s="988"/>
      <c r="U13" s="988"/>
      <c r="V13" s="992"/>
      <c r="W13" s="988"/>
      <c r="X13" s="988"/>
      <c r="Y13" s="988"/>
      <c r="Z13" s="992"/>
      <c r="AA13" s="988"/>
      <c r="AB13" s="988"/>
      <c r="AC13" s="988"/>
      <c r="AD13" s="992"/>
      <c r="AE13" s="988"/>
      <c r="AF13" s="988"/>
      <c r="AG13" s="988"/>
      <c r="AH13" s="988"/>
      <c r="AI13" s="988"/>
      <c r="AJ13" s="988"/>
      <c r="AK13" s="988"/>
      <c r="AL13" s="992"/>
      <c r="AM13" s="988"/>
      <c r="AN13" s="988"/>
      <c r="AO13" s="988"/>
      <c r="AP13" s="992"/>
      <c r="AQ13" s="988"/>
      <c r="AR13" s="988"/>
      <c r="AS13" s="988"/>
      <c r="AT13" s="992"/>
      <c r="AU13" s="988"/>
      <c r="AV13" s="988"/>
      <c r="AW13" s="988"/>
      <c r="AX13" s="992"/>
      <c r="AY13" s="988"/>
      <c r="AZ13" s="988"/>
      <c r="BA13" s="988"/>
      <c r="BB13" s="992"/>
      <c r="BC13" s="988"/>
      <c r="BD13" s="988"/>
      <c r="BE13" s="988"/>
      <c r="BF13" s="992"/>
      <c r="BG13" s="988"/>
      <c r="BH13" s="988"/>
      <c r="BI13" s="988"/>
      <c r="BJ13" s="992"/>
      <c r="BK13" s="988"/>
      <c r="BL13" s="988"/>
      <c r="BM13" s="988"/>
      <c r="BN13" s="992"/>
      <c r="BO13" s="988"/>
      <c r="BP13" s="988"/>
      <c r="BQ13" s="988"/>
      <c r="BR13" s="992"/>
      <c r="BS13" s="988"/>
      <c r="BT13" s="988"/>
      <c r="BU13" s="988"/>
      <c r="BV13" s="992"/>
      <c r="BW13" s="988"/>
      <c r="BX13" s="988"/>
      <c r="BY13" s="988"/>
      <c r="BZ13" s="992"/>
      <c r="CA13" s="988"/>
      <c r="CB13" s="988"/>
      <c r="CC13" s="988"/>
      <c r="CD13" s="992"/>
      <c r="CE13" s="988"/>
      <c r="CF13" s="988"/>
      <c r="CG13" s="988"/>
      <c r="CH13" s="992"/>
      <c r="CI13" s="988"/>
      <c r="CJ13" s="988"/>
      <c r="CK13" s="988"/>
      <c r="CL13" s="992"/>
      <c r="CM13" s="988"/>
      <c r="CN13" s="988"/>
      <c r="CO13" s="988"/>
      <c r="CP13" s="992"/>
      <c r="CQ13" s="988"/>
      <c r="CR13" s="988"/>
      <c r="CS13" s="988"/>
      <c r="CT13" s="992"/>
      <c r="CU13" s="988"/>
      <c r="CV13" s="988"/>
      <c r="CW13" s="988"/>
      <c r="CX13" s="992"/>
      <c r="CY13" s="988"/>
      <c r="CZ13" s="988"/>
      <c r="DA13" s="988"/>
      <c r="DB13" s="992"/>
      <c r="DC13" s="988"/>
      <c r="DD13" s="988"/>
      <c r="DE13" s="988"/>
      <c r="DF13" s="992"/>
      <c r="DG13" s="988"/>
      <c r="DH13" s="988"/>
      <c r="DI13" s="988"/>
      <c r="DJ13" s="992"/>
      <c r="DK13" s="988"/>
      <c r="DL13" s="988"/>
      <c r="DM13" s="988"/>
      <c r="DN13" s="992"/>
      <c r="DO13" s="988"/>
      <c r="DP13" s="988"/>
      <c r="DQ13" s="988"/>
      <c r="DR13" s="992"/>
      <c r="DS13" s="988"/>
      <c r="DT13" s="988"/>
      <c r="DU13" s="988"/>
      <c r="DV13" s="992"/>
      <c r="DW13" s="988"/>
      <c r="DX13" s="988"/>
      <c r="DY13" s="988"/>
      <c r="DZ13" s="992"/>
    </row>
    <row r="14" spans="1:130" x14ac:dyDescent="0.25">
      <c r="A14" s="2084"/>
      <c r="B14" s="991" t="s">
        <v>328</v>
      </c>
      <c r="C14" s="988"/>
      <c r="D14" s="988"/>
      <c r="E14" s="988"/>
      <c r="F14" s="992">
        <f t="shared" si="5"/>
        <v>0</v>
      </c>
      <c r="G14" s="988">
        <f t="shared" si="6"/>
        <v>0</v>
      </c>
      <c r="H14" s="988"/>
      <c r="I14" s="988"/>
      <c r="J14" s="992"/>
      <c r="K14" s="988"/>
      <c r="L14" s="988"/>
      <c r="M14" s="988"/>
      <c r="N14" s="992"/>
      <c r="O14" s="988"/>
      <c r="P14" s="988"/>
      <c r="Q14" s="988"/>
      <c r="R14" s="992"/>
      <c r="S14" s="988"/>
      <c r="T14" s="988"/>
      <c r="U14" s="988"/>
      <c r="V14" s="992"/>
      <c r="W14" s="988"/>
      <c r="X14" s="988"/>
      <c r="Y14" s="988"/>
      <c r="Z14" s="992"/>
      <c r="AA14" s="988"/>
      <c r="AB14" s="988"/>
      <c r="AC14" s="988"/>
      <c r="AD14" s="992"/>
      <c r="AE14" s="988"/>
      <c r="AF14" s="988"/>
      <c r="AG14" s="988"/>
      <c r="AH14" s="988"/>
      <c r="AI14" s="988"/>
      <c r="AJ14" s="988"/>
      <c r="AK14" s="988"/>
      <c r="AL14" s="992"/>
      <c r="AM14" s="988"/>
      <c r="AN14" s="988"/>
      <c r="AO14" s="988"/>
      <c r="AP14" s="992"/>
      <c r="AQ14" s="988"/>
      <c r="AR14" s="988"/>
      <c r="AS14" s="988"/>
      <c r="AT14" s="992"/>
      <c r="AU14" s="988"/>
      <c r="AV14" s="988"/>
      <c r="AW14" s="988"/>
      <c r="AX14" s="992"/>
      <c r="AY14" s="988"/>
      <c r="AZ14" s="988"/>
      <c r="BA14" s="988"/>
      <c r="BB14" s="992"/>
      <c r="BC14" s="988"/>
      <c r="BD14" s="988"/>
      <c r="BE14" s="988"/>
      <c r="BF14" s="992"/>
      <c r="BG14" s="988"/>
      <c r="BH14" s="988"/>
      <c r="BI14" s="988"/>
      <c r="BJ14" s="992"/>
      <c r="BK14" s="988"/>
      <c r="BL14" s="988"/>
      <c r="BM14" s="988"/>
      <c r="BN14" s="712"/>
      <c r="BO14" s="988"/>
      <c r="BP14" s="988"/>
      <c r="BQ14" s="988"/>
      <c r="BR14" s="992"/>
      <c r="BS14" s="988"/>
      <c r="BT14" s="988"/>
      <c r="BU14" s="988"/>
      <c r="BV14" s="992"/>
      <c r="BW14" s="988"/>
      <c r="BX14" s="988"/>
      <c r="BY14" s="988"/>
      <c r="BZ14" s="992"/>
      <c r="CA14" s="988"/>
      <c r="CB14" s="988"/>
      <c r="CC14" s="988"/>
      <c r="CD14" s="992"/>
      <c r="CE14" s="988"/>
      <c r="CF14" s="988"/>
      <c r="CG14" s="988"/>
      <c r="CH14" s="992"/>
      <c r="CI14" s="988"/>
      <c r="CJ14" s="988"/>
      <c r="CK14" s="988"/>
      <c r="CL14" s="992"/>
      <c r="CM14" s="988"/>
      <c r="CN14" s="988"/>
      <c r="CO14" s="988"/>
      <c r="CP14" s="992"/>
      <c r="CQ14" s="988"/>
      <c r="CR14" s="988"/>
      <c r="CS14" s="988"/>
      <c r="CT14" s="992"/>
      <c r="CU14" s="988"/>
      <c r="CV14" s="988"/>
      <c r="CW14" s="988"/>
      <c r="CX14" s="992"/>
      <c r="CY14" s="988"/>
      <c r="CZ14" s="988"/>
      <c r="DA14" s="988"/>
      <c r="DB14" s="992"/>
      <c r="DC14" s="988"/>
      <c r="DD14" s="988"/>
      <c r="DE14" s="988"/>
      <c r="DF14" s="992"/>
      <c r="DG14" s="988"/>
      <c r="DH14" s="988"/>
      <c r="DI14" s="988"/>
      <c r="DJ14" s="992"/>
      <c r="DK14" s="988"/>
      <c r="DL14" s="988"/>
      <c r="DM14" s="988"/>
      <c r="DN14" s="992"/>
      <c r="DO14" s="988"/>
      <c r="DP14" s="988"/>
      <c r="DQ14" s="988"/>
      <c r="DR14" s="992"/>
      <c r="DS14" s="988"/>
      <c r="DT14" s="988"/>
      <c r="DU14" s="988"/>
      <c r="DV14" s="992"/>
      <c r="DW14" s="988"/>
      <c r="DX14" s="988"/>
      <c r="DY14" s="988"/>
      <c r="DZ14" s="992"/>
    </row>
    <row r="15" spans="1:130" x14ac:dyDescent="0.25">
      <c r="A15" s="2084"/>
      <c r="B15" s="991" t="s">
        <v>329</v>
      </c>
      <c r="C15" s="988"/>
      <c r="D15" s="988"/>
      <c r="E15" s="988"/>
      <c r="F15" s="992">
        <f t="shared" si="5"/>
        <v>0</v>
      </c>
      <c r="G15" s="988">
        <f t="shared" si="6"/>
        <v>0</v>
      </c>
      <c r="H15" s="988"/>
      <c r="I15" s="988"/>
      <c r="J15" s="992">
        <f t="shared" si="7"/>
        <v>0</v>
      </c>
      <c r="K15" s="988">
        <f t="shared" si="0"/>
        <v>0</v>
      </c>
      <c r="L15" s="988"/>
      <c r="M15" s="988"/>
      <c r="N15" s="992">
        <f t="shared" si="8"/>
        <v>0</v>
      </c>
      <c r="O15" s="988">
        <f t="shared" si="9"/>
        <v>0</v>
      </c>
      <c r="P15" s="988"/>
      <c r="Q15" s="988"/>
      <c r="R15" s="992">
        <f t="shared" si="10"/>
        <v>0</v>
      </c>
      <c r="S15" s="988">
        <f t="shared" si="11"/>
        <v>0</v>
      </c>
      <c r="T15" s="988"/>
      <c r="U15" s="988"/>
      <c r="V15" s="992">
        <f t="shared" si="12"/>
        <v>0</v>
      </c>
      <c r="W15" s="988">
        <f t="shared" si="13"/>
        <v>0</v>
      </c>
      <c r="X15" s="988"/>
      <c r="Y15" s="988"/>
      <c r="Z15" s="992">
        <f t="shared" si="14"/>
        <v>0</v>
      </c>
      <c r="AA15" s="988">
        <f t="shared" si="15"/>
        <v>0</v>
      </c>
      <c r="AB15" s="988"/>
      <c r="AC15" s="988"/>
      <c r="AD15" s="992">
        <f t="shared" si="16"/>
        <v>0</v>
      </c>
      <c r="AE15" s="988">
        <f t="shared" si="17"/>
        <v>0</v>
      </c>
      <c r="AF15" s="988"/>
      <c r="AG15" s="988"/>
      <c r="AH15" s="988">
        <f t="shared" si="18"/>
        <v>0</v>
      </c>
      <c r="AI15" s="988">
        <f t="shared" si="19"/>
        <v>0</v>
      </c>
      <c r="AJ15" s="988"/>
      <c r="AK15" s="988"/>
      <c r="AL15" s="992">
        <f t="shared" si="20"/>
        <v>0</v>
      </c>
      <c r="AM15" s="988">
        <f t="shared" si="21"/>
        <v>0</v>
      </c>
      <c r="AN15" s="988"/>
      <c r="AO15" s="988"/>
      <c r="AP15" s="992">
        <f t="shared" si="22"/>
        <v>0</v>
      </c>
      <c r="AQ15" s="988">
        <f t="shared" si="23"/>
        <v>0</v>
      </c>
      <c r="AR15" s="988"/>
      <c r="AS15" s="988"/>
      <c r="AT15" s="992">
        <f t="shared" si="24"/>
        <v>0</v>
      </c>
      <c r="AU15" s="988">
        <f t="shared" si="25"/>
        <v>0</v>
      </c>
      <c r="AV15" s="988"/>
      <c r="AW15" s="988"/>
      <c r="AX15" s="992">
        <f t="shared" si="64"/>
        <v>0</v>
      </c>
      <c r="AY15" s="988">
        <f t="shared" si="26"/>
        <v>0</v>
      </c>
      <c r="AZ15" s="988"/>
      <c r="BA15" s="988"/>
      <c r="BB15" s="992">
        <f t="shared" si="27"/>
        <v>0</v>
      </c>
      <c r="BC15" s="988">
        <f t="shared" si="28"/>
        <v>0</v>
      </c>
      <c r="BD15" s="988"/>
      <c r="BE15" s="988"/>
      <c r="BF15" s="992">
        <f t="shared" si="29"/>
        <v>0</v>
      </c>
      <c r="BG15" s="988">
        <f t="shared" si="30"/>
        <v>0</v>
      </c>
      <c r="BH15" s="988"/>
      <c r="BI15" s="988"/>
      <c r="BJ15" s="992">
        <f t="shared" si="31"/>
        <v>0</v>
      </c>
      <c r="BK15" s="988">
        <f t="shared" si="32"/>
        <v>0</v>
      </c>
      <c r="BL15" s="988"/>
      <c r="BM15" s="988"/>
      <c r="BN15" s="992">
        <f t="shared" si="33"/>
        <v>0</v>
      </c>
      <c r="BO15" s="988">
        <f t="shared" si="34"/>
        <v>0</v>
      </c>
      <c r="BP15" s="988"/>
      <c r="BQ15" s="988"/>
      <c r="BR15" s="992">
        <f t="shared" si="35"/>
        <v>0</v>
      </c>
      <c r="BS15" s="988">
        <f t="shared" si="36"/>
        <v>0</v>
      </c>
      <c r="BT15" s="988"/>
      <c r="BU15" s="988"/>
      <c r="BV15" s="992">
        <f t="shared" si="37"/>
        <v>0</v>
      </c>
      <c r="BW15" s="988">
        <f t="shared" si="38"/>
        <v>0</v>
      </c>
      <c r="BX15" s="988"/>
      <c r="BY15" s="988"/>
      <c r="BZ15" s="992">
        <f t="shared" si="39"/>
        <v>0</v>
      </c>
      <c r="CA15" s="988">
        <f t="shared" si="40"/>
        <v>0</v>
      </c>
      <c r="CB15" s="988"/>
      <c r="CC15" s="988"/>
      <c r="CD15" s="992">
        <f t="shared" si="41"/>
        <v>0</v>
      </c>
      <c r="CE15" s="988">
        <f t="shared" si="42"/>
        <v>0</v>
      </c>
      <c r="CF15" s="988"/>
      <c r="CG15" s="988"/>
      <c r="CH15" s="992">
        <f t="shared" si="43"/>
        <v>0</v>
      </c>
      <c r="CI15" s="988">
        <f t="shared" si="44"/>
        <v>0</v>
      </c>
      <c r="CJ15" s="988"/>
      <c r="CK15" s="988"/>
      <c r="CL15" s="992">
        <f t="shared" si="45"/>
        <v>0</v>
      </c>
      <c r="CM15" s="988">
        <f t="shared" si="46"/>
        <v>0</v>
      </c>
      <c r="CN15" s="988"/>
      <c r="CO15" s="988"/>
      <c r="CP15" s="992">
        <f t="shared" si="47"/>
        <v>0</v>
      </c>
      <c r="CQ15" s="988">
        <f t="shared" si="48"/>
        <v>0</v>
      </c>
      <c r="CR15" s="988"/>
      <c r="CS15" s="988"/>
      <c r="CT15" s="992">
        <f t="shared" si="49"/>
        <v>0</v>
      </c>
      <c r="CU15" s="988">
        <f t="shared" si="50"/>
        <v>0</v>
      </c>
      <c r="CV15" s="988"/>
      <c r="CW15" s="988"/>
      <c r="CX15" s="992">
        <f t="shared" si="51"/>
        <v>0</v>
      </c>
      <c r="CY15" s="988">
        <f t="shared" si="52"/>
        <v>0</v>
      </c>
      <c r="CZ15" s="988"/>
      <c r="DA15" s="988"/>
      <c r="DB15" s="992">
        <f t="shared" si="53"/>
        <v>0</v>
      </c>
      <c r="DC15" s="988">
        <f t="shared" si="54"/>
        <v>0</v>
      </c>
      <c r="DD15" s="988"/>
      <c r="DE15" s="988"/>
      <c r="DF15" s="992">
        <f t="shared" si="55"/>
        <v>0</v>
      </c>
      <c r="DG15" s="988">
        <f t="shared" si="56"/>
        <v>0</v>
      </c>
      <c r="DH15" s="988"/>
      <c r="DI15" s="988"/>
      <c r="DJ15" s="992">
        <f t="shared" si="57"/>
        <v>0</v>
      </c>
      <c r="DK15" s="988">
        <f t="shared" si="1"/>
        <v>0</v>
      </c>
      <c r="DL15" s="988"/>
      <c r="DM15" s="988"/>
      <c r="DN15" s="992">
        <f t="shared" si="58"/>
        <v>0</v>
      </c>
      <c r="DO15" s="988">
        <f t="shared" si="2"/>
        <v>0</v>
      </c>
      <c r="DP15" s="988"/>
      <c r="DQ15" s="988"/>
      <c r="DR15" s="992">
        <f t="shared" si="59"/>
        <v>0</v>
      </c>
      <c r="DS15" s="988">
        <f t="shared" si="3"/>
        <v>0</v>
      </c>
      <c r="DT15" s="988"/>
      <c r="DU15" s="988"/>
      <c r="DV15" s="992">
        <f t="shared" si="60"/>
        <v>0</v>
      </c>
      <c r="DW15" s="988">
        <f t="shared" si="61"/>
        <v>0</v>
      </c>
      <c r="DX15" s="988">
        <f t="shared" si="4"/>
        <v>0</v>
      </c>
      <c r="DY15" s="988">
        <f t="shared" si="62"/>
        <v>0</v>
      </c>
      <c r="DZ15" s="992">
        <f t="shared" si="63"/>
        <v>0</v>
      </c>
    </row>
    <row r="16" spans="1:130" x14ac:dyDescent="0.25">
      <c r="A16" s="2084"/>
      <c r="B16" s="991" t="s">
        <v>330</v>
      </c>
      <c r="C16" s="988"/>
      <c r="D16" s="988"/>
      <c r="E16" s="988"/>
      <c r="F16" s="992">
        <f t="shared" si="5"/>
        <v>0</v>
      </c>
      <c r="G16" s="988">
        <f t="shared" si="6"/>
        <v>0</v>
      </c>
      <c r="H16" s="988"/>
      <c r="I16" s="988"/>
      <c r="J16" s="992">
        <f t="shared" si="7"/>
        <v>0</v>
      </c>
      <c r="K16" s="988">
        <f t="shared" si="0"/>
        <v>0</v>
      </c>
      <c r="L16" s="988"/>
      <c r="M16" s="988"/>
      <c r="N16" s="992">
        <f t="shared" si="8"/>
        <v>0</v>
      </c>
      <c r="O16" s="988">
        <f t="shared" si="9"/>
        <v>0</v>
      </c>
      <c r="P16" s="988"/>
      <c r="Q16" s="988"/>
      <c r="R16" s="992">
        <f t="shared" si="10"/>
        <v>0</v>
      </c>
      <c r="S16" s="988">
        <f t="shared" si="11"/>
        <v>0</v>
      </c>
      <c r="T16" s="988"/>
      <c r="U16" s="988"/>
      <c r="V16" s="992">
        <f t="shared" si="12"/>
        <v>0</v>
      </c>
      <c r="W16" s="988">
        <f t="shared" si="13"/>
        <v>0</v>
      </c>
      <c r="X16" s="988"/>
      <c r="Y16" s="988"/>
      <c r="Z16" s="992">
        <f t="shared" si="14"/>
        <v>0</v>
      </c>
      <c r="AA16" s="988">
        <f t="shared" si="15"/>
        <v>0</v>
      </c>
      <c r="AB16" s="988"/>
      <c r="AC16" s="988"/>
      <c r="AD16" s="992">
        <f t="shared" si="16"/>
        <v>0</v>
      </c>
      <c r="AE16" s="988">
        <f t="shared" si="17"/>
        <v>0</v>
      </c>
      <c r="AF16" s="988"/>
      <c r="AG16" s="988"/>
      <c r="AH16" s="988">
        <f t="shared" si="18"/>
        <v>0</v>
      </c>
      <c r="AI16" s="988">
        <f t="shared" si="19"/>
        <v>0</v>
      </c>
      <c r="AJ16" s="988"/>
      <c r="AK16" s="988"/>
      <c r="AL16" s="992">
        <f t="shared" si="20"/>
        <v>0</v>
      </c>
      <c r="AM16" s="988">
        <f t="shared" si="21"/>
        <v>0</v>
      </c>
      <c r="AN16" s="988"/>
      <c r="AO16" s="988"/>
      <c r="AP16" s="992">
        <f t="shared" si="22"/>
        <v>0</v>
      </c>
      <c r="AQ16" s="988">
        <f t="shared" si="23"/>
        <v>0</v>
      </c>
      <c r="AR16" s="988"/>
      <c r="AS16" s="988"/>
      <c r="AT16" s="992">
        <f t="shared" si="24"/>
        <v>0</v>
      </c>
      <c r="AU16" s="988">
        <f t="shared" si="25"/>
        <v>0</v>
      </c>
      <c r="AV16" s="988"/>
      <c r="AW16" s="988"/>
      <c r="AX16" s="992">
        <f t="shared" si="64"/>
        <v>0</v>
      </c>
      <c r="AY16" s="988">
        <f t="shared" si="26"/>
        <v>0</v>
      </c>
      <c r="AZ16" s="988"/>
      <c r="BA16" s="988"/>
      <c r="BB16" s="992">
        <f t="shared" si="27"/>
        <v>0</v>
      </c>
      <c r="BC16" s="988">
        <f t="shared" si="28"/>
        <v>0</v>
      </c>
      <c r="BD16" s="988"/>
      <c r="BE16" s="988"/>
      <c r="BF16" s="992">
        <f t="shared" si="29"/>
        <v>0</v>
      </c>
      <c r="BG16" s="988">
        <f t="shared" si="30"/>
        <v>0</v>
      </c>
      <c r="BH16" s="988"/>
      <c r="BI16" s="988"/>
      <c r="BJ16" s="992">
        <f t="shared" si="31"/>
        <v>0</v>
      </c>
      <c r="BK16" s="988">
        <f t="shared" si="32"/>
        <v>0</v>
      </c>
      <c r="BL16" s="988"/>
      <c r="BM16" s="988"/>
      <c r="BN16" s="992">
        <f t="shared" si="33"/>
        <v>0</v>
      </c>
      <c r="BO16" s="988">
        <f t="shared" si="34"/>
        <v>0</v>
      </c>
      <c r="BP16" s="988"/>
      <c r="BQ16" s="988"/>
      <c r="BR16" s="992">
        <f t="shared" si="35"/>
        <v>0</v>
      </c>
      <c r="BS16" s="988">
        <f t="shared" si="36"/>
        <v>0</v>
      </c>
      <c r="BT16" s="988"/>
      <c r="BU16" s="988"/>
      <c r="BV16" s="992">
        <f t="shared" si="37"/>
        <v>0</v>
      </c>
      <c r="BW16" s="988">
        <f t="shared" si="38"/>
        <v>0</v>
      </c>
      <c r="BX16" s="988"/>
      <c r="BY16" s="988"/>
      <c r="BZ16" s="992">
        <f t="shared" si="39"/>
        <v>0</v>
      </c>
      <c r="CA16" s="988">
        <f t="shared" si="40"/>
        <v>0</v>
      </c>
      <c r="CB16" s="988"/>
      <c r="CC16" s="988"/>
      <c r="CD16" s="992">
        <f t="shared" si="41"/>
        <v>0</v>
      </c>
      <c r="CE16" s="988">
        <f t="shared" si="42"/>
        <v>0</v>
      </c>
      <c r="CF16" s="988"/>
      <c r="CG16" s="988"/>
      <c r="CH16" s="992">
        <f t="shared" si="43"/>
        <v>0</v>
      </c>
      <c r="CI16" s="988">
        <f t="shared" si="44"/>
        <v>0</v>
      </c>
      <c r="CJ16" s="988"/>
      <c r="CK16" s="988"/>
      <c r="CL16" s="992">
        <f t="shared" si="45"/>
        <v>0</v>
      </c>
      <c r="CM16" s="988">
        <f t="shared" si="46"/>
        <v>0</v>
      </c>
      <c r="CN16" s="988"/>
      <c r="CO16" s="988"/>
      <c r="CP16" s="992">
        <f t="shared" si="47"/>
        <v>0</v>
      </c>
      <c r="CQ16" s="988">
        <f t="shared" si="48"/>
        <v>0</v>
      </c>
      <c r="CR16" s="988"/>
      <c r="CS16" s="988"/>
      <c r="CT16" s="992">
        <f t="shared" si="49"/>
        <v>0</v>
      </c>
      <c r="CU16" s="988">
        <f t="shared" si="50"/>
        <v>0</v>
      </c>
      <c r="CV16" s="988"/>
      <c r="CW16" s="988"/>
      <c r="CX16" s="992">
        <f t="shared" si="51"/>
        <v>0</v>
      </c>
      <c r="CY16" s="988">
        <f t="shared" si="52"/>
        <v>0</v>
      </c>
      <c r="CZ16" s="988"/>
      <c r="DA16" s="988"/>
      <c r="DB16" s="992">
        <f t="shared" si="53"/>
        <v>0</v>
      </c>
      <c r="DC16" s="988">
        <f t="shared" si="54"/>
        <v>0</v>
      </c>
      <c r="DD16" s="988"/>
      <c r="DE16" s="988"/>
      <c r="DF16" s="992">
        <f t="shared" si="55"/>
        <v>0</v>
      </c>
      <c r="DG16" s="988">
        <f t="shared" si="56"/>
        <v>0</v>
      </c>
      <c r="DH16" s="988"/>
      <c r="DI16" s="988"/>
      <c r="DJ16" s="992">
        <f t="shared" si="57"/>
        <v>0</v>
      </c>
      <c r="DK16" s="988">
        <f t="shared" si="1"/>
        <v>0</v>
      </c>
      <c r="DL16" s="988"/>
      <c r="DM16" s="988"/>
      <c r="DN16" s="992">
        <f t="shared" si="58"/>
        <v>0</v>
      </c>
      <c r="DO16" s="988">
        <f t="shared" si="2"/>
        <v>0</v>
      </c>
      <c r="DP16" s="988"/>
      <c r="DQ16" s="988"/>
      <c r="DR16" s="992">
        <f t="shared" si="59"/>
        <v>0</v>
      </c>
      <c r="DS16" s="988">
        <f t="shared" si="3"/>
        <v>0</v>
      </c>
      <c r="DT16" s="988"/>
      <c r="DU16" s="988"/>
      <c r="DV16" s="992">
        <f t="shared" si="60"/>
        <v>0</v>
      </c>
      <c r="DW16" s="988">
        <f t="shared" si="61"/>
        <v>0</v>
      </c>
      <c r="DX16" s="988">
        <f t="shared" si="4"/>
        <v>0</v>
      </c>
      <c r="DY16" s="988">
        <f t="shared" si="62"/>
        <v>0</v>
      </c>
      <c r="DZ16" s="992">
        <f t="shared" si="63"/>
        <v>0</v>
      </c>
    </row>
    <row r="17" spans="1:130" x14ac:dyDescent="0.25">
      <c r="A17" s="2084"/>
      <c r="B17" s="991" t="s">
        <v>331</v>
      </c>
      <c r="C17" s="988"/>
      <c r="D17" s="988"/>
      <c r="E17" s="988"/>
      <c r="F17" s="992">
        <f t="shared" si="5"/>
        <v>0</v>
      </c>
      <c r="G17" s="988">
        <f t="shared" si="6"/>
        <v>0</v>
      </c>
      <c r="H17" s="988"/>
      <c r="I17" s="988"/>
      <c r="J17" s="992">
        <f t="shared" si="7"/>
        <v>0</v>
      </c>
      <c r="K17" s="988">
        <f t="shared" si="0"/>
        <v>0</v>
      </c>
      <c r="L17" s="988"/>
      <c r="M17" s="988"/>
      <c r="N17" s="992">
        <f t="shared" si="8"/>
        <v>0</v>
      </c>
      <c r="O17" s="988">
        <f t="shared" si="9"/>
        <v>0</v>
      </c>
      <c r="P17" s="988"/>
      <c r="Q17" s="988"/>
      <c r="R17" s="992">
        <f t="shared" si="10"/>
        <v>0</v>
      </c>
      <c r="S17" s="988">
        <f t="shared" si="11"/>
        <v>0</v>
      </c>
      <c r="T17" s="988"/>
      <c r="U17" s="988"/>
      <c r="V17" s="992">
        <f t="shared" si="12"/>
        <v>0</v>
      </c>
      <c r="W17" s="988">
        <f t="shared" si="13"/>
        <v>0</v>
      </c>
      <c r="X17" s="988"/>
      <c r="Y17" s="988"/>
      <c r="Z17" s="992">
        <f t="shared" si="14"/>
        <v>0</v>
      </c>
      <c r="AA17" s="988">
        <f t="shared" si="15"/>
        <v>0</v>
      </c>
      <c r="AB17" s="988"/>
      <c r="AC17" s="988"/>
      <c r="AD17" s="992">
        <f t="shared" si="16"/>
        <v>0</v>
      </c>
      <c r="AE17" s="988">
        <f t="shared" si="17"/>
        <v>0</v>
      </c>
      <c r="AF17" s="988"/>
      <c r="AG17" s="988"/>
      <c r="AH17" s="988">
        <f t="shared" si="18"/>
        <v>0</v>
      </c>
      <c r="AI17" s="988">
        <f t="shared" si="19"/>
        <v>0</v>
      </c>
      <c r="AJ17" s="988"/>
      <c r="AK17" s="988"/>
      <c r="AL17" s="992">
        <f t="shared" si="20"/>
        <v>0</v>
      </c>
      <c r="AM17" s="988">
        <f t="shared" si="21"/>
        <v>0</v>
      </c>
      <c r="AN17" s="988"/>
      <c r="AO17" s="988"/>
      <c r="AP17" s="992">
        <f t="shared" si="22"/>
        <v>0</v>
      </c>
      <c r="AQ17" s="988">
        <f t="shared" si="23"/>
        <v>0</v>
      </c>
      <c r="AR17" s="988"/>
      <c r="AS17" s="988"/>
      <c r="AT17" s="992">
        <f t="shared" si="24"/>
        <v>0</v>
      </c>
      <c r="AU17" s="988">
        <f t="shared" si="25"/>
        <v>0</v>
      </c>
      <c r="AV17" s="988"/>
      <c r="AW17" s="988"/>
      <c r="AX17" s="992">
        <f t="shared" si="64"/>
        <v>0</v>
      </c>
      <c r="AY17" s="988">
        <f t="shared" si="26"/>
        <v>0</v>
      </c>
      <c r="AZ17" s="988"/>
      <c r="BA17" s="988"/>
      <c r="BB17" s="992">
        <f t="shared" si="27"/>
        <v>0</v>
      </c>
      <c r="BC17" s="988">
        <f t="shared" si="28"/>
        <v>0</v>
      </c>
      <c r="BD17" s="988"/>
      <c r="BE17" s="988"/>
      <c r="BF17" s="992">
        <f t="shared" si="29"/>
        <v>0</v>
      </c>
      <c r="BG17" s="988">
        <f t="shared" si="30"/>
        <v>0</v>
      </c>
      <c r="BH17" s="988"/>
      <c r="BI17" s="988"/>
      <c r="BJ17" s="992">
        <f t="shared" si="31"/>
        <v>0</v>
      </c>
      <c r="BK17" s="988">
        <f t="shared" si="32"/>
        <v>0</v>
      </c>
      <c r="BL17" s="988"/>
      <c r="BM17" s="988"/>
      <c r="BN17" s="992">
        <f t="shared" si="33"/>
        <v>0</v>
      </c>
      <c r="BO17" s="988">
        <f t="shared" si="34"/>
        <v>0</v>
      </c>
      <c r="BP17" s="988"/>
      <c r="BQ17" s="988"/>
      <c r="BR17" s="992">
        <f t="shared" si="35"/>
        <v>0</v>
      </c>
      <c r="BS17" s="988">
        <f t="shared" si="36"/>
        <v>0</v>
      </c>
      <c r="BT17" s="988"/>
      <c r="BU17" s="988"/>
      <c r="BV17" s="992">
        <f t="shared" si="37"/>
        <v>0</v>
      </c>
      <c r="BW17" s="988">
        <f t="shared" si="38"/>
        <v>0</v>
      </c>
      <c r="BX17" s="988"/>
      <c r="BY17" s="988"/>
      <c r="BZ17" s="992">
        <f t="shared" si="39"/>
        <v>0</v>
      </c>
      <c r="CA17" s="988">
        <f t="shared" si="40"/>
        <v>0</v>
      </c>
      <c r="CB17" s="988"/>
      <c r="CC17" s="988"/>
      <c r="CD17" s="992">
        <f t="shared" si="41"/>
        <v>0</v>
      </c>
      <c r="CE17" s="988">
        <f t="shared" si="42"/>
        <v>0</v>
      </c>
      <c r="CF17" s="988"/>
      <c r="CG17" s="988"/>
      <c r="CH17" s="992">
        <f t="shared" si="43"/>
        <v>0</v>
      </c>
      <c r="CI17" s="988">
        <f t="shared" si="44"/>
        <v>0</v>
      </c>
      <c r="CJ17" s="988"/>
      <c r="CK17" s="988"/>
      <c r="CL17" s="992">
        <f t="shared" si="45"/>
        <v>0</v>
      </c>
      <c r="CM17" s="988">
        <f t="shared" si="46"/>
        <v>0</v>
      </c>
      <c r="CN17" s="988"/>
      <c r="CO17" s="988"/>
      <c r="CP17" s="992">
        <f t="shared" si="47"/>
        <v>0</v>
      </c>
      <c r="CQ17" s="988">
        <f t="shared" si="48"/>
        <v>0</v>
      </c>
      <c r="CR17" s="988"/>
      <c r="CS17" s="988"/>
      <c r="CT17" s="992">
        <f t="shared" si="49"/>
        <v>0</v>
      </c>
      <c r="CU17" s="988">
        <f t="shared" si="50"/>
        <v>0</v>
      </c>
      <c r="CV17" s="988"/>
      <c r="CW17" s="988"/>
      <c r="CX17" s="992">
        <f t="shared" si="51"/>
        <v>0</v>
      </c>
      <c r="CY17" s="988">
        <f t="shared" si="52"/>
        <v>0</v>
      </c>
      <c r="CZ17" s="988"/>
      <c r="DA17" s="988"/>
      <c r="DB17" s="992">
        <f t="shared" si="53"/>
        <v>0</v>
      </c>
      <c r="DC17" s="988">
        <f t="shared" si="54"/>
        <v>0</v>
      </c>
      <c r="DD17" s="988"/>
      <c r="DE17" s="988"/>
      <c r="DF17" s="992">
        <f t="shared" si="55"/>
        <v>0</v>
      </c>
      <c r="DG17" s="988">
        <f t="shared" si="56"/>
        <v>0</v>
      </c>
      <c r="DH17" s="988"/>
      <c r="DI17" s="988"/>
      <c r="DJ17" s="992">
        <f t="shared" si="57"/>
        <v>0</v>
      </c>
      <c r="DK17" s="988">
        <f t="shared" si="1"/>
        <v>0</v>
      </c>
      <c r="DL17" s="988"/>
      <c r="DM17" s="988"/>
      <c r="DN17" s="992">
        <f t="shared" si="58"/>
        <v>0</v>
      </c>
      <c r="DO17" s="988">
        <f t="shared" si="2"/>
        <v>0</v>
      </c>
      <c r="DP17" s="988"/>
      <c r="DQ17" s="988"/>
      <c r="DR17" s="992">
        <f t="shared" si="59"/>
        <v>0</v>
      </c>
      <c r="DS17" s="988">
        <f t="shared" si="3"/>
        <v>0</v>
      </c>
      <c r="DT17" s="988"/>
      <c r="DU17" s="988"/>
      <c r="DV17" s="992">
        <f t="shared" si="60"/>
        <v>0</v>
      </c>
      <c r="DW17" s="988">
        <f t="shared" si="61"/>
        <v>0</v>
      </c>
      <c r="DX17" s="988">
        <f t="shared" si="4"/>
        <v>0</v>
      </c>
      <c r="DY17" s="988">
        <f t="shared" si="62"/>
        <v>0</v>
      </c>
      <c r="DZ17" s="992">
        <f t="shared" si="63"/>
        <v>0</v>
      </c>
    </row>
    <row r="18" spans="1:130" x14ac:dyDescent="0.25">
      <c r="A18" s="2084"/>
      <c r="B18" s="991" t="s">
        <v>332</v>
      </c>
      <c r="C18" s="988"/>
      <c r="D18" s="988"/>
      <c r="E18" s="988"/>
      <c r="F18" s="992">
        <f t="shared" si="5"/>
        <v>0</v>
      </c>
      <c r="G18" s="988">
        <f t="shared" si="6"/>
        <v>0</v>
      </c>
      <c r="H18" s="988"/>
      <c r="I18" s="988"/>
      <c r="J18" s="992">
        <f t="shared" si="7"/>
        <v>0</v>
      </c>
      <c r="K18" s="988">
        <f t="shared" si="0"/>
        <v>0</v>
      </c>
      <c r="L18" s="988"/>
      <c r="M18" s="988"/>
      <c r="N18" s="992">
        <f t="shared" si="8"/>
        <v>0</v>
      </c>
      <c r="O18" s="988">
        <f t="shared" si="9"/>
        <v>0</v>
      </c>
      <c r="P18" s="988"/>
      <c r="Q18" s="988"/>
      <c r="R18" s="992">
        <f t="shared" si="10"/>
        <v>0</v>
      </c>
      <c r="S18" s="988">
        <f t="shared" si="11"/>
        <v>0</v>
      </c>
      <c r="T18" s="988"/>
      <c r="U18" s="988"/>
      <c r="V18" s="992">
        <f t="shared" si="12"/>
        <v>0</v>
      </c>
      <c r="W18" s="988">
        <f t="shared" si="13"/>
        <v>0</v>
      </c>
      <c r="X18" s="988"/>
      <c r="Y18" s="988"/>
      <c r="Z18" s="992">
        <f t="shared" si="14"/>
        <v>0</v>
      </c>
      <c r="AA18" s="988">
        <f t="shared" si="15"/>
        <v>0</v>
      </c>
      <c r="AB18" s="988"/>
      <c r="AC18" s="988"/>
      <c r="AD18" s="992">
        <f t="shared" si="16"/>
        <v>0</v>
      </c>
      <c r="AE18" s="988">
        <f t="shared" si="17"/>
        <v>0</v>
      </c>
      <c r="AF18" s="988"/>
      <c r="AG18" s="988"/>
      <c r="AH18" s="988">
        <f t="shared" si="18"/>
        <v>0</v>
      </c>
      <c r="AI18" s="988">
        <f t="shared" si="19"/>
        <v>0</v>
      </c>
      <c r="AJ18" s="988"/>
      <c r="AK18" s="988"/>
      <c r="AL18" s="992">
        <f t="shared" si="20"/>
        <v>0</v>
      </c>
      <c r="AM18" s="988">
        <f t="shared" si="21"/>
        <v>0</v>
      </c>
      <c r="AN18" s="988"/>
      <c r="AO18" s="988"/>
      <c r="AP18" s="992">
        <f t="shared" si="22"/>
        <v>0</v>
      </c>
      <c r="AQ18" s="988">
        <f t="shared" si="23"/>
        <v>0</v>
      </c>
      <c r="AR18" s="988"/>
      <c r="AS18" s="988"/>
      <c r="AT18" s="992">
        <f t="shared" si="24"/>
        <v>0</v>
      </c>
      <c r="AU18" s="988">
        <f t="shared" si="25"/>
        <v>0</v>
      </c>
      <c r="AV18" s="988"/>
      <c r="AW18" s="988"/>
      <c r="AX18" s="992">
        <f t="shared" si="64"/>
        <v>0</v>
      </c>
      <c r="AY18" s="988">
        <f t="shared" si="26"/>
        <v>0</v>
      </c>
      <c r="AZ18" s="988"/>
      <c r="BA18" s="988"/>
      <c r="BB18" s="992">
        <f t="shared" si="27"/>
        <v>0</v>
      </c>
      <c r="BC18" s="988">
        <f t="shared" si="28"/>
        <v>0</v>
      </c>
      <c r="BD18" s="988"/>
      <c r="BE18" s="988"/>
      <c r="BF18" s="992">
        <f t="shared" si="29"/>
        <v>0</v>
      </c>
      <c r="BG18" s="988">
        <f t="shared" si="30"/>
        <v>0</v>
      </c>
      <c r="BH18" s="988"/>
      <c r="BI18" s="988"/>
      <c r="BJ18" s="992">
        <f t="shared" si="31"/>
        <v>0</v>
      </c>
      <c r="BK18" s="988">
        <f t="shared" si="32"/>
        <v>0</v>
      </c>
      <c r="BL18" s="988"/>
      <c r="BM18" s="988"/>
      <c r="BN18" s="992">
        <f t="shared" si="33"/>
        <v>0</v>
      </c>
      <c r="BO18" s="988">
        <f t="shared" si="34"/>
        <v>0</v>
      </c>
      <c r="BP18" s="988"/>
      <c r="BQ18" s="988"/>
      <c r="BR18" s="992">
        <f t="shared" si="35"/>
        <v>0</v>
      </c>
      <c r="BS18" s="988">
        <f t="shared" si="36"/>
        <v>0</v>
      </c>
      <c r="BT18" s="988"/>
      <c r="BU18" s="988"/>
      <c r="BV18" s="992">
        <f t="shared" si="37"/>
        <v>0</v>
      </c>
      <c r="BW18" s="988">
        <f t="shared" si="38"/>
        <v>0</v>
      </c>
      <c r="BX18" s="988"/>
      <c r="BY18" s="988"/>
      <c r="BZ18" s="992">
        <f t="shared" si="39"/>
        <v>0</v>
      </c>
      <c r="CA18" s="988">
        <f t="shared" si="40"/>
        <v>0</v>
      </c>
      <c r="CB18" s="988"/>
      <c r="CC18" s="988"/>
      <c r="CD18" s="992">
        <f t="shared" si="41"/>
        <v>0</v>
      </c>
      <c r="CE18" s="988">
        <f t="shared" si="42"/>
        <v>0</v>
      </c>
      <c r="CF18" s="988"/>
      <c r="CG18" s="988"/>
      <c r="CH18" s="992">
        <f t="shared" si="43"/>
        <v>0</v>
      </c>
      <c r="CI18" s="988">
        <f t="shared" si="44"/>
        <v>0</v>
      </c>
      <c r="CJ18" s="988"/>
      <c r="CK18" s="988"/>
      <c r="CL18" s="992">
        <f t="shared" si="45"/>
        <v>0</v>
      </c>
      <c r="CM18" s="988">
        <f t="shared" si="46"/>
        <v>0</v>
      </c>
      <c r="CN18" s="988"/>
      <c r="CO18" s="988"/>
      <c r="CP18" s="992">
        <f t="shared" si="47"/>
        <v>0</v>
      </c>
      <c r="CQ18" s="988">
        <f t="shared" si="48"/>
        <v>0</v>
      </c>
      <c r="CR18" s="988"/>
      <c r="CS18" s="988"/>
      <c r="CT18" s="992">
        <f t="shared" si="49"/>
        <v>0</v>
      </c>
      <c r="CU18" s="988">
        <f t="shared" si="50"/>
        <v>0</v>
      </c>
      <c r="CV18" s="988"/>
      <c r="CW18" s="988"/>
      <c r="CX18" s="992">
        <f t="shared" si="51"/>
        <v>0</v>
      </c>
      <c r="CY18" s="988">
        <f t="shared" si="52"/>
        <v>0</v>
      </c>
      <c r="CZ18" s="988"/>
      <c r="DA18" s="988"/>
      <c r="DB18" s="992">
        <f t="shared" si="53"/>
        <v>0</v>
      </c>
      <c r="DC18" s="988">
        <f t="shared" si="54"/>
        <v>0</v>
      </c>
      <c r="DD18" s="988"/>
      <c r="DE18" s="988"/>
      <c r="DF18" s="992">
        <f t="shared" si="55"/>
        <v>0</v>
      </c>
      <c r="DG18" s="988">
        <f t="shared" si="56"/>
        <v>0</v>
      </c>
      <c r="DH18" s="988"/>
      <c r="DI18" s="988"/>
      <c r="DJ18" s="992">
        <f t="shared" si="57"/>
        <v>0</v>
      </c>
      <c r="DK18" s="988">
        <f t="shared" si="1"/>
        <v>0</v>
      </c>
      <c r="DL18" s="988"/>
      <c r="DM18" s="988"/>
      <c r="DN18" s="992">
        <f t="shared" si="58"/>
        <v>0</v>
      </c>
      <c r="DO18" s="988">
        <f t="shared" si="2"/>
        <v>0</v>
      </c>
      <c r="DP18" s="988"/>
      <c r="DQ18" s="988"/>
      <c r="DR18" s="992">
        <f t="shared" si="59"/>
        <v>0</v>
      </c>
      <c r="DS18" s="988">
        <f t="shared" si="3"/>
        <v>0</v>
      </c>
      <c r="DT18" s="988"/>
      <c r="DU18" s="988"/>
      <c r="DV18" s="992">
        <f t="shared" si="60"/>
        <v>0</v>
      </c>
      <c r="DW18" s="988">
        <f t="shared" si="61"/>
        <v>0</v>
      </c>
      <c r="DX18" s="988">
        <f t="shared" si="4"/>
        <v>0</v>
      </c>
      <c r="DY18" s="988">
        <f t="shared" si="62"/>
        <v>0</v>
      </c>
      <c r="DZ18" s="992">
        <f t="shared" si="63"/>
        <v>0</v>
      </c>
    </row>
    <row r="19" spans="1:130" x14ac:dyDescent="0.25">
      <c r="A19" s="2084"/>
      <c r="B19" s="991" t="s">
        <v>333</v>
      </c>
      <c r="C19" s="988">
        <v>169422</v>
      </c>
      <c r="D19" s="988"/>
      <c r="E19" s="988">
        <v>169570</v>
      </c>
      <c r="F19" s="992">
        <f t="shared" si="5"/>
        <v>148</v>
      </c>
      <c r="G19" s="988">
        <f t="shared" si="6"/>
        <v>169570</v>
      </c>
      <c r="H19" s="988"/>
      <c r="I19" s="988">
        <v>169713</v>
      </c>
      <c r="J19" s="992">
        <f t="shared" si="7"/>
        <v>143</v>
      </c>
      <c r="K19" s="988">
        <f t="shared" si="0"/>
        <v>169713</v>
      </c>
      <c r="L19" s="988"/>
      <c r="M19" s="988">
        <v>169812</v>
      </c>
      <c r="N19" s="992">
        <f t="shared" si="8"/>
        <v>99</v>
      </c>
      <c r="O19" s="988">
        <f t="shared" si="9"/>
        <v>169812</v>
      </c>
      <c r="P19" s="988"/>
      <c r="Q19" s="988">
        <v>170494</v>
      </c>
      <c r="R19" s="992">
        <f t="shared" si="10"/>
        <v>682</v>
      </c>
      <c r="S19" s="988">
        <f t="shared" si="11"/>
        <v>170494</v>
      </c>
      <c r="T19" s="988"/>
      <c r="U19" s="988">
        <v>170578</v>
      </c>
      <c r="V19" s="992">
        <f t="shared" si="12"/>
        <v>84</v>
      </c>
      <c r="W19" s="988">
        <f t="shared" si="13"/>
        <v>170578</v>
      </c>
      <c r="X19" s="988"/>
      <c r="Y19" s="988">
        <v>170734</v>
      </c>
      <c r="Z19" s="992">
        <f t="shared" si="14"/>
        <v>156</v>
      </c>
      <c r="AA19" s="988">
        <f t="shared" si="15"/>
        <v>170734</v>
      </c>
      <c r="AB19" s="988"/>
      <c r="AC19" s="988">
        <v>170898</v>
      </c>
      <c r="AD19" s="992">
        <f t="shared" si="16"/>
        <v>164</v>
      </c>
      <c r="AE19" s="988">
        <f t="shared" si="17"/>
        <v>170898</v>
      </c>
      <c r="AF19" s="988"/>
      <c r="AG19" s="988">
        <v>171092</v>
      </c>
      <c r="AH19" s="992">
        <f>AG19-AE19-AF19</f>
        <v>194</v>
      </c>
      <c r="AI19" s="988">
        <f t="shared" si="19"/>
        <v>171092</v>
      </c>
      <c r="AJ19" s="988"/>
      <c r="AK19" s="988">
        <v>171395</v>
      </c>
      <c r="AL19" s="992">
        <f t="shared" si="20"/>
        <v>303</v>
      </c>
      <c r="AM19" s="988">
        <f t="shared" si="21"/>
        <v>171395</v>
      </c>
      <c r="AN19" s="988"/>
      <c r="AO19" s="988">
        <v>171648</v>
      </c>
      <c r="AP19" s="992">
        <f t="shared" si="22"/>
        <v>253</v>
      </c>
      <c r="AQ19" s="988">
        <f t="shared" si="23"/>
        <v>171648</v>
      </c>
      <c r="AR19" s="988"/>
      <c r="AS19" s="988">
        <v>171703</v>
      </c>
      <c r="AT19" s="992">
        <f t="shared" si="24"/>
        <v>55</v>
      </c>
      <c r="AU19" s="988">
        <f t="shared" si="25"/>
        <v>171703</v>
      </c>
      <c r="AV19" s="988"/>
      <c r="AW19" s="988">
        <v>172089</v>
      </c>
      <c r="AX19" s="992">
        <f t="shared" si="64"/>
        <v>386</v>
      </c>
      <c r="AY19" s="988">
        <f t="shared" si="26"/>
        <v>172089</v>
      </c>
      <c r="AZ19" s="988"/>
      <c r="BA19" s="988">
        <v>172277</v>
      </c>
      <c r="BB19" s="992">
        <f t="shared" si="27"/>
        <v>188</v>
      </c>
      <c r="BC19" s="988">
        <f t="shared" si="28"/>
        <v>172277</v>
      </c>
      <c r="BD19" s="988"/>
      <c r="BE19" s="988"/>
      <c r="BF19" s="992">
        <f t="shared" si="29"/>
        <v>-172277</v>
      </c>
      <c r="BG19" s="988">
        <f t="shared" si="30"/>
        <v>0</v>
      </c>
      <c r="BH19" s="988"/>
      <c r="BI19" s="988">
        <v>123272</v>
      </c>
      <c r="BJ19" s="992">
        <f t="shared" si="31"/>
        <v>123272</v>
      </c>
      <c r="BK19" s="988">
        <f t="shared" si="32"/>
        <v>123272</v>
      </c>
      <c r="BL19" s="988">
        <v>20</v>
      </c>
      <c r="BM19" s="988">
        <v>123296</v>
      </c>
      <c r="BN19" s="992">
        <f t="shared" si="33"/>
        <v>4</v>
      </c>
      <c r="BO19" s="988">
        <f t="shared" si="34"/>
        <v>123296</v>
      </c>
      <c r="BP19" s="988"/>
      <c r="BQ19" s="988">
        <v>123306</v>
      </c>
      <c r="BR19" s="992">
        <f t="shared" si="35"/>
        <v>10</v>
      </c>
      <c r="BS19" s="988">
        <f t="shared" si="36"/>
        <v>123306</v>
      </c>
      <c r="BT19" s="988"/>
      <c r="BU19" s="988">
        <v>123337</v>
      </c>
      <c r="BV19" s="992">
        <f t="shared" si="37"/>
        <v>31</v>
      </c>
      <c r="BW19" s="988">
        <f t="shared" si="38"/>
        <v>123337</v>
      </c>
      <c r="BX19" s="988"/>
      <c r="BY19" s="988">
        <v>123367</v>
      </c>
      <c r="BZ19" s="992">
        <f t="shared" si="39"/>
        <v>30</v>
      </c>
      <c r="CA19" s="988">
        <f t="shared" si="40"/>
        <v>123367</v>
      </c>
      <c r="CB19" s="988"/>
      <c r="CC19" s="988">
        <v>123390</v>
      </c>
      <c r="CD19" s="992">
        <f t="shared" si="41"/>
        <v>23</v>
      </c>
      <c r="CE19" s="988">
        <f t="shared" si="42"/>
        <v>123390</v>
      </c>
      <c r="CF19" s="988"/>
      <c r="CG19" s="988">
        <v>123470</v>
      </c>
      <c r="CH19" s="992">
        <f t="shared" si="43"/>
        <v>80</v>
      </c>
      <c r="CI19" s="988">
        <f t="shared" si="44"/>
        <v>123470</v>
      </c>
      <c r="CJ19" s="988"/>
      <c r="CK19" s="988">
        <v>123500</v>
      </c>
      <c r="CL19" s="992">
        <f t="shared" si="45"/>
        <v>30</v>
      </c>
      <c r="CM19" s="988">
        <f t="shared" si="46"/>
        <v>123500</v>
      </c>
      <c r="CN19" s="988"/>
      <c r="CO19" s="988">
        <v>123518</v>
      </c>
      <c r="CP19" s="992">
        <f t="shared" si="47"/>
        <v>18</v>
      </c>
      <c r="CQ19" s="988">
        <f t="shared" si="48"/>
        <v>123518</v>
      </c>
      <c r="CR19" s="988"/>
      <c r="CS19" s="988">
        <v>123530</v>
      </c>
      <c r="CT19" s="992">
        <f t="shared" si="49"/>
        <v>12</v>
      </c>
      <c r="CU19" s="988">
        <f t="shared" si="50"/>
        <v>123530</v>
      </c>
      <c r="CV19" s="988"/>
      <c r="CW19" s="988">
        <v>123553</v>
      </c>
      <c r="CX19" s="992">
        <f t="shared" si="51"/>
        <v>23</v>
      </c>
      <c r="CY19" s="988">
        <f t="shared" si="52"/>
        <v>123553</v>
      </c>
      <c r="CZ19" s="988">
        <v>30</v>
      </c>
      <c r="DA19" s="988">
        <v>123622</v>
      </c>
      <c r="DB19" s="992">
        <f t="shared" si="53"/>
        <v>39</v>
      </c>
      <c r="DC19" s="988">
        <f t="shared" si="54"/>
        <v>123622</v>
      </c>
      <c r="DD19" s="988"/>
      <c r="DE19" s="988">
        <v>123683</v>
      </c>
      <c r="DF19" s="992">
        <f t="shared" si="55"/>
        <v>61</v>
      </c>
      <c r="DG19" s="988">
        <f t="shared" si="56"/>
        <v>123683</v>
      </c>
      <c r="DH19" s="988"/>
      <c r="DI19" s="988">
        <v>123696</v>
      </c>
      <c r="DJ19" s="992">
        <f t="shared" si="57"/>
        <v>13</v>
      </c>
      <c r="DK19" s="988">
        <f t="shared" si="1"/>
        <v>123696</v>
      </c>
      <c r="DL19" s="988"/>
      <c r="DM19" s="988">
        <v>123727</v>
      </c>
      <c r="DN19" s="992">
        <f t="shared" si="58"/>
        <v>31</v>
      </c>
      <c r="DO19" s="988">
        <f t="shared" si="2"/>
        <v>123727</v>
      </c>
      <c r="DP19" s="988"/>
      <c r="DQ19" s="988">
        <v>123740</v>
      </c>
      <c r="DR19" s="992">
        <f t="shared" si="59"/>
        <v>13</v>
      </c>
      <c r="DS19" s="988">
        <f t="shared" si="3"/>
        <v>123740</v>
      </c>
      <c r="DT19" s="988"/>
      <c r="DU19" s="988"/>
      <c r="DV19" s="992">
        <f t="shared" si="60"/>
        <v>-123740</v>
      </c>
      <c r="DW19" s="988">
        <f t="shared" si="61"/>
        <v>171703</v>
      </c>
      <c r="DX19" s="988">
        <f t="shared" si="4"/>
        <v>50</v>
      </c>
      <c r="DY19" s="988">
        <f t="shared" si="62"/>
        <v>0</v>
      </c>
      <c r="DZ19" s="992">
        <f t="shared" si="63"/>
        <v>-171753</v>
      </c>
    </row>
    <row r="20" spans="1:130" x14ac:dyDescent="0.25">
      <c r="A20" s="2084"/>
      <c r="B20" s="991" t="s">
        <v>334</v>
      </c>
      <c r="C20" s="988"/>
      <c r="D20" s="988"/>
      <c r="E20" s="988"/>
      <c r="F20" s="992">
        <f t="shared" si="5"/>
        <v>0</v>
      </c>
      <c r="G20" s="988">
        <f t="shared" si="6"/>
        <v>0</v>
      </c>
      <c r="H20" s="988"/>
      <c r="I20" s="988"/>
      <c r="J20" s="992">
        <f t="shared" si="7"/>
        <v>0</v>
      </c>
      <c r="K20" s="988">
        <f t="shared" si="0"/>
        <v>0</v>
      </c>
      <c r="L20" s="988"/>
      <c r="M20" s="988"/>
      <c r="N20" s="992">
        <f t="shared" si="8"/>
        <v>0</v>
      </c>
      <c r="O20" s="988">
        <f t="shared" si="9"/>
        <v>0</v>
      </c>
      <c r="P20" s="988"/>
      <c r="Q20" s="988"/>
      <c r="R20" s="992">
        <f t="shared" si="10"/>
        <v>0</v>
      </c>
      <c r="S20" s="988">
        <f t="shared" si="11"/>
        <v>0</v>
      </c>
      <c r="T20" s="988"/>
      <c r="U20" s="988"/>
      <c r="V20" s="992">
        <f t="shared" si="12"/>
        <v>0</v>
      </c>
      <c r="W20" s="988">
        <f t="shared" si="13"/>
        <v>0</v>
      </c>
      <c r="X20" s="988"/>
      <c r="Y20" s="988"/>
      <c r="Z20" s="992">
        <f t="shared" si="14"/>
        <v>0</v>
      </c>
      <c r="AA20" s="988">
        <f t="shared" si="15"/>
        <v>0</v>
      </c>
      <c r="AB20" s="988"/>
      <c r="AC20" s="988"/>
      <c r="AD20" s="992">
        <f t="shared" si="16"/>
        <v>0</v>
      </c>
      <c r="AE20" s="988">
        <f t="shared" si="17"/>
        <v>0</v>
      </c>
      <c r="AF20" s="988"/>
      <c r="AG20" s="988"/>
      <c r="AH20" s="992">
        <f>AG20-AE20-AF20</f>
        <v>0</v>
      </c>
      <c r="AI20" s="988">
        <f t="shared" si="19"/>
        <v>0</v>
      </c>
      <c r="AJ20" s="988"/>
      <c r="AK20" s="988"/>
      <c r="AL20" s="992">
        <f t="shared" si="20"/>
        <v>0</v>
      </c>
      <c r="AM20" s="988">
        <f t="shared" si="21"/>
        <v>0</v>
      </c>
      <c r="AN20" s="988"/>
      <c r="AO20" s="988"/>
      <c r="AP20" s="992">
        <f t="shared" si="22"/>
        <v>0</v>
      </c>
      <c r="AQ20" s="988">
        <f t="shared" si="23"/>
        <v>0</v>
      </c>
      <c r="AR20" s="988"/>
      <c r="AS20" s="988"/>
      <c r="AT20" s="992">
        <f t="shared" si="24"/>
        <v>0</v>
      </c>
      <c r="AU20" s="988"/>
      <c r="AV20" s="988"/>
      <c r="AW20" s="988"/>
      <c r="AX20" s="992">
        <f t="shared" si="64"/>
        <v>0</v>
      </c>
      <c r="AY20" s="988">
        <f t="shared" si="26"/>
        <v>0</v>
      </c>
      <c r="AZ20" s="988"/>
      <c r="BA20" s="988"/>
      <c r="BB20" s="992">
        <f t="shared" si="27"/>
        <v>0</v>
      </c>
      <c r="BC20" s="988">
        <f t="shared" si="28"/>
        <v>0</v>
      </c>
      <c r="BD20" s="988"/>
      <c r="BE20" s="988"/>
      <c r="BF20" s="992">
        <f t="shared" si="29"/>
        <v>0</v>
      </c>
      <c r="BG20" s="988">
        <f t="shared" si="30"/>
        <v>0</v>
      </c>
      <c r="BH20" s="988"/>
      <c r="BI20" s="988"/>
      <c r="BJ20" s="992">
        <f t="shared" si="31"/>
        <v>0</v>
      </c>
      <c r="BK20" s="988">
        <f t="shared" si="32"/>
        <v>0</v>
      </c>
      <c r="BL20" s="988"/>
      <c r="BM20" s="988"/>
      <c r="BN20" s="992">
        <f t="shared" si="33"/>
        <v>0</v>
      </c>
      <c r="BO20" s="988">
        <f t="shared" si="34"/>
        <v>0</v>
      </c>
      <c r="BP20" s="988"/>
      <c r="BQ20" s="988"/>
      <c r="BR20" s="992">
        <f t="shared" si="35"/>
        <v>0</v>
      </c>
      <c r="BS20" s="988">
        <f t="shared" si="36"/>
        <v>0</v>
      </c>
      <c r="BT20" s="988"/>
      <c r="BU20" s="988"/>
      <c r="BV20" s="992">
        <f t="shared" si="37"/>
        <v>0</v>
      </c>
      <c r="BW20" s="988">
        <f t="shared" si="38"/>
        <v>0</v>
      </c>
      <c r="BX20" s="988"/>
      <c r="BY20" s="988"/>
      <c r="BZ20" s="992">
        <f t="shared" si="39"/>
        <v>0</v>
      </c>
      <c r="CA20" s="988">
        <f t="shared" si="40"/>
        <v>0</v>
      </c>
      <c r="CB20" s="988"/>
      <c r="CC20" s="988"/>
      <c r="CD20" s="992">
        <f t="shared" si="41"/>
        <v>0</v>
      </c>
      <c r="CE20" s="988">
        <f t="shared" si="42"/>
        <v>0</v>
      </c>
      <c r="CF20" s="988"/>
      <c r="CG20" s="988"/>
      <c r="CH20" s="992">
        <f t="shared" si="43"/>
        <v>0</v>
      </c>
      <c r="CI20" s="988">
        <f t="shared" si="44"/>
        <v>0</v>
      </c>
      <c r="CJ20" s="988"/>
      <c r="CK20" s="988"/>
      <c r="CL20" s="992">
        <f t="shared" si="45"/>
        <v>0</v>
      </c>
      <c r="CM20" s="988">
        <f t="shared" si="46"/>
        <v>0</v>
      </c>
      <c r="CN20" s="988"/>
      <c r="CO20" s="988"/>
      <c r="CP20" s="992">
        <f t="shared" si="47"/>
        <v>0</v>
      </c>
      <c r="CQ20" s="988">
        <f t="shared" si="48"/>
        <v>0</v>
      </c>
      <c r="CR20" s="988"/>
      <c r="CS20" s="988"/>
      <c r="CT20" s="992">
        <f t="shared" si="49"/>
        <v>0</v>
      </c>
      <c r="CU20" s="988">
        <f t="shared" si="50"/>
        <v>0</v>
      </c>
      <c r="CV20" s="988"/>
      <c r="CW20" s="988"/>
      <c r="CX20" s="992">
        <f t="shared" si="51"/>
        <v>0</v>
      </c>
      <c r="CY20" s="988">
        <f t="shared" si="52"/>
        <v>0</v>
      </c>
      <c r="CZ20" s="988"/>
      <c r="DA20" s="988"/>
      <c r="DB20" s="992">
        <f t="shared" si="53"/>
        <v>0</v>
      </c>
      <c r="DC20" s="988">
        <f t="shared" si="54"/>
        <v>0</v>
      </c>
      <c r="DD20" s="988"/>
      <c r="DE20" s="988"/>
      <c r="DF20" s="992">
        <f t="shared" si="55"/>
        <v>0</v>
      </c>
      <c r="DG20" s="988">
        <f t="shared" si="56"/>
        <v>0</v>
      </c>
      <c r="DH20" s="988"/>
      <c r="DI20" s="988"/>
      <c r="DJ20" s="992">
        <f t="shared" si="57"/>
        <v>0</v>
      </c>
      <c r="DK20" s="988"/>
      <c r="DL20" s="988"/>
      <c r="DM20" s="988"/>
      <c r="DN20" s="992">
        <f t="shared" si="58"/>
        <v>0</v>
      </c>
      <c r="DO20" s="988">
        <f t="shared" si="2"/>
        <v>0</v>
      </c>
      <c r="DP20" s="988"/>
      <c r="DQ20" s="988"/>
      <c r="DR20" s="992">
        <f t="shared" si="59"/>
        <v>0</v>
      </c>
      <c r="DS20" s="988"/>
      <c r="DT20" s="988"/>
      <c r="DU20" s="988"/>
      <c r="DV20" s="992">
        <f t="shared" si="60"/>
        <v>0</v>
      </c>
      <c r="DW20" s="988">
        <f t="shared" si="61"/>
        <v>0</v>
      </c>
      <c r="DX20" s="988">
        <f t="shared" si="4"/>
        <v>0</v>
      </c>
      <c r="DY20" s="988">
        <f t="shared" si="62"/>
        <v>0</v>
      </c>
      <c r="DZ20" s="992">
        <f t="shared" si="63"/>
        <v>0</v>
      </c>
    </row>
    <row r="21" spans="1:130" x14ac:dyDescent="0.25">
      <c r="A21" s="2084"/>
      <c r="B21" s="991"/>
      <c r="C21" s="988"/>
      <c r="D21" s="988"/>
      <c r="E21" s="988"/>
      <c r="F21" s="992"/>
      <c r="G21" s="988"/>
      <c r="H21" s="988"/>
      <c r="I21" s="988"/>
      <c r="J21" s="992"/>
      <c r="K21" s="988"/>
      <c r="L21" s="988"/>
      <c r="M21" s="988"/>
      <c r="N21" s="992"/>
      <c r="O21" s="988"/>
      <c r="P21" s="988"/>
      <c r="Q21" s="988"/>
      <c r="R21" s="992"/>
      <c r="S21" s="988"/>
      <c r="T21" s="988"/>
      <c r="U21" s="988"/>
      <c r="V21" s="992"/>
      <c r="W21" s="988"/>
      <c r="X21" s="988"/>
      <c r="Y21" s="988"/>
      <c r="Z21" s="992"/>
      <c r="AA21" s="988"/>
      <c r="AB21" s="988"/>
      <c r="AC21" s="988"/>
      <c r="AD21" s="992"/>
      <c r="AE21" s="988"/>
      <c r="AF21" s="988"/>
      <c r="AG21" s="988"/>
      <c r="AH21" s="992"/>
      <c r="AI21" s="988"/>
      <c r="AJ21" s="988"/>
      <c r="AK21" s="988"/>
      <c r="AL21" s="992"/>
      <c r="AM21" s="988"/>
      <c r="AN21" s="988"/>
      <c r="AO21" s="988"/>
      <c r="AP21" s="992"/>
      <c r="AQ21" s="988"/>
      <c r="AR21" s="988"/>
      <c r="AS21" s="988"/>
      <c r="AT21" s="992"/>
      <c r="AU21" s="988"/>
      <c r="AV21" s="988"/>
      <c r="AW21" s="988"/>
      <c r="AX21" s="992"/>
      <c r="AY21" s="988"/>
      <c r="AZ21" s="988"/>
      <c r="BA21" s="988"/>
      <c r="BB21" s="992"/>
      <c r="BC21" s="988"/>
      <c r="BD21" s="988"/>
      <c r="BE21" s="988"/>
      <c r="BF21" s="992"/>
      <c r="BG21" s="988"/>
      <c r="BH21" s="988"/>
      <c r="BI21" s="988"/>
      <c r="BJ21" s="992"/>
      <c r="BK21" s="988"/>
      <c r="BL21" s="988"/>
      <c r="BM21" s="988"/>
      <c r="BN21" s="992"/>
      <c r="BO21" s="988"/>
      <c r="BP21" s="988"/>
      <c r="BQ21" s="988"/>
      <c r="BR21" s="992"/>
      <c r="BS21" s="988"/>
      <c r="BT21" s="988"/>
      <c r="BU21" s="988"/>
      <c r="BV21" s="992"/>
      <c r="BW21" s="988"/>
      <c r="BX21" s="988"/>
      <c r="BY21" s="988"/>
      <c r="BZ21" s="992"/>
      <c r="CA21" s="988"/>
      <c r="CB21" s="988"/>
      <c r="CC21" s="988"/>
      <c r="CD21" s="992"/>
      <c r="CE21" s="988"/>
      <c r="CF21" s="988"/>
      <c r="CG21" s="988"/>
      <c r="CH21" s="992"/>
      <c r="CI21" s="988"/>
      <c r="CJ21" s="988"/>
      <c r="CK21" s="988"/>
      <c r="CL21" s="992"/>
      <c r="CM21" s="988"/>
      <c r="CN21" s="988"/>
      <c r="CO21" s="988"/>
      <c r="CP21" s="992"/>
      <c r="CQ21" s="988"/>
      <c r="CR21" s="988"/>
      <c r="CS21" s="988"/>
      <c r="CT21" s="992"/>
      <c r="CU21" s="988"/>
      <c r="CV21" s="988"/>
      <c r="CW21" s="988"/>
      <c r="CX21" s="992"/>
      <c r="CY21" s="988"/>
      <c r="CZ21" s="988"/>
      <c r="DA21" s="988"/>
      <c r="DB21" s="992"/>
      <c r="DC21" s="988"/>
      <c r="DD21" s="988"/>
      <c r="DE21" s="988"/>
      <c r="DF21" s="992"/>
      <c r="DG21" s="988"/>
      <c r="DH21" s="988"/>
      <c r="DI21" s="988"/>
      <c r="DJ21" s="992"/>
      <c r="DK21" s="988"/>
      <c r="DL21" s="988"/>
      <c r="DM21" s="988"/>
      <c r="DN21" s="992"/>
      <c r="DO21" s="988"/>
      <c r="DP21" s="988"/>
      <c r="DQ21" s="988"/>
      <c r="DR21" s="992"/>
      <c r="DS21" s="988"/>
      <c r="DT21" s="988"/>
      <c r="DU21" s="988"/>
      <c r="DV21" s="992"/>
      <c r="DW21" s="988"/>
      <c r="DX21" s="988"/>
      <c r="DY21" s="988"/>
      <c r="DZ21" s="992"/>
    </row>
    <row r="22" spans="1:130" x14ac:dyDescent="0.25">
      <c r="A22" s="2084"/>
      <c r="B22" s="993"/>
      <c r="C22" s="994"/>
      <c r="D22" s="994"/>
      <c r="E22" s="994"/>
      <c r="F22" s="699">
        <f>SUM(F4:F21)</f>
        <v>2439</v>
      </c>
      <c r="G22" s="994"/>
      <c r="H22" s="994"/>
      <c r="I22" s="994"/>
      <c r="J22" s="699">
        <f>SUM(J4:J21)</f>
        <v>3192</v>
      </c>
      <c r="K22" s="994"/>
      <c r="L22" s="994"/>
      <c r="M22" s="994"/>
      <c r="N22" s="699">
        <f>SUM(N4:N21)</f>
        <v>2741</v>
      </c>
      <c r="O22" s="994"/>
      <c r="P22" s="994"/>
      <c r="Q22" s="994"/>
      <c r="R22" s="699">
        <f>SUM(R4:R21)</f>
        <v>3941</v>
      </c>
      <c r="S22" s="994"/>
      <c r="T22" s="994"/>
      <c r="U22" s="994"/>
      <c r="V22" s="699">
        <f>SUM(V4:V21)</f>
        <v>2913</v>
      </c>
      <c r="W22" s="994"/>
      <c r="X22" s="994"/>
      <c r="Y22" s="994"/>
      <c r="Z22" s="699">
        <f>SUM(Z4:Z21)</f>
        <v>3782</v>
      </c>
      <c r="AA22" s="994"/>
      <c r="AB22" s="994"/>
      <c r="AC22" s="994"/>
      <c r="AD22" s="699">
        <f>SUM(AD4:AD21)</f>
        <v>3732</v>
      </c>
      <c r="AE22" s="994"/>
      <c r="AF22" s="994"/>
      <c r="AG22" s="994"/>
      <c r="AH22" s="699">
        <f>SUM(AH4:AH21)</f>
        <v>2907</v>
      </c>
      <c r="AI22" s="994"/>
      <c r="AJ22" s="994"/>
      <c r="AK22" s="994"/>
      <c r="AL22" s="699">
        <f>SUM(AL4:AL21)</f>
        <v>2589</v>
      </c>
      <c r="AM22" s="994"/>
      <c r="AN22" s="994"/>
      <c r="AO22" s="994"/>
      <c r="AP22" s="699">
        <f>SUM(AP4:AP21)</f>
        <v>3192</v>
      </c>
      <c r="AQ22" s="994"/>
      <c r="AR22" s="994"/>
      <c r="AS22" s="994"/>
      <c r="AT22" s="699">
        <f>SUM(AT4:AT21)</f>
        <v>2399</v>
      </c>
      <c r="AU22" s="994"/>
      <c r="AV22" s="994"/>
      <c r="AW22" s="994"/>
      <c r="AX22" s="699">
        <f>SUM(AX4:AX21)</f>
        <v>2930</v>
      </c>
      <c r="AY22" s="994"/>
      <c r="AZ22" s="994"/>
      <c r="BA22" s="994"/>
      <c r="BB22" s="699">
        <f>SUM(BB4:BB21)</f>
        <v>2943</v>
      </c>
      <c r="BC22" s="994"/>
      <c r="BD22" s="994"/>
      <c r="BE22" s="994"/>
      <c r="BF22" s="699">
        <f>SUM(BF4:BF21)</f>
        <v>-10991219</v>
      </c>
      <c r="BG22" s="994"/>
      <c r="BH22" s="994"/>
      <c r="BI22" s="994"/>
      <c r="BJ22" s="699">
        <f>SUM(BJ4:BJ21)</f>
        <v>5444201</v>
      </c>
      <c r="BK22" s="994"/>
      <c r="BL22" s="994"/>
      <c r="BM22" s="994"/>
      <c r="BN22" s="699">
        <f>SUM(BN4:BN21)</f>
        <v>5060</v>
      </c>
      <c r="BO22" s="994"/>
      <c r="BP22" s="994"/>
      <c r="BQ22" s="994"/>
      <c r="BR22" s="699">
        <f>SUM(BR4:BR21)</f>
        <v>5061</v>
      </c>
      <c r="BS22" s="994"/>
      <c r="BT22" s="994"/>
      <c r="BU22" s="994"/>
      <c r="BV22" s="699">
        <f>SUM(BV4:BV21)</f>
        <v>3329</v>
      </c>
      <c r="BW22" s="994"/>
      <c r="BX22" s="994"/>
      <c r="BY22" s="994"/>
      <c r="BZ22" s="699">
        <f>SUM(BZ4:BZ21)</f>
        <v>3599</v>
      </c>
      <c r="CA22" s="994"/>
      <c r="CB22" s="994"/>
      <c r="CC22" s="994"/>
      <c r="CD22" s="699">
        <f>SUM(CD4:CD21)</f>
        <v>6032</v>
      </c>
      <c r="CE22" s="994"/>
      <c r="CF22" s="994"/>
      <c r="CG22" s="994"/>
      <c r="CH22" s="699">
        <f>SUM(CH4:CH21)</f>
        <v>4398</v>
      </c>
      <c r="CI22" s="994"/>
      <c r="CJ22" s="994"/>
      <c r="CK22" s="994"/>
      <c r="CL22" s="699">
        <f>SUM(CL4:CL21)</f>
        <v>5267</v>
      </c>
      <c r="CM22" s="994"/>
      <c r="CN22" s="994"/>
      <c r="CO22" s="994"/>
      <c r="CP22" s="699">
        <f>SUM(CP4:CP21)</f>
        <v>4636</v>
      </c>
      <c r="CQ22" s="994"/>
      <c r="CR22" s="994"/>
      <c r="CS22" s="994"/>
      <c r="CT22" s="699">
        <f>SUM(CT4:CT21)</f>
        <v>4916</v>
      </c>
      <c r="CU22" s="994"/>
      <c r="CV22" s="994"/>
      <c r="CW22" s="994"/>
      <c r="CX22" s="699">
        <f>SUM(CX4:CX21)</f>
        <v>3810</v>
      </c>
      <c r="CY22" s="994"/>
      <c r="CZ22" s="994"/>
      <c r="DA22" s="994"/>
      <c r="DB22" s="699">
        <f>SUM(DB4:DB21)</f>
        <v>3845</v>
      </c>
      <c r="DC22" s="994"/>
      <c r="DD22" s="994"/>
      <c r="DE22" s="994"/>
      <c r="DF22" s="699">
        <f>SUM(DF4:DF21)</f>
        <v>5437</v>
      </c>
      <c r="DG22" s="994"/>
      <c r="DH22" s="994"/>
      <c r="DI22" s="994"/>
      <c r="DJ22" s="699">
        <f>SUM(DJ4:DJ21)</f>
        <v>4369</v>
      </c>
      <c r="DK22" s="994"/>
      <c r="DL22" s="994"/>
      <c r="DM22" s="994"/>
      <c r="DN22" s="699">
        <f>SUM(DN4:DN21)</f>
        <v>5340</v>
      </c>
      <c r="DO22" s="994"/>
      <c r="DP22" s="994"/>
      <c r="DQ22" s="994"/>
      <c r="DR22" s="699">
        <f>SUM(DR4:DR21)</f>
        <v>7705</v>
      </c>
      <c r="DS22" s="994"/>
      <c r="DT22" s="994"/>
      <c r="DU22" s="994"/>
      <c r="DV22" s="699">
        <f>SUM(DV4:DV21)</f>
        <v>-5517355</v>
      </c>
      <c r="DW22" s="994"/>
      <c r="DX22" s="994"/>
      <c r="DY22" s="994"/>
      <c r="DZ22" s="699">
        <f>SUM(DZ4:DZ21)</f>
        <v>-10985696</v>
      </c>
    </row>
    <row r="23" spans="1:130" x14ac:dyDescent="0.25">
      <c r="A23" s="2084"/>
      <c r="B23" s="2086" t="s">
        <v>335</v>
      </c>
      <c r="C23" s="2087"/>
      <c r="D23" s="988"/>
      <c r="E23" s="995" t="s">
        <v>95</v>
      </c>
      <c r="F23" s="989"/>
      <c r="G23" s="988"/>
      <c r="H23" s="688"/>
      <c r="I23" s="995" t="s">
        <v>95</v>
      </c>
      <c r="J23" s="989"/>
      <c r="K23" s="988"/>
      <c r="L23" s="988"/>
      <c r="M23" s="995" t="s">
        <v>95</v>
      </c>
      <c r="N23" s="989"/>
      <c r="O23" s="988"/>
      <c r="P23" s="988"/>
      <c r="Q23" s="995" t="s">
        <v>95</v>
      </c>
      <c r="R23" s="989"/>
      <c r="S23" s="988"/>
      <c r="T23" s="988"/>
      <c r="U23" s="995" t="s">
        <v>95</v>
      </c>
      <c r="V23" s="989"/>
      <c r="W23" s="988"/>
      <c r="X23" s="988"/>
      <c r="Y23" s="995" t="s">
        <v>95</v>
      </c>
      <c r="Z23" s="989"/>
      <c r="AA23" s="988"/>
      <c r="AB23" s="988"/>
      <c r="AC23" s="995" t="s">
        <v>95</v>
      </c>
      <c r="AD23" s="989"/>
      <c r="AE23" s="988"/>
      <c r="AF23" s="988"/>
      <c r="AG23" s="995" t="s">
        <v>95</v>
      </c>
      <c r="AH23" s="989"/>
      <c r="AI23" s="988"/>
      <c r="AJ23" s="988"/>
      <c r="AK23" s="995" t="s">
        <v>95</v>
      </c>
      <c r="AL23" s="989"/>
      <c r="AM23" s="988"/>
      <c r="AN23" s="988"/>
      <c r="AO23" s="995" t="s">
        <v>95</v>
      </c>
      <c r="AP23" s="989"/>
      <c r="AQ23" s="988"/>
      <c r="AR23" s="988"/>
      <c r="AS23" s="995" t="s">
        <v>95</v>
      </c>
      <c r="AT23" s="989"/>
      <c r="AU23" s="988"/>
      <c r="AV23" s="988"/>
      <c r="AW23" s="995" t="s">
        <v>95</v>
      </c>
      <c r="AX23" s="989"/>
      <c r="AY23" s="988"/>
      <c r="AZ23" s="988"/>
      <c r="BA23" s="995" t="s">
        <v>95</v>
      </c>
      <c r="BB23" s="989"/>
      <c r="BC23" s="988"/>
      <c r="BD23" s="988"/>
      <c r="BE23" s="995" t="s">
        <v>95</v>
      </c>
      <c r="BF23" s="989"/>
      <c r="BG23" s="988"/>
      <c r="BH23" s="988"/>
      <c r="BI23" s="995" t="s">
        <v>95</v>
      </c>
      <c r="BJ23" s="989"/>
      <c r="BK23" s="988"/>
      <c r="BL23" s="988"/>
      <c r="BM23" s="995" t="s">
        <v>95</v>
      </c>
      <c r="BN23" s="989"/>
      <c r="BO23" s="988"/>
      <c r="BP23" s="988"/>
      <c r="BQ23" s="995" t="s">
        <v>95</v>
      </c>
      <c r="BR23" s="989"/>
      <c r="BS23" s="988"/>
      <c r="BT23" s="988"/>
      <c r="BU23" s="995" t="s">
        <v>95</v>
      </c>
      <c r="BV23" s="989"/>
      <c r="BW23" s="988"/>
      <c r="BX23" s="988"/>
      <c r="BY23" s="995" t="s">
        <v>95</v>
      </c>
      <c r="BZ23" s="989"/>
      <c r="CA23" s="988"/>
      <c r="CB23" s="988"/>
      <c r="CC23" s="995" t="s">
        <v>95</v>
      </c>
      <c r="CD23" s="989"/>
      <c r="CE23" s="988"/>
      <c r="CF23" s="988"/>
      <c r="CG23" s="995" t="s">
        <v>95</v>
      </c>
      <c r="CH23" s="989"/>
      <c r="CI23" s="988"/>
      <c r="CJ23" s="988"/>
      <c r="CK23" s="995" t="s">
        <v>95</v>
      </c>
      <c r="CL23" s="989"/>
      <c r="CM23" s="988"/>
      <c r="CN23" s="988"/>
      <c r="CO23" s="995" t="s">
        <v>95</v>
      </c>
      <c r="CP23" s="989"/>
      <c r="CQ23" s="988"/>
      <c r="CR23" s="988"/>
      <c r="CS23" s="995" t="s">
        <v>95</v>
      </c>
      <c r="CT23" s="989"/>
      <c r="CU23" s="988"/>
      <c r="CV23" s="988"/>
      <c r="CW23" s="995" t="s">
        <v>95</v>
      </c>
      <c r="CX23" s="989"/>
      <c r="CY23" s="988"/>
      <c r="CZ23" s="988"/>
      <c r="DA23" s="995" t="s">
        <v>95</v>
      </c>
      <c r="DB23" s="989"/>
      <c r="DC23" s="988"/>
      <c r="DD23" s="988"/>
      <c r="DE23" s="995" t="s">
        <v>95</v>
      </c>
      <c r="DF23" s="989"/>
      <c r="DG23" s="988"/>
      <c r="DH23" s="988"/>
      <c r="DI23" s="995" t="s">
        <v>95</v>
      </c>
      <c r="DJ23" s="989"/>
      <c r="DK23" s="988"/>
      <c r="DL23" s="988"/>
      <c r="DM23" s="995" t="s">
        <v>95</v>
      </c>
      <c r="DN23" s="989"/>
      <c r="DO23" s="988"/>
      <c r="DP23" s="988"/>
      <c r="DQ23" s="995" t="s">
        <v>95</v>
      </c>
      <c r="DR23" s="989"/>
      <c r="DS23" s="988"/>
      <c r="DT23" s="988"/>
      <c r="DU23" s="995" t="s">
        <v>95</v>
      </c>
      <c r="DV23" s="989"/>
      <c r="DW23" s="988"/>
      <c r="DX23" s="988"/>
      <c r="DY23" s="995" t="s">
        <v>95</v>
      </c>
      <c r="DZ23" s="989"/>
    </row>
    <row r="24" spans="1:130" x14ac:dyDescent="0.25">
      <c r="A24" s="2084"/>
      <c r="B24" s="996" t="s">
        <v>95</v>
      </c>
      <c r="C24" s="997"/>
      <c r="D24" s="988"/>
      <c r="E24" s="998" t="s">
        <v>336</v>
      </c>
      <c r="F24" s="992">
        <v>14585</v>
      </c>
      <c r="G24" s="988"/>
      <c r="H24" s="688"/>
      <c r="I24" s="998" t="s">
        <v>336</v>
      </c>
      <c r="J24" s="992">
        <v>12759</v>
      </c>
      <c r="K24" s="988"/>
      <c r="L24" s="988"/>
      <c r="M24" s="998" t="s">
        <v>336</v>
      </c>
      <c r="N24" s="992">
        <f>+J28</f>
        <v>10446</v>
      </c>
      <c r="O24" s="988"/>
      <c r="P24" s="988"/>
      <c r="Q24" s="998" t="s">
        <v>336</v>
      </c>
      <c r="R24" s="992">
        <f>+N28</f>
        <v>8238</v>
      </c>
      <c r="S24" s="988"/>
      <c r="T24" s="988"/>
      <c r="U24" s="998" t="s">
        <v>336</v>
      </c>
      <c r="V24" s="992">
        <f>+R28</f>
        <v>16264</v>
      </c>
      <c r="W24" s="988"/>
      <c r="X24" s="988"/>
      <c r="Y24" s="998" t="s">
        <v>336</v>
      </c>
      <c r="Z24" s="992">
        <f>+V28</f>
        <v>14483</v>
      </c>
      <c r="AA24" s="988"/>
      <c r="AB24" s="988"/>
      <c r="AC24" s="998" t="s">
        <v>336</v>
      </c>
      <c r="AD24" s="992">
        <f>+Z28</f>
        <v>11904</v>
      </c>
      <c r="AE24" s="988"/>
      <c r="AF24" s="988"/>
      <c r="AG24" s="998" t="s">
        <v>336</v>
      </c>
      <c r="AH24" s="992">
        <f>+AD28</f>
        <v>9311</v>
      </c>
      <c r="AI24" s="988"/>
      <c r="AJ24" s="988"/>
      <c r="AK24" s="998" t="s">
        <v>336</v>
      </c>
      <c r="AL24" s="992">
        <f>+AH28</f>
        <v>7232</v>
      </c>
      <c r="AM24" s="988"/>
      <c r="AN24" s="988"/>
      <c r="AO24" s="998" t="s">
        <v>336</v>
      </c>
      <c r="AP24" s="992">
        <f>+AL28</f>
        <v>5491</v>
      </c>
      <c r="AQ24" s="988"/>
      <c r="AR24" s="988"/>
      <c r="AS24" s="998" t="s">
        <v>336</v>
      </c>
      <c r="AT24" s="992">
        <f>+AP28</f>
        <v>13499</v>
      </c>
      <c r="AU24" s="988"/>
      <c r="AV24" s="988"/>
      <c r="AW24" s="998" t="s">
        <v>336</v>
      </c>
      <c r="AX24" s="992">
        <f>+AT28</f>
        <v>11850</v>
      </c>
      <c r="AY24" s="988"/>
      <c r="AZ24" s="988"/>
      <c r="BA24" s="998" t="s">
        <v>336</v>
      </c>
      <c r="BB24" s="992">
        <f>+AX28</f>
        <v>9959</v>
      </c>
      <c r="BC24" s="988"/>
      <c r="BD24" s="988"/>
      <c r="BE24" s="998" t="s">
        <v>336</v>
      </c>
      <c r="BF24" s="992">
        <f>+BB28</f>
        <v>16826</v>
      </c>
      <c r="BG24" s="988"/>
      <c r="BH24" s="988"/>
      <c r="BI24" s="998" t="s">
        <v>336</v>
      </c>
      <c r="BJ24" s="992">
        <f>+BF28</f>
        <v>19340</v>
      </c>
      <c r="BK24" s="988"/>
      <c r="BL24" s="988"/>
      <c r="BM24" s="998" t="s">
        <v>336</v>
      </c>
      <c r="BN24" s="992">
        <f>+BJ28</f>
        <v>19850</v>
      </c>
      <c r="BO24" s="988"/>
      <c r="BP24" s="988"/>
      <c r="BQ24" s="998" t="s">
        <v>336</v>
      </c>
      <c r="BR24" s="992">
        <f>+BN28</f>
        <v>19960</v>
      </c>
      <c r="BS24" s="988"/>
      <c r="BT24" s="988"/>
      <c r="BU24" s="998" t="s">
        <v>336</v>
      </c>
      <c r="BV24" s="992">
        <f>+BR28</f>
        <v>15775</v>
      </c>
      <c r="BW24" s="988"/>
      <c r="BX24" s="988"/>
      <c r="BY24" s="998" t="s">
        <v>336</v>
      </c>
      <c r="BZ24" s="992">
        <f>+BV28</f>
        <v>13340</v>
      </c>
      <c r="CA24" s="988"/>
      <c r="CB24" s="988"/>
      <c r="CC24" s="998" t="s">
        <v>336</v>
      </c>
      <c r="CD24" s="992">
        <f>+BZ28</f>
        <v>16427</v>
      </c>
      <c r="CE24" s="988"/>
      <c r="CF24" s="988"/>
      <c r="CG24" s="998" t="s">
        <v>336</v>
      </c>
      <c r="CH24" s="992">
        <f>+CD28</f>
        <v>20360</v>
      </c>
      <c r="CI24" s="988"/>
      <c r="CJ24" s="988"/>
      <c r="CK24" s="998" t="s">
        <v>336</v>
      </c>
      <c r="CL24" s="992">
        <f>+CH28</f>
        <v>19399</v>
      </c>
      <c r="CM24" s="988"/>
      <c r="CN24" s="988"/>
      <c r="CO24" s="998" t="s">
        <v>336</v>
      </c>
      <c r="CP24" s="992">
        <f>+CL28</f>
        <v>16371</v>
      </c>
      <c r="CQ24" s="988"/>
      <c r="CR24" s="988"/>
      <c r="CS24" s="998" t="s">
        <v>336</v>
      </c>
      <c r="CT24" s="992">
        <f>+CP28</f>
        <v>20134</v>
      </c>
      <c r="CU24" s="988"/>
      <c r="CV24" s="988"/>
      <c r="CW24" s="998" t="s">
        <v>336</v>
      </c>
      <c r="CX24" s="992">
        <f>+CT28</f>
        <v>15650</v>
      </c>
      <c r="CY24" s="988"/>
      <c r="CZ24" s="988"/>
      <c r="DA24" s="998" t="s">
        <v>336</v>
      </c>
      <c r="DB24" s="992">
        <f>+CX28</f>
        <v>12800</v>
      </c>
      <c r="DC24" s="988"/>
      <c r="DD24" s="988"/>
      <c r="DE24" s="998" t="s">
        <v>336</v>
      </c>
      <c r="DF24" s="992">
        <f>+DB28</f>
        <v>17235</v>
      </c>
      <c r="DG24" s="988"/>
      <c r="DH24" s="988"/>
      <c r="DI24" s="998" t="s">
        <v>336</v>
      </c>
      <c r="DJ24" s="992">
        <f>+DF28</f>
        <v>19830</v>
      </c>
      <c r="DK24" s="988"/>
      <c r="DL24" s="988"/>
      <c r="DM24" s="998" t="s">
        <v>336</v>
      </c>
      <c r="DN24" s="992">
        <f>+DJ28</f>
        <v>19342</v>
      </c>
      <c r="DO24" s="988"/>
      <c r="DP24" s="988"/>
      <c r="DQ24" s="998" t="s">
        <v>336</v>
      </c>
      <c r="DR24" s="992">
        <f>+DN28</f>
        <v>18668</v>
      </c>
      <c r="DS24" s="988"/>
      <c r="DT24" s="988"/>
      <c r="DU24" s="998" t="s">
        <v>336</v>
      </c>
      <c r="DV24" s="992"/>
      <c r="DW24" s="988"/>
      <c r="DX24" s="988"/>
      <c r="DY24" s="998" t="s">
        <v>336</v>
      </c>
      <c r="DZ24" s="992"/>
    </row>
    <row r="25" spans="1:130" x14ac:dyDescent="0.25">
      <c r="A25" s="2084"/>
      <c r="B25" s="996" t="s">
        <v>96</v>
      </c>
      <c r="C25" s="997"/>
      <c r="D25" s="988"/>
      <c r="E25" s="998" t="s">
        <v>219</v>
      </c>
      <c r="F25" s="992"/>
      <c r="G25" s="988"/>
      <c r="H25" s="688"/>
      <c r="I25" s="998" t="s">
        <v>219</v>
      </c>
      <c r="J25" s="992"/>
      <c r="K25" s="988"/>
      <c r="L25" s="988"/>
      <c r="M25" s="998" t="s">
        <v>219</v>
      </c>
      <c r="N25" s="992"/>
      <c r="O25" s="988"/>
      <c r="P25" s="988"/>
      <c r="Q25" s="998" t="s">
        <v>219</v>
      </c>
      <c r="R25" s="992">
        <v>10000</v>
      </c>
      <c r="S25" s="988"/>
      <c r="T25" s="988"/>
      <c r="U25" s="998" t="s">
        <v>219</v>
      </c>
      <c r="V25" s="992">
        <v>0</v>
      </c>
      <c r="W25" s="988"/>
      <c r="X25" s="988"/>
      <c r="Y25" s="998" t="s">
        <v>219</v>
      </c>
      <c r="Z25" s="992"/>
      <c r="AA25" s="988"/>
      <c r="AB25" s="988"/>
      <c r="AC25" s="998" t="s">
        <v>219</v>
      </c>
      <c r="AD25" s="992"/>
      <c r="AE25" s="988"/>
      <c r="AF25" s="988"/>
      <c r="AG25" s="998" t="s">
        <v>219</v>
      </c>
      <c r="AH25" s="992"/>
      <c r="AI25" s="988"/>
      <c r="AJ25" s="988"/>
      <c r="AK25" s="998" t="s">
        <v>219</v>
      </c>
      <c r="AL25" s="992"/>
      <c r="AM25" s="988"/>
      <c r="AN25" s="988"/>
      <c r="AO25" s="998" t="s">
        <v>219</v>
      </c>
      <c r="AP25" s="992">
        <v>10000</v>
      </c>
      <c r="AQ25" s="988"/>
      <c r="AR25" s="988"/>
      <c r="AS25" s="998" t="s">
        <v>219</v>
      </c>
      <c r="AT25" s="992"/>
      <c r="AU25" s="988"/>
      <c r="AV25" s="988"/>
      <c r="AW25" s="998" t="s">
        <v>219</v>
      </c>
      <c r="AX25" s="992">
        <v>0</v>
      </c>
      <c r="AY25" s="988"/>
      <c r="AZ25" s="988"/>
      <c r="BA25" s="998" t="s">
        <v>219</v>
      </c>
      <c r="BB25" s="992">
        <v>9000</v>
      </c>
      <c r="BC25" s="988"/>
      <c r="BD25" s="988"/>
      <c r="BE25" s="998" t="s">
        <v>219</v>
      </c>
      <c r="BF25" s="992">
        <v>6000</v>
      </c>
      <c r="BG25" s="988"/>
      <c r="BH25" s="988"/>
      <c r="BI25" s="998" t="s">
        <v>219</v>
      </c>
      <c r="BJ25" s="992">
        <v>3000</v>
      </c>
      <c r="BK25" s="988"/>
      <c r="BL25" s="988"/>
      <c r="BM25" s="998" t="s">
        <v>219</v>
      </c>
      <c r="BN25" s="992">
        <v>4000</v>
      </c>
      <c r="BO25" s="988"/>
      <c r="BP25" s="988"/>
      <c r="BQ25" s="998" t="s">
        <v>219</v>
      </c>
      <c r="BR25" s="992"/>
      <c r="BS25" s="988"/>
      <c r="BT25" s="988"/>
      <c r="BU25" s="998" t="s">
        <v>219</v>
      </c>
      <c r="BV25" s="992"/>
      <c r="BW25" s="988"/>
      <c r="BX25" s="988"/>
      <c r="BY25" s="998" t="s">
        <v>219</v>
      </c>
      <c r="BZ25" s="992">
        <v>6000</v>
      </c>
      <c r="CA25" s="988"/>
      <c r="CB25" s="988"/>
      <c r="CC25" s="998" t="s">
        <v>219</v>
      </c>
      <c r="CD25" s="992">
        <v>7000</v>
      </c>
      <c r="CE25" s="988"/>
      <c r="CF25" s="988"/>
      <c r="CG25" s="998" t="s">
        <v>219</v>
      </c>
      <c r="CH25" s="992">
        <v>2000</v>
      </c>
      <c r="CI25" s="988"/>
      <c r="CJ25" s="988"/>
      <c r="CK25" s="998" t="s">
        <v>219</v>
      </c>
      <c r="CL25" s="992"/>
      <c r="CM25" s="988"/>
      <c r="CN25" s="988"/>
      <c r="CO25" s="998" t="s">
        <v>219</v>
      </c>
      <c r="CP25" s="992">
        <v>8000</v>
      </c>
      <c r="CQ25" s="988"/>
      <c r="CR25" s="988"/>
      <c r="CS25" s="998" t="s">
        <v>219</v>
      </c>
      <c r="CT25" s="992"/>
      <c r="CU25" s="988"/>
      <c r="CV25" s="988"/>
      <c r="CW25" s="998" t="s">
        <v>219</v>
      </c>
      <c r="CX25" s="992"/>
      <c r="CY25" s="988"/>
      <c r="CZ25" s="988"/>
      <c r="DA25" s="998" t="s">
        <v>219</v>
      </c>
      <c r="DB25" s="992">
        <v>7000</v>
      </c>
      <c r="DC25" s="988"/>
      <c r="DD25" s="988"/>
      <c r="DE25" s="998" t="s">
        <v>219</v>
      </c>
      <c r="DF25" s="992">
        <v>6000</v>
      </c>
      <c r="DG25" s="988"/>
      <c r="DH25" s="988"/>
      <c r="DI25" s="998" t="s">
        <v>219</v>
      </c>
      <c r="DJ25" s="992">
        <v>2000</v>
      </c>
      <c r="DK25" s="988"/>
      <c r="DL25" s="988"/>
      <c r="DM25" s="998" t="s">
        <v>219</v>
      </c>
      <c r="DN25" s="992">
        <v>2000</v>
      </c>
      <c r="DO25" s="988"/>
      <c r="DP25" s="988"/>
      <c r="DQ25" s="998" t="s">
        <v>219</v>
      </c>
      <c r="DR25" s="992">
        <v>7000</v>
      </c>
      <c r="DS25" s="988"/>
      <c r="DT25" s="988"/>
      <c r="DU25" s="998" t="s">
        <v>219</v>
      </c>
      <c r="DV25" s="992"/>
      <c r="DW25" s="988"/>
      <c r="DX25" s="988"/>
      <c r="DY25" s="998" t="s">
        <v>219</v>
      </c>
      <c r="DZ25" s="992"/>
    </row>
    <row r="26" spans="1:130" x14ac:dyDescent="0.25">
      <c r="A26" s="2084"/>
      <c r="B26" s="996" t="s">
        <v>337</v>
      </c>
      <c r="C26" s="997"/>
      <c r="D26" s="988"/>
      <c r="E26" s="998" t="s">
        <v>338</v>
      </c>
      <c r="F26" s="992">
        <f>+F4+F5+F6+F7+F8+F9</f>
        <v>1783</v>
      </c>
      <c r="G26" s="688"/>
      <c r="H26" s="688"/>
      <c r="I26" s="998" t="s">
        <v>338</v>
      </c>
      <c r="J26" s="992">
        <f>+J4+J5+J6+J7+J8+J9</f>
        <v>2277</v>
      </c>
      <c r="K26" s="988"/>
      <c r="L26" s="988"/>
      <c r="M26" s="998" t="s">
        <v>338</v>
      </c>
      <c r="N26" s="992">
        <f>+N4+N5+N6+N7+N8+N9</f>
        <v>2215</v>
      </c>
      <c r="O26" s="988"/>
      <c r="P26" s="988"/>
      <c r="Q26" s="998" t="s">
        <v>338</v>
      </c>
      <c r="R26" s="992">
        <f>+R4+R5+R6+R7+R8+R9</f>
        <v>1988</v>
      </c>
      <c r="S26" s="988"/>
      <c r="T26" s="988"/>
      <c r="U26" s="998" t="s">
        <v>338</v>
      </c>
      <c r="V26" s="992">
        <f>+V4+V5+V6+V7+V8+V9</f>
        <v>1781</v>
      </c>
      <c r="W26" s="988"/>
      <c r="X26" s="988"/>
      <c r="Y26" s="998" t="s">
        <v>338</v>
      </c>
      <c r="Z26" s="992">
        <f>+Z4+Z5+Z6+Z7+Z8+Z9</f>
        <v>2567</v>
      </c>
      <c r="AA26" s="988"/>
      <c r="AB26" s="988"/>
      <c r="AC26" s="998" t="s">
        <v>338</v>
      </c>
      <c r="AD26" s="992">
        <f>+AD4+AD5+AD6+AD7+AD8+AD9</f>
        <v>2546</v>
      </c>
      <c r="AE26" s="988"/>
      <c r="AF26" s="988"/>
      <c r="AG26" s="998" t="s">
        <v>338</v>
      </c>
      <c r="AH26" s="992">
        <f>+AH4+AH5+AH6+AH7+AH8+AH9</f>
        <v>2042</v>
      </c>
      <c r="AI26" s="988"/>
      <c r="AJ26" s="988"/>
      <c r="AK26" s="998" t="s">
        <v>338</v>
      </c>
      <c r="AL26" s="992">
        <f>+AL4+AL5+AL6+AL7+AL8+AL9</f>
        <v>1813</v>
      </c>
      <c r="AM26" s="988"/>
      <c r="AN26" s="988"/>
      <c r="AO26" s="998" t="s">
        <v>338</v>
      </c>
      <c r="AP26" s="992">
        <f>+AP4+AP5+AP6+AP7+AP8+AP9</f>
        <v>2042</v>
      </c>
      <c r="AQ26" s="988"/>
      <c r="AR26" s="988"/>
      <c r="AS26" s="998" t="s">
        <v>338</v>
      </c>
      <c r="AT26" s="992">
        <f>+AT4+AT5+AT6+AT7+AT8+AT9</f>
        <v>1633</v>
      </c>
      <c r="AU26" s="988"/>
      <c r="AV26" s="988"/>
      <c r="AW26" s="998" t="s">
        <v>338</v>
      </c>
      <c r="AX26" s="992">
        <f>+AX4+AX5+AX6+AX7+AX8+AX9</f>
        <v>1805</v>
      </c>
      <c r="AY26" s="988"/>
      <c r="AZ26" s="988"/>
      <c r="BA26" s="998" t="s">
        <v>338</v>
      </c>
      <c r="BB26" s="992">
        <f>+BB4+BB5+BB6+BB7+BB8+BB9</f>
        <v>2052</v>
      </c>
      <c r="BC26" s="988"/>
      <c r="BD26" s="988"/>
      <c r="BE26" s="998" t="s">
        <v>338</v>
      </c>
      <c r="BF26" s="992">
        <f>+BF4+BF5+BF6+BF7+BF8+BF9</f>
        <v>-7409081</v>
      </c>
      <c r="BG26" s="988"/>
      <c r="BH26" s="988"/>
      <c r="BI26" s="998" t="s">
        <v>338</v>
      </c>
      <c r="BJ26" s="992">
        <f>+BJ4+BJ5+BJ6+BJ7+BJ8+BJ9</f>
        <v>2455515</v>
      </c>
      <c r="BK26" s="988"/>
      <c r="BL26" s="988"/>
      <c r="BM26" s="998" t="s">
        <v>338</v>
      </c>
      <c r="BN26" s="992">
        <f>+BN4+BN5+BN6+BN7+BN8+BN9</f>
        <v>2838</v>
      </c>
      <c r="BO26" s="988"/>
      <c r="BP26" s="988"/>
      <c r="BQ26" s="998" t="s">
        <v>338</v>
      </c>
      <c r="BR26" s="992">
        <f>+BR4+BR5+BR6+BR7+BR8+BR9</f>
        <v>3218</v>
      </c>
      <c r="BS26" s="988"/>
      <c r="BT26" s="988"/>
      <c r="BU26" s="998" t="s">
        <v>338</v>
      </c>
      <c r="BV26" s="992">
        <f>+BV4+BV5+BV6+BV7+BV8+BV9</f>
        <v>1797</v>
      </c>
      <c r="BW26" s="988"/>
      <c r="BX26" s="988"/>
      <c r="BY26" s="998" t="s">
        <v>338</v>
      </c>
      <c r="BZ26" s="992">
        <f>+BZ4+BZ5+BZ6+BZ7+BZ8+BZ9</f>
        <v>2228</v>
      </c>
      <c r="CA26" s="988"/>
      <c r="CB26" s="988"/>
      <c r="CC26" s="998" t="s">
        <v>338</v>
      </c>
      <c r="CD26" s="992">
        <f>+CD4+CD5+CD6+CD7+CD8+CD9</f>
        <v>2204</v>
      </c>
      <c r="CE26" s="988"/>
      <c r="CF26" s="988"/>
      <c r="CG26" s="998" t="s">
        <v>338</v>
      </c>
      <c r="CH26" s="992">
        <f>+CH4+CH5+CH6+CH7+CH8+CH9</f>
        <v>2381</v>
      </c>
      <c r="CI26" s="988"/>
      <c r="CJ26" s="988"/>
      <c r="CK26" s="998" t="s">
        <v>338</v>
      </c>
      <c r="CL26" s="992">
        <f>+CL4+CL5+CL6+CL7+CL8+CL9</f>
        <v>2469</v>
      </c>
      <c r="CM26" s="988"/>
      <c r="CN26" s="988"/>
      <c r="CO26" s="998" t="s">
        <v>338</v>
      </c>
      <c r="CP26" s="992">
        <f>+CP4+CP5+CP6+CP7+CP8+CP9</f>
        <v>3221</v>
      </c>
      <c r="CQ26" s="988"/>
      <c r="CR26" s="988"/>
      <c r="CS26" s="998" t="s">
        <v>338</v>
      </c>
      <c r="CT26" s="992">
        <f>+CT4+CT5+CT6+CT7+CT8+CT9</f>
        <v>3297</v>
      </c>
      <c r="CU26" s="988"/>
      <c r="CV26" s="988"/>
      <c r="CW26" s="998" t="s">
        <v>338</v>
      </c>
      <c r="CX26" s="992">
        <f>+CX4+CX5+CX6+CX7+CX8+CX9</f>
        <v>2137</v>
      </c>
      <c r="CY26" s="988"/>
      <c r="CZ26" s="988"/>
      <c r="DA26" s="998" t="s">
        <v>338</v>
      </c>
      <c r="DB26" s="992">
        <f>+DB4+DB5+DB6+DB7+DB8+DB9</f>
        <v>2116</v>
      </c>
      <c r="DC26" s="988"/>
      <c r="DD26" s="988"/>
      <c r="DE26" s="998" t="s">
        <v>338</v>
      </c>
      <c r="DF26" s="992">
        <f>+DF4+DF5+DF6+DF7+DF8+DF9</f>
        <v>2706</v>
      </c>
      <c r="DG26" s="988"/>
      <c r="DH26" s="988"/>
      <c r="DI26" s="998" t="s">
        <v>338</v>
      </c>
      <c r="DJ26" s="992">
        <f>+DJ4+DJ5+DJ6+DJ7+DJ8+DJ9</f>
        <v>1922</v>
      </c>
      <c r="DK26" s="988"/>
      <c r="DL26" s="988"/>
      <c r="DM26" s="998" t="s">
        <v>338</v>
      </c>
      <c r="DN26" s="992">
        <f>+DN4+DN5+DN6+DN7+DN8+DN9</f>
        <v>1927</v>
      </c>
      <c r="DO26" s="988"/>
      <c r="DP26" s="988"/>
      <c r="DQ26" s="998" t="s">
        <v>338</v>
      </c>
      <c r="DR26" s="992">
        <f>+DR4+DR5+DR6+DR7+DR8+DR9</f>
        <v>4483</v>
      </c>
      <c r="DS26" s="988"/>
      <c r="DT26" s="988"/>
      <c r="DU26" s="998" t="s">
        <v>338</v>
      </c>
      <c r="DV26" s="992">
        <f>+DV4+DV5+DV6+DV7+DV8+DV9</f>
        <v>-2494609</v>
      </c>
      <c r="DW26" s="988"/>
      <c r="DX26" s="988"/>
      <c r="DY26" s="998" t="s">
        <v>338</v>
      </c>
      <c r="DZ26" s="992">
        <f>+DZ4+DZ5+DZ6+DZ7+DZ8+DZ9</f>
        <v>-7405374</v>
      </c>
    </row>
    <row r="27" spans="1:130" x14ac:dyDescent="0.25">
      <c r="A27" s="2084"/>
      <c r="B27" s="718"/>
      <c r="C27" s="997"/>
      <c r="D27" s="988"/>
      <c r="E27" s="998" t="s">
        <v>339</v>
      </c>
      <c r="F27" s="992">
        <f>+F24+F25-F26</f>
        <v>12802</v>
      </c>
      <c r="G27" s="688"/>
      <c r="H27" s="688"/>
      <c r="I27" s="998" t="s">
        <v>339</v>
      </c>
      <c r="J27" s="992">
        <f>+J24+J25-J26</f>
        <v>10482</v>
      </c>
      <c r="K27" s="988"/>
      <c r="L27" s="988"/>
      <c r="M27" s="998" t="s">
        <v>339</v>
      </c>
      <c r="N27" s="992">
        <f>+N24+N25-N26</f>
        <v>8231</v>
      </c>
      <c r="O27" s="988"/>
      <c r="P27" s="988"/>
      <c r="Q27" s="998" t="s">
        <v>339</v>
      </c>
      <c r="R27" s="992">
        <f>+R24+R25-R26</f>
        <v>16250</v>
      </c>
      <c r="S27" s="988"/>
      <c r="T27" s="988"/>
      <c r="U27" s="998" t="s">
        <v>339</v>
      </c>
      <c r="V27" s="992">
        <f>+V24+V25-V26</f>
        <v>14483</v>
      </c>
      <c r="W27" s="988"/>
      <c r="X27" s="988"/>
      <c r="Y27" s="998" t="s">
        <v>339</v>
      </c>
      <c r="Z27" s="992">
        <f>+Z24+Z25-Z26</f>
        <v>11916</v>
      </c>
      <c r="AA27" s="988"/>
      <c r="AB27" s="988"/>
      <c r="AC27" s="998" t="s">
        <v>339</v>
      </c>
      <c r="AD27" s="992">
        <f>+AD24+AD25-AD26</f>
        <v>9358</v>
      </c>
      <c r="AE27" s="988"/>
      <c r="AF27" s="988"/>
      <c r="AG27" s="998" t="s">
        <v>339</v>
      </c>
      <c r="AH27" s="992">
        <f>+AH24+AH25-AH26</f>
        <v>7269</v>
      </c>
      <c r="AI27" s="988"/>
      <c r="AJ27" s="988"/>
      <c r="AK27" s="998" t="s">
        <v>339</v>
      </c>
      <c r="AL27" s="992">
        <f>+AL24+AL25-AL26</f>
        <v>5419</v>
      </c>
      <c r="AM27" s="988"/>
      <c r="AN27" s="988"/>
      <c r="AO27" s="998" t="s">
        <v>339</v>
      </c>
      <c r="AP27" s="992">
        <f>+AP24+AP25-AP26</f>
        <v>13449</v>
      </c>
      <c r="AQ27" s="988"/>
      <c r="AR27" s="988"/>
      <c r="AS27" s="998" t="s">
        <v>339</v>
      </c>
      <c r="AT27" s="992">
        <f>+AT24+AT25-AT26</f>
        <v>11866</v>
      </c>
      <c r="AU27" s="988"/>
      <c r="AV27" s="988"/>
      <c r="AW27" s="998" t="s">
        <v>339</v>
      </c>
      <c r="AX27" s="992">
        <f>+AX24+AX25-AX26</f>
        <v>10045</v>
      </c>
      <c r="AY27" s="988"/>
      <c r="AZ27" s="988"/>
      <c r="BA27" s="998" t="s">
        <v>339</v>
      </c>
      <c r="BB27" s="992">
        <f>+BB24+BB25-BB26</f>
        <v>16907</v>
      </c>
      <c r="BC27" s="988"/>
      <c r="BD27" s="988"/>
      <c r="BE27" s="998" t="s">
        <v>339</v>
      </c>
      <c r="BF27" s="992">
        <f>+BF24+BF25-BF26</f>
        <v>7431907</v>
      </c>
      <c r="BG27" s="988"/>
      <c r="BH27" s="988"/>
      <c r="BI27" s="998" t="s">
        <v>339</v>
      </c>
      <c r="BJ27" s="992">
        <f>+BJ24+BJ25-BJ26</f>
        <v>-2433175</v>
      </c>
      <c r="BK27" s="988"/>
      <c r="BL27" s="988"/>
      <c r="BM27" s="998" t="s">
        <v>339</v>
      </c>
      <c r="BN27" s="992">
        <f>+BN24+BN25-BN26</f>
        <v>21012</v>
      </c>
      <c r="BO27" s="988"/>
      <c r="BP27" s="988"/>
      <c r="BQ27" s="998" t="s">
        <v>339</v>
      </c>
      <c r="BR27" s="992">
        <f>+BR24+BR25-BR26</f>
        <v>16742</v>
      </c>
      <c r="BS27" s="988"/>
      <c r="BT27" s="988"/>
      <c r="BU27" s="998" t="s">
        <v>339</v>
      </c>
      <c r="BV27" s="992">
        <f>+BV24+BV25-BV26</f>
        <v>13978</v>
      </c>
      <c r="BW27" s="988"/>
      <c r="BX27" s="988"/>
      <c r="BY27" s="998" t="s">
        <v>339</v>
      </c>
      <c r="BZ27" s="992">
        <f>+BZ24+BZ25-BZ26</f>
        <v>17112</v>
      </c>
      <c r="CA27" s="988"/>
      <c r="CB27" s="988"/>
      <c r="CC27" s="998" t="s">
        <v>339</v>
      </c>
      <c r="CD27" s="992">
        <f>+CD24+CD25-CD26</f>
        <v>21223</v>
      </c>
      <c r="CE27" s="988"/>
      <c r="CF27" s="988"/>
      <c r="CG27" s="998" t="s">
        <v>339</v>
      </c>
      <c r="CH27" s="992">
        <f>+CH24+CH25-CH26</f>
        <v>19979</v>
      </c>
      <c r="CI27" s="988"/>
      <c r="CJ27" s="988"/>
      <c r="CK27" s="998" t="s">
        <v>339</v>
      </c>
      <c r="CL27" s="992">
        <f>+CL24+CL25-CL26</f>
        <v>16930</v>
      </c>
      <c r="CM27" s="988"/>
      <c r="CN27" s="988"/>
      <c r="CO27" s="998" t="s">
        <v>339</v>
      </c>
      <c r="CP27" s="992">
        <f>+CP24+CP25-CP26</f>
        <v>21150</v>
      </c>
      <c r="CQ27" s="988"/>
      <c r="CR27" s="988"/>
      <c r="CS27" s="998" t="s">
        <v>339</v>
      </c>
      <c r="CT27" s="992">
        <f>+CT24+CT25-CT26</f>
        <v>16837</v>
      </c>
      <c r="CU27" s="988"/>
      <c r="CV27" s="988"/>
      <c r="CW27" s="998" t="s">
        <v>339</v>
      </c>
      <c r="CX27" s="992">
        <f>+CX24+CX25-CX26</f>
        <v>13513</v>
      </c>
      <c r="CY27" s="988"/>
      <c r="CZ27" s="988"/>
      <c r="DA27" s="998" t="s">
        <v>339</v>
      </c>
      <c r="DB27" s="992">
        <f>+DB24+DB25-DB26</f>
        <v>17684</v>
      </c>
      <c r="DC27" s="988"/>
      <c r="DD27" s="988"/>
      <c r="DE27" s="998" t="s">
        <v>339</v>
      </c>
      <c r="DF27" s="992">
        <f>+DF24+DF25-DF26</f>
        <v>20529</v>
      </c>
      <c r="DG27" s="988"/>
      <c r="DH27" s="988"/>
      <c r="DI27" s="998" t="s">
        <v>339</v>
      </c>
      <c r="DJ27" s="992">
        <f>+DJ24+DJ25-DJ26</f>
        <v>19908</v>
      </c>
      <c r="DK27" s="988"/>
      <c r="DL27" s="988"/>
      <c r="DM27" s="998" t="s">
        <v>339</v>
      </c>
      <c r="DN27" s="992">
        <f>+DN24+DN25-DN26</f>
        <v>19415</v>
      </c>
      <c r="DO27" s="988"/>
      <c r="DP27" s="988"/>
      <c r="DQ27" s="998" t="s">
        <v>339</v>
      </c>
      <c r="DR27" s="992">
        <f>+DR24+DR25-DR26</f>
        <v>21185</v>
      </c>
      <c r="DS27" s="988"/>
      <c r="DT27" s="988"/>
      <c r="DU27" s="998" t="s">
        <v>339</v>
      </c>
      <c r="DV27" s="992">
        <f>+DV24+DV25-DV26</f>
        <v>2494609</v>
      </c>
      <c r="DW27" s="988"/>
      <c r="DX27" s="988"/>
      <c r="DY27" s="998" t="s">
        <v>339</v>
      </c>
      <c r="DZ27" s="992">
        <f>+DZ24+DZ25-DZ26</f>
        <v>7405374</v>
      </c>
    </row>
    <row r="28" spans="1:130" x14ac:dyDescent="0.25">
      <c r="A28" s="2084"/>
      <c r="B28" s="718"/>
      <c r="C28" s="997"/>
      <c r="D28" s="988"/>
      <c r="E28" s="998" t="s">
        <v>340</v>
      </c>
      <c r="F28" s="992">
        <v>12759</v>
      </c>
      <c r="G28" s="688"/>
      <c r="H28" s="688"/>
      <c r="I28" s="998" t="s">
        <v>340</v>
      </c>
      <c r="J28" s="992">
        <v>10446</v>
      </c>
      <c r="K28" s="988"/>
      <c r="L28" s="988"/>
      <c r="M28" s="998" t="s">
        <v>340</v>
      </c>
      <c r="N28" s="992">
        <v>8238</v>
      </c>
      <c r="O28" s="988"/>
      <c r="P28" s="988"/>
      <c r="Q28" s="998" t="s">
        <v>340</v>
      </c>
      <c r="R28" s="992">
        <v>16264</v>
      </c>
      <c r="S28" s="988"/>
      <c r="T28" s="988"/>
      <c r="U28" s="998" t="s">
        <v>340</v>
      </c>
      <c r="V28" s="992">
        <v>14483</v>
      </c>
      <c r="W28" s="988"/>
      <c r="X28" s="988"/>
      <c r="Y28" s="998" t="s">
        <v>340</v>
      </c>
      <c r="Z28" s="992">
        <v>11904</v>
      </c>
      <c r="AA28" s="988"/>
      <c r="AB28" s="988"/>
      <c r="AC28" s="998" t="s">
        <v>340</v>
      </c>
      <c r="AD28" s="992">
        <v>9311</v>
      </c>
      <c r="AE28" s="988"/>
      <c r="AF28" s="988"/>
      <c r="AG28" s="998" t="s">
        <v>340</v>
      </c>
      <c r="AH28" s="992">
        <v>7232</v>
      </c>
      <c r="AI28" s="988"/>
      <c r="AJ28" s="988"/>
      <c r="AK28" s="998" t="s">
        <v>340</v>
      </c>
      <c r="AL28" s="992">
        <v>5491</v>
      </c>
      <c r="AM28" s="988"/>
      <c r="AN28" s="988"/>
      <c r="AO28" s="998" t="s">
        <v>340</v>
      </c>
      <c r="AP28" s="992">
        <v>13499</v>
      </c>
      <c r="AQ28" s="988"/>
      <c r="AR28" s="988"/>
      <c r="AS28" s="998" t="s">
        <v>340</v>
      </c>
      <c r="AT28" s="992">
        <v>11850</v>
      </c>
      <c r="AU28" s="988"/>
      <c r="AV28" s="988"/>
      <c r="AW28" s="998" t="s">
        <v>340</v>
      </c>
      <c r="AX28" s="992">
        <v>9959</v>
      </c>
      <c r="AY28" s="988"/>
      <c r="AZ28" s="988"/>
      <c r="BA28" s="998" t="s">
        <v>340</v>
      </c>
      <c r="BB28" s="992">
        <v>16826</v>
      </c>
      <c r="BC28" s="988"/>
      <c r="BD28" s="988"/>
      <c r="BE28" s="998" t="s">
        <v>340</v>
      </c>
      <c r="BF28" s="992">
        <v>19340</v>
      </c>
      <c r="BG28" s="988"/>
      <c r="BH28" s="988"/>
      <c r="BI28" s="998" t="s">
        <v>340</v>
      </c>
      <c r="BJ28" s="992">
        <v>19850</v>
      </c>
      <c r="BK28" s="988"/>
      <c r="BL28" s="988"/>
      <c r="BM28" s="998" t="s">
        <v>340</v>
      </c>
      <c r="BN28" s="992">
        <v>19960</v>
      </c>
      <c r="BO28" s="988"/>
      <c r="BP28" s="988"/>
      <c r="BQ28" s="998" t="s">
        <v>340</v>
      </c>
      <c r="BR28" s="992">
        <v>15775</v>
      </c>
      <c r="BS28" s="988"/>
      <c r="BT28" s="988"/>
      <c r="BU28" s="998" t="s">
        <v>340</v>
      </c>
      <c r="BV28" s="992">
        <v>13340</v>
      </c>
      <c r="BW28" s="988"/>
      <c r="BX28" s="988"/>
      <c r="BY28" s="998" t="s">
        <v>340</v>
      </c>
      <c r="BZ28" s="992">
        <v>16427</v>
      </c>
      <c r="CA28" s="988"/>
      <c r="CB28" s="988"/>
      <c r="CC28" s="998" t="s">
        <v>340</v>
      </c>
      <c r="CD28" s="992">
        <v>20360</v>
      </c>
      <c r="CE28" s="988"/>
      <c r="CF28" s="988"/>
      <c r="CG28" s="998" t="s">
        <v>340</v>
      </c>
      <c r="CH28" s="992">
        <v>19399</v>
      </c>
      <c r="CI28" s="988"/>
      <c r="CJ28" s="988"/>
      <c r="CK28" s="998" t="s">
        <v>340</v>
      </c>
      <c r="CL28" s="992">
        <v>16371</v>
      </c>
      <c r="CM28" s="988"/>
      <c r="CN28" s="988"/>
      <c r="CO28" s="998" t="s">
        <v>340</v>
      </c>
      <c r="CP28" s="992">
        <v>20134</v>
      </c>
      <c r="CQ28" s="988"/>
      <c r="CR28" s="988"/>
      <c r="CS28" s="998" t="s">
        <v>340</v>
      </c>
      <c r="CT28" s="992">
        <v>15650</v>
      </c>
      <c r="CU28" s="988"/>
      <c r="CV28" s="988"/>
      <c r="CW28" s="998" t="s">
        <v>340</v>
      </c>
      <c r="CX28" s="992">
        <v>12800</v>
      </c>
      <c r="CY28" s="988"/>
      <c r="CZ28" s="988"/>
      <c r="DA28" s="998" t="s">
        <v>340</v>
      </c>
      <c r="DB28" s="992">
        <v>17235</v>
      </c>
      <c r="DC28" s="988"/>
      <c r="DD28" s="988"/>
      <c r="DE28" s="998" t="s">
        <v>340</v>
      </c>
      <c r="DF28" s="992">
        <v>19830</v>
      </c>
      <c r="DG28" s="988"/>
      <c r="DH28" s="988"/>
      <c r="DI28" s="998" t="s">
        <v>340</v>
      </c>
      <c r="DJ28" s="992">
        <v>19342</v>
      </c>
      <c r="DK28" s="988"/>
      <c r="DL28" s="988"/>
      <c r="DM28" s="998" t="s">
        <v>340</v>
      </c>
      <c r="DN28" s="992">
        <v>18668</v>
      </c>
      <c r="DO28" s="988"/>
      <c r="DP28" s="988"/>
      <c r="DQ28" s="998" t="s">
        <v>340</v>
      </c>
      <c r="DR28" s="992">
        <v>20357</v>
      </c>
      <c r="DS28" s="988"/>
      <c r="DT28" s="988"/>
      <c r="DU28" s="998" t="s">
        <v>340</v>
      </c>
      <c r="DV28" s="992"/>
      <c r="DW28" s="988"/>
      <c r="DX28" s="988"/>
      <c r="DY28" s="998" t="s">
        <v>340</v>
      </c>
      <c r="DZ28" s="992"/>
    </row>
    <row r="29" spans="1:130" x14ac:dyDescent="0.25">
      <c r="A29" s="2084"/>
      <c r="B29" s="718"/>
      <c r="C29" s="997"/>
      <c r="D29" s="988"/>
      <c r="E29" s="995" t="s">
        <v>456</v>
      </c>
      <c r="F29" s="999">
        <f>+F28-F27</f>
        <v>-43</v>
      </c>
      <c r="G29" s="688"/>
      <c r="H29" s="688"/>
      <c r="I29" s="995" t="s">
        <v>456</v>
      </c>
      <c r="J29" s="999">
        <f>+J28-J27</f>
        <v>-36</v>
      </c>
      <c r="K29" s="988"/>
      <c r="L29" s="988"/>
      <c r="M29" s="995" t="s">
        <v>456</v>
      </c>
      <c r="N29" s="999">
        <f>+N28-N27</f>
        <v>7</v>
      </c>
      <c r="O29" s="988"/>
      <c r="P29" s="988"/>
      <c r="Q29" s="995" t="s">
        <v>456</v>
      </c>
      <c r="R29" s="999">
        <f>+R28-R27</f>
        <v>14</v>
      </c>
      <c r="S29" s="988"/>
      <c r="T29" s="988"/>
      <c r="U29" s="995" t="s">
        <v>456</v>
      </c>
      <c r="V29" s="999">
        <f>+V28-V27</f>
        <v>0</v>
      </c>
      <c r="W29" s="988"/>
      <c r="X29" s="988"/>
      <c r="Y29" s="995" t="s">
        <v>456</v>
      </c>
      <c r="Z29" s="999">
        <f>+Z28-Z27</f>
        <v>-12</v>
      </c>
      <c r="AA29" s="988"/>
      <c r="AB29" s="988"/>
      <c r="AC29" s="995" t="s">
        <v>456</v>
      </c>
      <c r="AD29" s="999">
        <f>+AD28-AD27</f>
        <v>-47</v>
      </c>
      <c r="AE29" s="988"/>
      <c r="AF29" s="988"/>
      <c r="AG29" s="995" t="s">
        <v>456</v>
      </c>
      <c r="AH29" s="999">
        <f>+AH28-AH27</f>
        <v>-37</v>
      </c>
      <c r="AI29" s="988"/>
      <c r="AJ29" s="988"/>
      <c r="AK29" s="995" t="s">
        <v>456</v>
      </c>
      <c r="AL29" s="999">
        <f>+AL28-AL27</f>
        <v>72</v>
      </c>
      <c r="AM29" s="988"/>
      <c r="AN29" s="988"/>
      <c r="AO29" s="995" t="s">
        <v>456</v>
      </c>
      <c r="AP29" s="999">
        <f>+AP28-AP27</f>
        <v>50</v>
      </c>
      <c r="AQ29" s="988"/>
      <c r="AR29" s="988"/>
      <c r="AS29" s="995" t="s">
        <v>456</v>
      </c>
      <c r="AT29" s="999">
        <f>+AT28-AT27</f>
        <v>-16</v>
      </c>
      <c r="AU29" s="988"/>
      <c r="AV29" s="988"/>
      <c r="AW29" s="995" t="s">
        <v>456</v>
      </c>
      <c r="AX29" s="999">
        <f>+AX28-AX27</f>
        <v>-86</v>
      </c>
      <c r="AY29" s="988"/>
      <c r="AZ29" s="988"/>
      <c r="BA29" s="995" t="s">
        <v>456</v>
      </c>
      <c r="BB29" s="999">
        <f>+BB28-BB27</f>
        <v>-81</v>
      </c>
      <c r="BC29" s="988"/>
      <c r="BD29" s="988"/>
      <c r="BE29" s="995" t="s">
        <v>456</v>
      </c>
      <c r="BF29" s="999">
        <f>+BF28-BF27</f>
        <v>-7412567</v>
      </c>
      <c r="BG29" s="988"/>
      <c r="BH29" s="988"/>
      <c r="BI29" s="995" t="s">
        <v>456</v>
      </c>
      <c r="BJ29" s="999">
        <f>+BJ28-BJ27</f>
        <v>2453025</v>
      </c>
      <c r="BK29" s="988"/>
      <c r="BL29" s="988"/>
      <c r="BM29" s="995" t="s">
        <v>456</v>
      </c>
      <c r="BN29" s="999">
        <f>+BN28-BN27</f>
        <v>-1052</v>
      </c>
      <c r="BO29" s="988"/>
      <c r="BP29" s="988"/>
      <c r="BQ29" s="995" t="s">
        <v>456</v>
      </c>
      <c r="BR29" s="999">
        <f>+BR28-BR27</f>
        <v>-967</v>
      </c>
      <c r="BS29" s="988"/>
      <c r="BT29" s="988"/>
      <c r="BU29" s="995" t="s">
        <v>456</v>
      </c>
      <c r="BV29" s="999">
        <f>+BV28-BV27</f>
        <v>-638</v>
      </c>
      <c r="BW29" s="988"/>
      <c r="BX29" s="988"/>
      <c r="BY29" s="995" t="s">
        <v>456</v>
      </c>
      <c r="BZ29" s="999">
        <f>+BZ28-BZ27</f>
        <v>-685</v>
      </c>
      <c r="CA29" s="988"/>
      <c r="CB29" s="988"/>
      <c r="CC29" s="995" t="s">
        <v>456</v>
      </c>
      <c r="CD29" s="999">
        <f>+CD28-CD27</f>
        <v>-863</v>
      </c>
      <c r="CE29" s="988"/>
      <c r="CF29" s="988"/>
      <c r="CG29" s="995" t="s">
        <v>456</v>
      </c>
      <c r="CH29" s="999">
        <f>+CH28-CH27</f>
        <v>-580</v>
      </c>
      <c r="CI29" s="988"/>
      <c r="CJ29" s="988"/>
      <c r="CK29" s="995" t="s">
        <v>456</v>
      </c>
      <c r="CL29" s="999">
        <f>+CL28-CL27</f>
        <v>-559</v>
      </c>
      <c r="CM29" s="988"/>
      <c r="CN29" s="988"/>
      <c r="CO29" s="995" t="s">
        <v>456</v>
      </c>
      <c r="CP29" s="999">
        <f>+CP28-CP27</f>
        <v>-1016</v>
      </c>
      <c r="CQ29" s="988"/>
      <c r="CR29" s="988"/>
      <c r="CS29" s="995" t="s">
        <v>456</v>
      </c>
      <c r="CT29" s="999">
        <f>+CT28-CT27</f>
        <v>-1187</v>
      </c>
      <c r="CU29" s="988"/>
      <c r="CV29" s="988"/>
      <c r="CW29" s="995" t="s">
        <v>456</v>
      </c>
      <c r="CX29" s="999">
        <f>+CX28-CX27</f>
        <v>-713</v>
      </c>
      <c r="CY29" s="988"/>
      <c r="CZ29" s="988"/>
      <c r="DA29" s="995" t="s">
        <v>456</v>
      </c>
      <c r="DB29" s="999">
        <f>+DB28-DB27</f>
        <v>-449</v>
      </c>
      <c r="DC29" s="988"/>
      <c r="DD29" s="988"/>
      <c r="DE29" s="995" t="s">
        <v>456</v>
      </c>
      <c r="DF29" s="999">
        <f>+DF28-DF27</f>
        <v>-699</v>
      </c>
      <c r="DG29" s="988"/>
      <c r="DH29" s="988"/>
      <c r="DI29" s="995" t="s">
        <v>456</v>
      </c>
      <c r="DJ29" s="999">
        <f>+DJ28-DJ27</f>
        <v>-566</v>
      </c>
      <c r="DK29" s="988"/>
      <c r="DL29" s="988"/>
      <c r="DM29" s="995" t="s">
        <v>456</v>
      </c>
      <c r="DN29" s="999">
        <f>+DN28-DN27</f>
        <v>-747</v>
      </c>
      <c r="DO29" s="988"/>
      <c r="DP29" s="988"/>
      <c r="DQ29" s="995" t="s">
        <v>456</v>
      </c>
      <c r="DR29" s="999">
        <f>+DR28-DR27</f>
        <v>-828</v>
      </c>
      <c r="DS29" s="988"/>
      <c r="DT29" s="988"/>
      <c r="DU29" s="995" t="s">
        <v>456</v>
      </c>
      <c r="DV29" s="999">
        <f>+DV28-DV27</f>
        <v>-2494609</v>
      </c>
      <c r="DW29" s="988"/>
      <c r="DX29" s="988"/>
      <c r="DY29" s="995" t="s">
        <v>456</v>
      </c>
      <c r="DZ29" s="999">
        <f>+DZ28-DZ27</f>
        <v>-7405374</v>
      </c>
    </row>
    <row r="30" spans="1:130" x14ac:dyDescent="0.25">
      <c r="A30" s="2084"/>
      <c r="B30" s="1000"/>
      <c r="C30" s="997"/>
      <c r="D30" s="688"/>
      <c r="E30" s="688"/>
      <c r="F30" s="721"/>
      <c r="G30" s="688"/>
      <c r="H30" s="688"/>
      <c r="I30" s="688"/>
      <c r="J30" s="721"/>
      <c r="K30" s="988"/>
      <c r="L30" s="988"/>
      <c r="M30" s="688"/>
      <c r="N30" s="721"/>
      <c r="O30" s="988"/>
      <c r="P30" s="988"/>
      <c r="Q30" s="688"/>
      <c r="R30" s="721"/>
      <c r="S30" s="988"/>
      <c r="T30" s="988"/>
      <c r="U30" s="688"/>
      <c r="V30" s="721"/>
      <c r="W30" s="988"/>
      <c r="X30" s="988"/>
      <c r="Y30" s="688"/>
      <c r="Z30" s="721"/>
      <c r="AA30" s="988"/>
      <c r="AB30" s="988"/>
      <c r="AC30" s="688"/>
      <c r="AD30" s="721"/>
      <c r="AE30" s="988"/>
      <c r="AF30" s="988"/>
      <c r="AG30" s="688"/>
      <c r="AH30" s="721"/>
      <c r="AI30" s="988"/>
      <c r="AJ30" s="988"/>
      <c r="AK30" s="688"/>
      <c r="AL30" s="721"/>
      <c r="AM30" s="988"/>
      <c r="AN30" s="988"/>
      <c r="AO30" s="688"/>
      <c r="AP30" s="721"/>
      <c r="AQ30" s="988"/>
      <c r="AR30" s="988"/>
      <c r="AS30" s="688"/>
      <c r="AT30" s="721"/>
      <c r="AU30" s="988"/>
      <c r="AV30" s="988"/>
      <c r="AW30" s="688"/>
      <c r="AX30" s="721"/>
      <c r="AY30" s="988"/>
      <c r="AZ30" s="988"/>
      <c r="BA30" s="688"/>
      <c r="BB30" s="721"/>
      <c r="BC30" s="988"/>
      <c r="BD30" s="988"/>
      <c r="BE30" s="688"/>
      <c r="BF30" s="721"/>
      <c r="BG30" s="988"/>
      <c r="BH30" s="988"/>
      <c r="BI30" s="688"/>
      <c r="BJ30" s="721"/>
      <c r="BK30" s="988"/>
      <c r="BL30" s="988"/>
      <c r="BM30" s="688"/>
      <c r="BN30" s="721"/>
      <c r="BO30" s="988"/>
      <c r="BP30" s="988"/>
      <c r="BQ30" s="688"/>
      <c r="BR30" s="721"/>
      <c r="BS30" s="988"/>
      <c r="BT30" s="988"/>
      <c r="BU30" s="688"/>
      <c r="BV30" s="721"/>
      <c r="BW30" s="988"/>
      <c r="BX30" s="988"/>
      <c r="BY30" s="688"/>
      <c r="BZ30" s="721"/>
      <c r="CA30" s="988"/>
      <c r="CB30" s="988"/>
      <c r="CC30" s="688"/>
      <c r="CD30" s="721"/>
      <c r="CE30" s="988"/>
      <c r="CF30" s="988"/>
      <c r="CG30" s="688"/>
      <c r="CH30" s="721"/>
      <c r="CI30" s="988"/>
      <c r="CJ30" s="988"/>
      <c r="CK30" s="688"/>
      <c r="CL30" s="721"/>
      <c r="CM30" s="988"/>
      <c r="CN30" s="988"/>
      <c r="CO30" s="688"/>
      <c r="CP30" s="721"/>
      <c r="CQ30" s="988"/>
      <c r="CR30" s="988"/>
      <c r="CS30" s="688"/>
      <c r="CT30" s="721"/>
      <c r="CU30" s="988"/>
      <c r="CV30" s="988"/>
      <c r="CW30" s="688"/>
      <c r="CX30" s="721"/>
      <c r="CY30" s="988"/>
      <c r="CZ30" s="988"/>
      <c r="DA30" s="688"/>
      <c r="DB30" s="721"/>
      <c r="DC30" s="988"/>
      <c r="DD30" s="988"/>
      <c r="DE30" s="688"/>
      <c r="DF30" s="721"/>
      <c r="DG30" s="988"/>
      <c r="DH30" s="988"/>
      <c r="DI30" s="688"/>
      <c r="DJ30" s="721"/>
      <c r="DK30" s="988"/>
      <c r="DL30" s="988"/>
      <c r="DM30" s="688"/>
      <c r="DN30" s="721"/>
      <c r="DO30" s="988"/>
      <c r="DP30" s="988"/>
      <c r="DQ30" s="688"/>
      <c r="DR30" s="721"/>
      <c r="DS30" s="988"/>
      <c r="DT30" s="988"/>
      <c r="DU30" s="688"/>
      <c r="DV30" s="721"/>
      <c r="DW30" s="988"/>
      <c r="DX30" s="988"/>
      <c r="DY30" s="688"/>
      <c r="DZ30" s="721"/>
    </row>
    <row r="31" spans="1:130" x14ac:dyDescent="0.25">
      <c r="A31" s="2084"/>
      <c r="B31" s="1000"/>
      <c r="C31" s="997"/>
      <c r="D31" s="988"/>
      <c r="E31" s="1001"/>
      <c r="F31" s="992"/>
      <c r="G31" s="688"/>
      <c r="H31" s="688"/>
      <c r="I31" s="1001"/>
      <c r="J31" s="992"/>
      <c r="K31" s="988"/>
      <c r="L31" s="988"/>
      <c r="M31" s="1001"/>
      <c r="N31" s="992"/>
      <c r="O31" s="988"/>
      <c r="P31" s="988"/>
      <c r="Q31" s="1001"/>
      <c r="R31" s="992"/>
      <c r="S31" s="988"/>
      <c r="T31" s="988"/>
      <c r="U31" s="1001"/>
      <c r="V31" s="992"/>
      <c r="W31" s="988"/>
      <c r="X31" s="988"/>
      <c r="Y31" s="1001"/>
      <c r="Z31" s="992"/>
      <c r="AA31" s="988"/>
      <c r="AB31" s="988"/>
      <c r="AC31" s="1001"/>
      <c r="AD31" s="992"/>
      <c r="AE31" s="988"/>
      <c r="AF31" s="988"/>
      <c r="AG31" s="1001"/>
      <c r="AH31" s="992"/>
      <c r="AI31" s="988"/>
      <c r="AJ31" s="988"/>
      <c r="AK31" s="1001"/>
      <c r="AL31" s="992"/>
      <c r="AM31" s="988"/>
      <c r="AN31" s="988"/>
      <c r="AO31" s="1001"/>
      <c r="AP31" s="992"/>
      <c r="AQ31" s="988"/>
      <c r="AR31" s="988"/>
      <c r="AS31" s="1001"/>
      <c r="AT31" s="992"/>
      <c r="AU31" s="988"/>
      <c r="AV31" s="988"/>
      <c r="AW31" s="1001"/>
      <c r="AX31" s="992"/>
      <c r="AY31" s="988"/>
      <c r="AZ31" s="988"/>
      <c r="BA31" s="1001"/>
      <c r="BB31" s="992"/>
      <c r="BC31" s="988"/>
      <c r="BD31" s="988"/>
      <c r="BE31" s="1001"/>
      <c r="BF31" s="992"/>
      <c r="BG31" s="988"/>
      <c r="BH31" s="988"/>
      <c r="BI31" s="1001"/>
      <c r="BJ31" s="992"/>
      <c r="BK31" s="988"/>
      <c r="BL31" s="988"/>
      <c r="BM31" s="1001"/>
      <c r="BN31" s="992"/>
      <c r="BO31" s="988"/>
      <c r="BP31" s="988"/>
      <c r="BQ31" s="1001"/>
      <c r="BR31" s="992"/>
      <c r="BS31" s="988"/>
      <c r="BT31" s="988"/>
      <c r="BU31" s="1001"/>
      <c r="BV31" s="992"/>
      <c r="BW31" s="988"/>
      <c r="BX31" s="988"/>
      <c r="BY31" s="1001"/>
      <c r="BZ31" s="992"/>
      <c r="CA31" s="988"/>
      <c r="CB31" s="988"/>
      <c r="CC31" s="1001"/>
      <c r="CD31" s="992"/>
      <c r="CE31" s="988"/>
      <c r="CF31" s="988"/>
      <c r="CG31" s="1001"/>
      <c r="CH31" s="992"/>
      <c r="CI31" s="988"/>
      <c r="CJ31" s="988"/>
      <c r="CK31" s="1001"/>
      <c r="CL31" s="992"/>
      <c r="CM31" s="988"/>
      <c r="CN31" s="988"/>
      <c r="CO31" s="1001"/>
      <c r="CP31" s="992"/>
      <c r="CQ31" s="988"/>
      <c r="CR31" s="988"/>
      <c r="CS31" s="1001"/>
      <c r="CT31" s="992"/>
      <c r="CU31" s="988"/>
      <c r="CV31" s="988"/>
      <c r="CW31" s="1001"/>
      <c r="CX31" s="992"/>
      <c r="CY31" s="988"/>
      <c r="CZ31" s="988"/>
      <c r="DA31" s="1001"/>
      <c r="DB31" s="992"/>
      <c r="DC31" s="988"/>
      <c r="DD31" s="988"/>
      <c r="DE31" s="1001"/>
      <c r="DF31" s="992"/>
      <c r="DG31" s="988"/>
      <c r="DH31" s="988"/>
      <c r="DI31" s="1001"/>
      <c r="DJ31" s="992"/>
      <c r="DK31" s="988"/>
      <c r="DL31" s="988"/>
      <c r="DM31" s="1001"/>
      <c r="DN31" s="992"/>
      <c r="DO31" s="988"/>
      <c r="DP31" s="988"/>
      <c r="DQ31" s="1001"/>
      <c r="DR31" s="992"/>
      <c r="DS31" s="988"/>
      <c r="DT31" s="988"/>
      <c r="DU31" s="1001"/>
      <c r="DV31" s="992"/>
      <c r="DW31" s="988"/>
      <c r="DX31" s="988"/>
      <c r="DY31" s="1001"/>
      <c r="DZ31" s="992"/>
    </row>
    <row r="32" spans="1:130" x14ac:dyDescent="0.25">
      <c r="A32" s="2084"/>
      <c r="B32" s="1000"/>
      <c r="C32" s="997"/>
      <c r="D32" s="988"/>
      <c r="E32" s="995" t="s">
        <v>96</v>
      </c>
      <c r="F32" s="992"/>
      <c r="G32" s="688"/>
      <c r="H32" s="688"/>
      <c r="I32" s="995" t="s">
        <v>96</v>
      </c>
      <c r="J32" s="992"/>
      <c r="K32" s="988"/>
      <c r="L32" s="988"/>
      <c r="M32" s="995" t="s">
        <v>96</v>
      </c>
      <c r="N32" s="992"/>
      <c r="O32" s="988"/>
      <c r="P32" s="988"/>
      <c r="Q32" s="995" t="s">
        <v>96</v>
      </c>
      <c r="R32" s="992"/>
      <c r="S32" s="988"/>
      <c r="T32" s="988"/>
      <c r="U32" s="995" t="s">
        <v>96</v>
      </c>
      <c r="V32" s="992"/>
      <c r="W32" s="988"/>
      <c r="X32" s="988"/>
      <c r="Y32" s="995" t="s">
        <v>96</v>
      </c>
      <c r="Z32" s="992"/>
      <c r="AA32" s="988"/>
      <c r="AB32" s="988"/>
      <c r="AC32" s="995" t="s">
        <v>96</v>
      </c>
      <c r="AD32" s="992"/>
      <c r="AE32" s="988"/>
      <c r="AF32" s="988"/>
      <c r="AG32" s="995" t="s">
        <v>96</v>
      </c>
      <c r="AH32" s="992"/>
      <c r="AI32" s="988"/>
      <c r="AJ32" s="988"/>
      <c r="AK32" s="995" t="s">
        <v>96</v>
      </c>
      <c r="AL32" s="992"/>
      <c r="AM32" s="988"/>
      <c r="AN32" s="988"/>
      <c r="AO32" s="995" t="s">
        <v>96</v>
      </c>
      <c r="AP32" s="992"/>
      <c r="AQ32" s="988"/>
      <c r="AR32" s="988"/>
      <c r="AS32" s="995" t="s">
        <v>96</v>
      </c>
      <c r="AT32" s="992"/>
      <c r="AU32" s="988"/>
      <c r="AV32" s="988"/>
      <c r="AW32" s="995" t="s">
        <v>96</v>
      </c>
      <c r="AX32" s="992"/>
      <c r="AY32" s="988"/>
      <c r="AZ32" s="988"/>
      <c r="BA32" s="995" t="s">
        <v>96</v>
      </c>
      <c r="BB32" s="992"/>
      <c r="BC32" s="988"/>
      <c r="BD32" s="988"/>
      <c r="BE32" s="995" t="s">
        <v>96</v>
      </c>
      <c r="BF32" s="992"/>
      <c r="BG32" s="988"/>
      <c r="BH32" s="988"/>
      <c r="BI32" s="995" t="s">
        <v>96</v>
      </c>
      <c r="BJ32" s="992"/>
      <c r="BK32" s="988"/>
      <c r="BL32" s="988"/>
      <c r="BM32" s="995" t="s">
        <v>96</v>
      </c>
      <c r="BN32" s="992"/>
      <c r="BO32" s="988"/>
      <c r="BP32" s="988"/>
      <c r="BQ32" s="995" t="s">
        <v>96</v>
      </c>
      <c r="BR32" s="992"/>
      <c r="BS32" s="988"/>
      <c r="BT32" s="988"/>
      <c r="BU32" s="995" t="s">
        <v>96</v>
      </c>
      <c r="BV32" s="992"/>
      <c r="BW32" s="988"/>
      <c r="BX32" s="988"/>
      <c r="BY32" s="995" t="s">
        <v>96</v>
      </c>
      <c r="BZ32" s="992"/>
      <c r="CA32" s="988"/>
      <c r="CB32" s="988"/>
      <c r="CC32" s="995" t="s">
        <v>96</v>
      </c>
      <c r="CD32" s="992"/>
      <c r="CE32" s="988"/>
      <c r="CF32" s="988"/>
      <c r="CG32" s="995" t="s">
        <v>96</v>
      </c>
      <c r="CH32" s="992"/>
      <c r="CI32" s="988"/>
      <c r="CJ32" s="988"/>
      <c r="CK32" s="995" t="s">
        <v>96</v>
      </c>
      <c r="CL32" s="992"/>
      <c r="CM32" s="988"/>
      <c r="CN32" s="988"/>
      <c r="CO32" s="995" t="s">
        <v>96</v>
      </c>
      <c r="CP32" s="992"/>
      <c r="CQ32" s="988"/>
      <c r="CR32" s="988"/>
      <c r="CS32" s="995" t="s">
        <v>96</v>
      </c>
      <c r="CT32" s="992"/>
      <c r="CU32" s="988"/>
      <c r="CV32" s="988"/>
      <c r="CW32" s="995" t="s">
        <v>96</v>
      </c>
      <c r="CX32" s="992"/>
      <c r="CY32" s="988"/>
      <c r="CZ32" s="988"/>
      <c r="DA32" s="995" t="s">
        <v>96</v>
      </c>
      <c r="DB32" s="992"/>
      <c r="DC32" s="988"/>
      <c r="DD32" s="988"/>
      <c r="DE32" s="995" t="s">
        <v>96</v>
      </c>
      <c r="DF32" s="992"/>
      <c r="DG32" s="988"/>
      <c r="DH32" s="988"/>
      <c r="DI32" s="995" t="s">
        <v>96</v>
      </c>
      <c r="DJ32" s="992"/>
      <c r="DK32" s="988"/>
      <c r="DL32" s="988"/>
      <c r="DM32" s="995" t="s">
        <v>96</v>
      </c>
      <c r="DN32" s="992"/>
      <c r="DO32" s="988"/>
      <c r="DP32" s="988"/>
      <c r="DQ32" s="995" t="s">
        <v>96</v>
      </c>
      <c r="DR32" s="992"/>
      <c r="DS32" s="988"/>
      <c r="DT32" s="988"/>
      <c r="DU32" s="995" t="s">
        <v>96</v>
      </c>
      <c r="DV32" s="992"/>
      <c r="DW32" s="988"/>
      <c r="DX32" s="988"/>
      <c r="DY32" s="995" t="s">
        <v>96</v>
      </c>
      <c r="DZ32" s="992"/>
    </row>
    <row r="33" spans="1:130" x14ac:dyDescent="0.25">
      <c r="A33" s="2084"/>
      <c r="B33" s="1000"/>
      <c r="C33" s="997"/>
      <c r="D33" s="988"/>
      <c r="E33" s="998" t="s">
        <v>336</v>
      </c>
      <c r="F33" s="992">
        <v>7862</v>
      </c>
      <c r="G33" s="688"/>
      <c r="H33" s="688"/>
      <c r="I33" s="998" t="s">
        <v>336</v>
      </c>
      <c r="J33" s="992">
        <v>7322</v>
      </c>
      <c r="K33" s="988"/>
      <c r="L33" s="988"/>
      <c r="M33" s="998" t="s">
        <v>336</v>
      </c>
      <c r="N33" s="992">
        <f>+J37</f>
        <v>6579</v>
      </c>
      <c r="O33" s="988"/>
      <c r="P33" s="988"/>
      <c r="Q33" s="998" t="s">
        <v>336</v>
      </c>
      <c r="R33" s="992">
        <f>+N37</f>
        <v>6185</v>
      </c>
      <c r="S33" s="988"/>
      <c r="T33" s="988"/>
      <c r="U33" s="998" t="s">
        <v>336</v>
      </c>
      <c r="V33" s="992">
        <f>+R37</f>
        <v>8771</v>
      </c>
      <c r="W33" s="988"/>
      <c r="X33" s="988"/>
      <c r="Y33" s="998" t="s">
        <v>336</v>
      </c>
      <c r="Z33" s="992">
        <f>+V37</f>
        <v>8686</v>
      </c>
      <c r="AA33" s="988"/>
      <c r="AB33" s="988"/>
      <c r="AC33" s="998" t="s">
        <v>336</v>
      </c>
      <c r="AD33" s="992">
        <f>+Z37</f>
        <v>7620</v>
      </c>
      <c r="AE33" s="988"/>
      <c r="AF33" s="988"/>
      <c r="AG33" s="998" t="s">
        <v>336</v>
      </c>
      <c r="AH33" s="992">
        <f>+AD37</f>
        <v>6605</v>
      </c>
      <c r="AI33" s="988"/>
      <c r="AJ33" s="988"/>
      <c r="AK33" s="998" t="s">
        <v>336</v>
      </c>
      <c r="AL33" s="992">
        <f>+AH37</f>
        <v>5920</v>
      </c>
      <c r="AM33" s="988"/>
      <c r="AN33" s="988"/>
      <c r="AO33" s="998" t="s">
        <v>336</v>
      </c>
      <c r="AP33" s="992">
        <f>+AL37</f>
        <v>5493</v>
      </c>
      <c r="AQ33" s="988"/>
      <c r="AR33" s="988"/>
      <c r="AS33" s="998" t="s">
        <v>336</v>
      </c>
      <c r="AT33" s="992">
        <f>+AP37</f>
        <v>9589</v>
      </c>
      <c r="AU33" s="988"/>
      <c r="AV33" s="988"/>
      <c r="AW33" s="998" t="s">
        <v>336</v>
      </c>
      <c r="AX33" s="992">
        <f>+AT37</f>
        <v>8856</v>
      </c>
      <c r="AY33" s="988"/>
      <c r="AZ33" s="988"/>
      <c r="BA33" s="998" t="s">
        <v>336</v>
      </c>
      <c r="BB33" s="992">
        <f>+AX37</f>
        <v>8123</v>
      </c>
      <c r="BC33" s="988"/>
      <c r="BD33" s="988"/>
      <c r="BE33" s="998" t="s">
        <v>336</v>
      </c>
      <c r="BF33" s="992">
        <f>+BB37</f>
        <v>9440</v>
      </c>
      <c r="BG33" s="988"/>
      <c r="BH33" s="988"/>
      <c r="BI33" s="998" t="s">
        <v>336</v>
      </c>
      <c r="BJ33" s="992">
        <f>+BF37</f>
        <v>14830</v>
      </c>
      <c r="BK33" s="988"/>
      <c r="BL33" s="988"/>
      <c r="BM33" s="998" t="s">
        <v>336</v>
      </c>
      <c r="BN33" s="992">
        <f>+BJ37</f>
        <v>14550</v>
      </c>
      <c r="BO33" s="988"/>
      <c r="BP33" s="988"/>
      <c r="BQ33" s="998" t="s">
        <v>336</v>
      </c>
      <c r="BR33" s="992">
        <f>+BN37</f>
        <v>14970</v>
      </c>
      <c r="BS33" s="988"/>
      <c r="BT33" s="988"/>
      <c r="BU33" s="998" t="s">
        <v>336</v>
      </c>
      <c r="BV33" s="992">
        <f>+BR37</f>
        <v>13000</v>
      </c>
      <c r="BW33" s="988"/>
      <c r="BX33" s="988"/>
      <c r="BY33" s="998" t="s">
        <v>336</v>
      </c>
      <c r="BZ33" s="992">
        <f>+BV37</f>
        <v>11464</v>
      </c>
      <c r="CA33" s="988"/>
      <c r="CB33" s="988"/>
      <c r="CC33" s="998" t="s">
        <v>336</v>
      </c>
      <c r="CD33" s="992">
        <f>+BZ37</f>
        <v>12000</v>
      </c>
      <c r="CE33" s="988"/>
      <c r="CF33" s="988"/>
      <c r="CG33" s="998" t="s">
        <v>336</v>
      </c>
      <c r="CH33" s="992">
        <f>+CD37</f>
        <v>15000</v>
      </c>
      <c r="CI33" s="988"/>
      <c r="CJ33" s="988"/>
      <c r="CK33" s="998" t="s">
        <v>336</v>
      </c>
      <c r="CL33" s="992">
        <f>+CH37</f>
        <v>15409</v>
      </c>
      <c r="CM33" s="988"/>
      <c r="CN33" s="988"/>
      <c r="CO33" s="998" t="s">
        <v>336</v>
      </c>
      <c r="CP33" s="992">
        <f>+CL37</f>
        <v>12392</v>
      </c>
      <c r="CQ33" s="988"/>
      <c r="CR33" s="988"/>
      <c r="CS33" s="998" t="s">
        <v>336</v>
      </c>
      <c r="CT33" s="992">
        <f>+CP37</f>
        <v>14851</v>
      </c>
      <c r="CU33" s="988"/>
      <c r="CV33" s="988"/>
      <c r="CW33" s="998" t="s">
        <v>336</v>
      </c>
      <c r="CX33" s="992">
        <f>+CT37</f>
        <v>13000</v>
      </c>
      <c r="CY33" s="988"/>
      <c r="CZ33" s="988"/>
      <c r="DA33" s="998" t="s">
        <v>336</v>
      </c>
      <c r="DB33" s="992">
        <f>+CX37</f>
        <v>11340</v>
      </c>
      <c r="DC33" s="988"/>
      <c r="DD33" s="988"/>
      <c r="DE33" s="998" t="s">
        <v>336</v>
      </c>
      <c r="DF33" s="992">
        <f>+DB37</f>
        <v>11520</v>
      </c>
      <c r="DG33" s="988"/>
      <c r="DH33" s="988"/>
      <c r="DI33" s="998" t="s">
        <v>336</v>
      </c>
      <c r="DJ33" s="992">
        <f>+DF37</f>
        <v>14845</v>
      </c>
      <c r="DK33" s="988"/>
      <c r="DL33" s="988"/>
      <c r="DM33" s="998" t="s">
        <v>336</v>
      </c>
      <c r="DN33" s="992">
        <f>+DJ37</f>
        <v>15290</v>
      </c>
      <c r="DO33" s="988"/>
      <c r="DP33" s="988"/>
      <c r="DQ33" s="998" t="s">
        <v>336</v>
      </c>
      <c r="DR33" s="992">
        <f>+DN37</f>
        <v>14700</v>
      </c>
      <c r="DS33" s="988"/>
      <c r="DT33" s="988"/>
      <c r="DU33" s="998" t="s">
        <v>336</v>
      </c>
      <c r="DV33" s="992"/>
      <c r="DW33" s="988"/>
      <c r="DX33" s="988"/>
      <c r="DY33" s="998" t="s">
        <v>336</v>
      </c>
      <c r="DZ33" s="992"/>
    </row>
    <row r="34" spans="1:130" x14ac:dyDescent="0.25">
      <c r="A34" s="2084"/>
      <c r="B34" s="1000"/>
      <c r="C34" s="997"/>
      <c r="D34" s="988"/>
      <c r="E34" s="998" t="s">
        <v>219</v>
      </c>
      <c r="F34" s="992"/>
      <c r="G34" s="688"/>
      <c r="H34" s="688"/>
      <c r="I34" s="998" t="s">
        <v>219</v>
      </c>
      <c r="J34" s="992"/>
      <c r="K34" s="988"/>
      <c r="L34" s="988"/>
      <c r="M34" s="998" t="s">
        <v>219</v>
      </c>
      <c r="N34" s="992">
        <v>4000</v>
      </c>
      <c r="O34" s="988"/>
      <c r="P34" s="988"/>
      <c r="Q34" s="998" t="s">
        <v>219</v>
      </c>
      <c r="R34" s="992">
        <v>4000</v>
      </c>
      <c r="S34" s="988"/>
      <c r="T34" s="988"/>
      <c r="U34" s="998" t="s">
        <v>219</v>
      </c>
      <c r="V34" s="992">
        <v>1000</v>
      </c>
      <c r="W34" s="988"/>
      <c r="X34" s="988"/>
      <c r="Y34" s="998" t="s">
        <v>219</v>
      </c>
      <c r="Z34" s="992"/>
      <c r="AA34" s="988"/>
      <c r="AB34" s="988"/>
      <c r="AC34" s="998" t="s">
        <v>219</v>
      </c>
      <c r="AD34" s="992"/>
      <c r="AE34" s="988"/>
      <c r="AF34" s="988"/>
      <c r="AG34" s="998" t="s">
        <v>219</v>
      </c>
      <c r="AH34" s="992"/>
      <c r="AI34" s="988"/>
      <c r="AJ34" s="988"/>
      <c r="AK34" s="998" t="s">
        <v>219</v>
      </c>
      <c r="AL34" s="992"/>
      <c r="AM34" s="988"/>
      <c r="AN34" s="988"/>
      <c r="AO34" s="998" t="s">
        <v>219</v>
      </c>
      <c r="AP34" s="992">
        <v>5000</v>
      </c>
      <c r="AQ34" s="988"/>
      <c r="AR34" s="988"/>
      <c r="AS34" s="998" t="s">
        <v>219</v>
      </c>
      <c r="AT34" s="992"/>
      <c r="AU34" s="988"/>
      <c r="AV34" s="988"/>
      <c r="AW34" s="998" t="s">
        <v>219</v>
      </c>
      <c r="AX34" s="992">
        <v>0</v>
      </c>
      <c r="AY34" s="988"/>
      <c r="AZ34" s="988"/>
      <c r="BA34" s="998" t="s">
        <v>219</v>
      </c>
      <c r="BB34" s="992">
        <v>2000</v>
      </c>
      <c r="BC34" s="988"/>
      <c r="BD34" s="988"/>
      <c r="BE34" s="998" t="s">
        <v>219</v>
      </c>
      <c r="BF34" s="992">
        <v>4000</v>
      </c>
      <c r="BG34" s="988"/>
      <c r="BH34" s="988"/>
      <c r="BI34" s="998" t="s">
        <v>219</v>
      </c>
      <c r="BJ34" s="992">
        <v>2000</v>
      </c>
      <c r="BK34" s="988"/>
      <c r="BL34" s="988"/>
      <c r="BM34" s="998" t="s">
        <v>219</v>
      </c>
      <c r="BN34" s="992">
        <v>3000</v>
      </c>
      <c r="BO34" s="988"/>
      <c r="BP34" s="988"/>
      <c r="BQ34" s="998" t="s">
        <v>219</v>
      </c>
      <c r="BR34" s="992"/>
      <c r="BS34" s="988"/>
      <c r="BT34" s="988"/>
      <c r="BU34" s="998" t="s">
        <v>219</v>
      </c>
      <c r="BV34" s="992"/>
      <c r="BW34" s="988"/>
      <c r="BX34" s="988"/>
      <c r="BY34" s="998" t="s">
        <v>219</v>
      </c>
      <c r="BZ34" s="992">
        <v>2000</v>
      </c>
      <c r="CA34" s="988"/>
      <c r="CB34" s="988"/>
      <c r="CC34" s="998" t="s">
        <v>219</v>
      </c>
      <c r="CD34" s="992">
        <v>7000</v>
      </c>
      <c r="CE34" s="988"/>
      <c r="CF34" s="988"/>
      <c r="CG34" s="998" t="s">
        <v>219</v>
      </c>
      <c r="CH34" s="992">
        <v>3000</v>
      </c>
      <c r="CI34" s="988"/>
      <c r="CJ34" s="988"/>
      <c r="CK34" s="998" t="s">
        <v>219</v>
      </c>
      <c r="CL34" s="992"/>
      <c r="CM34" s="988"/>
      <c r="CN34" s="988"/>
      <c r="CO34" s="998" t="s">
        <v>219</v>
      </c>
      <c r="CP34" s="992">
        <v>4000</v>
      </c>
      <c r="CQ34" s="988"/>
      <c r="CR34" s="988"/>
      <c r="CS34" s="998" t="s">
        <v>219</v>
      </c>
      <c r="CT34" s="992"/>
      <c r="CU34" s="988"/>
      <c r="CV34" s="988"/>
      <c r="CW34" s="998" t="s">
        <v>219</v>
      </c>
      <c r="CX34" s="992"/>
      <c r="CY34" s="988"/>
      <c r="CZ34" s="988"/>
      <c r="DA34" s="998" t="s">
        <v>219</v>
      </c>
      <c r="DB34" s="992">
        <v>2000</v>
      </c>
      <c r="DC34" s="988"/>
      <c r="DD34" s="988"/>
      <c r="DE34" s="998" t="s">
        <v>219</v>
      </c>
      <c r="DF34" s="992">
        <v>6000</v>
      </c>
      <c r="DG34" s="988"/>
      <c r="DH34" s="988"/>
      <c r="DI34" s="998" t="s">
        <v>219</v>
      </c>
      <c r="DJ34" s="992">
        <v>3000</v>
      </c>
      <c r="DK34" s="988"/>
      <c r="DL34" s="988"/>
      <c r="DM34" s="998" t="s">
        <v>219</v>
      </c>
      <c r="DN34" s="992">
        <v>3000</v>
      </c>
      <c r="DO34" s="988"/>
      <c r="DP34" s="988"/>
      <c r="DQ34" s="998" t="s">
        <v>219</v>
      </c>
      <c r="DR34" s="992">
        <v>4000</v>
      </c>
      <c r="DS34" s="988"/>
      <c r="DT34" s="988"/>
      <c r="DU34" s="998" t="s">
        <v>219</v>
      </c>
      <c r="DV34" s="992"/>
      <c r="DW34" s="988"/>
      <c r="DX34" s="988"/>
      <c r="DY34" s="998" t="s">
        <v>219</v>
      </c>
      <c r="DZ34" s="992"/>
    </row>
    <row r="35" spans="1:130" x14ac:dyDescent="0.25">
      <c r="A35" s="2084"/>
      <c r="B35" s="1000"/>
      <c r="C35" s="997"/>
      <c r="D35" s="988"/>
      <c r="E35" s="998" t="s">
        <v>338</v>
      </c>
      <c r="F35" s="992">
        <f>+F13+F14+F15+F16+F17+F18+F10+F11+F12</f>
        <v>508</v>
      </c>
      <c r="G35" s="688"/>
      <c r="H35" s="688"/>
      <c r="I35" s="998" t="s">
        <v>338</v>
      </c>
      <c r="J35" s="992">
        <f>+J13+J14+J15+J16+J17+J18+J10+J11+J12</f>
        <v>772</v>
      </c>
      <c r="K35" s="988"/>
      <c r="L35" s="988"/>
      <c r="M35" s="998" t="s">
        <v>338</v>
      </c>
      <c r="N35" s="992">
        <f>+N13+N14+N15+N16+N17+N18+N10+N11+N12</f>
        <v>427</v>
      </c>
      <c r="O35" s="988"/>
      <c r="P35" s="988"/>
      <c r="Q35" s="998" t="s">
        <v>338</v>
      </c>
      <c r="R35" s="992">
        <f>+R13+R14+R15+R16+R17+R18+R10+R11+R12</f>
        <v>1271</v>
      </c>
      <c r="S35" s="988"/>
      <c r="T35" s="988"/>
      <c r="U35" s="998" t="s">
        <v>338</v>
      </c>
      <c r="V35" s="992">
        <f>+V13+V14+V15+V16+V17+V18+V10+V11+V12</f>
        <v>1048</v>
      </c>
      <c r="W35" s="988"/>
      <c r="X35" s="988"/>
      <c r="Y35" s="998" t="s">
        <v>338</v>
      </c>
      <c r="Z35" s="992">
        <f>+Z13+Z14+Z15+Z16+Z17+Z18+Z10+Z11+Z12</f>
        <v>1059</v>
      </c>
      <c r="AA35" s="988"/>
      <c r="AB35" s="988"/>
      <c r="AC35" s="998" t="s">
        <v>338</v>
      </c>
      <c r="AD35" s="992">
        <f>+AD13+AD14+AD15+AD16+AD17+AD18+AD10+AD11+AD12</f>
        <v>1022</v>
      </c>
      <c r="AE35" s="988"/>
      <c r="AF35" s="988"/>
      <c r="AG35" s="998" t="s">
        <v>338</v>
      </c>
      <c r="AH35" s="992">
        <f>+AH13+AH14+AH15+AH16+AH17+AH18+AH10+AH11+AH12</f>
        <v>671</v>
      </c>
      <c r="AI35" s="988"/>
      <c r="AJ35" s="988"/>
      <c r="AK35" s="998" t="s">
        <v>338</v>
      </c>
      <c r="AL35" s="992">
        <f>+AL13+AL14+AL15+AL16+AL17+AL18+AL10+AL11+AL12</f>
        <v>473</v>
      </c>
      <c r="AM35" s="988"/>
      <c r="AN35" s="988"/>
      <c r="AO35" s="998" t="s">
        <v>338</v>
      </c>
      <c r="AP35" s="992">
        <f>+AP13+AP14+AP15+AP16+AP17+AP18+AP10+AP11+AP12</f>
        <v>897</v>
      </c>
      <c r="AQ35" s="988"/>
      <c r="AR35" s="988"/>
      <c r="AS35" s="998" t="s">
        <v>338</v>
      </c>
      <c r="AT35" s="992">
        <f>+AT13+AT14+AT15+AT16+AT17+AT18+AT10+AT11+AT12</f>
        <v>711</v>
      </c>
      <c r="AU35" s="988"/>
      <c r="AV35" s="988"/>
      <c r="AW35" s="998" t="s">
        <v>338</v>
      </c>
      <c r="AX35" s="992">
        <f>+AX13+AX14+AX15+AX16+AX17+AX18+AX10+AX11+AX12</f>
        <v>739</v>
      </c>
      <c r="AY35" s="988"/>
      <c r="AZ35" s="988"/>
      <c r="BA35" s="998" t="s">
        <v>338</v>
      </c>
      <c r="BB35" s="992">
        <f>+BB13+BB14+BB15+BB16+BB17+BB18+BB10+BB11+BB12</f>
        <v>703</v>
      </c>
      <c r="BC35" s="988"/>
      <c r="BD35" s="988"/>
      <c r="BE35" s="998" t="s">
        <v>338</v>
      </c>
      <c r="BF35" s="992">
        <f>+BF13+BF14+BF15+BF16+BF17+BF18+BF10+BF11+BF12</f>
        <v>-3409861</v>
      </c>
      <c r="BG35" s="988"/>
      <c r="BH35" s="988"/>
      <c r="BI35" s="998" t="s">
        <v>338</v>
      </c>
      <c r="BJ35" s="992">
        <f>+BJ13+BJ14+BJ15+BJ16+BJ17+BJ18+BJ10+BJ11+BJ12</f>
        <v>2865414</v>
      </c>
      <c r="BK35" s="988"/>
      <c r="BL35" s="988"/>
      <c r="BM35" s="998" t="s">
        <v>338</v>
      </c>
      <c r="BN35" s="992">
        <f>+BN13+BN14+BN15+BN16+BN17+BN18+BN10+BN11+BN12</f>
        <v>2218</v>
      </c>
      <c r="BO35" s="988"/>
      <c r="BP35" s="988"/>
      <c r="BQ35" s="998" t="s">
        <v>338</v>
      </c>
      <c r="BR35" s="992">
        <f>+BR13+BR14+BR15+BR16+BR17+BR18+BR10+BR11+BR12</f>
        <v>1833</v>
      </c>
      <c r="BS35" s="988"/>
      <c r="BT35" s="988"/>
      <c r="BU35" s="998" t="s">
        <v>338</v>
      </c>
      <c r="BV35" s="992">
        <f>+BV13+BV14+BV15+BV16+BV17+BV18+BV10+BV11+BV12</f>
        <v>1501</v>
      </c>
      <c r="BW35" s="988"/>
      <c r="BX35" s="988"/>
      <c r="BY35" s="998" t="s">
        <v>338</v>
      </c>
      <c r="BZ35" s="992">
        <f>+BZ13+BZ14+BZ15+BZ16+BZ17+BZ18+BZ10+BZ11+BZ12</f>
        <v>1341</v>
      </c>
      <c r="CA35" s="988"/>
      <c r="CB35" s="988"/>
      <c r="CC35" s="998" t="s">
        <v>338</v>
      </c>
      <c r="CD35" s="992">
        <f>+CD13+CD14+CD15+CD16+CD17+CD18+CD10+CD11+CD12</f>
        <v>3805</v>
      </c>
      <c r="CE35" s="988"/>
      <c r="CF35" s="988"/>
      <c r="CG35" s="998" t="s">
        <v>338</v>
      </c>
      <c r="CH35" s="992">
        <f>+CH13+CH14+CH15+CH16+CH17+CH18+CH10+CH11+CH12</f>
        <v>1937</v>
      </c>
      <c r="CI35" s="988"/>
      <c r="CJ35" s="988"/>
      <c r="CK35" s="998" t="s">
        <v>338</v>
      </c>
      <c r="CL35" s="992">
        <f>+CL13+CL14+CL15+CL16+CL17+CL18+CL10+CL11+CL12</f>
        <v>2768</v>
      </c>
      <c r="CM35" s="988"/>
      <c r="CN35" s="988"/>
      <c r="CO35" s="998" t="s">
        <v>338</v>
      </c>
      <c r="CP35" s="992">
        <f>+CP13+CP14+CP15+CP16+CP17+CP18+CP10+CP11+CP12</f>
        <v>1397</v>
      </c>
      <c r="CQ35" s="988"/>
      <c r="CR35" s="988"/>
      <c r="CS35" s="998" t="s">
        <v>338</v>
      </c>
      <c r="CT35" s="992">
        <f>+CT13+CT14+CT15+CT16+CT17+CT18+CT10+CT11+CT12</f>
        <v>1607</v>
      </c>
      <c r="CU35" s="988"/>
      <c r="CV35" s="988"/>
      <c r="CW35" s="998" t="s">
        <v>338</v>
      </c>
      <c r="CX35" s="992">
        <f>+CX13+CX14+CX15+CX16+CX17+CX18+CX10+CX11+CX12</f>
        <v>1650</v>
      </c>
      <c r="CY35" s="988"/>
      <c r="CZ35" s="988"/>
      <c r="DA35" s="998" t="s">
        <v>338</v>
      </c>
      <c r="DB35" s="992">
        <f>+DB13+DB14+DB15+DB16+DB17+DB18+DB10+DB11+DB12</f>
        <v>1690</v>
      </c>
      <c r="DC35" s="988"/>
      <c r="DD35" s="988"/>
      <c r="DE35" s="998" t="s">
        <v>338</v>
      </c>
      <c r="DF35" s="992">
        <f>+DF13+DF14+DF15+DF16+DF17+DF18+DF10+DF11+DF12</f>
        <v>2670</v>
      </c>
      <c r="DG35" s="988"/>
      <c r="DH35" s="988"/>
      <c r="DI35" s="998" t="s">
        <v>338</v>
      </c>
      <c r="DJ35" s="992">
        <f>+DJ13+DJ14+DJ15+DJ16+DJ17+DJ18+DJ10+DJ11+DJ12</f>
        <v>2434</v>
      </c>
      <c r="DK35" s="988"/>
      <c r="DL35" s="988"/>
      <c r="DM35" s="998" t="s">
        <v>338</v>
      </c>
      <c r="DN35" s="992">
        <f>+DN13+DN14+DN15+DN16+DN17+DN18+DN10+DN11+DN12</f>
        <v>3382</v>
      </c>
      <c r="DO35" s="988"/>
      <c r="DP35" s="988"/>
      <c r="DQ35" s="998" t="s">
        <v>338</v>
      </c>
      <c r="DR35" s="992">
        <f>+DR13+DR14+DR15+DR16+DR17+DR18+DR10+DR11+DR12</f>
        <v>3209</v>
      </c>
      <c r="DS35" s="988"/>
      <c r="DT35" s="988"/>
      <c r="DU35" s="998" t="s">
        <v>338</v>
      </c>
      <c r="DV35" s="992">
        <f>+DV13+DV14+DV15+DV16+DV17+DV18+DV10+DV11+DV12</f>
        <v>-2899006</v>
      </c>
      <c r="DW35" s="988"/>
      <c r="DX35" s="988"/>
      <c r="DY35" s="998" t="s">
        <v>338</v>
      </c>
      <c r="DZ35" s="992">
        <f>+DZ13+DZ14+DZ15+DZ16+DZ17+DZ18+DZ10+DZ11+DZ12</f>
        <v>-3408569</v>
      </c>
    </row>
    <row r="36" spans="1:130" x14ac:dyDescent="0.25">
      <c r="A36" s="2084"/>
      <c r="B36" s="1000"/>
      <c r="C36" s="997"/>
      <c r="D36" s="988"/>
      <c r="E36" s="998" t="s">
        <v>339</v>
      </c>
      <c r="F36" s="992">
        <f>+F33-F35+F34</f>
        <v>7354</v>
      </c>
      <c r="G36" s="688"/>
      <c r="H36" s="688"/>
      <c r="I36" s="998" t="s">
        <v>339</v>
      </c>
      <c r="J36" s="992">
        <f>+J33+J34-J35</f>
        <v>6550</v>
      </c>
      <c r="K36" s="988"/>
      <c r="L36" s="988"/>
      <c r="M36" s="998" t="s">
        <v>339</v>
      </c>
      <c r="N36" s="992">
        <v>6152</v>
      </c>
      <c r="O36" s="988"/>
      <c r="P36" s="988"/>
      <c r="Q36" s="998" t="s">
        <v>339</v>
      </c>
      <c r="R36" s="992">
        <f>+R33+R34-R35</f>
        <v>8914</v>
      </c>
      <c r="S36" s="988"/>
      <c r="T36" s="988"/>
      <c r="U36" s="998" t="s">
        <v>339</v>
      </c>
      <c r="V36" s="992">
        <f>+V33+V34-V35</f>
        <v>8723</v>
      </c>
      <c r="W36" s="988"/>
      <c r="X36" s="988"/>
      <c r="Y36" s="998" t="s">
        <v>339</v>
      </c>
      <c r="Z36" s="992">
        <f>+Z33+Z34-Z35</f>
        <v>7627</v>
      </c>
      <c r="AA36" s="988"/>
      <c r="AB36" s="988"/>
      <c r="AC36" s="998" t="s">
        <v>339</v>
      </c>
      <c r="AD36" s="992">
        <f>+AD33+AD34-AD35</f>
        <v>6598</v>
      </c>
      <c r="AE36" s="988"/>
      <c r="AF36" s="988"/>
      <c r="AG36" s="998" t="s">
        <v>339</v>
      </c>
      <c r="AH36" s="992">
        <f>+AH33+AH34-AH35</f>
        <v>5934</v>
      </c>
      <c r="AI36" s="988"/>
      <c r="AJ36" s="988"/>
      <c r="AK36" s="998" t="s">
        <v>339</v>
      </c>
      <c r="AL36" s="992">
        <f>+AL33+AL34-AL35</f>
        <v>5447</v>
      </c>
      <c r="AM36" s="988"/>
      <c r="AN36" s="988"/>
      <c r="AO36" s="998" t="s">
        <v>339</v>
      </c>
      <c r="AP36" s="992">
        <f>+AP33+AP34-AP35</f>
        <v>9596</v>
      </c>
      <c r="AQ36" s="988"/>
      <c r="AR36" s="988"/>
      <c r="AS36" s="998" t="s">
        <v>339</v>
      </c>
      <c r="AT36" s="992">
        <f>+AT33+AT34-AT35</f>
        <v>8878</v>
      </c>
      <c r="AU36" s="988"/>
      <c r="AV36" s="988"/>
      <c r="AW36" s="998" t="s">
        <v>339</v>
      </c>
      <c r="AX36" s="992">
        <f>+AX33+AX34-AX35</f>
        <v>8117</v>
      </c>
      <c r="AY36" s="988"/>
      <c r="AZ36" s="988"/>
      <c r="BA36" s="998" t="s">
        <v>339</v>
      </c>
      <c r="BB36" s="992">
        <f>+BB33+BB34-BB35</f>
        <v>9420</v>
      </c>
      <c r="BC36" s="988"/>
      <c r="BD36" s="988"/>
      <c r="BE36" s="998" t="s">
        <v>339</v>
      </c>
      <c r="BF36" s="992">
        <f>+BF33+BF34-BF35</f>
        <v>3423301</v>
      </c>
      <c r="BG36" s="988"/>
      <c r="BH36" s="988"/>
      <c r="BI36" s="998" t="s">
        <v>339</v>
      </c>
      <c r="BJ36" s="992">
        <f>+BJ33+BJ34-BJ35</f>
        <v>-2848584</v>
      </c>
      <c r="BK36" s="988"/>
      <c r="BL36" s="988"/>
      <c r="BM36" s="998" t="s">
        <v>339</v>
      </c>
      <c r="BN36" s="992">
        <f>+BN33+BN34-BN35</f>
        <v>15332</v>
      </c>
      <c r="BO36" s="988"/>
      <c r="BP36" s="988"/>
      <c r="BQ36" s="998" t="s">
        <v>339</v>
      </c>
      <c r="BR36" s="992">
        <f>+BR33+BR34-BR35</f>
        <v>13137</v>
      </c>
      <c r="BS36" s="988"/>
      <c r="BT36" s="988"/>
      <c r="BU36" s="998" t="s">
        <v>339</v>
      </c>
      <c r="BV36" s="992">
        <f>+BV33+BV34-BV35</f>
        <v>11499</v>
      </c>
      <c r="BW36" s="988"/>
      <c r="BX36" s="988"/>
      <c r="BY36" s="998" t="s">
        <v>339</v>
      </c>
      <c r="BZ36" s="992">
        <f>+BZ33+BZ34-BZ35</f>
        <v>12123</v>
      </c>
      <c r="CA36" s="988"/>
      <c r="CB36" s="988"/>
      <c r="CC36" s="998" t="s">
        <v>339</v>
      </c>
      <c r="CD36" s="992">
        <f>+CD33+CD34-CD35</f>
        <v>15195</v>
      </c>
      <c r="CE36" s="988"/>
      <c r="CF36" s="988"/>
      <c r="CG36" s="998" t="s">
        <v>339</v>
      </c>
      <c r="CH36" s="992">
        <f>+CH33+CH34-CH35</f>
        <v>16063</v>
      </c>
      <c r="CI36" s="988"/>
      <c r="CJ36" s="988"/>
      <c r="CK36" s="998" t="s">
        <v>339</v>
      </c>
      <c r="CL36" s="992">
        <f>+CL33+CL34-CL35</f>
        <v>12641</v>
      </c>
      <c r="CM36" s="988"/>
      <c r="CN36" s="988"/>
      <c r="CO36" s="998" t="s">
        <v>339</v>
      </c>
      <c r="CP36" s="992">
        <f>+CP33+CP34-CP35</f>
        <v>14995</v>
      </c>
      <c r="CQ36" s="988"/>
      <c r="CR36" s="988"/>
      <c r="CS36" s="998" t="s">
        <v>339</v>
      </c>
      <c r="CT36" s="992">
        <f>+CT33+CT34-CT35</f>
        <v>13244</v>
      </c>
      <c r="CU36" s="988"/>
      <c r="CV36" s="988"/>
      <c r="CW36" s="998" t="s">
        <v>339</v>
      </c>
      <c r="CX36" s="992">
        <f>+CX33+CX34-CX35</f>
        <v>11350</v>
      </c>
      <c r="CY36" s="988"/>
      <c r="CZ36" s="988"/>
      <c r="DA36" s="998" t="s">
        <v>339</v>
      </c>
      <c r="DB36" s="992">
        <f>+DB33+DB34-DB35</f>
        <v>11650</v>
      </c>
      <c r="DC36" s="988"/>
      <c r="DD36" s="988"/>
      <c r="DE36" s="998" t="s">
        <v>339</v>
      </c>
      <c r="DF36" s="992">
        <f>+DF33+DF34-DF35</f>
        <v>14850</v>
      </c>
      <c r="DG36" s="988"/>
      <c r="DH36" s="988"/>
      <c r="DI36" s="998" t="s">
        <v>339</v>
      </c>
      <c r="DJ36" s="992">
        <f>+DJ33+DJ34-DJ35</f>
        <v>15411</v>
      </c>
      <c r="DK36" s="988"/>
      <c r="DL36" s="988"/>
      <c r="DM36" s="998" t="s">
        <v>339</v>
      </c>
      <c r="DN36" s="992">
        <f>+DN33+DN34-DN35</f>
        <v>14908</v>
      </c>
      <c r="DO36" s="988"/>
      <c r="DP36" s="988"/>
      <c r="DQ36" s="998" t="s">
        <v>339</v>
      </c>
      <c r="DR36" s="992">
        <f>+DR33+DR34-DR35</f>
        <v>15491</v>
      </c>
      <c r="DS36" s="988"/>
      <c r="DT36" s="988"/>
      <c r="DU36" s="998" t="s">
        <v>339</v>
      </c>
      <c r="DV36" s="992">
        <f>+DV33+DV34-DV35</f>
        <v>2899006</v>
      </c>
      <c r="DW36" s="988"/>
      <c r="DX36" s="988"/>
      <c r="DY36" s="998" t="s">
        <v>339</v>
      </c>
      <c r="DZ36" s="992">
        <f>+DZ33+DZ34-DZ35</f>
        <v>3408569</v>
      </c>
    </row>
    <row r="37" spans="1:130" x14ac:dyDescent="0.25">
      <c r="A37" s="2084"/>
      <c r="B37" s="1000"/>
      <c r="C37" s="997"/>
      <c r="D37" s="988"/>
      <c r="E37" s="998" t="s">
        <v>340</v>
      </c>
      <c r="F37" s="992">
        <v>7322</v>
      </c>
      <c r="G37" s="688"/>
      <c r="H37" s="688"/>
      <c r="I37" s="998" t="s">
        <v>340</v>
      </c>
      <c r="J37" s="992">
        <v>6579</v>
      </c>
      <c r="K37" s="988"/>
      <c r="L37" s="988"/>
      <c r="M37" s="998" t="s">
        <v>340</v>
      </c>
      <c r="N37" s="992">
        <v>6185</v>
      </c>
      <c r="O37" s="988"/>
      <c r="P37" s="988"/>
      <c r="Q37" s="998" t="s">
        <v>340</v>
      </c>
      <c r="R37" s="992">
        <v>8771</v>
      </c>
      <c r="S37" s="988"/>
      <c r="T37" s="988"/>
      <c r="U37" s="998" t="s">
        <v>340</v>
      </c>
      <c r="V37" s="992">
        <v>8686</v>
      </c>
      <c r="W37" s="988"/>
      <c r="X37" s="988"/>
      <c r="Y37" s="998" t="s">
        <v>340</v>
      </c>
      <c r="Z37" s="992">
        <v>7620</v>
      </c>
      <c r="AA37" s="988"/>
      <c r="AB37" s="988"/>
      <c r="AC37" s="998" t="s">
        <v>340</v>
      </c>
      <c r="AD37" s="992">
        <v>6605</v>
      </c>
      <c r="AE37" s="988"/>
      <c r="AF37" s="988"/>
      <c r="AG37" s="998" t="s">
        <v>340</v>
      </c>
      <c r="AH37" s="992">
        <v>5920</v>
      </c>
      <c r="AI37" s="988"/>
      <c r="AJ37" s="988"/>
      <c r="AK37" s="998" t="s">
        <v>340</v>
      </c>
      <c r="AL37" s="992">
        <v>5493</v>
      </c>
      <c r="AM37" s="988"/>
      <c r="AN37" s="988"/>
      <c r="AO37" s="998" t="s">
        <v>340</v>
      </c>
      <c r="AP37" s="992">
        <v>9589</v>
      </c>
      <c r="AQ37" s="988"/>
      <c r="AR37" s="988"/>
      <c r="AS37" s="998" t="s">
        <v>340</v>
      </c>
      <c r="AT37" s="992">
        <v>8856</v>
      </c>
      <c r="AU37" s="988"/>
      <c r="AV37" s="988"/>
      <c r="AW37" s="998" t="s">
        <v>340</v>
      </c>
      <c r="AX37" s="992">
        <v>8123</v>
      </c>
      <c r="AY37" s="988"/>
      <c r="AZ37" s="988"/>
      <c r="BA37" s="998" t="s">
        <v>340</v>
      </c>
      <c r="BB37" s="992">
        <v>9440</v>
      </c>
      <c r="BC37" s="988"/>
      <c r="BD37" s="988"/>
      <c r="BE37" s="998" t="s">
        <v>340</v>
      </c>
      <c r="BF37" s="992">
        <v>14830</v>
      </c>
      <c r="BG37" s="988"/>
      <c r="BH37" s="988"/>
      <c r="BI37" s="998" t="s">
        <v>340</v>
      </c>
      <c r="BJ37" s="992">
        <v>14550</v>
      </c>
      <c r="BK37" s="988"/>
      <c r="BL37" s="988"/>
      <c r="BM37" s="998" t="s">
        <v>340</v>
      </c>
      <c r="BN37" s="992">
        <v>14970</v>
      </c>
      <c r="BO37" s="988"/>
      <c r="BP37" s="988"/>
      <c r="BQ37" s="998" t="s">
        <v>340</v>
      </c>
      <c r="BR37" s="992">
        <v>13000</v>
      </c>
      <c r="BS37" s="988"/>
      <c r="BT37" s="988"/>
      <c r="BU37" s="998" t="s">
        <v>340</v>
      </c>
      <c r="BV37" s="992">
        <v>11464</v>
      </c>
      <c r="BW37" s="988"/>
      <c r="BX37" s="988"/>
      <c r="BY37" s="998" t="s">
        <v>340</v>
      </c>
      <c r="BZ37" s="992">
        <v>12000</v>
      </c>
      <c r="CA37" s="988"/>
      <c r="CB37" s="988"/>
      <c r="CC37" s="998" t="s">
        <v>340</v>
      </c>
      <c r="CD37" s="992">
        <v>15000</v>
      </c>
      <c r="CE37" s="988"/>
      <c r="CF37" s="988"/>
      <c r="CG37" s="998" t="s">
        <v>340</v>
      </c>
      <c r="CH37" s="992">
        <v>15409</v>
      </c>
      <c r="CI37" s="988"/>
      <c r="CJ37" s="988"/>
      <c r="CK37" s="998" t="s">
        <v>340</v>
      </c>
      <c r="CL37" s="992">
        <v>12392</v>
      </c>
      <c r="CM37" s="988"/>
      <c r="CN37" s="988"/>
      <c r="CO37" s="998" t="s">
        <v>340</v>
      </c>
      <c r="CP37" s="992">
        <v>14851</v>
      </c>
      <c r="CQ37" s="988"/>
      <c r="CR37" s="988"/>
      <c r="CS37" s="998" t="s">
        <v>340</v>
      </c>
      <c r="CT37" s="992">
        <v>13000</v>
      </c>
      <c r="CU37" s="988"/>
      <c r="CV37" s="988"/>
      <c r="CW37" s="998" t="s">
        <v>340</v>
      </c>
      <c r="CX37" s="992">
        <v>11340</v>
      </c>
      <c r="CY37" s="988"/>
      <c r="CZ37" s="988"/>
      <c r="DA37" s="998" t="s">
        <v>340</v>
      </c>
      <c r="DB37" s="992">
        <v>11520</v>
      </c>
      <c r="DC37" s="988"/>
      <c r="DD37" s="988"/>
      <c r="DE37" s="998" t="s">
        <v>340</v>
      </c>
      <c r="DF37" s="992">
        <v>14845</v>
      </c>
      <c r="DG37" s="988"/>
      <c r="DH37" s="988"/>
      <c r="DI37" s="998" t="s">
        <v>340</v>
      </c>
      <c r="DJ37" s="992">
        <v>15290</v>
      </c>
      <c r="DK37" s="988"/>
      <c r="DL37" s="988"/>
      <c r="DM37" s="998" t="s">
        <v>340</v>
      </c>
      <c r="DN37" s="992">
        <v>14700</v>
      </c>
      <c r="DO37" s="988"/>
      <c r="DP37" s="988"/>
      <c r="DQ37" s="998" t="s">
        <v>340</v>
      </c>
      <c r="DR37" s="992">
        <v>14958</v>
      </c>
      <c r="DS37" s="988"/>
      <c r="DT37" s="988"/>
      <c r="DU37" s="998" t="s">
        <v>340</v>
      </c>
      <c r="DV37" s="992"/>
      <c r="DW37" s="988"/>
      <c r="DX37" s="988"/>
      <c r="DY37" s="998" t="s">
        <v>340</v>
      </c>
      <c r="DZ37" s="992"/>
    </row>
    <row r="38" spans="1:130" x14ac:dyDescent="0.25">
      <c r="A38" s="2084"/>
      <c r="B38" s="1000"/>
      <c r="C38" s="997"/>
      <c r="D38" s="988"/>
      <c r="E38" s="995" t="s">
        <v>456</v>
      </c>
      <c r="F38" s="999">
        <f>+F37-F36</f>
        <v>-32</v>
      </c>
      <c r="G38" s="688"/>
      <c r="H38" s="688"/>
      <c r="I38" s="995" t="s">
        <v>456</v>
      </c>
      <c r="J38" s="999">
        <f>+J37-J36</f>
        <v>29</v>
      </c>
      <c r="K38" s="988"/>
      <c r="L38" s="988"/>
      <c r="M38" s="995" t="s">
        <v>456</v>
      </c>
      <c r="N38" s="999">
        <f>+N37-N36</f>
        <v>33</v>
      </c>
      <c r="O38" s="988"/>
      <c r="P38" s="988"/>
      <c r="Q38" s="995" t="s">
        <v>456</v>
      </c>
      <c r="R38" s="999">
        <f>+R37-R36</f>
        <v>-143</v>
      </c>
      <c r="S38" s="988"/>
      <c r="T38" s="988"/>
      <c r="U38" s="995" t="s">
        <v>456</v>
      </c>
      <c r="V38" s="999">
        <f>+V37-V36</f>
        <v>-37</v>
      </c>
      <c r="W38" s="988"/>
      <c r="X38" s="988"/>
      <c r="Y38" s="995" t="s">
        <v>456</v>
      </c>
      <c r="Z38" s="999">
        <f>+Z37-Z36</f>
        <v>-7</v>
      </c>
      <c r="AA38" s="988"/>
      <c r="AB38" s="988"/>
      <c r="AC38" s="995" t="s">
        <v>456</v>
      </c>
      <c r="AD38" s="999">
        <f>+AD37-AD36</f>
        <v>7</v>
      </c>
      <c r="AE38" s="988"/>
      <c r="AF38" s="988"/>
      <c r="AG38" s="995" t="s">
        <v>456</v>
      </c>
      <c r="AH38" s="999">
        <f>+AH37-AH36</f>
        <v>-14</v>
      </c>
      <c r="AI38" s="988"/>
      <c r="AJ38" s="988"/>
      <c r="AK38" s="995" t="s">
        <v>456</v>
      </c>
      <c r="AL38" s="999">
        <f>+AL37-AL36</f>
        <v>46</v>
      </c>
      <c r="AM38" s="988"/>
      <c r="AN38" s="988"/>
      <c r="AO38" s="995" t="s">
        <v>456</v>
      </c>
      <c r="AP38" s="999">
        <f>+AP37-AP36</f>
        <v>-7</v>
      </c>
      <c r="AQ38" s="988"/>
      <c r="AR38" s="988"/>
      <c r="AS38" s="995" t="s">
        <v>456</v>
      </c>
      <c r="AT38" s="999">
        <f>+AT37-AT36</f>
        <v>-22</v>
      </c>
      <c r="AU38" s="988"/>
      <c r="AV38" s="988"/>
      <c r="AW38" s="995" t="s">
        <v>456</v>
      </c>
      <c r="AX38" s="999">
        <f>+AX37-AX36</f>
        <v>6</v>
      </c>
      <c r="AY38" s="988"/>
      <c r="AZ38" s="988"/>
      <c r="BA38" s="995" t="s">
        <v>456</v>
      </c>
      <c r="BB38" s="999">
        <f>+BB37-BB36</f>
        <v>20</v>
      </c>
      <c r="BC38" s="988"/>
      <c r="BD38" s="988"/>
      <c r="BE38" s="995" t="s">
        <v>456</v>
      </c>
      <c r="BF38" s="999">
        <f>+BF37-BF36</f>
        <v>-3408471</v>
      </c>
      <c r="BG38" s="988"/>
      <c r="BH38" s="988"/>
      <c r="BI38" s="995" t="s">
        <v>456</v>
      </c>
      <c r="BJ38" s="999">
        <f>+BJ37-BJ36</f>
        <v>2863134</v>
      </c>
      <c r="BK38" s="988"/>
      <c r="BL38" s="988"/>
      <c r="BM38" s="995" t="s">
        <v>456</v>
      </c>
      <c r="BN38" s="999">
        <f>+BN37-BN36</f>
        <v>-362</v>
      </c>
      <c r="BO38" s="988"/>
      <c r="BP38" s="988"/>
      <c r="BQ38" s="995" t="s">
        <v>456</v>
      </c>
      <c r="BR38" s="999">
        <f>+BR37-BR36</f>
        <v>-137</v>
      </c>
      <c r="BS38" s="988"/>
      <c r="BT38" s="988"/>
      <c r="BU38" s="995" t="s">
        <v>456</v>
      </c>
      <c r="BV38" s="999">
        <f>+BV37-BV36</f>
        <v>-35</v>
      </c>
      <c r="BW38" s="988"/>
      <c r="BX38" s="988"/>
      <c r="BY38" s="995" t="s">
        <v>456</v>
      </c>
      <c r="BZ38" s="999">
        <f>+BZ37-BZ36</f>
        <v>-123</v>
      </c>
      <c r="CA38" s="988"/>
      <c r="CB38" s="988"/>
      <c r="CC38" s="995" t="s">
        <v>456</v>
      </c>
      <c r="CD38" s="999">
        <f>+CD37-CD36</f>
        <v>-195</v>
      </c>
      <c r="CE38" s="988"/>
      <c r="CF38" s="988"/>
      <c r="CG38" s="995" t="s">
        <v>456</v>
      </c>
      <c r="CH38" s="999">
        <f>+CH37-CH36</f>
        <v>-654</v>
      </c>
      <c r="CI38" s="988"/>
      <c r="CJ38" s="988"/>
      <c r="CK38" s="995" t="s">
        <v>456</v>
      </c>
      <c r="CL38" s="999">
        <f>+CL37-CL36</f>
        <v>-249</v>
      </c>
      <c r="CM38" s="988"/>
      <c r="CN38" s="988"/>
      <c r="CO38" s="995" t="s">
        <v>456</v>
      </c>
      <c r="CP38" s="999">
        <f>+CP37-CP36</f>
        <v>-144</v>
      </c>
      <c r="CQ38" s="988"/>
      <c r="CR38" s="988"/>
      <c r="CS38" s="995" t="s">
        <v>456</v>
      </c>
      <c r="CT38" s="999">
        <f>+CT37-CT36</f>
        <v>-244</v>
      </c>
      <c r="CU38" s="988"/>
      <c r="CV38" s="988"/>
      <c r="CW38" s="995" t="s">
        <v>456</v>
      </c>
      <c r="CX38" s="999">
        <f>+CX37-CX36</f>
        <v>-10</v>
      </c>
      <c r="CY38" s="988"/>
      <c r="CZ38" s="988"/>
      <c r="DA38" s="995" t="s">
        <v>456</v>
      </c>
      <c r="DB38" s="999">
        <f>+DB37-DB36</f>
        <v>-130</v>
      </c>
      <c r="DC38" s="988"/>
      <c r="DD38" s="988"/>
      <c r="DE38" s="995" t="s">
        <v>456</v>
      </c>
      <c r="DF38" s="999">
        <f>+DF37-DF36</f>
        <v>-5</v>
      </c>
      <c r="DG38" s="988"/>
      <c r="DH38" s="988"/>
      <c r="DI38" s="995" t="s">
        <v>456</v>
      </c>
      <c r="DJ38" s="999">
        <f>+DJ37-DJ36</f>
        <v>-121</v>
      </c>
      <c r="DK38" s="988"/>
      <c r="DL38" s="988"/>
      <c r="DM38" s="995" t="s">
        <v>456</v>
      </c>
      <c r="DN38" s="999">
        <f>+DN37-DN36</f>
        <v>-208</v>
      </c>
      <c r="DO38" s="988"/>
      <c r="DP38" s="988"/>
      <c r="DQ38" s="995" t="s">
        <v>456</v>
      </c>
      <c r="DR38" s="999">
        <f>+DR37-DR36</f>
        <v>-533</v>
      </c>
      <c r="DS38" s="988"/>
      <c r="DT38" s="988"/>
      <c r="DU38" s="995" t="s">
        <v>456</v>
      </c>
      <c r="DV38" s="999">
        <f>+DV37-DV36</f>
        <v>-2899006</v>
      </c>
      <c r="DW38" s="988"/>
      <c r="DX38" s="988"/>
      <c r="DY38" s="995" t="s">
        <v>456</v>
      </c>
      <c r="DZ38" s="999">
        <f>+DZ37-DZ36</f>
        <v>-3408569</v>
      </c>
    </row>
    <row r="39" spans="1:130" x14ac:dyDescent="0.25">
      <c r="A39" s="2084"/>
      <c r="B39" s="1000"/>
      <c r="C39" s="997"/>
      <c r="D39" s="988"/>
      <c r="E39" s="1001"/>
      <c r="F39" s="992"/>
      <c r="G39" s="688"/>
      <c r="H39" s="688"/>
      <c r="I39" s="1001"/>
      <c r="J39" s="992"/>
      <c r="K39" s="988"/>
      <c r="L39" s="988"/>
      <c r="M39" s="1001"/>
      <c r="N39" s="992"/>
      <c r="O39" s="988"/>
      <c r="P39" s="988"/>
      <c r="Q39" s="1001"/>
      <c r="R39" s="992"/>
      <c r="S39" s="988"/>
      <c r="T39" s="988"/>
      <c r="U39" s="1001"/>
      <c r="V39" s="992"/>
      <c r="W39" s="988"/>
      <c r="X39" s="988"/>
      <c r="Y39" s="1001"/>
      <c r="Z39" s="992"/>
      <c r="AA39" s="988"/>
      <c r="AB39" s="988"/>
      <c r="AC39" s="1001"/>
      <c r="AD39" s="992"/>
      <c r="AE39" s="988"/>
      <c r="AF39" s="988"/>
      <c r="AG39" s="1001"/>
      <c r="AH39" s="992"/>
      <c r="AI39" s="988"/>
      <c r="AJ39" s="988"/>
      <c r="AK39" s="1001"/>
      <c r="AL39" s="992"/>
      <c r="AM39" s="988"/>
      <c r="AN39" s="988"/>
      <c r="AO39" s="1001"/>
      <c r="AP39" s="992"/>
      <c r="AQ39" s="988"/>
      <c r="AR39" s="988"/>
      <c r="AS39" s="1001"/>
      <c r="AT39" s="992"/>
      <c r="AU39" s="988"/>
      <c r="AV39" s="988"/>
      <c r="AW39" s="1001"/>
      <c r="AX39" s="992"/>
      <c r="AY39" s="988"/>
      <c r="AZ39" s="988"/>
      <c r="BA39" s="1001"/>
      <c r="BB39" s="992"/>
      <c r="BC39" s="988"/>
      <c r="BD39" s="988"/>
      <c r="BE39" s="1001"/>
      <c r="BF39" s="992"/>
      <c r="BG39" s="988"/>
      <c r="BH39" s="988"/>
      <c r="BI39" s="1001"/>
      <c r="BJ39" s="992"/>
      <c r="BK39" s="988"/>
      <c r="BL39" s="988"/>
      <c r="BM39" s="1001"/>
      <c r="BN39" s="992"/>
      <c r="BO39" s="988"/>
      <c r="BP39" s="988"/>
      <c r="BQ39" s="1001"/>
      <c r="BR39" s="992"/>
      <c r="BS39" s="988"/>
      <c r="BT39" s="988"/>
      <c r="BU39" s="1001"/>
      <c r="BV39" s="992"/>
      <c r="BW39" s="988"/>
      <c r="BX39" s="988"/>
      <c r="BY39" s="1001"/>
      <c r="BZ39" s="992"/>
      <c r="CA39" s="988"/>
      <c r="CB39" s="988"/>
      <c r="CC39" s="1001"/>
      <c r="CD39" s="992"/>
      <c r="CE39" s="988"/>
      <c r="CF39" s="988"/>
      <c r="CG39" s="1001"/>
      <c r="CH39" s="992"/>
      <c r="CI39" s="988"/>
      <c r="CJ39" s="988"/>
      <c r="CK39" s="1001"/>
      <c r="CL39" s="992"/>
      <c r="CM39" s="988"/>
      <c r="CN39" s="988"/>
      <c r="CO39" s="1001"/>
      <c r="CP39" s="992"/>
      <c r="CQ39" s="988"/>
      <c r="CR39" s="988"/>
      <c r="CS39" s="1001"/>
      <c r="CT39" s="992"/>
      <c r="CU39" s="988"/>
      <c r="CV39" s="988"/>
      <c r="CW39" s="1001"/>
      <c r="CX39" s="992"/>
      <c r="CY39" s="988"/>
      <c r="CZ39" s="988"/>
      <c r="DA39" s="1001"/>
      <c r="DB39" s="992"/>
      <c r="DC39" s="988"/>
      <c r="DD39" s="988"/>
      <c r="DE39" s="1001"/>
      <c r="DF39" s="992"/>
      <c r="DG39" s="988"/>
      <c r="DH39" s="988"/>
      <c r="DI39" s="1001"/>
      <c r="DJ39" s="992"/>
      <c r="DK39" s="988"/>
      <c r="DL39" s="988"/>
      <c r="DM39" s="1001"/>
      <c r="DN39" s="992"/>
      <c r="DO39" s="988"/>
      <c r="DP39" s="988"/>
      <c r="DQ39" s="1001"/>
      <c r="DR39" s="992"/>
      <c r="DS39" s="988"/>
      <c r="DT39" s="988"/>
      <c r="DU39" s="1001"/>
      <c r="DV39" s="992"/>
      <c r="DW39" s="988"/>
      <c r="DX39" s="988"/>
      <c r="DY39" s="1001"/>
      <c r="DZ39" s="992"/>
    </row>
    <row r="40" spans="1:130" x14ac:dyDescent="0.25">
      <c r="A40" s="2084"/>
      <c r="B40" s="1000"/>
      <c r="C40" s="997"/>
      <c r="D40" s="988"/>
      <c r="E40" s="995" t="s">
        <v>341</v>
      </c>
      <c r="F40" s="992"/>
      <c r="G40" s="688"/>
      <c r="H40" s="688"/>
      <c r="I40" s="995" t="s">
        <v>341</v>
      </c>
      <c r="J40" s="992"/>
      <c r="K40" s="988"/>
      <c r="L40" s="988"/>
      <c r="M40" s="995" t="s">
        <v>341</v>
      </c>
      <c r="N40" s="992"/>
      <c r="O40" s="988"/>
      <c r="P40" s="988"/>
      <c r="Q40" s="995" t="s">
        <v>341</v>
      </c>
      <c r="R40" s="992"/>
      <c r="S40" s="988"/>
      <c r="T40" s="988"/>
      <c r="U40" s="995" t="s">
        <v>341</v>
      </c>
      <c r="V40" s="992"/>
      <c r="W40" s="988"/>
      <c r="X40" s="988"/>
      <c r="Y40" s="995" t="s">
        <v>341</v>
      </c>
      <c r="Z40" s="992"/>
      <c r="AA40" s="988"/>
      <c r="AB40" s="988"/>
      <c r="AC40" s="995" t="s">
        <v>341</v>
      </c>
      <c r="AD40" s="992"/>
      <c r="AE40" s="988"/>
      <c r="AF40" s="988"/>
      <c r="AG40" s="995" t="s">
        <v>341</v>
      </c>
      <c r="AH40" s="992"/>
      <c r="AI40" s="988"/>
      <c r="AJ40" s="988"/>
      <c r="AK40" s="995" t="s">
        <v>341</v>
      </c>
      <c r="AL40" s="992"/>
      <c r="AM40" s="988"/>
      <c r="AN40" s="988"/>
      <c r="AO40" s="995" t="s">
        <v>341</v>
      </c>
      <c r="AP40" s="992"/>
      <c r="AQ40" s="988"/>
      <c r="AR40" s="988"/>
      <c r="AS40" s="995" t="s">
        <v>341</v>
      </c>
      <c r="AT40" s="992"/>
      <c r="AU40" s="988"/>
      <c r="AV40" s="988"/>
      <c r="AW40" s="995" t="s">
        <v>341</v>
      </c>
      <c r="AX40" s="992"/>
      <c r="AY40" s="988"/>
      <c r="AZ40" s="988"/>
      <c r="BA40" s="995" t="s">
        <v>341</v>
      </c>
      <c r="BB40" s="992"/>
      <c r="BC40" s="988"/>
      <c r="BD40" s="988"/>
      <c r="BE40" s="995" t="s">
        <v>341</v>
      </c>
      <c r="BF40" s="992"/>
      <c r="BG40" s="988"/>
      <c r="BH40" s="988"/>
      <c r="BI40" s="995" t="s">
        <v>341</v>
      </c>
      <c r="BJ40" s="992"/>
      <c r="BK40" s="988"/>
      <c r="BL40" s="988"/>
      <c r="BM40" s="995" t="s">
        <v>341</v>
      </c>
      <c r="BN40" s="992"/>
      <c r="BO40" s="988"/>
      <c r="BP40" s="988"/>
      <c r="BQ40" s="995" t="s">
        <v>341</v>
      </c>
      <c r="BR40" s="992"/>
      <c r="BS40" s="988"/>
      <c r="BT40" s="988"/>
      <c r="BU40" s="995" t="s">
        <v>341</v>
      </c>
      <c r="BV40" s="992"/>
      <c r="BW40" s="988"/>
      <c r="BX40" s="988"/>
      <c r="BY40" s="995" t="s">
        <v>341</v>
      </c>
      <c r="BZ40" s="992"/>
      <c r="CA40" s="988"/>
      <c r="CB40" s="988"/>
      <c r="CC40" s="995" t="s">
        <v>341</v>
      </c>
      <c r="CD40" s="992"/>
      <c r="CE40" s="988"/>
      <c r="CF40" s="988"/>
      <c r="CG40" s="995" t="s">
        <v>341</v>
      </c>
      <c r="CH40" s="992"/>
      <c r="CI40" s="988"/>
      <c r="CJ40" s="988"/>
      <c r="CK40" s="995" t="s">
        <v>341</v>
      </c>
      <c r="CL40" s="992"/>
      <c r="CM40" s="988"/>
      <c r="CN40" s="988"/>
      <c r="CO40" s="995" t="s">
        <v>341</v>
      </c>
      <c r="CP40" s="992"/>
      <c r="CQ40" s="988"/>
      <c r="CR40" s="988"/>
      <c r="CS40" s="995" t="s">
        <v>341</v>
      </c>
      <c r="CT40" s="992"/>
      <c r="CU40" s="988"/>
      <c r="CV40" s="988"/>
      <c r="CW40" s="995" t="s">
        <v>341</v>
      </c>
      <c r="CX40" s="992"/>
      <c r="CY40" s="988"/>
      <c r="CZ40" s="988"/>
      <c r="DA40" s="995" t="s">
        <v>341</v>
      </c>
      <c r="DB40" s="992"/>
      <c r="DC40" s="988"/>
      <c r="DD40" s="988"/>
      <c r="DE40" s="995" t="s">
        <v>341</v>
      </c>
      <c r="DF40" s="992"/>
      <c r="DG40" s="988"/>
      <c r="DH40" s="988"/>
      <c r="DI40" s="995" t="s">
        <v>341</v>
      </c>
      <c r="DJ40" s="992"/>
      <c r="DK40" s="988"/>
      <c r="DL40" s="988"/>
      <c r="DM40" s="995" t="s">
        <v>341</v>
      </c>
      <c r="DN40" s="992"/>
      <c r="DO40" s="988"/>
      <c r="DP40" s="988"/>
      <c r="DQ40" s="995" t="s">
        <v>341</v>
      </c>
      <c r="DR40" s="992"/>
      <c r="DS40" s="988"/>
      <c r="DT40" s="988"/>
      <c r="DU40" s="995" t="s">
        <v>341</v>
      </c>
      <c r="DV40" s="992"/>
      <c r="DW40" s="988"/>
      <c r="DX40" s="988"/>
      <c r="DY40" s="995" t="s">
        <v>341</v>
      </c>
      <c r="DZ40" s="992"/>
    </row>
    <row r="41" spans="1:130" x14ac:dyDescent="0.25">
      <c r="A41" s="2084"/>
      <c r="B41" s="1000"/>
      <c r="C41" s="997"/>
      <c r="D41" s="988"/>
      <c r="E41" s="998" t="s">
        <v>336</v>
      </c>
      <c r="F41" s="992">
        <v>8555</v>
      </c>
      <c r="G41" s="688"/>
      <c r="H41" s="688"/>
      <c r="I41" s="998" t="s">
        <v>336</v>
      </c>
      <c r="J41" s="992">
        <f>+F45</f>
        <v>8376</v>
      </c>
      <c r="K41" s="988"/>
      <c r="L41" s="988"/>
      <c r="M41" s="998" t="s">
        <v>336</v>
      </c>
      <c r="N41" s="992">
        <f>+J45</f>
        <v>8239</v>
      </c>
      <c r="O41" s="988"/>
      <c r="P41" s="988"/>
      <c r="Q41" s="998" t="s">
        <v>336</v>
      </c>
      <c r="R41" s="992">
        <f>+N45</f>
        <v>8170</v>
      </c>
      <c r="S41" s="988"/>
      <c r="T41" s="988"/>
      <c r="U41" s="998" t="s">
        <v>336</v>
      </c>
      <c r="V41" s="992">
        <f>+R45</f>
        <v>7422</v>
      </c>
      <c r="W41" s="988"/>
      <c r="X41" s="988"/>
      <c r="Y41" s="998" t="s">
        <v>336</v>
      </c>
      <c r="Z41" s="992">
        <f>+V45</f>
        <v>7347</v>
      </c>
      <c r="AA41" s="988"/>
      <c r="AB41" s="988"/>
      <c r="AC41" s="998" t="s">
        <v>336</v>
      </c>
      <c r="AD41" s="992">
        <f>+Z45</f>
        <v>7247</v>
      </c>
      <c r="AE41" s="988"/>
      <c r="AF41" s="988"/>
      <c r="AG41" s="998" t="s">
        <v>336</v>
      </c>
      <c r="AH41" s="992">
        <f>+AD45</f>
        <v>7069</v>
      </c>
      <c r="AI41" s="988"/>
      <c r="AJ41" s="988"/>
      <c r="AK41" s="998" t="s">
        <v>336</v>
      </c>
      <c r="AL41" s="992">
        <f>+AH45</f>
        <v>6864</v>
      </c>
      <c r="AM41" s="988"/>
      <c r="AN41" s="988"/>
      <c r="AO41" s="998" t="s">
        <v>336</v>
      </c>
      <c r="AP41" s="992">
        <f>+AL45</f>
        <v>6553</v>
      </c>
      <c r="AQ41" s="988"/>
      <c r="AR41" s="988"/>
      <c r="AS41" s="998" t="s">
        <v>336</v>
      </c>
      <c r="AT41" s="992">
        <f>+AP45</f>
        <v>6291</v>
      </c>
      <c r="AU41" s="988"/>
      <c r="AV41" s="988"/>
      <c r="AW41" s="998" t="s">
        <v>336</v>
      </c>
      <c r="AX41" s="992">
        <f>+AT45</f>
        <v>6238</v>
      </c>
      <c r="AY41" s="988"/>
      <c r="AZ41" s="988"/>
      <c r="BA41" s="998" t="s">
        <v>336</v>
      </c>
      <c r="BB41" s="992">
        <f>+AX45</f>
        <v>5867</v>
      </c>
      <c r="BC41" s="988"/>
      <c r="BD41" s="988"/>
      <c r="BE41" s="998" t="s">
        <v>336</v>
      </c>
      <c r="BF41" s="992">
        <f>+BB45</f>
        <v>5707</v>
      </c>
      <c r="BG41" s="988"/>
      <c r="BH41" s="988"/>
      <c r="BI41" s="998" t="s">
        <v>336</v>
      </c>
      <c r="BJ41" s="992">
        <f>+BF45</f>
        <v>2778</v>
      </c>
      <c r="BK41" s="988"/>
      <c r="BL41" s="988"/>
      <c r="BM41" s="998" t="s">
        <v>336</v>
      </c>
      <c r="BN41" s="992">
        <f>+BJ45</f>
        <v>2750</v>
      </c>
      <c r="BO41" s="988"/>
      <c r="BP41" s="988"/>
      <c r="BQ41" s="998" t="s">
        <v>336</v>
      </c>
      <c r="BR41" s="992">
        <f>+BN45</f>
        <v>2746</v>
      </c>
      <c r="BS41" s="988"/>
      <c r="BT41" s="988"/>
      <c r="BU41" s="998" t="s">
        <v>336</v>
      </c>
      <c r="BV41" s="992">
        <f>+BR45</f>
        <v>2730</v>
      </c>
      <c r="BW41" s="988"/>
      <c r="BX41" s="988"/>
      <c r="BY41" s="998" t="s">
        <v>336</v>
      </c>
      <c r="BZ41" s="992">
        <f>+BV45</f>
        <v>2687</v>
      </c>
      <c r="CA41" s="988"/>
      <c r="CB41" s="988"/>
      <c r="CC41" s="998" t="s">
        <v>336</v>
      </c>
      <c r="CD41" s="992">
        <f>+BZ45</f>
        <v>2658</v>
      </c>
      <c r="CE41" s="988"/>
      <c r="CF41" s="988"/>
      <c r="CG41" s="998" t="s">
        <v>336</v>
      </c>
      <c r="CH41" s="992">
        <f>+CD45</f>
        <v>2630</v>
      </c>
      <c r="CI41" s="988"/>
      <c r="CJ41" s="988"/>
      <c r="CK41" s="998" t="s">
        <v>336</v>
      </c>
      <c r="CL41" s="992">
        <f>+CH45</f>
        <v>2558</v>
      </c>
      <c r="CM41" s="988"/>
      <c r="CN41" s="988"/>
      <c r="CO41" s="998" t="s">
        <v>336</v>
      </c>
      <c r="CP41" s="992">
        <f>+CL45</f>
        <v>2530</v>
      </c>
      <c r="CQ41" s="988"/>
      <c r="CR41" s="988"/>
      <c r="CS41" s="998" t="s">
        <v>336</v>
      </c>
      <c r="CT41" s="992">
        <f>+CP45</f>
        <v>2515</v>
      </c>
      <c r="CU41" s="988"/>
      <c r="CV41" s="988"/>
      <c r="CW41" s="998" t="s">
        <v>336</v>
      </c>
      <c r="CX41" s="992">
        <f>+CT45</f>
        <v>2500</v>
      </c>
      <c r="CY41" s="988"/>
      <c r="CZ41" s="988"/>
      <c r="DA41" s="998" t="s">
        <v>336</v>
      </c>
      <c r="DB41" s="992">
        <f>+CX45</f>
        <v>2470</v>
      </c>
      <c r="DC41" s="988"/>
      <c r="DD41" s="988"/>
      <c r="DE41" s="998" t="s">
        <v>336</v>
      </c>
      <c r="DF41" s="992">
        <f>+DB45</f>
        <v>2430</v>
      </c>
      <c r="DG41" s="988"/>
      <c r="DH41" s="988"/>
      <c r="DI41" s="998" t="s">
        <v>336</v>
      </c>
      <c r="DJ41" s="992">
        <f>+DF45</f>
        <v>2369</v>
      </c>
      <c r="DK41" s="988"/>
      <c r="DL41" s="988"/>
      <c r="DM41" s="998" t="s">
        <v>336</v>
      </c>
      <c r="DN41" s="992">
        <f>+DJ45</f>
        <v>2358</v>
      </c>
      <c r="DO41" s="988"/>
      <c r="DP41" s="988"/>
      <c r="DQ41" s="998" t="s">
        <v>336</v>
      </c>
      <c r="DR41" s="992">
        <f>+DN45</f>
        <v>2325</v>
      </c>
      <c r="DS41" s="988"/>
      <c r="DT41" s="988"/>
      <c r="DU41" s="998" t="s">
        <v>336</v>
      </c>
      <c r="DV41" s="992"/>
      <c r="DW41" s="988"/>
      <c r="DX41" s="988"/>
      <c r="DY41" s="998" t="s">
        <v>336</v>
      </c>
      <c r="DZ41" s="992"/>
    </row>
    <row r="42" spans="1:130" x14ac:dyDescent="0.25">
      <c r="A42" s="2084"/>
      <c r="B42" s="1000"/>
      <c r="C42" s="997"/>
      <c r="D42" s="988"/>
      <c r="E42" s="998" t="s">
        <v>219</v>
      </c>
      <c r="F42" s="992"/>
      <c r="G42" s="688"/>
      <c r="H42" s="688"/>
      <c r="I42" s="998" t="s">
        <v>219</v>
      </c>
      <c r="J42" s="992"/>
      <c r="K42" s="988"/>
      <c r="L42" s="988"/>
      <c r="M42" s="998" t="s">
        <v>219</v>
      </c>
      <c r="N42" s="992"/>
      <c r="O42" s="988"/>
      <c r="P42" s="988"/>
      <c r="Q42" s="998" t="s">
        <v>219</v>
      </c>
      <c r="R42" s="992"/>
      <c r="S42" s="988"/>
      <c r="T42" s="988"/>
      <c r="U42" s="998" t="s">
        <v>219</v>
      </c>
      <c r="V42" s="992"/>
      <c r="W42" s="988"/>
      <c r="X42" s="988"/>
      <c r="Y42" s="998" t="s">
        <v>219</v>
      </c>
      <c r="Z42" s="992"/>
      <c r="AA42" s="988"/>
      <c r="AB42" s="988"/>
      <c r="AC42" s="998" t="s">
        <v>219</v>
      </c>
      <c r="AD42" s="992"/>
      <c r="AE42" s="988"/>
      <c r="AF42" s="988"/>
      <c r="AG42" s="998" t="s">
        <v>219</v>
      </c>
      <c r="AH42" s="992"/>
      <c r="AI42" s="988"/>
      <c r="AJ42" s="988"/>
      <c r="AK42" s="998" t="s">
        <v>219</v>
      </c>
      <c r="AL42" s="992"/>
      <c r="AM42" s="988"/>
      <c r="AN42" s="988"/>
      <c r="AO42" s="998" t="s">
        <v>219</v>
      </c>
      <c r="AP42" s="992"/>
      <c r="AQ42" s="988"/>
      <c r="AR42" s="988"/>
      <c r="AS42" s="998" t="s">
        <v>219</v>
      </c>
      <c r="AT42" s="992"/>
      <c r="AU42" s="988"/>
      <c r="AV42" s="988"/>
      <c r="AW42" s="998" t="s">
        <v>219</v>
      </c>
      <c r="AX42" s="992"/>
      <c r="AY42" s="988"/>
      <c r="AZ42" s="988"/>
      <c r="BA42" s="998" t="s">
        <v>219</v>
      </c>
      <c r="BB42" s="992"/>
      <c r="BC42" s="988"/>
      <c r="BD42" s="988"/>
      <c r="BE42" s="998" t="s">
        <v>219</v>
      </c>
      <c r="BF42" s="992"/>
      <c r="BG42" s="988"/>
      <c r="BH42" s="988"/>
      <c r="BI42" s="998" t="s">
        <v>219</v>
      </c>
      <c r="BJ42" s="992"/>
      <c r="BK42" s="988"/>
      <c r="BL42" s="988"/>
      <c r="BM42" s="998" t="s">
        <v>219</v>
      </c>
      <c r="BN42" s="992"/>
      <c r="BO42" s="988"/>
      <c r="BP42" s="988"/>
      <c r="BQ42" s="998" t="s">
        <v>219</v>
      </c>
      <c r="BR42" s="992"/>
      <c r="BS42" s="988"/>
      <c r="BT42" s="988"/>
      <c r="BU42" s="998" t="s">
        <v>219</v>
      </c>
      <c r="BV42" s="992"/>
      <c r="BW42" s="988"/>
      <c r="BX42" s="988"/>
      <c r="BY42" s="998" t="s">
        <v>219</v>
      </c>
      <c r="BZ42" s="992"/>
      <c r="CA42" s="988"/>
      <c r="CB42" s="988"/>
      <c r="CC42" s="998" t="s">
        <v>219</v>
      </c>
      <c r="CD42" s="992"/>
      <c r="CE42" s="988"/>
      <c r="CF42" s="988"/>
      <c r="CG42" s="998" t="s">
        <v>219</v>
      </c>
      <c r="CH42" s="992"/>
      <c r="CI42" s="988"/>
      <c r="CJ42" s="988"/>
      <c r="CK42" s="998" t="s">
        <v>219</v>
      </c>
      <c r="CL42" s="992"/>
      <c r="CM42" s="988"/>
      <c r="CN42" s="988"/>
      <c r="CO42" s="998" t="s">
        <v>219</v>
      </c>
      <c r="CP42" s="992"/>
      <c r="CQ42" s="988"/>
      <c r="CR42" s="988"/>
      <c r="CS42" s="998" t="s">
        <v>219</v>
      </c>
      <c r="CT42" s="992"/>
      <c r="CU42" s="988"/>
      <c r="CV42" s="988"/>
      <c r="CW42" s="998" t="s">
        <v>219</v>
      </c>
      <c r="CX42" s="992"/>
      <c r="CY42" s="988"/>
      <c r="CZ42" s="988"/>
      <c r="DA42" s="998" t="s">
        <v>219</v>
      </c>
      <c r="DB42" s="992"/>
      <c r="DC42" s="988"/>
      <c r="DD42" s="988"/>
      <c r="DE42" s="998" t="s">
        <v>219</v>
      </c>
      <c r="DF42" s="992"/>
      <c r="DG42" s="988"/>
      <c r="DH42" s="988"/>
      <c r="DI42" s="998" t="s">
        <v>219</v>
      </c>
      <c r="DJ42" s="992"/>
      <c r="DK42" s="988"/>
      <c r="DL42" s="988"/>
      <c r="DM42" s="998" t="s">
        <v>219</v>
      </c>
      <c r="DN42" s="992"/>
      <c r="DO42" s="988"/>
      <c r="DP42" s="988"/>
      <c r="DQ42" s="998" t="s">
        <v>219</v>
      </c>
      <c r="DR42" s="992"/>
      <c r="DS42" s="988"/>
      <c r="DT42" s="988"/>
      <c r="DU42" s="998" t="s">
        <v>219</v>
      </c>
      <c r="DV42" s="992"/>
      <c r="DW42" s="988"/>
      <c r="DX42" s="988"/>
      <c r="DY42" s="998" t="s">
        <v>219</v>
      </c>
      <c r="DZ42" s="992"/>
    </row>
    <row r="43" spans="1:130" x14ac:dyDescent="0.25">
      <c r="A43" s="2084"/>
      <c r="B43" s="1000"/>
      <c r="C43" s="997"/>
      <c r="D43" s="988"/>
      <c r="E43" s="998" t="s">
        <v>338</v>
      </c>
      <c r="F43" s="992">
        <f>+F19+F20</f>
        <v>148</v>
      </c>
      <c r="G43" s="688"/>
      <c r="H43" s="688"/>
      <c r="I43" s="998" t="s">
        <v>338</v>
      </c>
      <c r="J43" s="992">
        <f>+J19+J20</f>
        <v>143</v>
      </c>
      <c r="K43" s="988"/>
      <c r="L43" s="988"/>
      <c r="M43" s="998" t="s">
        <v>338</v>
      </c>
      <c r="N43" s="992">
        <f>+N19+N20</f>
        <v>99</v>
      </c>
      <c r="O43" s="988"/>
      <c r="P43" s="988"/>
      <c r="Q43" s="998" t="s">
        <v>338</v>
      </c>
      <c r="R43" s="992">
        <f>+R19+R20</f>
        <v>682</v>
      </c>
      <c r="S43" s="988"/>
      <c r="T43" s="988"/>
      <c r="U43" s="998" t="s">
        <v>338</v>
      </c>
      <c r="V43" s="992">
        <f>+V19+V20</f>
        <v>84</v>
      </c>
      <c r="W43" s="988"/>
      <c r="X43" s="988"/>
      <c r="Y43" s="998" t="s">
        <v>338</v>
      </c>
      <c r="Z43" s="992">
        <f>+Z19+Z20</f>
        <v>156</v>
      </c>
      <c r="AA43" s="988"/>
      <c r="AB43" s="988"/>
      <c r="AC43" s="998" t="s">
        <v>338</v>
      </c>
      <c r="AD43" s="992">
        <f>+AD19+AD20</f>
        <v>164</v>
      </c>
      <c r="AE43" s="988"/>
      <c r="AF43" s="988"/>
      <c r="AG43" s="998" t="s">
        <v>338</v>
      </c>
      <c r="AH43" s="992">
        <f>+AH19+AH20</f>
        <v>194</v>
      </c>
      <c r="AI43" s="988"/>
      <c r="AJ43" s="988"/>
      <c r="AK43" s="998" t="s">
        <v>338</v>
      </c>
      <c r="AL43" s="992">
        <f>+AL19+AL20</f>
        <v>303</v>
      </c>
      <c r="AM43" s="988"/>
      <c r="AN43" s="988"/>
      <c r="AO43" s="998" t="s">
        <v>338</v>
      </c>
      <c r="AP43" s="992">
        <f>+AP19+AP20</f>
        <v>253</v>
      </c>
      <c r="AQ43" s="988"/>
      <c r="AR43" s="988"/>
      <c r="AS43" s="998" t="s">
        <v>338</v>
      </c>
      <c r="AT43" s="992">
        <f>+AT19+AT20</f>
        <v>55</v>
      </c>
      <c r="AU43" s="988"/>
      <c r="AV43" s="988"/>
      <c r="AW43" s="998" t="s">
        <v>338</v>
      </c>
      <c r="AX43" s="992">
        <f>+AX19+AX20</f>
        <v>386</v>
      </c>
      <c r="AY43" s="988"/>
      <c r="AZ43" s="988"/>
      <c r="BA43" s="998" t="s">
        <v>338</v>
      </c>
      <c r="BB43" s="992">
        <f>+BB19+BB20</f>
        <v>188</v>
      </c>
      <c r="BC43" s="988"/>
      <c r="BD43" s="988"/>
      <c r="BE43" s="998" t="s">
        <v>338</v>
      </c>
      <c r="BF43" s="992">
        <f>+BF19+BF20</f>
        <v>-172277</v>
      </c>
      <c r="BG43" s="988"/>
      <c r="BH43" s="988"/>
      <c r="BI43" s="998" t="s">
        <v>338</v>
      </c>
      <c r="BJ43" s="992">
        <f>+BJ19+BJ20</f>
        <v>123272</v>
      </c>
      <c r="BK43" s="988"/>
      <c r="BL43" s="988"/>
      <c r="BM43" s="998" t="s">
        <v>338</v>
      </c>
      <c r="BN43" s="992">
        <f>+BN19+BN20</f>
        <v>4</v>
      </c>
      <c r="BO43" s="988"/>
      <c r="BP43" s="988"/>
      <c r="BQ43" s="998" t="s">
        <v>338</v>
      </c>
      <c r="BR43" s="992">
        <f>+BR19+BR20</f>
        <v>10</v>
      </c>
      <c r="BS43" s="988"/>
      <c r="BT43" s="988"/>
      <c r="BU43" s="998" t="s">
        <v>338</v>
      </c>
      <c r="BV43" s="992">
        <f>+BV19+BV20</f>
        <v>31</v>
      </c>
      <c r="BW43" s="988"/>
      <c r="BX43" s="988"/>
      <c r="BY43" s="998" t="s">
        <v>338</v>
      </c>
      <c r="BZ43" s="992">
        <f>+BZ19+BZ20</f>
        <v>30</v>
      </c>
      <c r="CA43" s="988"/>
      <c r="CB43" s="988"/>
      <c r="CC43" s="998" t="s">
        <v>338</v>
      </c>
      <c r="CD43" s="992">
        <f>+CD19+CD20</f>
        <v>23</v>
      </c>
      <c r="CE43" s="988"/>
      <c r="CF43" s="988"/>
      <c r="CG43" s="998" t="s">
        <v>338</v>
      </c>
      <c r="CH43" s="992">
        <f>+CH19+CH20</f>
        <v>80</v>
      </c>
      <c r="CI43" s="988"/>
      <c r="CJ43" s="988"/>
      <c r="CK43" s="998" t="s">
        <v>338</v>
      </c>
      <c r="CL43" s="992">
        <f>+CL19+CL20</f>
        <v>30</v>
      </c>
      <c r="CM43" s="988"/>
      <c r="CN43" s="988"/>
      <c r="CO43" s="998" t="s">
        <v>338</v>
      </c>
      <c r="CP43" s="992">
        <f>+CP19+CP20</f>
        <v>18</v>
      </c>
      <c r="CQ43" s="988"/>
      <c r="CR43" s="988"/>
      <c r="CS43" s="998" t="s">
        <v>338</v>
      </c>
      <c r="CT43" s="992">
        <f>+CT19+CT20</f>
        <v>12</v>
      </c>
      <c r="CU43" s="988"/>
      <c r="CV43" s="988"/>
      <c r="CW43" s="998" t="s">
        <v>338</v>
      </c>
      <c r="CX43" s="992">
        <f>+CX19+CX20</f>
        <v>23</v>
      </c>
      <c r="CY43" s="988"/>
      <c r="CZ43" s="988"/>
      <c r="DA43" s="998" t="s">
        <v>338</v>
      </c>
      <c r="DB43" s="992">
        <f>+DB19+DB20</f>
        <v>39</v>
      </c>
      <c r="DC43" s="988"/>
      <c r="DD43" s="988"/>
      <c r="DE43" s="998" t="s">
        <v>338</v>
      </c>
      <c r="DF43" s="992">
        <f>+DF19+DF20</f>
        <v>61</v>
      </c>
      <c r="DG43" s="988"/>
      <c r="DH43" s="988"/>
      <c r="DI43" s="998" t="s">
        <v>338</v>
      </c>
      <c r="DJ43" s="992">
        <f>+DJ19+DJ20</f>
        <v>13</v>
      </c>
      <c r="DK43" s="988"/>
      <c r="DL43" s="988"/>
      <c r="DM43" s="998" t="s">
        <v>338</v>
      </c>
      <c r="DN43" s="992">
        <f>+DN19+DN20</f>
        <v>31</v>
      </c>
      <c r="DO43" s="988"/>
      <c r="DP43" s="988"/>
      <c r="DQ43" s="998" t="s">
        <v>338</v>
      </c>
      <c r="DR43" s="992">
        <f>+DR19+DR20</f>
        <v>13</v>
      </c>
      <c r="DS43" s="988"/>
      <c r="DT43" s="988"/>
      <c r="DU43" s="998" t="s">
        <v>338</v>
      </c>
      <c r="DV43" s="992">
        <f>+DV19+DV20</f>
        <v>-123740</v>
      </c>
      <c r="DW43" s="988"/>
      <c r="DX43" s="988"/>
      <c r="DY43" s="998" t="s">
        <v>338</v>
      </c>
      <c r="DZ43" s="992">
        <f>+DZ19+DZ20</f>
        <v>-171753</v>
      </c>
    </row>
    <row r="44" spans="1:130" x14ac:dyDescent="0.25">
      <c r="A44" s="2084"/>
      <c r="B44" s="1000"/>
      <c r="C44" s="997"/>
      <c r="D44" s="988"/>
      <c r="E44" s="998" t="s">
        <v>339</v>
      </c>
      <c r="F44" s="992">
        <f>+F41+F42-F43</f>
        <v>8407</v>
      </c>
      <c r="G44" s="688"/>
      <c r="H44" s="688"/>
      <c r="I44" s="998" t="s">
        <v>339</v>
      </c>
      <c r="J44" s="992">
        <f>+J41+J42-J43</f>
        <v>8233</v>
      </c>
      <c r="K44" s="988"/>
      <c r="L44" s="988"/>
      <c r="M44" s="998" t="s">
        <v>339</v>
      </c>
      <c r="N44" s="992">
        <f>+N41+N42-N43</f>
        <v>8140</v>
      </c>
      <c r="O44" s="988"/>
      <c r="P44" s="988"/>
      <c r="Q44" s="998" t="s">
        <v>339</v>
      </c>
      <c r="R44" s="992">
        <f>+R41+R42-R43</f>
        <v>7488</v>
      </c>
      <c r="S44" s="988"/>
      <c r="T44" s="988"/>
      <c r="U44" s="998" t="s">
        <v>339</v>
      </c>
      <c r="V44" s="992">
        <f>+V41+V42-V43</f>
        <v>7338</v>
      </c>
      <c r="W44" s="988"/>
      <c r="X44" s="988"/>
      <c r="Y44" s="998" t="s">
        <v>339</v>
      </c>
      <c r="Z44" s="992">
        <f>+Z41+Z42-Z43</f>
        <v>7191</v>
      </c>
      <c r="AA44" s="988"/>
      <c r="AB44" s="988"/>
      <c r="AC44" s="998" t="s">
        <v>339</v>
      </c>
      <c r="AD44" s="992">
        <f>+AD41+AD42-AD43</f>
        <v>7083</v>
      </c>
      <c r="AE44" s="988"/>
      <c r="AF44" s="988"/>
      <c r="AG44" s="998" t="s">
        <v>339</v>
      </c>
      <c r="AH44" s="992">
        <f>+AH41+AH42-AH43</f>
        <v>6875</v>
      </c>
      <c r="AI44" s="988"/>
      <c r="AJ44" s="988"/>
      <c r="AK44" s="998" t="s">
        <v>339</v>
      </c>
      <c r="AL44" s="992">
        <f>+AL41+AL42-AL43</f>
        <v>6561</v>
      </c>
      <c r="AM44" s="988"/>
      <c r="AN44" s="988"/>
      <c r="AO44" s="998" t="s">
        <v>339</v>
      </c>
      <c r="AP44" s="992">
        <f>+AP41+AP42-AP43</f>
        <v>6300</v>
      </c>
      <c r="AQ44" s="988"/>
      <c r="AR44" s="988"/>
      <c r="AS44" s="998" t="s">
        <v>339</v>
      </c>
      <c r="AT44" s="992">
        <f>+AT41+AT42-AT43</f>
        <v>6236</v>
      </c>
      <c r="AU44" s="988"/>
      <c r="AV44" s="988"/>
      <c r="AW44" s="998" t="s">
        <v>339</v>
      </c>
      <c r="AX44" s="992">
        <f>+AX41+AX42-AX43</f>
        <v>5852</v>
      </c>
      <c r="AY44" s="988"/>
      <c r="AZ44" s="988"/>
      <c r="BA44" s="998" t="s">
        <v>339</v>
      </c>
      <c r="BB44" s="992">
        <f>+BB41+BB42-BB43</f>
        <v>5679</v>
      </c>
      <c r="BC44" s="988"/>
      <c r="BD44" s="988"/>
      <c r="BE44" s="998" t="s">
        <v>339</v>
      </c>
      <c r="BF44" s="992">
        <f>+BF41+BF42-BF43</f>
        <v>177984</v>
      </c>
      <c r="BG44" s="988"/>
      <c r="BH44" s="988"/>
      <c r="BI44" s="998" t="s">
        <v>339</v>
      </c>
      <c r="BJ44" s="992">
        <f>+BJ41+BJ42-BJ43</f>
        <v>-120494</v>
      </c>
      <c r="BK44" s="988"/>
      <c r="BL44" s="988"/>
      <c r="BM44" s="998" t="s">
        <v>339</v>
      </c>
      <c r="BN44" s="992">
        <f>+BN41+BN42-BN43</f>
        <v>2746</v>
      </c>
      <c r="BO44" s="988"/>
      <c r="BP44" s="988"/>
      <c r="BQ44" s="998" t="s">
        <v>339</v>
      </c>
      <c r="BR44" s="992">
        <f>+BR41+BR42-BR43</f>
        <v>2736</v>
      </c>
      <c r="BS44" s="988"/>
      <c r="BT44" s="988"/>
      <c r="BU44" s="998" t="s">
        <v>339</v>
      </c>
      <c r="BV44" s="992">
        <f>+BV41+BV42-BV43</f>
        <v>2699</v>
      </c>
      <c r="BW44" s="988"/>
      <c r="BX44" s="988"/>
      <c r="BY44" s="998" t="s">
        <v>339</v>
      </c>
      <c r="BZ44" s="992">
        <f>+BZ41+BZ42-BZ43</f>
        <v>2657</v>
      </c>
      <c r="CA44" s="988"/>
      <c r="CB44" s="988"/>
      <c r="CC44" s="998" t="s">
        <v>339</v>
      </c>
      <c r="CD44" s="992">
        <f>+CD41+CD42-CD43</f>
        <v>2635</v>
      </c>
      <c r="CE44" s="988"/>
      <c r="CF44" s="988"/>
      <c r="CG44" s="998" t="s">
        <v>339</v>
      </c>
      <c r="CH44" s="992">
        <f>+CH41+CH42-CH43</f>
        <v>2550</v>
      </c>
      <c r="CI44" s="988"/>
      <c r="CJ44" s="988"/>
      <c r="CK44" s="998" t="s">
        <v>339</v>
      </c>
      <c r="CL44" s="992">
        <f>+CL41+CL42-CL43</f>
        <v>2528</v>
      </c>
      <c r="CM44" s="988"/>
      <c r="CN44" s="988"/>
      <c r="CO44" s="998" t="s">
        <v>339</v>
      </c>
      <c r="CP44" s="992">
        <f>+CP41+CP42-CP43</f>
        <v>2512</v>
      </c>
      <c r="CQ44" s="988"/>
      <c r="CR44" s="988"/>
      <c r="CS44" s="998" t="s">
        <v>339</v>
      </c>
      <c r="CT44" s="992">
        <f>+CT41+CT42-CT43</f>
        <v>2503</v>
      </c>
      <c r="CU44" s="988"/>
      <c r="CV44" s="988"/>
      <c r="CW44" s="998" t="s">
        <v>339</v>
      </c>
      <c r="CX44" s="992">
        <f>+CX41+CX42-CX43</f>
        <v>2477</v>
      </c>
      <c r="CY44" s="988"/>
      <c r="CZ44" s="988"/>
      <c r="DA44" s="998" t="s">
        <v>339</v>
      </c>
      <c r="DB44" s="992">
        <f>+DB41+DB42-DB43</f>
        <v>2431</v>
      </c>
      <c r="DC44" s="988"/>
      <c r="DD44" s="988"/>
      <c r="DE44" s="998" t="s">
        <v>339</v>
      </c>
      <c r="DF44" s="992">
        <f>+DF41+DF42-DF43</f>
        <v>2369</v>
      </c>
      <c r="DG44" s="988"/>
      <c r="DH44" s="988"/>
      <c r="DI44" s="998" t="s">
        <v>339</v>
      </c>
      <c r="DJ44" s="992">
        <f>+DJ41+DJ42-DJ43</f>
        <v>2356</v>
      </c>
      <c r="DK44" s="988"/>
      <c r="DL44" s="988"/>
      <c r="DM44" s="998" t="s">
        <v>339</v>
      </c>
      <c r="DN44" s="992">
        <f>+DN41+DN42-DN43</f>
        <v>2327</v>
      </c>
      <c r="DO44" s="988"/>
      <c r="DP44" s="988"/>
      <c r="DQ44" s="998" t="s">
        <v>339</v>
      </c>
      <c r="DR44" s="992">
        <f>+DR41+DR42-DR43</f>
        <v>2312</v>
      </c>
      <c r="DS44" s="988"/>
      <c r="DT44" s="988"/>
      <c r="DU44" s="998" t="s">
        <v>339</v>
      </c>
      <c r="DV44" s="992">
        <f>+DV41+DV42-DV43</f>
        <v>123740</v>
      </c>
      <c r="DW44" s="988"/>
      <c r="DX44" s="988"/>
      <c r="DY44" s="998" t="s">
        <v>339</v>
      </c>
      <c r="DZ44" s="992">
        <f>+DZ41+DZ42-DZ43</f>
        <v>171753</v>
      </c>
    </row>
    <row r="45" spans="1:130" x14ac:dyDescent="0.25">
      <c r="A45" s="2084"/>
      <c r="B45" s="1000"/>
      <c r="C45" s="997"/>
      <c r="D45" s="988"/>
      <c r="E45" s="998" t="s">
        <v>340</v>
      </c>
      <c r="F45" s="992">
        <v>8376</v>
      </c>
      <c r="G45" s="688"/>
      <c r="H45" s="688"/>
      <c r="I45" s="998" t="s">
        <v>340</v>
      </c>
      <c r="J45" s="992">
        <v>8239</v>
      </c>
      <c r="K45" s="988"/>
      <c r="L45" s="988"/>
      <c r="M45" s="998" t="s">
        <v>340</v>
      </c>
      <c r="N45" s="992">
        <v>8170</v>
      </c>
      <c r="O45" s="988"/>
      <c r="P45" s="988"/>
      <c r="Q45" s="998" t="s">
        <v>340</v>
      </c>
      <c r="R45" s="992">
        <v>7422</v>
      </c>
      <c r="S45" s="988"/>
      <c r="T45" s="988"/>
      <c r="U45" s="998" t="s">
        <v>340</v>
      </c>
      <c r="V45" s="992">
        <v>7347</v>
      </c>
      <c r="W45" s="988"/>
      <c r="X45" s="988"/>
      <c r="Y45" s="998" t="s">
        <v>340</v>
      </c>
      <c r="Z45" s="992">
        <v>7247</v>
      </c>
      <c r="AA45" s="988"/>
      <c r="AB45" s="988"/>
      <c r="AC45" s="998" t="s">
        <v>340</v>
      </c>
      <c r="AD45" s="992">
        <v>7069</v>
      </c>
      <c r="AE45" s="988"/>
      <c r="AF45" s="988"/>
      <c r="AG45" s="998" t="s">
        <v>340</v>
      </c>
      <c r="AH45" s="992">
        <v>6864</v>
      </c>
      <c r="AI45" s="988"/>
      <c r="AJ45" s="988"/>
      <c r="AK45" s="998" t="s">
        <v>340</v>
      </c>
      <c r="AL45" s="992">
        <v>6553</v>
      </c>
      <c r="AM45" s="988"/>
      <c r="AN45" s="988"/>
      <c r="AO45" s="998" t="s">
        <v>340</v>
      </c>
      <c r="AP45" s="992">
        <v>6291</v>
      </c>
      <c r="AQ45" s="988"/>
      <c r="AR45" s="988"/>
      <c r="AS45" s="998" t="s">
        <v>340</v>
      </c>
      <c r="AT45" s="992">
        <v>6238</v>
      </c>
      <c r="AU45" s="988"/>
      <c r="AV45" s="988"/>
      <c r="AW45" s="998" t="s">
        <v>340</v>
      </c>
      <c r="AX45" s="992">
        <v>5867</v>
      </c>
      <c r="AY45" s="988"/>
      <c r="AZ45" s="988"/>
      <c r="BA45" s="998" t="s">
        <v>340</v>
      </c>
      <c r="BB45" s="992">
        <v>5707</v>
      </c>
      <c r="BC45" s="988"/>
      <c r="BD45" s="988"/>
      <c r="BE45" s="998" t="s">
        <v>340</v>
      </c>
      <c r="BF45" s="992">
        <v>2778</v>
      </c>
      <c r="BG45" s="988"/>
      <c r="BH45" s="988"/>
      <c r="BI45" s="998" t="s">
        <v>340</v>
      </c>
      <c r="BJ45" s="992">
        <v>2750</v>
      </c>
      <c r="BK45" s="988"/>
      <c r="BL45" s="988"/>
      <c r="BM45" s="998" t="s">
        <v>340</v>
      </c>
      <c r="BN45" s="992">
        <v>2746</v>
      </c>
      <c r="BO45" s="988"/>
      <c r="BP45" s="988"/>
      <c r="BQ45" s="998" t="s">
        <v>340</v>
      </c>
      <c r="BR45" s="992">
        <v>2730</v>
      </c>
      <c r="BS45" s="988"/>
      <c r="BT45" s="988"/>
      <c r="BU45" s="998" t="s">
        <v>340</v>
      </c>
      <c r="BV45" s="992">
        <v>2687</v>
      </c>
      <c r="BW45" s="988"/>
      <c r="BX45" s="988"/>
      <c r="BY45" s="998" t="s">
        <v>340</v>
      </c>
      <c r="BZ45" s="992">
        <v>2658</v>
      </c>
      <c r="CA45" s="988"/>
      <c r="CB45" s="988"/>
      <c r="CC45" s="998" t="s">
        <v>340</v>
      </c>
      <c r="CD45" s="992">
        <v>2630</v>
      </c>
      <c r="CE45" s="988"/>
      <c r="CF45" s="988"/>
      <c r="CG45" s="998" t="s">
        <v>340</v>
      </c>
      <c r="CH45" s="992">
        <v>2558</v>
      </c>
      <c r="CI45" s="988"/>
      <c r="CJ45" s="988"/>
      <c r="CK45" s="998" t="s">
        <v>340</v>
      </c>
      <c r="CL45" s="992">
        <v>2530</v>
      </c>
      <c r="CM45" s="988"/>
      <c r="CN45" s="988"/>
      <c r="CO45" s="998" t="s">
        <v>340</v>
      </c>
      <c r="CP45" s="992">
        <v>2515</v>
      </c>
      <c r="CQ45" s="988"/>
      <c r="CR45" s="988"/>
      <c r="CS45" s="998" t="s">
        <v>340</v>
      </c>
      <c r="CT45" s="992">
        <v>2500</v>
      </c>
      <c r="CU45" s="988"/>
      <c r="CV45" s="988"/>
      <c r="CW45" s="998" t="s">
        <v>340</v>
      </c>
      <c r="CX45" s="992">
        <v>2470</v>
      </c>
      <c r="CY45" s="988"/>
      <c r="CZ45" s="988"/>
      <c r="DA45" s="998" t="s">
        <v>340</v>
      </c>
      <c r="DB45" s="992">
        <v>2430</v>
      </c>
      <c r="DC45" s="988"/>
      <c r="DD45" s="988"/>
      <c r="DE45" s="998" t="s">
        <v>340</v>
      </c>
      <c r="DF45" s="992">
        <v>2369</v>
      </c>
      <c r="DG45" s="988"/>
      <c r="DH45" s="988"/>
      <c r="DI45" s="998" t="s">
        <v>340</v>
      </c>
      <c r="DJ45" s="992">
        <v>2358</v>
      </c>
      <c r="DK45" s="988"/>
      <c r="DL45" s="988"/>
      <c r="DM45" s="998" t="s">
        <v>340</v>
      </c>
      <c r="DN45" s="992">
        <v>2325</v>
      </c>
      <c r="DO45" s="988"/>
      <c r="DP45" s="988"/>
      <c r="DQ45" s="998" t="s">
        <v>340</v>
      </c>
      <c r="DR45" s="992">
        <v>2314</v>
      </c>
      <c r="DS45" s="988"/>
      <c r="DT45" s="988"/>
      <c r="DU45" s="998" t="s">
        <v>340</v>
      </c>
      <c r="DV45" s="992"/>
      <c r="DW45" s="988"/>
      <c r="DX45" s="988"/>
      <c r="DY45" s="998" t="s">
        <v>340</v>
      </c>
      <c r="DZ45" s="992"/>
    </row>
    <row r="46" spans="1:130" x14ac:dyDescent="0.25">
      <c r="A46" s="2084"/>
      <c r="B46" s="1000"/>
      <c r="C46" s="997"/>
      <c r="D46" s="988"/>
      <c r="E46" s="995" t="s">
        <v>456</v>
      </c>
      <c r="F46" s="999">
        <f>+F45-F44</f>
        <v>-31</v>
      </c>
      <c r="G46" s="688"/>
      <c r="H46" s="688"/>
      <c r="I46" s="995" t="s">
        <v>456</v>
      </c>
      <c r="J46" s="999">
        <f>+J45-J44</f>
        <v>6</v>
      </c>
      <c r="K46" s="988"/>
      <c r="L46" s="988"/>
      <c r="M46" s="995" t="s">
        <v>456</v>
      </c>
      <c r="N46" s="999">
        <f>+N45-N44</f>
        <v>30</v>
      </c>
      <c r="O46" s="988"/>
      <c r="P46" s="988"/>
      <c r="Q46" s="995" t="s">
        <v>456</v>
      </c>
      <c r="R46" s="999">
        <f>+R45-R44</f>
        <v>-66</v>
      </c>
      <c r="S46" s="988"/>
      <c r="T46" s="988"/>
      <c r="U46" s="995" t="s">
        <v>456</v>
      </c>
      <c r="V46" s="999">
        <f>+V45-V44</f>
        <v>9</v>
      </c>
      <c r="W46" s="988"/>
      <c r="X46" s="988"/>
      <c r="Y46" s="995" t="s">
        <v>456</v>
      </c>
      <c r="Z46" s="999">
        <f>+Z45-Z44</f>
        <v>56</v>
      </c>
      <c r="AA46" s="988"/>
      <c r="AB46" s="988"/>
      <c r="AC46" s="995" t="s">
        <v>456</v>
      </c>
      <c r="AD46" s="999">
        <f>+AD45-AD44</f>
        <v>-14</v>
      </c>
      <c r="AE46" s="988"/>
      <c r="AF46" s="988"/>
      <c r="AG46" s="995" t="s">
        <v>456</v>
      </c>
      <c r="AH46" s="999">
        <f>+AH45-AH44</f>
        <v>-11</v>
      </c>
      <c r="AI46" s="988"/>
      <c r="AJ46" s="988"/>
      <c r="AK46" s="995" t="s">
        <v>456</v>
      </c>
      <c r="AL46" s="999">
        <f>+AL45-AL44</f>
        <v>-8</v>
      </c>
      <c r="AM46" s="988"/>
      <c r="AN46" s="988"/>
      <c r="AO46" s="995" t="s">
        <v>456</v>
      </c>
      <c r="AP46" s="999">
        <f>+AP45-AP44</f>
        <v>-9</v>
      </c>
      <c r="AQ46" s="988"/>
      <c r="AR46" s="988"/>
      <c r="AS46" s="995" t="s">
        <v>456</v>
      </c>
      <c r="AT46" s="999">
        <f>+AT45-AT44</f>
        <v>2</v>
      </c>
      <c r="AU46" s="988"/>
      <c r="AV46" s="988"/>
      <c r="AW46" s="995" t="s">
        <v>456</v>
      </c>
      <c r="AX46" s="999">
        <f>+AX45-AX44</f>
        <v>15</v>
      </c>
      <c r="AY46" s="988"/>
      <c r="AZ46" s="988"/>
      <c r="BA46" s="995" t="s">
        <v>456</v>
      </c>
      <c r="BB46" s="999">
        <f>+BB45-BB44</f>
        <v>28</v>
      </c>
      <c r="BC46" s="988"/>
      <c r="BD46" s="988"/>
      <c r="BE46" s="995" t="s">
        <v>456</v>
      </c>
      <c r="BF46" s="999">
        <f>+BF45-BF44</f>
        <v>-175206</v>
      </c>
      <c r="BG46" s="988"/>
      <c r="BH46" s="988"/>
      <c r="BI46" s="995" t="s">
        <v>456</v>
      </c>
      <c r="BJ46" s="999">
        <f>+BJ45-BJ44</f>
        <v>123244</v>
      </c>
      <c r="BK46" s="988"/>
      <c r="BL46" s="988"/>
      <c r="BM46" s="995" t="s">
        <v>456</v>
      </c>
      <c r="BN46" s="999">
        <f>+BN45-BN44</f>
        <v>0</v>
      </c>
      <c r="BO46" s="988"/>
      <c r="BP46" s="988"/>
      <c r="BQ46" s="995" t="s">
        <v>456</v>
      </c>
      <c r="BR46" s="999">
        <f>+BR45-BR44</f>
        <v>-6</v>
      </c>
      <c r="BS46" s="988"/>
      <c r="BT46" s="988"/>
      <c r="BU46" s="995" t="s">
        <v>456</v>
      </c>
      <c r="BV46" s="999">
        <f>+BV45-BV44</f>
        <v>-12</v>
      </c>
      <c r="BW46" s="988"/>
      <c r="BX46" s="988"/>
      <c r="BY46" s="995" t="s">
        <v>456</v>
      </c>
      <c r="BZ46" s="999">
        <f>+BZ45-BZ44</f>
        <v>1</v>
      </c>
      <c r="CA46" s="988"/>
      <c r="CB46" s="988"/>
      <c r="CC46" s="995" t="s">
        <v>456</v>
      </c>
      <c r="CD46" s="999">
        <f>+CD45-CD44</f>
        <v>-5</v>
      </c>
      <c r="CE46" s="988"/>
      <c r="CF46" s="988"/>
      <c r="CG46" s="995" t="s">
        <v>456</v>
      </c>
      <c r="CH46" s="999">
        <f>+CH45-CH44</f>
        <v>8</v>
      </c>
      <c r="CI46" s="988"/>
      <c r="CJ46" s="988"/>
      <c r="CK46" s="995" t="s">
        <v>456</v>
      </c>
      <c r="CL46" s="999">
        <f>+CL45-CL44</f>
        <v>2</v>
      </c>
      <c r="CM46" s="988"/>
      <c r="CN46" s="988"/>
      <c r="CO46" s="995" t="s">
        <v>456</v>
      </c>
      <c r="CP46" s="999">
        <f>+CP45-CP44</f>
        <v>3</v>
      </c>
      <c r="CQ46" s="988"/>
      <c r="CR46" s="988"/>
      <c r="CS46" s="995" t="s">
        <v>456</v>
      </c>
      <c r="CT46" s="999">
        <f>+CT45-CT44</f>
        <v>-3</v>
      </c>
      <c r="CU46" s="988"/>
      <c r="CV46" s="988"/>
      <c r="CW46" s="995" t="s">
        <v>456</v>
      </c>
      <c r="CX46" s="999">
        <f>+CX45-CX44</f>
        <v>-7</v>
      </c>
      <c r="CY46" s="988"/>
      <c r="CZ46" s="988"/>
      <c r="DA46" s="995" t="s">
        <v>456</v>
      </c>
      <c r="DB46" s="999">
        <f>+DB45-DB44</f>
        <v>-1</v>
      </c>
      <c r="DC46" s="988"/>
      <c r="DD46" s="988"/>
      <c r="DE46" s="995" t="s">
        <v>456</v>
      </c>
      <c r="DF46" s="999">
        <f>+DF45-DF44</f>
        <v>0</v>
      </c>
      <c r="DG46" s="988"/>
      <c r="DH46" s="988"/>
      <c r="DI46" s="995" t="s">
        <v>456</v>
      </c>
      <c r="DJ46" s="999">
        <f>+DJ45-DJ44</f>
        <v>2</v>
      </c>
      <c r="DK46" s="988"/>
      <c r="DL46" s="988"/>
      <c r="DM46" s="995" t="s">
        <v>456</v>
      </c>
      <c r="DN46" s="999">
        <f>+DN45-DN44</f>
        <v>-2</v>
      </c>
      <c r="DO46" s="988"/>
      <c r="DP46" s="988"/>
      <c r="DQ46" s="995" t="s">
        <v>456</v>
      </c>
      <c r="DR46" s="999">
        <f>+DR45-DR44</f>
        <v>2</v>
      </c>
      <c r="DS46" s="988"/>
      <c r="DT46" s="988"/>
      <c r="DU46" s="995" t="s">
        <v>456</v>
      </c>
      <c r="DV46" s="999">
        <f>+DV45-DV44</f>
        <v>-123740</v>
      </c>
      <c r="DW46" s="988"/>
      <c r="DX46" s="988"/>
      <c r="DY46" s="995" t="s">
        <v>456</v>
      </c>
      <c r="DZ46" s="999">
        <f>+DZ45-DZ44</f>
        <v>-171753</v>
      </c>
    </row>
    <row r="47" spans="1:130" x14ac:dyDescent="0.25">
      <c r="A47" s="2085"/>
      <c r="B47" s="993"/>
      <c r="C47" s="1002"/>
      <c r="D47" s="1002"/>
      <c r="E47" s="1002"/>
      <c r="F47" s="1003"/>
      <c r="G47" s="1004"/>
      <c r="H47" s="724"/>
      <c r="I47" s="1002"/>
      <c r="J47" s="1003"/>
      <c r="K47" s="1002"/>
      <c r="L47" s="1002"/>
      <c r="M47" s="1002"/>
      <c r="N47" s="1003"/>
      <c r="O47" s="1004"/>
      <c r="P47" s="1002"/>
      <c r="Q47" s="1002"/>
      <c r="R47" s="1003"/>
      <c r="S47" s="1004"/>
      <c r="T47" s="1002"/>
      <c r="U47" s="1002"/>
      <c r="V47" s="1003"/>
      <c r="W47" s="994"/>
      <c r="X47" s="1002"/>
      <c r="Y47" s="1002"/>
      <c r="Z47" s="1003"/>
      <c r="AA47" s="994"/>
      <c r="AB47" s="1002"/>
      <c r="AC47" s="1002"/>
      <c r="AD47" s="1003"/>
      <c r="AE47" s="1002"/>
      <c r="AF47" s="1002"/>
      <c r="AG47" s="1002"/>
      <c r="AH47" s="1003"/>
      <c r="AI47" s="994"/>
      <c r="AJ47" s="1002"/>
      <c r="AK47" s="1002"/>
      <c r="AL47" s="1003"/>
      <c r="AM47" s="1002"/>
      <c r="AN47" s="1002"/>
      <c r="AO47" s="1002"/>
      <c r="AP47" s="1003"/>
      <c r="AQ47" s="1002"/>
      <c r="AR47" s="1002"/>
      <c r="AS47" s="1002"/>
      <c r="AT47" s="1003"/>
      <c r="AU47" s="994"/>
      <c r="AV47" s="1002"/>
      <c r="AW47" s="1002"/>
      <c r="AX47" s="1003"/>
      <c r="AY47" s="994"/>
      <c r="AZ47" s="1002"/>
      <c r="BA47" s="1002"/>
      <c r="BB47" s="1003"/>
      <c r="BC47" s="1002"/>
      <c r="BD47" s="1002"/>
      <c r="BE47" s="1002"/>
      <c r="BF47" s="1003"/>
      <c r="BG47" s="994"/>
      <c r="BH47" s="1002"/>
      <c r="BI47" s="1002"/>
      <c r="BJ47" s="1003"/>
      <c r="BK47" s="994"/>
      <c r="BL47" s="1002"/>
      <c r="BM47" s="1002"/>
      <c r="BN47" s="1003"/>
      <c r="BO47" s="1002"/>
      <c r="BP47" s="1002"/>
      <c r="BQ47" s="1002"/>
      <c r="BR47" s="1003"/>
      <c r="BS47" s="994"/>
      <c r="BT47" s="1002"/>
      <c r="BU47" s="1002"/>
      <c r="BV47" s="1003"/>
      <c r="BW47" s="994"/>
      <c r="BX47" s="1002"/>
      <c r="BY47" s="1002"/>
      <c r="BZ47" s="1003"/>
      <c r="CA47" s="994"/>
      <c r="CB47" s="1002"/>
      <c r="CC47" s="1002"/>
      <c r="CD47" s="1003"/>
      <c r="CE47" s="994"/>
      <c r="CF47" s="1002"/>
      <c r="CG47" s="1002"/>
      <c r="CH47" s="1003"/>
      <c r="CI47" s="994"/>
      <c r="CJ47" s="1002"/>
      <c r="CK47" s="1002"/>
      <c r="CL47" s="1003"/>
      <c r="CM47" s="994"/>
      <c r="CN47" s="1002"/>
      <c r="CO47" s="1002"/>
      <c r="CP47" s="1003"/>
      <c r="CQ47" s="994"/>
      <c r="CR47" s="1002"/>
      <c r="CS47" s="1002"/>
      <c r="CT47" s="1003"/>
      <c r="CU47" s="994"/>
      <c r="CV47" s="1002"/>
      <c r="CW47" s="1002"/>
      <c r="CX47" s="1003"/>
      <c r="CY47" s="994"/>
      <c r="CZ47" s="1002"/>
      <c r="DA47" s="1002"/>
      <c r="DB47" s="1003"/>
      <c r="DC47" s="994"/>
      <c r="DD47" s="1002"/>
      <c r="DE47" s="1002"/>
      <c r="DF47" s="1003"/>
      <c r="DG47" s="994"/>
      <c r="DH47" s="1002"/>
      <c r="DI47" s="1002"/>
      <c r="DJ47" s="1003"/>
      <c r="DK47" s="1002"/>
      <c r="DL47" s="1002"/>
      <c r="DM47" s="1002"/>
      <c r="DN47" s="1003"/>
      <c r="DO47" s="1002"/>
      <c r="DP47" s="1002"/>
      <c r="DQ47" s="1002"/>
      <c r="DR47" s="1003"/>
      <c r="DS47" s="1002"/>
      <c r="DT47" s="1002"/>
      <c r="DU47" s="1002"/>
      <c r="DV47" s="1003"/>
      <c r="DW47" s="1002"/>
      <c r="DX47" s="994"/>
      <c r="DY47" s="1002"/>
      <c r="DZ47" s="1003"/>
    </row>
  </sheetData>
  <mergeCells count="34">
    <mergeCell ref="DS2:DV2"/>
    <mergeCell ref="DW2:DZ2"/>
    <mergeCell ref="A4:A47"/>
    <mergeCell ref="B23:C23"/>
    <mergeCell ref="CY2:DB2"/>
    <mergeCell ref="DC2:DF2"/>
    <mergeCell ref="DG2:DJ2"/>
    <mergeCell ref="DK2:DN2"/>
    <mergeCell ref="DO2:DR2"/>
    <mergeCell ref="CE2:CH2"/>
    <mergeCell ref="CI2:CL2"/>
    <mergeCell ref="CM2:CP2"/>
    <mergeCell ref="CQ2:CT2"/>
    <mergeCell ref="CU2:CX2"/>
    <mergeCell ref="BK2:BN2"/>
    <mergeCell ref="BO2:BR2"/>
    <mergeCell ref="BS2:BV2"/>
    <mergeCell ref="BW2:BZ2"/>
    <mergeCell ref="CA2:CD2"/>
    <mergeCell ref="AQ2:AT2"/>
    <mergeCell ref="AU2:AX2"/>
    <mergeCell ref="AY2:BB2"/>
    <mergeCell ref="BC2:BF2"/>
    <mergeCell ref="BG2:BJ2"/>
    <mergeCell ref="W2:Z2"/>
    <mergeCell ref="AA2:AD2"/>
    <mergeCell ref="AE2:AH2"/>
    <mergeCell ref="AI2:AL2"/>
    <mergeCell ref="AM2:AP2"/>
    <mergeCell ref="C2:F2"/>
    <mergeCell ref="G2:J2"/>
    <mergeCell ref="K2:N2"/>
    <mergeCell ref="O2:R2"/>
    <mergeCell ref="S2:V2"/>
  </mergeCells>
  <dataValidations count="1">
    <dataValidation type="list" allowBlank="1" showInputMessage="1" showErrorMessage="1" sqref="B4:B22 C24:C46 B47">
      <formula1>"S1,S2,S3,S4,S5,S6,S7,S8,S9,G1,G2,G3,G4,G5,G6,G7,G8,G9,P1,P2"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6"/>
  <sheetViews>
    <sheetView topLeftCell="F1" workbookViewId="0">
      <selection activeCell="Q13" sqref="Q13"/>
    </sheetView>
  </sheetViews>
  <sheetFormatPr baseColWidth="10" defaultColWidth="14" defaultRowHeight="13.5" x14ac:dyDescent="0.25"/>
  <cols>
    <col min="1" max="1" width="14" style="775"/>
    <col min="2" max="4" width="14" style="780"/>
    <col min="5" max="5" width="14" style="786"/>
    <col min="6" max="35" width="14" style="776"/>
    <col min="36" max="36" width="14" style="787"/>
    <col min="37" max="37" width="14" style="776"/>
    <col min="38" max="16384" width="14" style="775"/>
  </cols>
  <sheetData>
    <row r="1" spans="1:45" s="732" customFormat="1" x14ac:dyDescent="0.25">
      <c r="A1" s="1564" t="s">
        <v>660</v>
      </c>
      <c r="B1" s="1564"/>
      <c r="C1" s="1564"/>
      <c r="D1" s="1564"/>
      <c r="E1" s="1564" t="s">
        <v>483</v>
      </c>
      <c r="F1" s="1564"/>
      <c r="G1" s="1565" t="s">
        <v>661</v>
      </c>
      <c r="H1" s="1565"/>
      <c r="I1" s="1565"/>
      <c r="J1" s="1565"/>
      <c r="K1" s="1565"/>
      <c r="L1" s="1565" t="s">
        <v>662</v>
      </c>
      <c r="M1" s="1565"/>
      <c r="N1" s="1565"/>
      <c r="O1" s="1565"/>
      <c r="P1" s="1565"/>
      <c r="Q1" s="1565"/>
      <c r="R1" s="1565"/>
      <c r="S1" s="1565"/>
      <c r="T1" s="1565"/>
      <c r="U1" s="1565"/>
      <c r="V1" s="1566"/>
      <c r="X1" s="2088"/>
      <c r="Y1" s="2088"/>
      <c r="Z1" s="2088"/>
      <c r="AA1" s="1567"/>
      <c r="AC1" s="1565"/>
      <c r="AD1" s="1565"/>
      <c r="AI1" s="1568"/>
      <c r="AK1" s="735"/>
      <c r="AP1" s="1569"/>
      <c r="AQ1" s="1569"/>
      <c r="AR1" s="1569"/>
      <c r="AS1" s="1567"/>
    </row>
    <row r="2" spans="1:45" s="1570" customFormat="1" ht="12.75" x14ac:dyDescent="0.2">
      <c r="B2" s="1571"/>
      <c r="C2" s="2089" t="s">
        <v>366</v>
      </c>
      <c r="D2" s="2091" t="s">
        <v>367</v>
      </c>
      <c r="AB2" s="1567"/>
    </row>
    <row r="3" spans="1:45" s="740" customFormat="1" ht="12.75" x14ac:dyDescent="0.2">
      <c r="B3" s="741"/>
      <c r="C3" s="2089"/>
      <c r="D3" s="2091"/>
      <c r="E3" s="1572" t="s">
        <v>368</v>
      </c>
      <c r="F3" s="1573" t="s">
        <v>369</v>
      </c>
      <c r="G3" s="744" t="s">
        <v>370</v>
      </c>
      <c r="H3" s="1574" t="s">
        <v>371</v>
      </c>
      <c r="I3" s="740" t="s">
        <v>372</v>
      </c>
      <c r="J3" s="1573" t="s">
        <v>373</v>
      </c>
      <c r="K3" s="747" t="s">
        <v>374</v>
      </c>
      <c r="M3" s="1573" t="s">
        <v>375</v>
      </c>
      <c r="N3" s="747" t="s">
        <v>376</v>
      </c>
      <c r="O3" s="747"/>
      <c r="P3" s="1575" t="s">
        <v>377</v>
      </c>
      <c r="Q3" s="747" t="s">
        <v>378</v>
      </c>
      <c r="R3" s="1576" t="s">
        <v>379</v>
      </c>
      <c r="S3" s="747" t="s">
        <v>380</v>
      </c>
      <c r="T3" s="750" t="s">
        <v>381</v>
      </c>
      <c r="U3" s="740" t="s">
        <v>382</v>
      </c>
      <c r="W3" s="1577" t="s">
        <v>383</v>
      </c>
      <c r="Y3" s="1570"/>
      <c r="Z3" s="1570"/>
      <c r="AA3" s="1570"/>
      <c r="AF3" s="747"/>
      <c r="AG3" s="747"/>
      <c r="AJ3" s="1578"/>
      <c r="AL3" s="754"/>
      <c r="AM3" s="754"/>
      <c r="AN3" s="754"/>
      <c r="AO3" s="754"/>
    </row>
    <row r="4" spans="1:45" s="1570" customFormat="1" ht="12.75" x14ac:dyDescent="0.2">
      <c r="B4" s="1571"/>
      <c r="C4" s="2089"/>
      <c r="D4" s="2091"/>
    </row>
    <row r="5" spans="1:45" x14ac:dyDescent="0.25">
      <c r="B5" s="777"/>
      <c r="C5" s="2090"/>
      <c r="D5" s="2092"/>
      <c r="E5" s="1579">
        <v>44682</v>
      </c>
      <c r="F5" s="1579">
        <v>44683</v>
      </c>
      <c r="G5" s="1579">
        <v>44684</v>
      </c>
      <c r="H5" s="1579">
        <v>44685</v>
      </c>
      <c r="I5" s="1579">
        <v>44686</v>
      </c>
      <c r="J5" s="1579">
        <v>44687</v>
      </c>
      <c r="K5" s="1579">
        <v>44688</v>
      </c>
      <c r="L5" s="1579">
        <v>44689</v>
      </c>
      <c r="M5" s="1579">
        <v>44690</v>
      </c>
      <c r="N5" s="1579">
        <v>44691</v>
      </c>
      <c r="O5" s="1579">
        <v>44692</v>
      </c>
      <c r="P5" s="1579">
        <v>44693</v>
      </c>
      <c r="Q5" s="1579">
        <v>44694</v>
      </c>
      <c r="R5" s="1579">
        <v>44695</v>
      </c>
      <c r="S5" s="1579">
        <v>44696</v>
      </c>
      <c r="T5" s="1579">
        <v>44697</v>
      </c>
      <c r="U5" s="1579">
        <v>44698</v>
      </c>
      <c r="V5" s="1579">
        <v>44699</v>
      </c>
      <c r="W5" s="1579">
        <v>44700</v>
      </c>
      <c r="X5" s="1579">
        <v>44701</v>
      </c>
      <c r="Y5" s="1579">
        <v>44702</v>
      </c>
      <c r="Z5" s="1579">
        <v>44703</v>
      </c>
      <c r="AA5" s="1579">
        <v>44704</v>
      </c>
      <c r="AB5" s="1579">
        <v>44705</v>
      </c>
      <c r="AC5" s="1579">
        <v>44706</v>
      </c>
      <c r="AD5" s="1579">
        <v>44707</v>
      </c>
      <c r="AE5" s="1579">
        <v>44708</v>
      </c>
      <c r="AF5" s="1579">
        <v>44709</v>
      </c>
      <c r="AG5" s="1579">
        <v>44710</v>
      </c>
      <c r="AH5" s="1579">
        <v>44711</v>
      </c>
      <c r="AI5" s="1579">
        <v>44712</v>
      </c>
      <c r="AJ5" s="2093" t="s">
        <v>33</v>
      </c>
      <c r="AK5" s="2094"/>
      <c r="AL5" s="2094"/>
      <c r="AM5" s="2094"/>
      <c r="AN5" s="2094"/>
      <c r="AO5" s="2094"/>
      <c r="AP5" s="2094"/>
      <c r="AQ5" s="2094"/>
      <c r="AR5" s="2094"/>
      <c r="AS5" s="780"/>
    </row>
    <row r="6" spans="1:45" s="1580" customFormat="1" ht="12.75" x14ac:dyDescent="0.25">
      <c r="B6" s="1581" t="s">
        <v>384</v>
      </c>
      <c r="C6" s="1582" t="s">
        <v>385</v>
      </c>
      <c r="D6" s="1583" t="s">
        <v>386</v>
      </c>
      <c r="E6" s="1584" t="s">
        <v>387</v>
      </c>
      <c r="F6" s="1584" t="s">
        <v>388</v>
      </c>
      <c r="G6" s="1584" t="s">
        <v>389</v>
      </c>
      <c r="H6" s="1584" t="s">
        <v>390</v>
      </c>
      <c r="I6" s="1584" t="s">
        <v>391</v>
      </c>
      <c r="J6" s="1584" t="s">
        <v>392</v>
      </c>
      <c r="K6" s="1584" t="s">
        <v>393</v>
      </c>
      <c r="L6" s="1584" t="s">
        <v>394</v>
      </c>
      <c r="M6" s="1584" t="s">
        <v>395</v>
      </c>
      <c r="N6" s="1584" t="s">
        <v>396</v>
      </c>
      <c r="O6" s="1584" t="s">
        <v>397</v>
      </c>
      <c r="P6" s="1584" t="s">
        <v>398</v>
      </c>
      <c r="Q6" s="1584" t="s">
        <v>399</v>
      </c>
      <c r="R6" s="1584" t="s">
        <v>400</v>
      </c>
      <c r="S6" s="1584" t="s">
        <v>401</v>
      </c>
      <c r="T6" s="1584" t="s">
        <v>402</v>
      </c>
      <c r="U6" s="1584" t="s">
        <v>403</v>
      </c>
      <c r="V6" s="1584" t="s">
        <v>404</v>
      </c>
      <c r="W6" s="1584" t="s">
        <v>405</v>
      </c>
      <c r="X6" s="1584" t="s">
        <v>406</v>
      </c>
      <c r="Y6" s="1584" t="s">
        <v>407</v>
      </c>
      <c r="Z6" s="1584" t="s">
        <v>408</v>
      </c>
      <c r="AA6" s="1584" t="s">
        <v>409</v>
      </c>
      <c r="AB6" s="1584" t="s">
        <v>410</v>
      </c>
      <c r="AC6" s="1584" t="s">
        <v>411</v>
      </c>
      <c r="AD6" s="1584" t="s">
        <v>412</v>
      </c>
      <c r="AE6" s="1584" t="s">
        <v>413</v>
      </c>
      <c r="AF6" s="1584" t="s">
        <v>414</v>
      </c>
      <c r="AG6" s="1584" t="s">
        <v>415</v>
      </c>
      <c r="AH6" s="1584" t="s">
        <v>416</v>
      </c>
      <c r="AI6" s="1584" t="s">
        <v>417</v>
      </c>
      <c r="AJ6" s="1585" t="s">
        <v>418</v>
      </c>
      <c r="AK6" s="1585" t="s">
        <v>419</v>
      </c>
      <c r="AL6" s="1585" t="s">
        <v>420</v>
      </c>
      <c r="AM6" s="1585" t="s">
        <v>421</v>
      </c>
      <c r="AN6" s="1585" t="s">
        <v>422</v>
      </c>
      <c r="AO6" s="1585" t="s">
        <v>423</v>
      </c>
      <c r="AP6" s="1585" t="s">
        <v>424</v>
      </c>
      <c r="AQ6" s="1585" t="s">
        <v>425</v>
      </c>
      <c r="AR6" s="1586" t="s">
        <v>426</v>
      </c>
      <c r="AS6" s="1587" t="s">
        <v>663</v>
      </c>
    </row>
    <row r="7" spans="1:45" s="773" customFormat="1" x14ac:dyDescent="0.2">
      <c r="B7" s="1588"/>
      <c r="C7" s="1589" t="s">
        <v>428</v>
      </c>
      <c r="D7" s="1584" t="s">
        <v>664</v>
      </c>
      <c r="E7" s="1590" t="s">
        <v>377</v>
      </c>
      <c r="F7" s="1590" t="s">
        <v>377</v>
      </c>
      <c r="G7" s="1590" t="s">
        <v>377</v>
      </c>
      <c r="H7" s="1590" t="s">
        <v>377</v>
      </c>
      <c r="I7" s="1590" t="s">
        <v>379</v>
      </c>
      <c r="J7" s="1590" t="s">
        <v>377</v>
      </c>
      <c r="K7" s="1590" t="s">
        <v>377</v>
      </c>
      <c r="L7" s="1590" t="s">
        <v>377</v>
      </c>
      <c r="M7" s="1590" t="s">
        <v>377</v>
      </c>
      <c r="N7" s="1590" t="s">
        <v>377</v>
      </c>
      <c r="O7" s="1590" t="s">
        <v>377</v>
      </c>
      <c r="P7" s="1590" t="s">
        <v>377</v>
      </c>
      <c r="Q7" s="1590" t="s">
        <v>379</v>
      </c>
      <c r="R7" s="1590"/>
      <c r="S7" s="1590"/>
      <c r="T7" s="1590"/>
      <c r="U7" s="1590"/>
      <c r="V7" s="1590"/>
      <c r="W7" s="1590"/>
      <c r="X7" s="1590"/>
      <c r="Y7" s="1590"/>
      <c r="Z7" s="1590"/>
      <c r="AA7" s="1590"/>
      <c r="AB7" s="1590"/>
      <c r="AC7" s="1590"/>
      <c r="AD7" s="1590"/>
      <c r="AE7" s="1590"/>
      <c r="AF7" s="1590"/>
      <c r="AG7" s="1590"/>
      <c r="AH7" s="1590"/>
      <c r="AI7" s="1590"/>
      <c r="AJ7" s="1591">
        <f>COUNTIF(EtatPresence2[[#This Row],[jour 1]:[jour 31]],"Abs")</f>
        <v>0</v>
      </c>
      <c r="AK7" s="1591">
        <f>COUNTIF(EtatPresence2[[#This Row],[jour 1]:[jour 31]],"NJ")</f>
        <v>0</v>
      </c>
      <c r="AL7" s="1591">
        <f>COUNTIF(EtatPresence2[[#This Row],[jour 1]:[jour 31]],"S")</f>
        <v>0</v>
      </c>
      <c r="AM7" s="1591">
        <f>COUNTIF(EtatPresence2[[#This Row],[jour 1]:[jour 31]],"MP")</f>
        <v>0</v>
      </c>
      <c r="AN7" s="1591">
        <f>COUNTIF(EtatPresence2[[#This Row],[jour 1]:[jour 31]],Code4)</f>
        <v>0</v>
      </c>
      <c r="AO7" s="1591">
        <f>COUNTIF(EtatPresence2[[#This Row],[jour 1]:[jour 31]],"RP")</f>
        <v>2</v>
      </c>
      <c r="AP7" s="1591">
        <f>COUNTIF(EtatPresence2[[#This Row],[jour 1]:[jour 31]],"Rt")</f>
        <v>0</v>
      </c>
      <c r="AQ7" s="1591">
        <f>COUNTIF(EtatPresence2[[#This Row],[jour 1]:[jour 31]],"Congé")</f>
        <v>0</v>
      </c>
      <c r="AR7" s="1592">
        <f>SUM(EtatPresence2[[#This Row],[Abs. ]:[Mises a pied]])</f>
        <v>0</v>
      </c>
      <c r="AS7" s="1593"/>
    </row>
    <row r="8" spans="1:45" s="773" customFormat="1" x14ac:dyDescent="0.2">
      <c r="B8" s="1588"/>
      <c r="C8" s="1589" t="s">
        <v>428</v>
      </c>
      <c r="D8" s="1584" t="s">
        <v>665</v>
      </c>
      <c r="E8" s="1590" t="s">
        <v>379</v>
      </c>
      <c r="F8" s="1590" t="s">
        <v>377</v>
      </c>
      <c r="G8" s="1590" t="s">
        <v>377</v>
      </c>
      <c r="H8" s="1590" t="s">
        <v>377</v>
      </c>
      <c r="I8" s="1590" t="s">
        <v>377</v>
      </c>
      <c r="J8" s="1590" t="s">
        <v>377</v>
      </c>
      <c r="K8" s="1590" t="s">
        <v>377</v>
      </c>
      <c r="L8" s="1590" t="s">
        <v>379</v>
      </c>
      <c r="M8" s="1590" t="s">
        <v>377</v>
      </c>
      <c r="N8" s="1590" t="s">
        <v>379</v>
      </c>
      <c r="O8" s="1590" t="s">
        <v>377</v>
      </c>
      <c r="P8" s="1590" t="s">
        <v>377</v>
      </c>
      <c r="Q8" s="1590" t="s">
        <v>377</v>
      </c>
      <c r="R8" s="1590"/>
      <c r="S8" s="1590"/>
      <c r="T8" s="1590"/>
      <c r="U8" s="1590"/>
      <c r="V8" s="1590"/>
      <c r="W8" s="1590"/>
      <c r="X8" s="1590"/>
      <c r="Y8" s="1590"/>
      <c r="Z8" s="1590"/>
      <c r="AA8" s="1590"/>
      <c r="AB8" s="1590"/>
      <c r="AC8" s="1590"/>
      <c r="AD8" s="1590"/>
      <c r="AE8" s="1590"/>
      <c r="AF8" s="1590"/>
      <c r="AG8" s="1590"/>
      <c r="AH8" s="1590"/>
      <c r="AI8" s="1590"/>
      <c r="AJ8" s="1591">
        <f>COUNTIF(EtatPresence2[[#This Row],[jour 1]:[jour 31]],"Abs")</f>
        <v>0</v>
      </c>
      <c r="AK8" s="1591">
        <f>COUNTIF(EtatPresence2[[#This Row],[jour 1]:[jour 31]],"NJ")</f>
        <v>0</v>
      </c>
      <c r="AL8" s="1591"/>
      <c r="AM8" s="1591">
        <f>COUNTIF(EtatPresence2[[#This Row],[jour 1]:[jour 31]],"MP")</f>
        <v>0</v>
      </c>
      <c r="AN8" s="1591">
        <f>COUNTIF(EtatPresence2[[#This Row],[jour 1]:[jour 31]],Code4)</f>
        <v>0</v>
      </c>
      <c r="AO8" s="1591">
        <f>COUNTIF(EtatPresence2[[#This Row],[jour 1]:[jour 31]],"RP")</f>
        <v>3</v>
      </c>
      <c r="AP8" s="1591">
        <f>COUNTIF(EtatPresence2[[#This Row],[jour 1]:[jour 31]],"Rt")</f>
        <v>0</v>
      </c>
      <c r="AQ8" s="1591">
        <f>COUNTIF(EtatPresence2[[#This Row],[jour 1]:[jour 31]],"Congé")</f>
        <v>0</v>
      </c>
      <c r="AR8" s="1592">
        <f>SUM(EtatPresence2[[#This Row],[Abs. ]:[Mises a pied]])</f>
        <v>0</v>
      </c>
      <c r="AS8" s="1593"/>
    </row>
    <row r="9" spans="1:45" s="773" customFormat="1" x14ac:dyDescent="0.2">
      <c r="B9" s="1588"/>
      <c r="C9" s="1589" t="s">
        <v>428</v>
      </c>
      <c r="D9" s="1584" t="s">
        <v>666</v>
      </c>
      <c r="E9" s="1590" t="s">
        <v>377</v>
      </c>
      <c r="F9" s="1590" t="s">
        <v>377</v>
      </c>
      <c r="G9" s="1590" t="s">
        <v>377</v>
      </c>
      <c r="H9" s="1590" t="s">
        <v>377</v>
      </c>
      <c r="I9" s="1590" t="s">
        <v>377</v>
      </c>
      <c r="J9" s="1590" t="s">
        <v>379</v>
      </c>
      <c r="K9" s="1590" t="s">
        <v>377</v>
      </c>
      <c r="L9" s="1590" t="s">
        <v>377</v>
      </c>
      <c r="M9" s="1590" t="s">
        <v>377</v>
      </c>
      <c r="N9" s="1590" t="s">
        <v>377</v>
      </c>
      <c r="O9" s="1590" t="s">
        <v>377</v>
      </c>
      <c r="P9" s="1590" t="s">
        <v>377</v>
      </c>
      <c r="Q9" s="1590" t="s">
        <v>377</v>
      </c>
      <c r="R9" s="1590"/>
      <c r="S9" s="1590"/>
      <c r="T9" s="1590"/>
      <c r="U9" s="1590"/>
      <c r="V9" s="1590"/>
      <c r="W9" s="1590"/>
      <c r="X9" s="1590"/>
      <c r="Y9" s="1590"/>
      <c r="Z9" s="1590"/>
      <c r="AA9" s="1590"/>
      <c r="AB9" s="1590"/>
      <c r="AC9" s="1590"/>
      <c r="AD9" s="1590"/>
      <c r="AE9" s="1590"/>
      <c r="AF9" s="1590"/>
      <c r="AG9" s="1590"/>
      <c r="AH9" s="1590"/>
      <c r="AI9" s="1590"/>
      <c r="AJ9" s="1591">
        <f>COUNTIF(EtatPresence2[[#This Row],[jour 1]:[jour 31]],"Abs")</f>
        <v>0</v>
      </c>
      <c r="AK9" s="1591">
        <f>COUNTIF(EtatPresence2[[#This Row],[jour 1]:[jour 31]],"NJ")</f>
        <v>0</v>
      </c>
      <c r="AL9" s="1591">
        <f>COUNTIF(EtatPresence2[[#This Row],[jour 1]:[jour 31]],"S")</f>
        <v>0</v>
      </c>
      <c r="AM9" s="1591">
        <f>COUNTIF(EtatPresence2[[#This Row],[jour 1]:[jour 31]],"MP")</f>
        <v>0</v>
      </c>
      <c r="AN9" s="1591">
        <f>COUNTIF(EtatPresence2[[#This Row],[jour 1]:[jour 31]],Code4)</f>
        <v>0</v>
      </c>
      <c r="AO9" s="1591">
        <f>COUNTIF(EtatPresence2[[#This Row],[jour 1]:[jour 31]],"RP")</f>
        <v>1</v>
      </c>
      <c r="AP9" s="1591">
        <f>COUNTIF(EtatPresence2[[#This Row],[jour 1]:[jour 31]],"Rt")</f>
        <v>0</v>
      </c>
      <c r="AQ9" s="1591">
        <f>COUNTIF(EtatPresence2[[#This Row],[jour 1]:[jour 31]],"Congé")</f>
        <v>0</v>
      </c>
      <c r="AR9" s="1592">
        <f>SUM(EtatPresence2[[#This Row],[Abs. ]:[Mises a pied]])</f>
        <v>0</v>
      </c>
      <c r="AS9" s="1593"/>
    </row>
    <row r="10" spans="1:45" x14ac:dyDescent="0.25">
      <c r="B10" s="1588"/>
      <c r="C10" s="1589" t="s">
        <v>428</v>
      </c>
      <c r="D10" s="1584" t="s">
        <v>648</v>
      </c>
      <c r="E10" s="1590" t="s">
        <v>377</v>
      </c>
      <c r="F10" s="1590" t="s">
        <v>377</v>
      </c>
      <c r="G10" s="1590" t="s">
        <v>379</v>
      </c>
      <c r="H10" s="1590" t="s">
        <v>377</v>
      </c>
      <c r="I10" s="1590" t="s">
        <v>377</v>
      </c>
      <c r="J10" s="1590" t="s">
        <v>377</v>
      </c>
      <c r="K10" s="1590" t="s">
        <v>377</v>
      </c>
      <c r="L10" s="1590" t="s">
        <v>377</v>
      </c>
      <c r="M10" s="1590" t="s">
        <v>379</v>
      </c>
      <c r="N10" s="1590" t="s">
        <v>377</v>
      </c>
      <c r="O10" s="1590" t="s">
        <v>377</v>
      </c>
      <c r="P10" s="1590" t="s">
        <v>377</v>
      </c>
      <c r="Q10" s="1590" t="s">
        <v>377</v>
      </c>
      <c r="R10" s="1590"/>
      <c r="S10" s="1590"/>
      <c r="T10" s="1590"/>
      <c r="U10" s="1590"/>
      <c r="V10" s="1590"/>
      <c r="W10" s="1590"/>
      <c r="X10" s="1590"/>
      <c r="Y10" s="1590"/>
      <c r="Z10" s="1590"/>
      <c r="AA10" s="1590"/>
      <c r="AB10" s="1590"/>
      <c r="AC10" s="1590"/>
      <c r="AD10" s="1590"/>
      <c r="AE10" s="1590"/>
      <c r="AF10" s="1590"/>
      <c r="AG10" s="1590"/>
      <c r="AH10" s="1590"/>
      <c r="AI10" s="1590"/>
      <c r="AJ10" s="1591">
        <f>COUNTIF(EtatPresence2[[#This Row],[jour 1]:[jour 31]],"Abs")</f>
        <v>0</v>
      </c>
      <c r="AK10" s="1591">
        <f>COUNTIF(EtatPresence2[[#This Row],[jour 1]:[jour 31]],"NJ")</f>
        <v>0</v>
      </c>
      <c r="AL10" s="1591">
        <f>COUNTIF(EtatPresence2[[#This Row],[jour 1]:[jour 31]],"S")</f>
        <v>0</v>
      </c>
      <c r="AM10" s="1591">
        <f>COUNTIF(EtatPresence2[[#This Row],[jour 1]:[jour 31]],"MP")</f>
        <v>0</v>
      </c>
      <c r="AN10" s="1591">
        <f>COUNTIF(EtatPresence2[[#This Row],[jour 1]:[jour 31]],Code4)</f>
        <v>0</v>
      </c>
      <c r="AO10" s="1591">
        <f>COUNTIF(EtatPresence2[[#This Row],[jour 1]:[jour 31]],"RP")</f>
        <v>2</v>
      </c>
      <c r="AP10" s="1591">
        <f>COUNTIF(EtatPresence2[[#This Row],[jour 1]:[jour 31]],"Rt")</f>
        <v>0</v>
      </c>
      <c r="AQ10" s="1591">
        <f>COUNTIF(EtatPresence2[[#This Row],[jour 1]:[jour 31]],"Congé")</f>
        <v>0</v>
      </c>
      <c r="AR10" s="1592">
        <f>SUM(EtatPresence2[[#This Row],[Abs. ]:[Mises a pied]])</f>
        <v>0</v>
      </c>
      <c r="AS10" s="969"/>
    </row>
    <row r="11" spans="1:45" x14ac:dyDescent="0.25">
      <c r="B11" s="1588"/>
      <c r="C11" s="1589" t="s">
        <v>428</v>
      </c>
      <c r="D11" s="1584"/>
      <c r="E11" s="1590"/>
      <c r="F11" s="1590"/>
      <c r="G11" s="1590"/>
      <c r="H11" s="1590"/>
      <c r="I11" s="1590"/>
      <c r="J11" s="1590"/>
      <c r="K11" s="1590"/>
      <c r="L11" s="1590"/>
      <c r="M11" s="1590"/>
      <c r="N11" s="1590"/>
      <c r="O11" s="1590"/>
      <c r="P11" s="1590"/>
      <c r="Q11" s="1590"/>
      <c r="R11" s="1590"/>
      <c r="S11" s="1590"/>
      <c r="T11" s="1590"/>
      <c r="U11" s="1590"/>
      <c r="V11" s="1590"/>
      <c r="W11" s="1590"/>
      <c r="X11" s="1590"/>
      <c r="Y11" s="1590"/>
      <c r="Z11" s="1590"/>
      <c r="AA11" s="1590"/>
      <c r="AB11" s="1590"/>
      <c r="AC11" s="1590"/>
      <c r="AD11" s="1590"/>
      <c r="AE11" s="1590"/>
      <c r="AF11" s="1590"/>
      <c r="AG11" s="1590"/>
      <c r="AH11" s="1590"/>
      <c r="AI11" s="1590"/>
      <c r="AJ11" s="1591"/>
      <c r="AK11" s="1591">
        <f>COUNTIF(EtatPresence2[[#This Row],[jour 1]:[jour 31]],"NJ")</f>
        <v>0</v>
      </c>
      <c r="AL11" s="1591">
        <f>COUNTIF(EtatPresence2[[#This Row],[jour 1]:[jour 31]],"S")</f>
        <v>0</v>
      </c>
      <c r="AM11" s="1591">
        <f>COUNTIF(EtatPresence2[[#This Row],[jour 1]:[jour 31]],"MP")</f>
        <v>0</v>
      </c>
      <c r="AN11" s="1591">
        <f>COUNTIF(EtatPresence2[[#This Row],[jour 1]:[jour 31]],Code4)</f>
        <v>0</v>
      </c>
      <c r="AO11" s="1591">
        <f>COUNTIF(EtatPresence2[[#This Row],[jour 1]:[jour 31]],"RP")</f>
        <v>0</v>
      </c>
      <c r="AP11" s="1591"/>
      <c r="AQ11" s="1591">
        <f>COUNTIF(EtatPresence2[[#This Row],[jour 1]:[jour 31]],"Congé")</f>
        <v>0</v>
      </c>
      <c r="AR11" s="1592">
        <f>SUM(EtatPresence2[[#This Row],[Abs. ]:[Mises a pied]])</f>
        <v>0</v>
      </c>
      <c r="AS11" s="1594">
        <v>22</v>
      </c>
    </row>
    <row r="12" spans="1:45" x14ac:dyDescent="0.25">
      <c r="B12" s="1588"/>
      <c r="C12" s="1589" t="s">
        <v>428</v>
      </c>
      <c r="D12" s="1584" t="s">
        <v>667</v>
      </c>
      <c r="E12" s="1590" t="s">
        <v>377</v>
      </c>
      <c r="F12" s="1590" t="s">
        <v>379</v>
      </c>
      <c r="G12" s="1590" t="s">
        <v>379</v>
      </c>
      <c r="H12" s="1590" t="s">
        <v>377</v>
      </c>
      <c r="I12" s="1590" t="s">
        <v>377</v>
      </c>
      <c r="J12" s="1590" t="s">
        <v>377</v>
      </c>
      <c r="K12" s="1590" t="s">
        <v>377</v>
      </c>
      <c r="L12" s="1590" t="s">
        <v>377</v>
      </c>
      <c r="M12" s="1590" t="s">
        <v>377</v>
      </c>
      <c r="N12" s="1590" t="s">
        <v>377</v>
      </c>
      <c r="O12" s="1590" t="s">
        <v>379</v>
      </c>
      <c r="P12" s="1590" t="s">
        <v>377</v>
      </c>
      <c r="Q12" s="1590" t="s">
        <v>377</v>
      </c>
      <c r="R12" s="1590"/>
      <c r="S12" s="1590"/>
      <c r="T12" s="1590"/>
      <c r="U12" s="1590"/>
      <c r="V12" s="1590"/>
      <c r="W12" s="1590"/>
      <c r="X12" s="1590"/>
      <c r="Y12" s="1590"/>
      <c r="Z12" s="1590"/>
      <c r="AA12" s="1590"/>
      <c r="AB12" s="1590"/>
      <c r="AC12" s="1590"/>
      <c r="AD12" s="1590"/>
      <c r="AE12" s="1590"/>
      <c r="AF12" s="1590"/>
      <c r="AG12" s="1590"/>
      <c r="AH12" s="1590"/>
      <c r="AI12" s="1590"/>
      <c r="AJ12" s="1591">
        <f>COUNTIF(EtatPresence2[[#This Row],[jour 1]:[jour 31]],"Abs")</f>
        <v>0</v>
      </c>
      <c r="AK12" s="1591">
        <f>COUNTIF(EtatPresence2[[#This Row],[jour 1]:[jour 31]],"NJ")</f>
        <v>0</v>
      </c>
      <c r="AL12" s="1591">
        <f>COUNTIF(EtatPresence2[[#This Row],[jour 1]:[jour 31]],"S")</f>
        <v>0</v>
      </c>
      <c r="AM12" s="1591">
        <f>COUNTIF(EtatPresence2[[#This Row],[jour 1]:[jour 31]],"MP")</f>
        <v>0</v>
      </c>
      <c r="AN12" s="1591">
        <f>COUNTIF(EtatPresence2[[#This Row],[jour 1]:[jour 31]],Code4)</f>
        <v>0</v>
      </c>
      <c r="AO12" s="1591">
        <f>COUNTIF(EtatPresence2[[#This Row],[jour 1]:[jour 31]],"RP")</f>
        <v>3</v>
      </c>
      <c r="AP12" s="1591">
        <f>COUNTIF(EtatPresence2[[#This Row],[jour 1]:[jour 31]],"Rt")</f>
        <v>0</v>
      </c>
      <c r="AQ12" s="1591">
        <f>COUNTIF(EtatPresence2[[#This Row],[jour 1]:[jour 31]],"Congé")</f>
        <v>0</v>
      </c>
      <c r="AR12" s="1592">
        <f>SUM(EtatPresence2[[#This Row],[Abs. ]:[Mises a pied]])</f>
        <v>0</v>
      </c>
      <c r="AS12" s="969"/>
    </row>
    <row r="13" spans="1:45" x14ac:dyDescent="0.25">
      <c r="B13" s="1588"/>
      <c r="C13" s="1589" t="s">
        <v>428</v>
      </c>
      <c r="D13" s="1584" t="s">
        <v>668</v>
      </c>
      <c r="E13" s="1590" t="s">
        <v>377</v>
      </c>
      <c r="F13" s="1590" t="s">
        <v>377</v>
      </c>
      <c r="G13" s="1590" t="s">
        <v>379</v>
      </c>
      <c r="H13" s="1590" t="s">
        <v>377</v>
      </c>
      <c r="I13" s="1590" t="s">
        <v>377</v>
      </c>
      <c r="J13" s="1590" t="s">
        <v>377</v>
      </c>
      <c r="K13" s="1590" t="s">
        <v>377</v>
      </c>
      <c r="L13" s="1590" t="s">
        <v>377</v>
      </c>
      <c r="M13" s="1595" t="s">
        <v>377</v>
      </c>
      <c r="N13" s="1590" t="s">
        <v>379</v>
      </c>
      <c r="O13" s="1590" t="s">
        <v>377</v>
      </c>
      <c r="P13" s="1590" t="s">
        <v>377</v>
      </c>
      <c r="Q13" s="1590" t="s">
        <v>377</v>
      </c>
      <c r="R13" s="1590"/>
      <c r="S13" s="1590"/>
      <c r="T13" s="1590"/>
      <c r="U13" s="1590"/>
      <c r="V13" s="1590"/>
      <c r="W13" s="1590"/>
      <c r="X13" s="1590"/>
      <c r="Y13" s="1590"/>
      <c r="Z13" s="1590"/>
      <c r="AA13" s="1590"/>
      <c r="AB13" s="1590"/>
      <c r="AC13" s="1590"/>
      <c r="AD13" s="1590"/>
      <c r="AE13" s="1590"/>
      <c r="AF13" s="1590"/>
      <c r="AG13" s="1590"/>
      <c r="AH13" s="1590"/>
      <c r="AI13" s="1590"/>
      <c r="AJ13" s="1591">
        <f>COUNTIF(EtatPresence2[[#This Row],[jour 1]:[jour 31]],"Abs")</f>
        <v>0</v>
      </c>
      <c r="AK13" s="1591">
        <f>COUNTIF(EtatPresence2[[#This Row],[jour 1]:[jour 31]],"NJ")</f>
        <v>0</v>
      </c>
      <c r="AL13" s="1591">
        <f>COUNTIF(EtatPresence2[[#This Row],[jour 1]:[jour 31]],"S")</f>
        <v>0</v>
      </c>
      <c r="AM13" s="1591">
        <f>COUNTIF(EtatPresence2[[#This Row],[jour 1]:[jour 31]],"MP")</f>
        <v>0</v>
      </c>
      <c r="AN13" s="1591">
        <f>COUNTIF(EtatPresence2[[#This Row],[jour 1]:[jour 31]],Code4)</f>
        <v>0</v>
      </c>
      <c r="AO13" s="1591">
        <f>COUNTIF(EtatPresence2[[#This Row],[jour 1]:[jour 31]],"RP")</f>
        <v>2</v>
      </c>
      <c r="AP13" s="1591">
        <f>COUNTIF(EtatPresence2[[#This Row],[jour 1]:[jour 31]],"Rt")</f>
        <v>0</v>
      </c>
      <c r="AQ13" s="1591">
        <f>COUNTIF(EtatPresence2[[#This Row],[jour 1]:[jour 31]],"Congé")</f>
        <v>0</v>
      </c>
      <c r="AR13" s="1592">
        <f>SUM(EtatPresence2[[#This Row],[Abs. ]:[Mises a pied]])</f>
        <v>0</v>
      </c>
      <c r="AS13" s="969"/>
    </row>
    <row r="14" spans="1:45" x14ac:dyDescent="0.25">
      <c r="B14" s="1588"/>
      <c r="C14" s="1589" t="s">
        <v>429</v>
      </c>
      <c r="D14" s="1584"/>
      <c r="E14" s="1590"/>
      <c r="F14" s="1590"/>
      <c r="G14" s="1590"/>
      <c r="H14" s="1590"/>
      <c r="I14" s="1590"/>
      <c r="J14" s="1590"/>
      <c r="K14" s="1590"/>
      <c r="L14" s="1590"/>
      <c r="M14" s="1590"/>
      <c r="N14" s="1590"/>
      <c r="O14" s="1590"/>
      <c r="P14" s="1590"/>
      <c r="Q14" s="1590"/>
      <c r="R14" s="1590"/>
      <c r="S14" s="1590"/>
      <c r="T14" s="1590"/>
      <c r="U14" s="1590"/>
      <c r="V14" s="1590"/>
      <c r="W14" s="1590"/>
      <c r="X14" s="1590"/>
      <c r="Y14" s="1590"/>
      <c r="Z14" s="1590"/>
      <c r="AA14" s="1590"/>
      <c r="AB14" s="1590"/>
      <c r="AC14" s="1590"/>
      <c r="AD14" s="1590"/>
      <c r="AE14" s="1590"/>
      <c r="AF14" s="1590"/>
      <c r="AG14" s="1590"/>
      <c r="AH14" s="1590"/>
      <c r="AI14" s="1590"/>
      <c r="AJ14" s="1591"/>
      <c r="AK14" s="1591"/>
      <c r="AL14" s="1591"/>
      <c r="AM14" s="1591"/>
      <c r="AN14" s="1591"/>
      <c r="AO14" s="1591"/>
      <c r="AP14" s="1591"/>
      <c r="AQ14" s="1591"/>
      <c r="AR14" s="1592"/>
      <c r="AS14" s="969"/>
    </row>
    <row r="15" spans="1:45" x14ac:dyDescent="0.25">
      <c r="B15" s="1588"/>
      <c r="C15" s="1589" t="s">
        <v>429</v>
      </c>
      <c r="D15" s="1584"/>
      <c r="E15" s="1590"/>
      <c r="F15" s="1590"/>
      <c r="G15" s="1590"/>
      <c r="H15" s="1590"/>
      <c r="I15" s="1590"/>
      <c r="J15" s="1590"/>
      <c r="K15" s="1590"/>
      <c r="L15" s="1590"/>
      <c r="M15" s="1590"/>
      <c r="N15" s="1590"/>
      <c r="O15" s="1590"/>
      <c r="P15" s="1590"/>
      <c r="Q15" s="1590"/>
      <c r="R15" s="1590"/>
      <c r="S15" s="1590"/>
      <c r="T15" s="1590"/>
      <c r="U15" s="1590"/>
      <c r="V15" s="1590"/>
      <c r="W15" s="1590"/>
      <c r="X15" s="1590"/>
      <c r="Y15" s="1590"/>
      <c r="Z15" s="1590"/>
      <c r="AA15" s="1590"/>
      <c r="AB15" s="1590"/>
      <c r="AC15" s="1590"/>
      <c r="AD15" s="1590"/>
      <c r="AE15" s="1590"/>
      <c r="AF15" s="1590"/>
      <c r="AG15" s="1590"/>
      <c r="AH15" s="1590"/>
      <c r="AI15" s="1590"/>
      <c r="AJ15" s="1591"/>
      <c r="AK15" s="1591"/>
      <c r="AL15" s="1591"/>
      <c r="AM15" s="1591"/>
      <c r="AN15" s="1591"/>
      <c r="AO15" s="1591"/>
      <c r="AP15" s="1591"/>
      <c r="AQ15" s="1591"/>
      <c r="AR15" s="1592"/>
      <c r="AS15" s="969"/>
    </row>
    <row r="16" spans="1:45" x14ac:dyDescent="0.25">
      <c r="B16" s="1588"/>
      <c r="C16" s="1589" t="s">
        <v>429</v>
      </c>
      <c r="D16" s="1584"/>
      <c r="E16" s="1590"/>
      <c r="F16" s="1590"/>
      <c r="G16" s="1590"/>
      <c r="H16" s="1590"/>
      <c r="I16" s="1590"/>
      <c r="J16" s="1590"/>
      <c r="K16" s="1590"/>
      <c r="L16" s="1590"/>
      <c r="M16" s="1590"/>
      <c r="N16" s="1590"/>
      <c r="O16" s="1590"/>
      <c r="P16" s="1590"/>
      <c r="Q16" s="1590"/>
      <c r="R16" s="1590"/>
      <c r="S16" s="1590"/>
      <c r="T16" s="1590"/>
      <c r="U16" s="1590"/>
      <c r="V16" s="1590"/>
      <c r="W16" s="1590"/>
      <c r="X16" s="1590"/>
      <c r="Y16" s="1590"/>
      <c r="Z16" s="1590"/>
      <c r="AA16" s="1590"/>
      <c r="AB16" s="1590"/>
      <c r="AC16" s="1590"/>
      <c r="AD16" s="1590"/>
      <c r="AE16" s="1590"/>
      <c r="AF16" s="1590"/>
      <c r="AG16" s="1590"/>
      <c r="AH16" s="1590"/>
      <c r="AI16" s="1590"/>
      <c r="AJ16" s="1591"/>
      <c r="AK16" s="1591"/>
      <c r="AL16" s="1591"/>
      <c r="AM16" s="1591"/>
      <c r="AN16" s="1591"/>
      <c r="AO16" s="1591"/>
      <c r="AP16" s="1591"/>
      <c r="AQ16" s="1591"/>
      <c r="AR16" s="1592"/>
      <c r="AS16" s="969"/>
    </row>
    <row r="17" spans="2:45" x14ac:dyDescent="0.25">
      <c r="B17" s="1588"/>
      <c r="C17" s="1589"/>
      <c r="D17" s="1584"/>
      <c r="E17" s="1590"/>
      <c r="F17" s="1590"/>
      <c r="G17" s="1590"/>
      <c r="H17" s="1590"/>
      <c r="I17" s="1590"/>
      <c r="J17" s="1590"/>
      <c r="K17" s="1590"/>
      <c r="L17" s="1590"/>
      <c r="M17" s="1590"/>
      <c r="N17" s="1590"/>
      <c r="O17" s="1590"/>
      <c r="P17" s="1590"/>
      <c r="Q17" s="1590"/>
      <c r="R17" s="1590"/>
      <c r="S17" s="1590"/>
      <c r="T17" s="1590"/>
      <c r="U17" s="1590"/>
      <c r="V17" s="1590"/>
      <c r="W17" s="1590"/>
      <c r="X17" s="1590"/>
      <c r="Y17" s="1590"/>
      <c r="Z17" s="1590"/>
      <c r="AA17" s="1590"/>
      <c r="AB17" s="1590"/>
      <c r="AC17" s="1590"/>
      <c r="AD17" s="1590"/>
      <c r="AE17" s="1590"/>
      <c r="AF17" s="1590"/>
      <c r="AG17" s="1590"/>
      <c r="AH17" s="1590"/>
      <c r="AI17" s="1590"/>
      <c r="AJ17" s="1591">
        <f>COUNTIF(EtatPresence2[[#This Row],[jour 1]:[jour 31]],"Abs")</f>
        <v>0</v>
      </c>
      <c r="AK17" s="1591">
        <f>COUNTIF(EtatPresence2[[#This Row],[jour 1]:[jour 31]],"NJ")</f>
        <v>0</v>
      </c>
      <c r="AL17" s="1591">
        <f>COUNTIF(EtatPresence2[[#This Row],[jour 1]:[jour 31]],"S")</f>
        <v>0</v>
      </c>
      <c r="AM17" s="1591">
        <f>COUNTIF(EtatPresence2[[#This Row],[jour 1]:[jour 31]],"MP")</f>
        <v>0</v>
      </c>
      <c r="AN17" s="1591">
        <f>COUNTIF(EtatPresence2[[#This Row],[jour 1]:[jour 31]],Code4)</f>
        <v>0</v>
      </c>
      <c r="AO17" s="1591">
        <f>COUNTIF(EtatPresence2[[#This Row],[jour 1]:[jour 31]],"RP")</f>
        <v>0</v>
      </c>
      <c r="AP17" s="1591">
        <f>COUNTIF(EtatPresence2[[#This Row],[jour 1]:[jour 31]],"Rt")</f>
        <v>0</v>
      </c>
      <c r="AQ17" s="1591">
        <f>COUNTIF(EtatPresence2[[#This Row],[jour 1]:[jour 31]],"Congé")</f>
        <v>0</v>
      </c>
      <c r="AR17" s="1592">
        <f>SUM(EtatPresence2[[#This Row],[Abs. ]:[Mises a pied]])</f>
        <v>0</v>
      </c>
      <c r="AS17" s="969"/>
    </row>
    <row r="18" spans="2:45" x14ac:dyDescent="0.25">
      <c r="B18" s="1588"/>
      <c r="C18" s="1589"/>
      <c r="D18" s="1584"/>
      <c r="E18" s="1590"/>
      <c r="F18" s="1590"/>
      <c r="G18" s="1590"/>
      <c r="H18" s="1590"/>
      <c r="I18" s="1590"/>
      <c r="J18" s="1590"/>
      <c r="K18" s="1590"/>
      <c r="L18" s="1590"/>
      <c r="M18" s="1590"/>
      <c r="N18" s="1590"/>
      <c r="O18" s="1590"/>
      <c r="P18" s="1590"/>
      <c r="Q18" s="1590"/>
      <c r="R18" s="1590"/>
      <c r="S18" s="1590"/>
      <c r="T18" s="1590"/>
      <c r="U18" s="1590"/>
      <c r="V18" s="1590"/>
      <c r="W18" s="1590"/>
      <c r="X18" s="1590"/>
      <c r="Y18" s="1590"/>
      <c r="Z18" s="1590"/>
      <c r="AA18" s="1590"/>
      <c r="AB18" s="1590"/>
      <c r="AC18" s="1590"/>
      <c r="AD18" s="1590"/>
      <c r="AE18" s="1590"/>
      <c r="AF18" s="1590"/>
      <c r="AG18" s="1590"/>
      <c r="AH18" s="1590"/>
      <c r="AI18" s="1590"/>
      <c r="AJ18" s="1591">
        <f>COUNTIF(EtatPresence2[[#This Row],[jour 1]:[jour 31]],"Abs")</f>
        <v>0</v>
      </c>
      <c r="AK18" s="1591">
        <f>COUNTIF(EtatPresence2[[#This Row],[jour 1]:[jour 31]],"NJ")</f>
        <v>0</v>
      </c>
      <c r="AL18" s="1591">
        <f>COUNTIF(EtatPresence2[[#This Row],[jour 1]:[jour 31]],"S")</f>
        <v>0</v>
      </c>
      <c r="AM18" s="1591">
        <f>COUNTIF(EtatPresence2[[#This Row],[jour 1]:[jour 31]],"MP")</f>
        <v>0</v>
      </c>
      <c r="AN18" s="1591">
        <f>COUNTIF(EtatPresence2[[#This Row],[jour 1]:[jour 31]],Code4)</f>
        <v>0</v>
      </c>
      <c r="AO18" s="1591">
        <f>COUNTIF(EtatPresence2[[#This Row],[jour 1]:[jour 31]],"RP")</f>
        <v>0</v>
      </c>
      <c r="AP18" s="1591">
        <f>COUNTIF(EtatPresence2[[#This Row],[jour 1]:[jour 31]],"Rt")</f>
        <v>0</v>
      </c>
      <c r="AQ18" s="1591">
        <f>COUNTIF(EtatPresence2[[#This Row],[jour 1]:[jour 31]],"Congé")</f>
        <v>0</v>
      </c>
      <c r="AR18" s="1592">
        <f>SUM(EtatPresence2[[#This Row],[Abs. ]:[Mises a pied]])</f>
        <v>0</v>
      </c>
      <c r="AS18" s="969"/>
    </row>
    <row r="19" spans="2:45" x14ac:dyDescent="0.25">
      <c r="B19" s="1588"/>
      <c r="C19" s="1589"/>
      <c r="D19" s="1584"/>
      <c r="E19" s="1590"/>
      <c r="F19" s="1590"/>
      <c r="G19" s="1590"/>
      <c r="H19" s="1590"/>
      <c r="I19" s="1590"/>
      <c r="J19" s="1590"/>
      <c r="K19" s="1590"/>
      <c r="L19" s="1590"/>
      <c r="M19" s="1590"/>
      <c r="N19" s="1590"/>
      <c r="O19" s="1590"/>
      <c r="P19" s="1590"/>
      <c r="Q19" s="1590"/>
      <c r="R19" s="1590"/>
      <c r="S19" s="1590"/>
      <c r="T19" s="1590"/>
      <c r="U19" s="1590"/>
      <c r="V19" s="1590"/>
      <c r="W19" s="1590"/>
      <c r="X19" s="1590"/>
      <c r="Y19" s="1590"/>
      <c r="Z19" s="1590"/>
      <c r="AA19" s="1590"/>
      <c r="AB19" s="1590"/>
      <c r="AC19" s="1590"/>
      <c r="AD19" s="1590"/>
      <c r="AE19" s="1590"/>
      <c r="AF19" s="1590"/>
      <c r="AG19" s="1590"/>
      <c r="AH19" s="1590"/>
      <c r="AI19" s="1590"/>
      <c r="AJ19" s="1591"/>
      <c r="AK19" s="1591">
        <f>COUNTIF(EtatPresence2[[#This Row],[jour 1]:[jour 31]],"NJ")</f>
        <v>0</v>
      </c>
      <c r="AL19" s="1591"/>
      <c r="AM19" s="1591"/>
      <c r="AN19" s="1591">
        <f>COUNTIF(EtatPresence2[[#This Row],[jour 1]:[jour 31]],Code4)</f>
        <v>0</v>
      </c>
      <c r="AO19" s="1591">
        <f>COUNTIF(EtatPresence2[[#This Row],[jour 1]:[jour 31]],"RP")</f>
        <v>0</v>
      </c>
      <c r="AP19" s="1591"/>
      <c r="AQ19" s="1591"/>
      <c r="AR19" s="1592"/>
      <c r="AS19" s="969"/>
    </row>
    <row r="20" spans="2:45" x14ac:dyDescent="0.25">
      <c r="B20" s="1588"/>
      <c r="C20" s="1589"/>
      <c r="D20" s="1584"/>
      <c r="E20" s="1590"/>
      <c r="F20" s="1584"/>
      <c r="G20" s="1590"/>
      <c r="H20" s="1590"/>
      <c r="I20" s="1590"/>
      <c r="J20" s="1590"/>
      <c r="K20" s="1590"/>
      <c r="L20" s="1590"/>
      <c r="M20" s="1590"/>
      <c r="N20" s="1590"/>
      <c r="O20" s="1590"/>
      <c r="P20" s="1590"/>
      <c r="Q20" s="1590"/>
      <c r="R20" s="1590"/>
      <c r="S20" s="1590"/>
      <c r="T20" s="1590"/>
      <c r="U20" s="1590"/>
      <c r="V20" s="1590"/>
      <c r="W20" s="1590"/>
      <c r="X20" s="1590"/>
      <c r="Y20" s="1590"/>
      <c r="Z20" s="1590"/>
      <c r="AA20" s="1590"/>
      <c r="AB20" s="1590"/>
      <c r="AC20" s="1590"/>
      <c r="AD20" s="1590"/>
      <c r="AE20" s="1590"/>
      <c r="AF20" s="1590"/>
      <c r="AG20" s="1590"/>
      <c r="AH20" s="1590"/>
      <c r="AI20" s="1590"/>
      <c r="AJ20" s="1591">
        <f>COUNTIF(EtatPresence2[[#This Row],[jour 1]:[jour 31]],"Abs")</f>
        <v>0</v>
      </c>
      <c r="AK20" s="1591">
        <f>COUNTIF(EtatPresence2[[#This Row],[jour 1]:[jour 31]],"NJ")</f>
        <v>0</v>
      </c>
      <c r="AL20" s="1591">
        <f>COUNTIF(EtatPresence2[[#This Row],[jour 1]:[jour 31]],"S")</f>
        <v>0</v>
      </c>
      <c r="AM20" s="1591">
        <f>COUNTIF(EtatPresence2[[#This Row],[jour 1]:[jour 31]],"MP")</f>
        <v>0</v>
      </c>
      <c r="AN20" s="1591">
        <f>COUNTIF(EtatPresence2[[#This Row],[jour 1]:[jour 31]],Code4)</f>
        <v>0</v>
      </c>
      <c r="AO20" s="1591">
        <f>COUNTIF(EtatPresence2[[#This Row],[jour 1]:[jour 31]],"RP")</f>
        <v>0</v>
      </c>
      <c r="AP20" s="1591">
        <f>COUNTIF(EtatPresence2[[#This Row],[jour 1]:[jour 31]],"Rt")</f>
        <v>0</v>
      </c>
      <c r="AQ20" s="1591">
        <f>COUNTIF(EtatPresence2[[#This Row],[jour 1]:[jour 31]],"Congé")</f>
        <v>0</v>
      </c>
      <c r="AR20" s="1592">
        <f>SUM(EtatPresence2[[#This Row],[Abs. ]:[Mises a pied]])</f>
        <v>0</v>
      </c>
      <c r="AS20" s="969"/>
    </row>
    <row r="21" spans="2:45" x14ac:dyDescent="0.25">
      <c r="B21" s="1588"/>
      <c r="C21" s="1589"/>
      <c r="D21" s="1596"/>
      <c r="E21" s="1590"/>
      <c r="F21" s="1590"/>
      <c r="G21" s="1590"/>
      <c r="H21" s="1590"/>
      <c r="I21" s="1590"/>
      <c r="J21" s="1590"/>
      <c r="K21" s="1590"/>
      <c r="L21" s="1590"/>
      <c r="M21" s="1590"/>
      <c r="N21" s="1590"/>
      <c r="O21" s="1590"/>
      <c r="P21" s="1590"/>
      <c r="Q21" s="1590"/>
      <c r="R21" s="1590"/>
      <c r="S21" s="1590"/>
      <c r="T21" s="1590"/>
      <c r="U21" s="1590"/>
      <c r="V21" s="1590"/>
      <c r="W21" s="1590"/>
      <c r="X21" s="1590"/>
      <c r="Y21" s="1590"/>
      <c r="Z21" s="1590"/>
      <c r="AA21" s="1590"/>
      <c r="AB21" s="1573"/>
      <c r="AC21" s="1573"/>
      <c r="AD21" s="1590"/>
      <c r="AE21" s="1590"/>
      <c r="AF21" s="1590"/>
      <c r="AG21" s="1590"/>
      <c r="AH21" s="1590"/>
      <c r="AI21" s="1590"/>
      <c r="AJ21" s="1591">
        <f>COUNTIF(EtatPresence2[[#This Row],[jour 1]:[jour 31]],"Abs")</f>
        <v>0</v>
      </c>
      <c r="AK21" s="1591">
        <f>COUNTIF(EtatPresence2[[#This Row],[jour 1]:[jour 31]],"NJ")</f>
        <v>0</v>
      </c>
      <c r="AL21" s="1591">
        <f>COUNTIF(EtatPresence2[[#This Row],[jour 1]:[jour 31]],"S")</f>
        <v>0</v>
      </c>
      <c r="AM21" s="1591">
        <f>COUNTIF(EtatPresence2[[#This Row],[jour 1]:[jour 31]],"MP")</f>
        <v>0</v>
      </c>
      <c r="AN21" s="1591">
        <f>COUNTIF(EtatPresence2[[#This Row],[jour 1]:[jour 31]],Code4)</f>
        <v>0</v>
      </c>
      <c r="AO21" s="1591">
        <f>COUNTIF(EtatPresence2[[#This Row],[jour 1]:[jour 31]],"RP")</f>
        <v>0</v>
      </c>
      <c r="AP21" s="1591">
        <f>COUNTIF(EtatPresence2[[#This Row],[jour 1]:[jour 31]],"Rt")</f>
        <v>0</v>
      </c>
      <c r="AQ21" s="1591">
        <f>COUNTIF(EtatPresence2[[#This Row],[jour 1]:[jour 31]],"Congé")</f>
        <v>0</v>
      </c>
      <c r="AR21" s="1592">
        <f>SUM(EtatPresence2[[#This Row],[Abs. ]:[Mises a pied]])</f>
        <v>0</v>
      </c>
      <c r="AS21" s="969"/>
    </row>
    <row r="22" spans="2:45" x14ac:dyDescent="0.25">
      <c r="B22" s="1588"/>
      <c r="C22" s="1589"/>
      <c r="D22" s="1596"/>
      <c r="E22" s="1590"/>
      <c r="F22" s="1590"/>
      <c r="G22" s="1590"/>
      <c r="H22" s="1590"/>
      <c r="I22" s="1590"/>
      <c r="J22" s="1590"/>
      <c r="K22" s="1590"/>
      <c r="L22" s="1590"/>
      <c r="M22" s="1590"/>
      <c r="N22" s="1590"/>
      <c r="O22" s="1590"/>
      <c r="P22" s="1590"/>
      <c r="Q22" s="1590"/>
      <c r="R22" s="1590"/>
      <c r="S22" s="1590"/>
      <c r="T22" s="1590"/>
      <c r="U22" s="1590"/>
      <c r="V22" s="1590"/>
      <c r="W22" s="1590"/>
      <c r="X22" s="1590"/>
      <c r="Y22" s="1590"/>
      <c r="Z22" s="1590"/>
      <c r="AA22" s="1590"/>
      <c r="AB22" s="1590"/>
      <c r="AC22" s="1590"/>
      <c r="AD22" s="1590"/>
      <c r="AE22" s="1590"/>
      <c r="AF22" s="1590"/>
      <c r="AG22" s="1590"/>
      <c r="AH22" s="1590"/>
      <c r="AI22" s="1590"/>
      <c r="AJ22" s="1591">
        <f>COUNTIF(EtatPresence2[[#This Row],[jour 1]:[jour 31]],"Abs")</f>
        <v>0</v>
      </c>
      <c r="AK22" s="1591"/>
      <c r="AL22" s="1591">
        <f>COUNTIF(EtatPresence2[[#This Row],[jour 1]:[jour 31]],"S")</f>
        <v>0</v>
      </c>
      <c r="AM22" s="1591">
        <f>COUNTIF(EtatPresence2[[#This Row],[jour 1]:[jour 31]],"MP")</f>
        <v>0</v>
      </c>
      <c r="AN22" s="1591">
        <f>COUNTIF(EtatPresence2[[#This Row],[jour 1]:[jour 31]],Code4)</f>
        <v>0</v>
      </c>
      <c r="AO22" s="1591">
        <f>COUNTIF(EtatPresence2[[#This Row],[jour 1]:[jour 31]],"RP")</f>
        <v>0</v>
      </c>
      <c r="AP22" s="1591">
        <f>COUNTIF(EtatPresence2[[#This Row],[jour 1]:[jour 31]],"Rt")</f>
        <v>0</v>
      </c>
      <c r="AQ22" s="1591">
        <f>COUNTIF(EtatPresence2[[#This Row],[jour 1]:[jour 31]],"Congé")</f>
        <v>0</v>
      </c>
      <c r="AR22" s="1592">
        <f>SUM(EtatPresence2[[#This Row],[Abs. ]:[Mises a pied]])</f>
        <v>0</v>
      </c>
      <c r="AS22" s="969"/>
    </row>
    <row r="23" spans="2:45" x14ac:dyDescent="0.25">
      <c r="B23" s="1588"/>
      <c r="C23" s="1589"/>
      <c r="D23" s="1584"/>
      <c r="E23" s="1590"/>
      <c r="F23" s="1590"/>
      <c r="G23" s="1590"/>
      <c r="H23" s="1590"/>
      <c r="I23" s="1590"/>
      <c r="J23" s="1590"/>
      <c r="K23" s="1590"/>
      <c r="L23" s="1590"/>
      <c r="M23" s="1590"/>
      <c r="N23" s="1590"/>
      <c r="O23" s="1590"/>
      <c r="P23" s="1590"/>
      <c r="Q23" s="1590"/>
      <c r="R23" s="1590"/>
      <c r="S23" s="1590"/>
      <c r="T23" s="1590"/>
      <c r="U23" s="1590"/>
      <c r="V23" s="1590"/>
      <c r="W23" s="1590"/>
      <c r="X23" s="1590"/>
      <c r="Y23" s="1590"/>
      <c r="Z23" s="1590"/>
      <c r="AA23" s="1590"/>
      <c r="AB23" s="1590"/>
      <c r="AC23" s="1590"/>
      <c r="AD23" s="1590"/>
      <c r="AE23" s="1590"/>
      <c r="AF23" s="1590"/>
      <c r="AG23" s="1590"/>
      <c r="AH23" s="1590"/>
      <c r="AI23" s="1590"/>
      <c r="AJ23" s="1591">
        <f>COUNTIF(EtatPresence2[[#This Row],[jour 1]:[jour 31]],"Abs")</f>
        <v>0</v>
      </c>
      <c r="AK23" s="1591">
        <f>COUNTIF(EtatPresence2[[#This Row],[jour 1]:[jour 31]],"NJ")</f>
        <v>0</v>
      </c>
      <c r="AL23" s="1591">
        <f>COUNTIF(EtatPresence2[[#This Row],[jour 1]:[jour 31]],"S")</f>
        <v>0</v>
      </c>
      <c r="AM23" s="1591">
        <f>COUNTIF(EtatPresence2[[#This Row],[jour 1]:[jour 31]],"MP")</f>
        <v>0</v>
      </c>
      <c r="AN23" s="1591">
        <f>COUNTIF(EtatPresence2[[#This Row],[jour 1]:[jour 31]],Code4)</f>
        <v>0</v>
      </c>
      <c r="AO23" s="1591">
        <f>COUNTIF(EtatPresence2[[#This Row],[jour 1]:[jour 31]],"RP")</f>
        <v>0</v>
      </c>
      <c r="AP23" s="1591">
        <f>COUNTIF(EtatPresence2[[#This Row],[jour 1]:[jour 31]],"Rt")</f>
        <v>0</v>
      </c>
      <c r="AQ23" s="1591">
        <f>COUNTIF(EtatPresence2[[#This Row],[jour 1]:[jour 31]],"Congé")</f>
        <v>0</v>
      </c>
      <c r="AR23" s="1592">
        <f>SUM(EtatPresence2[[#This Row],[Abs. ]:[Mises a pied]])</f>
        <v>0</v>
      </c>
      <c r="AS23" s="969"/>
    </row>
    <row r="24" spans="2:45" x14ac:dyDescent="0.25">
      <c r="B24" s="1588"/>
      <c r="C24" s="1589"/>
      <c r="D24" s="1584"/>
      <c r="E24" s="1590"/>
      <c r="F24" s="1590"/>
      <c r="G24" s="1590"/>
      <c r="H24" s="1590"/>
      <c r="I24" s="1590"/>
      <c r="J24" s="1590"/>
      <c r="K24" s="1590"/>
      <c r="L24" s="1590"/>
      <c r="M24" s="1590"/>
      <c r="N24" s="1590"/>
      <c r="O24" s="1590"/>
      <c r="P24" s="1590"/>
      <c r="Q24" s="1590"/>
      <c r="R24" s="1590"/>
      <c r="S24" s="1590"/>
      <c r="T24" s="1590"/>
      <c r="U24" s="1590"/>
      <c r="V24" s="1590"/>
      <c r="W24" s="1590"/>
      <c r="X24" s="1590"/>
      <c r="Y24" s="1590"/>
      <c r="Z24" s="1590"/>
      <c r="AA24" s="1590"/>
      <c r="AB24" s="1590"/>
      <c r="AC24" s="1590"/>
      <c r="AD24" s="1590"/>
      <c r="AE24" s="1590"/>
      <c r="AF24" s="1590"/>
      <c r="AG24" s="1590"/>
      <c r="AH24" s="1590"/>
      <c r="AI24" s="1590"/>
      <c r="AJ24" s="1591">
        <f>COUNTIF(EtatPresence2[[#This Row],[jour 1]:[jour 31]],"Abs")</f>
        <v>0</v>
      </c>
      <c r="AK24" s="1591">
        <f>COUNTIF(EtatPresence2[[#This Row],[jour 1]:[jour 31]],"NJ")</f>
        <v>0</v>
      </c>
      <c r="AL24" s="1591">
        <f>COUNTIF(EtatPresence2[[#This Row],[jour 1]:[jour 31]],"S")</f>
        <v>0</v>
      </c>
      <c r="AM24" s="1591">
        <f>COUNTIF(EtatPresence2[[#This Row],[jour 1]:[jour 31]],"MP")</f>
        <v>0</v>
      </c>
      <c r="AN24" s="1591">
        <f>COUNTIF(EtatPresence2[[#This Row],[jour 1]:[jour 31]],Code4)</f>
        <v>0</v>
      </c>
      <c r="AO24" s="1591">
        <f>COUNTIF(EtatPresence2[[#This Row],[jour 1]:[jour 31]],"RP")</f>
        <v>0</v>
      </c>
      <c r="AP24" s="1591">
        <f>COUNTIF(EtatPresence2[[#This Row],[jour 1]:[jour 31]],"Rt")</f>
        <v>0</v>
      </c>
      <c r="AQ24" s="1591">
        <f>COUNTIF(EtatPresence2[[#This Row],[jour 1]:[jour 31]],"Congé")</f>
        <v>0</v>
      </c>
      <c r="AR24" s="1592">
        <f>SUM(EtatPresence2[[#This Row],[Abs. ]:[Mises a pied]])</f>
        <v>0</v>
      </c>
      <c r="AS24" s="969"/>
    </row>
    <row r="25" spans="2:45" x14ac:dyDescent="0.25">
      <c r="B25" s="1588"/>
      <c r="C25" s="1589"/>
      <c r="D25" s="1596"/>
      <c r="E25" s="1590"/>
      <c r="F25" s="1590"/>
      <c r="G25" s="1590"/>
      <c r="H25" s="1590"/>
      <c r="I25" s="1590"/>
      <c r="J25" s="1590"/>
      <c r="K25" s="1590"/>
      <c r="L25" s="1590"/>
      <c r="M25" s="1590"/>
      <c r="N25" s="1590"/>
      <c r="O25" s="1590"/>
      <c r="P25" s="1590"/>
      <c r="Q25" s="1590"/>
      <c r="R25" s="1590"/>
      <c r="S25" s="1590"/>
      <c r="T25" s="1590"/>
      <c r="U25" s="1590"/>
      <c r="V25" s="1590"/>
      <c r="W25" s="1590"/>
      <c r="X25" s="1590"/>
      <c r="Y25" s="1590"/>
      <c r="Z25" s="1590"/>
      <c r="AA25" s="1590"/>
      <c r="AB25" s="1590"/>
      <c r="AC25" s="1590"/>
      <c r="AD25" s="1590"/>
      <c r="AE25" s="1590"/>
      <c r="AF25" s="1590"/>
      <c r="AG25" s="1590"/>
      <c r="AH25" s="1590"/>
      <c r="AI25" s="1590"/>
      <c r="AJ25" s="1591">
        <f>COUNTIF(EtatPresence2[[#This Row],[jour 1]:[jour 31]],"Abs")</f>
        <v>0</v>
      </c>
      <c r="AK25" s="1591">
        <f>COUNTIF(EtatPresence2[[#This Row],[jour 1]:[jour 31]],"NJ")</f>
        <v>0</v>
      </c>
      <c r="AL25" s="1591">
        <f>COUNTIF(EtatPresence2[[#This Row],[jour 1]:[jour 31]],"S")</f>
        <v>0</v>
      </c>
      <c r="AM25" s="1591">
        <f>COUNTIF(EtatPresence2[[#This Row],[jour 1]:[jour 31]],"MP")</f>
        <v>0</v>
      </c>
      <c r="AN25" s="1591">
        <f>COUNTIF(EtatPresence2[[#This Row],[jour 1]:[jour 31]],Code4)</f>
        <v>0</v>
      </c>
      <c r="AO25" s="1591">
        <f>COUNTIF(EtatPresence2[[#This Row],[jour 1]:[jour 31]],"RP")</f>
        <v>0</v>
      </c>
      <c r="AP25" s="1591">
        <f>COUNTIF(EtatPresence2[[#This Row],[jour 1]:[jour 31]],"Rt")</f>
        <v>0</v>
      </c>
      <c r="AQ25" s="1591">
        <f>COUNTIF(EtatPresence2[[#This Row],[jour 1]:[jour 31]],"Congé")</f>
        <v>0</v>
      </c>
      <c r="AR25" s="1592">
        <f>SUM(EtatPresence2[[#This Row],[Abs. ]:[Mises a pied]])</f>
        <v>0</v>
      </c>
      <c r="AS25" s="969"/>
    </row>
    <row r="26" spans="2:45" x14ac:dyDescent="0.25">
      <c r="B26" s="1588"/>
      <c r="C26" s="1589"/>
      <c r="D26" s="1584"/>
      <c r="E26" s="1590"/>
      <c r="F26" s="1590"/>
      <c r="G26" s="1590"/>
      <c r="H26" s="1590"/>
      <c r="I26" s="1590"/>
      <c r="J26" s="1590"/>
      <c r="K26" s="1590"/>
      <c r="L26" s="1590"/>
      <c r="M26" s="1590"/>
      <c r="N26" s="1590"/>
      <c r="O26" s="1590"/>
      <c r="P26" s="1590"/>
      <c r="Q26" s="1590"/>
      <c r="R26" s="1590"/>
      <c r="S26" s="1590"/>
      <c r="T26" s="1590"/>
      <c r="U26" s="1590"/>
      <c r="V26" s="1590"/>
      <c r="W26" s="1590"/>
      <c r="X26" s="1590"/>
      <c r="Y26" s="1590"/>
      <c r="Z26" s="1590"/>
      <c r="AA26" s="1590"/>
      <c r="AB26" s="1590"/>
      <c r="AC26" s="1590"/>
      <c r="AD26" s="1590"/>
      <c r="AE26" s="1590"/>
      <c r="AF26" s="1590"/>
      <c r="AG26" s="1590"/>
      <c r="AH26" s="1590"/>
      <c r="AI26" s="1590"/>
      <c r="AJ26" s="1591">
        <f>COUNTIF(EtatPresence2[[#This Row],[jour 1]:[jour 31]],"Abs")</f>
        <v>0</v>
      </c>
      <c r="AK26" s="1591">
        <f>COUNTIF(EtatPresence2[[#This Row],[jour 1]:[jour 31]],"NJ")</f>
        <v>0</v>
      </c>
      <c r="AL26" s="1591">
        <f>COUNTIF(EtatPresence2[[#This Row],[jour 1]:[jour 31]],"S")</f>
        <v>0</v>
      </c>
      <c r="AM26" s="1591">
        <f>COUNTIF(EtatPresence2[[#This Row],[jour 1]:[jour 31]],"MP")</f>
        <v>0</v>
      </c>
      <c r="AN26" s="1591">
        <f>COUNTIF(EtatPresence2[[#This Row],[jour 1]:[jour 31]],Code4)</f>
        <v>0</v>
      </c>
      <c r="AO26" s="1591">
        <f>COUNTIF(EtatPresence2[[#This Row],[jour 1]:[jour 31]],"RP")</f>
        <v>0</v>
      </c>
      <c r="AP26" s="1591">
        <f>COUNTIF(EtatPresence2[[#This Row],[jour 1]:[jour 31]],"Rt")</f>
        <v>0</v>
      </c>
      <c r="AQ26" s="1591">
        <f>COUNTIF(EtatPresence2[[#This Row],[jour 1]:[jour 31]],"Congé")</f>
        <v>0</v>
      </c>
      <c r="AR26" s="1592">
        <f>SUM(EtatPresence2[[#This Row],[Abs. ]:[Mises a pied]])</f>
        <v>0</v>
      </c>
      <c r="AS26" s="969"/>
    </row>
    <row r="27" spans="2:45" x14ac:dyDescent="0.25">
      <c r="B27" s="1588"/>
      <c r="C27" s="1589"/>
      <c r="D27" s="1584"/>
      <c r="E27" s="1590"/>
      <c r="F27" s="1584"/>
      <c r="G27" s="1590"/>
      <c r="H27" s="1590"/>
      <c r="I27" s="1590"/>
      <c r="J27" s="1590"/>
      <c r="K27" s="1590"/>
      <c r="L27" s="1590"/>
      <c r="M27" s="1590"/>
      <c r="N27" s="1590"/>
      <c r="O27" s="1590"/>
      <c r="P27" s="1590"/>
      <c r="Q27" s="1590"/>
      <c r="R27" s="1590"/>
      <c r="S27" s="1590"/>
      <c r="T27" s="1590"/>
      <c r="U27" s="1590"/>
      <c r="V27" s="1590"/>
      <c r="W27" s="1590"/>
      <c r="X27" s="1590"/>
      <c r="Y27" s="1590"/>
      <c r="Z27" s="1590"/>
      <c r="AA27" s="1590"/>
      <c r="AB27" s="1590"/>
      <c r="AC27" s="1590"/>
      <c r="AD27" s="1590"/>
      <c r="AE27" s="1590"/>
      <c r="AF27" s="1590"/>
      <c r="AG27" s="1590"/>
      <c r="AH27" s="1590"/>
      <c r="AI27" s="1590"/>
      <c r="AJ27" s="1591"/>
      <c r="AK27" s="1591">
        <f>COUNTIF(EtatPresence2[[#This Row],[jour 1]:[jour 31]],"NJ")</f>
        <v>0</v>
      </c>
      <c r="AL27" s="1591">
        <f>COUNTIF(EtatPresence2[[#This Row],[jour 1]:[jour 31]],"S")</f>
        <v>0</v>
      </c>
      <c r="AM27" s="1591">
        <f>COUNTIF(EtatPresence2[[#This Row],[jour 1]:[jour 31]],"MP")</f>
        <v>0</v>
      </c>
      <c r="AN27" s="1591">
        <f>COUNTIF(EtatPresence2[[#This Row],[jour 1]:[jour 31]],Code4)</f>
        <v>0</v>
      </c>
      <c r="AO27" s="1591">
        <f>COUNTIF(EtatPresence2[[#This Row],[jour 1]:[jour 31]],"RP")</f>
        <v>0</v>
      </c>
      <c r="AP27" s="1591">
        <f>COUNTIF(EtatPresence2[[#This Row],[jour 1]:[jour 31]],"Rt")</f>
        <v>0</v>
      </c>
      <c r="AQ27" s="1591">
        <f>COUNTIF(EtatPresence2[[#This Row],[jour 1]:[jour 31]],"Congé")</f>
        <v>0</v>
      </c>
      <c r="AR27" s="1592">
        <f>SUM(EtatPresence2[[#This Row],[Abs. ]:[Mises a pied]])</f>
        <v>0</v>
      </c>
      <c r="AS27" s="969"/>
    </row>
    <row r="28" spans="2:45" x14ac:dyDescent="0.25">
      <c r="B28" s="1588"/>
      <c r="C28" s="1589"/>
      <c r="D28" s="1584"/>
      <c r="E28" s="1590"/>
      <c r="F28" s="1590"/>
      <c r="G28" s="1590"/>
      <c r="H28" s="1590"/>
      <c r="I28" s="1590"/>
      <c r="J28" s="1590"/>
      <c r="K28" s="1590"/>
      <c r="L28" s="1590"/>
      <c r="M28" s="1590"/>
      <c r="N28" s="1590"/>
      <c r="O28" s="1590"/>
      <c r="P28" s="1590"/>
      <c r="Q28" s="1590"/>
      <c r="R28" s="1590"/>
      <c r="S28" s="1590"/>
      <c r="T28" s="1590"/>
      <c r="U28" s="1590"/>
      <c r="V28" s="1590"/>
      <c r="W28" s="1590"/>
      <c r="X28" s="1590"/>
      <c r="Y28" s="1590"/>
      <c r="Z28" s="1590"/>
      <c r="AA28" s="1590"/>
      <c r="AB28" s="1590"/>
      <c r="AC28" s="1590"/>
      <c r="AD28" s="1590"/>
      <c r="AE28" s="1590"/>
      <c r="AF28" s="1590"/>
      <c r="AG28" s="1590"/>
      <c r="AH28" s="1590"/>
      <c r="AI28" s="1590"/>
      <c r="AJ28" s="1591">
        <f>COUNTIF(EtatPresence2[[#This Row],[jour 1]:[jour 31]],"Abs")</f>
        <v>0</v>
      </c>
      <c r="AK28" s="1591">
        <f>COUNTIF(EtatPresence2[[#This Row],[jour 1]:[jour 31]],"NJ")</f>
        <v>0</v>
      </c>
      <c r="AL28" s="1591">
        <f>COUNTIF(EtatPresence2[[#This Row],[jour 1]:[jour 31]],"S")</f>
        <v>0</v>
      </c>
      <c r="AM28" s="1591">
        <f>COUNTIF(EtatPresence2[[#This Row],[jour 1]:[jour 31]],"MP")</f>
        <v>0</v>
      </c>
      <c r="AN28" s="1591">
        <f>COUNTIF(EtatPresence2[[#This Row],[jour 1]:[jour 31]],Code4)</f>
        <v>0</v>
      </c>
      <c r="AO28" s="1591">
        <f>COUNTIF(EtatPresence2[[#This Row],[jour 1]:[jour 31]],"RP")</f>
        <v>0</v>
      </c>
      <c r="AP28" s="1591">
        <f>COUNTIF(EtatPresence2[[#This Row],[jour 1]:[jour 31]],"Rt")</f>
        <v>0</v>
      </c>
      <c r="AQ28" s="1591">
        <f>COUNTIF(EtatPresence2[[#This Row],[jour 1]:[jour 31]],"Congé")</f>
        <v>0</v>
      </c>
      <c r="AR28" s="1592">
        <f>SUM(EtatPresence2[[#This Row],[Abs. ]:[Mises a pied]])</f>
        <v>0</v>
      </c>
      <c r="AS28" s="969"/>
    </row>
    <row r="29" spans="2:45" x14ac:dyDescent="0.25">
      <c r="B29" s="1588"/>
      <c r="C29" s="1589"/>
      <c r="D29" s="1584"/>
      <c r="E29" s="1590"/>
      <c r="F29" s="1590"/>
      <c r="G29" s="1590"/>
      <c r="H29" s="1590"/>
      <c r="I29" s="1590"/>
      <c r="J29" s="1590"/>
      <c r="K29" s="1590"/>
      <c r="L29" s="1590"/>
      <c r="M29" s="1590"/>
      <c r="N29" s="1590"/>
      <c r="O29" s="1590"/>
      <c r="P29" s="1590"/>
      <c r="Q29" s="1590"/>
      <c r="R29" s="1590"/>
      <c r="S29" s="1590"/>
      <c r="T29" s="1590"/>
      <c r="U29" s="1590"/>
      <c r="V29" s="1590"/>
      <c r="W29" s="1590"/>
      <c r="X29" s="1590"/>
      <c r="Y29" s="1590"/>
      <c r="Z29" s="1590"/>
      <c r="AA29" s="1590"/>
      <c r="AB29" s="1590"/>
      <c r="AC29" s="1590"/>
      <c r="AD29" s="1590"/>
      <c r="AE29" s="1590"/>
      <c r="AF29" s="1590"/>
      <c r="AG29" s="1590"/>
      <c r="AH29" s="1590"/>
      <c r="AI29" s="1590"/>
      <c r="AJ29" s="1591">
        <f>COUNTIF(EtatPresence2[[#This Row],[jour 1]:[jour 31]],"Abs")</f>
        <v>0</v>
      </c>
      <c r="AK29" s="1591">
        <f>COUNTIF(EtatPresence2[[#This Row],[jour 1]:[jour 31]],"NJ")</f>
        <v>0</v>
      </c>
      <c r="AL29" s="1591">
        <f>COUNTIF(EtatPresence2[[#This Row],[jour 1]:[jour 31]],"S")</f>
        <v>0</v>
      </c>
      <c r="AM29" s="1591">
        <f>COUNTIF(EtatPresence2[[#This Row],[jour 1]:[jour 31]],"MP")</f>
        <v>0</v>
      </c>
      <c r="AN29" s="1591">
        <f>COUNTIF(EtatPresence2[[#This Row],[jour 1]:[jour 31]],Code4)</f>
        <v>0</v>
      </c>
      <c r="AO29" s="1591">
        <f>COUNTIF(EtatPresence2[[#This Row],[jour 1]:[jour 31]],"RP")</f>
        <v>0</v>
      </c>
      <c r="AP29" s="1591">
        <f>COUNTIF(EtatPresence2[[#This Row],[jour 1]:[jour 31]],"Rt")</f>
        <v>0</v>
      </c>
      <c r="AQ29" s="1591">
        <f>COUNTIF(EtatPresence2[[#This Row],[jour 1]:[jour 31]],"Congé")</f>
        <v>0</v>
      </c>
      <c r="AR29" s="1592">
        <f>SUM(EtatPresence2[[#This Row],[Abs. ]:[Mises a pied]])</f>
        <v>0</v>
      </c>
      <c r="AS29" s="969"/>
    </row>
    <row r="30" spans="2:45" x14ac:dyDescent="0.25">
      <c r="B30" s="777"/>
      <c r="C30" s="778"/>
      <c r="D30" s="778"/>
      <c r="E30" s="779">
        <f>COUNTIF(EtatPresence2[jour 1],"NJ")+COUNTIF(EtatPresence2[jour 1],"S")+COUNTIF(EtatPresence2[jour 1],"J")</f>
        <v>0</v>
      </c>
      <c r="F30" s="779">
        <f>COUNTIF(EtatPresence2[jour 2],"N1")+COUNTIF(EtatPresence2[jour 2],"E")</f>
        <v>0</v>
      </c>
      <c r="G30" s="779">
        <f>COUNTIF(EtatPresence2[jour 3],"N1")+COUNTIF(EtatPresence2[jour 3],"E")</f>
        <v>0</v>
      </c>
      <c r="H30" s="779">
        <f>COUNTIF(EtatPresence2[jour 4],"N1")+COUNTIF(EtatPresence2[jour 4],"E")</f>
        <v>0</v>
      </c>
      <c r="I30" s="779">
        <f>COUNTIF(EtatPresence2[jour 5],"N1")+COUNTIF(EtatPresence2[jour 5],"E")</f>
        <v>0</v>
      </c>
      <c r="J30" s="779">
        <f>COUNTIF(EtatPresence2[jour 6],"N1")+COUNTIF(EtatPresence2[jour 6],"E")</f>
        <v>0</v>
      </c>
      <c r="K30" s="779">
        <f>COUNTIF(EtatPresence2[jour 7],"N1")+COUNTIF(EtatPresence2[jour 7],"E")</f>
        <v>0</v>
      </c>
      <c r="L30" s="779">
        <f>COUNTIF(EtatPresence2[jour 8],"N1")+COUNTIF(EtatPresence2[jour 8],"E")</f>
        <v>0</v>
      </c>
      <c r="M30" s="779">
        <f>COUNTIF(EtatPresence2[jour 9],"N1")+COUNTIF(EtatPresence2[jour 9],"E")</f>
        <v>0</v>
      </c>
      <c r="N30" s="779">
        <f>COUNTIF(EtatPresence2[jour 10],"N1")+COUNTIF(EtatPresence2[jour 10],"E")</f>
        <v>0</v>
      </c>
      <c r="O30" s="779">
        <f>COUNTIF(EtatPresence2[jour 11],"N1")+COUNTIF(EtatPresence2[jour 11],"E")</f>
        <v>0</v>
      </c>
      <c r="P30" s="779">
        <f>COUNTIF(EtatPresence2[jour 12],"N1")+COUNTIF(EtatPresence2[jour 12],"E")</f>
        <v>0</v>
      </c>
      <c r="Q30" s="779">
        <f>SUBTOTAL(109,EtatPresence2[jour 13])</f>
        <v>0</v>
      </c>
      <c r="R30" s="779">
        <f>COUNTIF(EtatPresence2[jour 14],"N1")+COUNTIF(EtatPresence2[jour 14],"E")</f>
        <v>0</v>
      </c>
      <c r="S30" s="779">
        <f>COUNTIF(EtatPresence2[jour 15],"N1")+COUNTIF(EtatPresence2[jour 15],"E")</f>
        <v>0</v>
      </c>
      <c r="T30" s="779">
        <f>COUNTIF(EtatPresence2[jour 16],"N1")+COUNTIF(EtatPresence2[jour 16],"E")</f>
        <v>0</v>
      </c>
      <c r="U30" s="779">
        <f>COUNTIF(EtatPresence2[jour 17],"N1")+COUNTIF(EtatPresence2[jour 17],"E")</f>
        <v>0</v>
      </c>
      <c r="V30" s="779">
        <f>COUNTIF(EtatPresence2[jour 18],"N1")+COUNTIF(EtatPresence2[jour 18],"E")</f>
        <v>0</v>
      </c>
      <c r="W30" s="779">
        <f>COUNTIF(EtatPresence2[jour 19],"N1")+COUNTIF(EtatPresence2[jour 19],"E")</f>
        <v>0</v>
      </c>
      <c r="X30" s="779">
        <f>COUNTIF(EtatPresence2[jour 20],"N1")+COUNTIF(EtatPresence2[jour 20],"E")</f>
        <v>0</v>
      </c>
      <c r="Y30" s="779">
        <f>COUNTIF(EtatPresence2[jour 21],"N1")+COUNTIF(EtatPresence2[jour 21],"E")</f>
        <v>0</v>
      </c>
      <c r="Z30" s="779">
        <f>COUNTIF(EtatPresence2[jour 22],"N1")+COUNTIF(EtatPresence2[jour 22],"E")</f>
        <v>0</v>
      </c>
      <c r="AA30" s="779">
        <f>COUNTIF(EtatPresence2[jour 23],"N1")+COUNTIF(EtatPresence2[jour 23],"E")</f>
        <v>0</v>
      </c>
      <c r="AB30" s="779">
        <f>COUNTIF(EtatPresence2[jour 24],"N1")+COUNTIF(EtatPresence2[jour 24],"E")</f>
        <v>0</v>
      </c>
      <c r="AC30" s="779">
        <f>COUNTIF(EtatPresence2[jour 25],"N1")+COUNTIF(EtatPresence2[jour 25],"E")</f>
        <v>0</v>
      </c>
      <c r="AD30" s="779">
        <f>COUNTIF(EtatPresence2[jour 26],"N1")+COUNTIF(EtatPresence2[jour 26],"E")</f>
        <v>0</v>
      </c>
      <c r="AE30" s="779">
        <f>COUNTIF(EtatPresence2[jour 27],"N1")+COUNTIF(EtatPresence2[jour 27],"E")</f>
        <v>0</v>
      </c>
      <c r="AF30" s="779">
        <f>COUNTIF(EtatPresence2[jour 28],"N1")+COUNTIF(EtatPresence2[jour 28],"E")</f>
        <v>0</v>
      </c>
      <c r="AG30" s="779">
        <f>COUNTIF(EtatPresence2[jour 29],"N1")+COUNTIF(EtatPresence2[jour 29],"E")</f>
        <v>0</v>
      </c>
      <c r="AH30" s="779">
        <f>COUNTIF(EtatPresence2[jour 30],"N1")+COUNTIF(EtatPresence2[jour 30],"E")</f>
        <v>0</v>
      </c>
      <c r="AI30" s="779">
        <f>COUNTIF(EtatPresence2[jour 31],"N1")+COUNTIF(EtatPresence2[jour 31],"E")</f>
        <v>0</v>
      </c>
      <c r="AJ30" s="779">
        <f>SUBTOTAL(109,EtatPresence2[Abs. ])</f>
        <v>0</v>
      </c>
      <c r="AK30" s="779">
        <f>SUBTOTAL(109,EtatPresence2[Abs. Non Justif.])</f>
        <v>0</v>
      </c>
      <c r="AL30" s="779">
        <f>AL7+AL8+AL9+AL10+AL11+AL12+AL13+AL14+AL15+AL16+AL17+AL18+AL19+AL20+AL21+AL22+AL23+AL24+AL25</f>
        <v>0</v>
      </c>
      <c r="AM30" s="779"/>
      <c r="AN30" s="779">
        <f>SUBTOTAL(109,EtatPresence2[Présences])</f>
        <v>0</v>
      </c>
      <c r="AO30" s="779">
        <f>SUBTOTAL(109,EtatPresence2[Repos ce mois])</f>
        <v>13</v>
      </c>
      <c r="AP30" s="779">
        <f>SUM(EtatPresence2[Retards ce mois2])</f>
        <v>0</v>
      </c>
      <c r="AQ30" s="779"/>
      <c r="AR30" s="779">
        <f>SUBTOTAL(109,EtatPresence2[Jours d’absence ce mois])</f>
        <v>0</v>
      </c>
      <c r="AS30" s="1597"/>
    </row>
    <row r="31" spans="2:45" x14ac:dyDescent="0.25">
      <c r="C31" s="2073" t="s">
        <v>430</v>
      </c>
      <c r="D31" s="2073"/>
      <c r="E31" s="2074" t="s">
        <v>431</v>
      </c>
      <c r="F31" s="2075" t="s">
        <v>432</v>
      </c>
      <c r="G31" s="2076"/>
      <c r="H31" s="2076"/>
      <c r="I31" s="2076"/>
      <c r="J31" s="2076"/>
      <c r="K31" s="2076"/>
      <c r="L31" s="2076"/>
      <c r="M31" s="2076"/>
      <c r="AJ31" s="776"/>
      <c r="AK31" s="775"/>
    </row>
    <row r="32" spans="2:45" x14ac:dyDescent="0.25">
      <c r="C32" s="2073"/>
      <c r="D32" s="2073"/>
      <c r="E32" s="2074"/>
      <c r="F32" s="781" t="s">
        <v>427</v>
      </c>
      <c r="G32" s="782" t="s">
        <v>428</v>
      </c>
      <c r="H32" s="782" t="s">
        <v>433</v>
      </c>
      <c r="I32" s="782" t="s">
        <v>434</v>
      </c>
      <c r="J32" s="782" t="s">
        <v>429</v>
      </c>
      <c r="K32" s="782" t="s">
        <v>435</v>
      </c>
      <c r="L32" s="782" t="s">
        <v>436</v>
      </c>
      <c r="M32" s="783" t="s">
        <v>33</v>
      </c>
      <c r="AJ32" s="776"/>
      <c r="AK32" s="775"/>
    </row>
    <row r="33" spans="3:37" s="775" customFormat="1" x14ac:dyDescent="0.25">
      <c r="C33" s="2073"/>
      <c r="D33" s="2073"/>
      <c r="E33" s="2074"/>
      <c r="F33" s="1598">
        <f>COUNTIF(C7:C29, "Chef de piste")</f>
        <v>0</v>
      </c>
      <c r="G33" s="1598">
        <f>COUNTIF(C7:C29, "Pompiste")</f>
        <v>7</v>
      </c>
      <c r="H33" s="1598">
        <f>COUNTIF(C7:C29, "Graisseur")</f>
        <v>0</v>
      </c>
      <c r="I33" s="1598">
        <f>COUNTIF(C7:C29, "Stagiaire")</f>
        <v>0</v>
      </c>
      <c r="J33" s="1598">
        <f>COUNTIF(C7:C29, "Boutique")</f>
        <v>3</v>
      </c>
      <c r="K33" s="1598">
        <f>COUNTIF(C7:C29, "en Formation")</f>
        <v>0</v>
      </c>
      <c r="L33" s="1598">
        <f>COUNTIF(C7:C29, "Vigile")</f>
        <v>0</v>
      </c>
      <c r="M33" s="1599">
        <f>SUM(F33:L33)</f>
        <v>10</v>
      </c>
      <c r="N33" s="776"/>
      <c r="O33" s="776"/>
      <c r="P33" s="776"/>
      <c r="Q33" s="776"/>
      <c r="R33" s="776"/>
      <c r="S33" s="776"/>
      <c r="T33" s="776"/>
      <c r="U33" s="776"/>
      <c r="V33" s="776"/>
      <c r="W33" s="776"/>
      <c r="X33" s="776"/>
      <c r="Y33" s="776"/>
      <c r="Z33" s="776"/>
      <c r="AA33" s="776"/>
      <c r="AB33" s="776"/>
      <c r="AC33" s="776"/>
      <c r="AD33" s="776"/>
      <c r="AE33" s="776"/>
      <c r="AF33" s="776"/>
      <c r="AG33" s="776"/>
      <c r="AH33" s="776"/>
      <c r="AI33" s="776"/>
      <c r="AJ33" s="776"/>
    </row>
    <row r="34" spans="3:37" s="775" customFormat="1" x14ac:dyDescent="0.25">
      <c r="C34" s="2073"/>
      <c r="D34" s="2073"/>
      <c r="E34" s="2074"/>
      <c r="F34" s="776"/>
      <c r="G34" s="776"/>
      <c r="H34" s="776"/>
      <c r="I34" s="776"/>
      <c r="J34" s="776"/>
      <c r="K34" s="776"/>
      <c r="L34" s="776"/>
      <c r="M34" s="776"/>
      <c r="N34" s="776"/>
      <c r="O34" s="776"/>
      <c r="P34" s="776"/>
      <c r="Q34" s="776"/>
      <c r="R34" s="776"/>
      <c r="S34" s="776"/>
      <c r="T34" s="776"/>
      <c r="U34" s="776"/>
      <c r="V34" s="776"/>
      <c r="W34" s="776"/>
      <c r="X34" s="776"/>
      <c r="Y34" s="776"/>
      <c r="Z34" s="776"/>
      <c r="AA34" s="776"/>
      <c r="AB34" s="776"/>
      <c r="AC34" s="776"/>
      <c r="AD34" s="776"/>
      <c r="AE34" s="776"/>
      <c r="AF34" s="776"/>
      <c r="AG34" s="776"/>
      <c r="AH34" s="776"/>
      <c r="AI34" s="776"/>
      <c r="AJ34" s="776"/>
    </row>
    <row r="35" spans="3:37" s="775" customFormat="1" x14ac:dyDescent="0.25">
      <c r="C35" s="780"/>
      <c r="D35" s="780"/>
      <c r="E35" s="786"/>
      <c r="F35" s="776"/>
      <c r="G35" s="776"/>
      <c r="H35" s="776"/>
      <c r="I35" s="776"/>
      <c r="J35" s="776"/>
      <c r="K35" s="776"/>
      <c r="L35" s="776"/>
      <c r="M35" s="776"/>
      <c r="N35" s="776"/>
      <c r="O35" s="776"/>
      <c r="P35" s="776"/>
      <c r="Q35" s="776"/>
      <c r="R35" s="776"/>
      <c r="S35" s="776"/>
      <c r="T35" s="776"/>
      <c r="U35" s="776"/>
      <c r="V35" s="776"/>
      <c r="W35" s="776"/>
      <c r="X35" s="776"/>
      <c r="Y35" s="776"/>
      <c r="Z35" s="776"/>
      <c r="AA35" s="776"/>
      <c r="AB35" s="776"/>
      <c r="AC35" s="776"/>
      <c r="AD35" s="776"/>
      <c r="AE35" s="776"/>
      <c r="AF35" s="776"/>
      <c r="AG35" s="776"/>
      <c r="AH35" s="776"/>
      <c r="AI35" s="776"/>
      <c r="AJ35" s="776"/>
    </row>
    <row r="36" spans="3:37" s="775" customFormat="1" x14ac:dyDescent="0.25">
      <c r="C36" s="780"/>
      <c r="D36" s="780"/>
      <c r="E36" s="786"/>
      <c r="F36" s="776"/>
      <c r="G36" s="776"/>
      <c r="H36" s="776"/>
      <c r="I36" s="776"/>
      <c r="J36" s="776"/>
      <c r="K36" s="776"/>
      <c r="L36" s="776"/>
      <c r="M36" s="776"/>
      <c r="N36" s="776"/>
      <c r="O36" s="776"/>
      <c r="P36" s="776"/>
      <c r="Q36" s="776"/>
      <c r="R36" s="776"/>
      <c r="S36" s="776"/>
      <c r="T36" s="776"/>
      <c r="U36" s="776"/>
      <c r="V36" s="776" t="s">
        <v>50</v>
      </c>
      <c r="W36" s="776"/>
      <c r="X36" s="776"/>
      <c r="Y36" s="776"/>
      <c r="Z36" s="776"/>
      <c r="AA36" s="776"/>
      <c r="AB36" s="776"/>
      <c r="AC36" s="776"/>
      <c r="AD36" s="776"/>
      <c r="AE36" s="776"/>
      <c r="AF36" s="776"/>
      <c r="AG36" s="776"/>
      <c r="AH36" s="776"/>
      <c r="AI36" s="776"/>
      <c r="AJ36" s="787"/>
      <c r="AK36" s="776"/>
    </row>
  </sheetData>
  <mergeCells count="7">
    <mergeCell ref="X1:Z1"/>
    <mergeCell ref="C2:C5"/>
    <mergeCell ref="D2:D5"/>
    <mergeCell ref="AJ5:AR5"/>
    <mergeCell ref="C31:D34"/>
    <mergeCell ref="E31:E34"/>
    <mergeCell ref="F31:M31"/>
  </mergeCells>
  <conditionalFormatting sqref="E28:AI29 E27 G27:AI27 E22:AI26 E20 G20:AI20 X21:AA21 AD21:AI21 E7:AI19">
    <cfRule type="expression" dxfId="267" priority="93" stopIfTrue="1">
      <formula>E7=Code2</formula>
    </cfRule>
  </conditionalFormatting>
  <conditionalFormatting sqref="E28:AI29 E27 G27:AI27 E22:AI26 E20 G20:AI20 X21:AA21 AD21:AI21 E7:AI19">
    <cfRule type="expression" dxfId="266" priority="94" stopIfTrue="1">
      <formula>E7=Code5</formula>
    </cfRule>
    <cfRule type="expression" dxfId="265" priority="95" stopIfTrue="1">
      <formula>E7=Code4</formula>
    </cfRule>
    <cfRule type="expression" dxfId="264" priority="96" stopIfTrue="1">
      <formula>E7=Code3</formula>
    </cfRule>
    <cfRule type="expression" dxfId="263" priority="97" stopIfTrue="1">
      <formula>E7=Code1</formula>
    </cfRule>
  </conditionalFormatting>
  <conditionalFormatting sqref="AR7:AR29">
    <cfRule type="dataBar" priority="98">
      <dataBar>
        <cfvo type="min"/>
        <cfvo type="num" val="31"/>
        <color theme="4"/>
      </dataBar>
      <extLst>
        <ext xmlns:x14="http://schemas.microsoft.com/office/spreadsheetml/2009/9/main" uri="{B025F937-C7B1-47D3-B67F-A62EFF666E3E}">
          <x14:id>{2627B588-FA50-40A1-8FDC-1167B6858042}</x14:id>
        </ext>
      </extLst>
    </cfRule>
  </conditionalFormatting>
  <conditionalFormatting sqref="P3">
    <cfRule type="expression" dxfId="262" priority="88" stopIfTrue="1">
      <formula>P3=Code2</formula>
    </cfRule>
  </conditionalFormatting>
  <conditionalFormatting sqref="P3">
    <cfRule type="expression" dxfId="261" priority="89" stopIfTrue="1">
      <formula>P3=Code5</formula>
    </cfRule>
    <cfRule type="expression" dxfId="260" priority="90" stopIfTrue="1">
      <formula>P3=Code4</formula>
    </cfRule>
    <cfRule type="expression" dxfId="259" priority="91" stopIfTrue="1">
      <formula>P3=Code3</formula>
    </cfRule>
    <cfRule type="expression" dxfId="258" priority="92" stopIfTrue="1">
      <formula>P3=Code1</formula>
    </cfRule>
  </conditionalFormatting>
  <conditionalFormatting sqref="E28:AI29 E27 G27:AI27 E22:AI26 E20 G20:AI20 X21:AA21 AD21:AI21 E7:AI19">
    <cfRule type="cellIs" dxfId="257" priority="35" operator="equal">
      <formula>"MP"</formula>
    </cfRule>
    <cfRule type="cellIs" dxfId="256" priority="60" stopIfTrue="1" operator="equal">
      <formula>"NJ"</formula>
    </cfRule>
    <cfRule type="cellIs" dxfId="255" priority="83" operator="equal">
      <formula>"S"</formula>
    </cfRule>
    <cfRule type="cellIs" dxfId="254" priority="84" operator="equal">
      <formula>"P"</formula>
    </cfRule>
    <cfRule type="cellIs" dxfId="253" priority="85" stopIfTrue="1" operator="equal">
      <formula>"Abs"</formula>
    </cfRule>
    <cfRule type="cellIs" dxfId="252" priority="86" operator="equal">
      <formula>"Rp"</formula>
    </cfRule>
    <cfRule type="cellIs" dxfId="251" priority="87" operator="equal">
      <formula>"Rt"</formula>
    </cfRule>
  </conditionalFormatting>
  <conditionalFormatting sqref="F3">
    <cfRule type="expression" dxfId="250" priority="78" stopIfTrue="1">
      <formula>F3=Code2</formula>
    </cfRule>
  </conditionalFormatting>
  <conditionalFormatting sqref="F3">
    <cfRule type="expression" dxfId="249" priority="79" stopIfTrue="1">
      <formula>F3=Code5</formula>
    </cfRule>
    <cfRule type="expression" dxfId="248" priority="80" stopIfTrue="1">
      <formula>F3=Code4</formula>
    </cfRule>
    <cfRule type="expression" dxfId="247" priority="81" stopIfTrue="1">
      <formula>F3=Code3</formula>
    </cfRule>
    <cfRule type="expression" dxfId="246" priority="82" stopIfTrue="1">
      <formula>F3=Code1</formula>
    </cfRule>
  </conditionalFormatting>
  <conditionalFormatting sqref="F3">
    <cfRule type="cellIs" dxfId="245" priority="72" operator="equal">
      <formula>"S"</formula>
    </cfRule>
    <cfRule type="cellIs" dxfId="244" priority="73" operator="equal">
      <formula>"P"</formula>
    </cfRule>
    <cfRule type="cellIs" dxfId="243" priority="74" operator="equal">
      <formula>"J"</formula>
    </cfRule>
    <cfRule type="cellIs" dxfId="242" priority="75" operator="equal">
      <formula>"N1"</formula>
    </cfRule>
    <cfRule type="cellIs" dxfId="241" priority="76" operator="equal">
      <formula>"Rp"</formula>
    </cfRule>
    <cfRule type="cellIs" dxfId="240" priority="77" operator="equal">
      <formula>"Rt"</formula>
    </cfRule>
  </conditionalFormatting>
  <conditionalFormatting sqref="J3">
    <cfRule type="expression" dxfId="239" priority="67" stopIfTrue="1">
      <formula>J3=Code2</formula>
    </cfRule>
  </conditionalFormatting>
  <conditionalFormatting sqref="J3">
    <cfRule type="expression" dxfId="238" priority="68" stopIfTrue="1">
      <formula>J3=Code5</formula>
    </cfRule>
    <cfRule type="expression" dxfId="237" priority="69" stopIfTrue="1">
      <formula>J3=Code4</formula>
    </cfRule>
    <cfRule type="expression" dxfId="236" priority="70" stopIfTrue="1">
      <formula>J3=Code3</formula>
    </cfRule>
    <cfRule type="expression" dxfId="235" priority="71" stopIfTrue="1">
      <formula>J3=Code1</formula>
    </cfRule>
  </conditionalFormatting>
  <conditionalFormatting sqref="J3">
    <cfRule type="cellIs" dxfId="234" priority="61" operator="equal">
      <formula>"S"</formula>
    </cfRule>
    <cfRule type="cellIs" dxfId="233" priority="62" operator="equal">
      <formula>"P"</formula>
    </cfRule>
    <cfRule type="cellIs" dxfId="232" priority="63" stopIfTrue="1" operator="equal">
      <formula>"Abs"</formula>
    </cfRule>
    <cfRule type="cellIs" dxfId="231" priority="64" operator="equal">
      <formula>"N1"</formula>
    </cfRule>
    <cfRule type="cellIs" dxfId="230" priority="65" operator="equal">
      <formula>"Rp"</formula>
    </cfRule>
    <cfRule type="cellIs" dxfId="229" priority="66" operator="equal">
      <formula>"Rt"</formula>
    </cfRule>
  </conditionalFormatting>
  <conditionalFormatting sqref="H3">
    <cfRule type="expression" dxfId="228" priority="55" stopIfTrue="1">
      <formula>H3=Code2</formula>
    </cfRule>
  </conditionalFormatting>
  <conditionalFormatting sqref="H3">
    <cfRule type="expression" dxfId="227" priority="56" stopIfTrue="1">
      <formula>H3=Code5</formula>
    </cfRule>
    <cfRule type="expression" dxfId="226" priority="57" stopIfTrue="1">
      <formula>H3=Code4</formula>
    </cfRule>
    <cfRule type="expression" dxfId="225" priority="58" stopIfTrue="1">
      <formula>H3=Code3</formula>
    </cfRule>
    <cfRule type="expression" dxfId="224" priority="59" stopIfTrue="1">
      <formula>H3=Code1</formula>
    </cfRule>
  </conditionalFormatting>
  <conditionalFormatting sqref="H3">
    <cfRule type="cellIs" dxfId="223" priority="48" operator="equal">
      <formula>"NJ"</formula>
    </cfRule>
    <cfRule type="cellIs" dxfId="222" priority="49" operator="equal">
      <formula>"S"</formula>
    </cfRule>
    <cfRule type="cellIs" dxfId="221" priority="50" operator="equal">
      <formula>"P"</formula>
    </cfRule>
    <cfRule type="cellIs" dxfId="220" priority="51" operator="equal">
      <formula>"J"</formula>
    </cfRule>
    <cfRule type="cellIs" dxfId="219" priority="52" operator="equal">
      <formula>"N1"</formula>
    </cfRule>
    <cfRule type="cellIs" dxfId="218" priority="53" operator="equal">
      <formula>"Rp"</formula>
    </cfRule>
    <cfRule type="cellIs" dxfId="217" priority="54" operator="equal">
      <formula>"Rt"</formula>
    </cfRule>
  </conditionalFormatting>
  <conditionalFormatting sqref="M3">
    <cfRule type="expression" dxfId="216" priority="43" stopIfTrue="1">
      <formula>M3=Code2</formula>
    </cfRule>
  </conditionalFormatting>
  <conditionalFormatting sqref="M3">
    <cfRule type="expression" dxfId="215" priority="44" stopIfTrue="1">
      <formula>M3=Code5</formula>
    </cfRule>
    <cfRule type="expression" dxfId="214" priority="45" stopIfTrue="1">
      <formula>M3=Code4</formula>
    </cfRule>
    <cfRule type="expression" dxfId="213" priority="46" stopIfTrue="1">
      <formula>M3=Code3</formula>
    </cfRule>
    <cfRule type="expression" dxfId="212" priority="47" stopIfTrue="1">
      <formula>M3=Code1</formula>
    </cfRule>
  </conditionalFormatting>
  <conditionalFormatting sqref="M3">
    <cfRule type="cellIs" dxfId="211" priority="36" operator="equal">
      <formula>"NJ"</formula>
    </cfRule>
    <cfRule type="cellIs" dxfId="210" priority="37" operator="equal">
      <formula>"S"</formula>
    </cfRule>
    <cfRule type="cellIs" dxfId="209" priority="38" operator="equal">
      <formula>"P"</formula>
    </cfRule>
    <cfRule type="cellIs" dxfId="208" priority="39" operator="equal">
      <formula>"J"</formula>
    </cfRule>
    <cfRule type="cellIs" dxfId="207" priority="40" operator="equal">
      <formula>"N1"</formula>
    </cfRule>
    <cfRule type="cellIs" dxfId="206" priority="41" operator="equal">
      <formula>"Rp"</formula>
    </cfRule>
    <cfRule type="cellIs" dxfId="205" priority="42" operator="equal">
      <formula>"Rt"</formula>
    </cfRule>
  </conditionalFormatting>
  <conditionalFormatting sqref="AB21">
    <cfRule type="expression" dxfId="204" priority="30" stopIfTrue="1">
      <formula>AB21=Code2</formula>
    </cfRule>
  </conditionalFormatting>
  <conditionalFormatting sqref="AB21">
    <cfRule type="expression" dxfId="203" priority="31" stopIfTrue="1">
      <formula>AB21=Code5</formula>
    </cfRule>
    <cfRule type="expression" dxfId="202" priority="32" stopIfTrue="1">
      <formula>AB21=Code4</formula>
    </cfRule>
    <cfRule type="expression" dxfId="201" priority="33" stopIfTrue="1">
      <formula>AB21=Code3</formula>
    </cfRule>
    <cfRule type="expression" dxfId="200" priority="34" stopIfTrue="1">
      <formula>AB21=Code1</formula>
    </cfRule>
  </conditionalFormatting>
  <conditionalFormatting sqref="AB21">
    <cfRule type="cellIs" dxfId="199" priority="24" operator="equal">
      <formula>"S"</formula>
    </cfRule>
    <cfRule type="cellIs" dxfId="198" priority="25" operator="equal">
      <formula>"P"</formula>
    </cfRule>
    <cfRule type="cellIs" dxfId="197" priority="26" stopIfTrue="1" operator="equal">
      <formula>"Abs"</formula>
    </cfRule>
    <cfRule type="cellIs" dxfId="196" priority="27" operator="equal">
      <formula>"N1"</formula>
    </cfRule>
    <cfRule type="cellIs" dxfId="195" priority="28" operator="equal">
      <formula>"Rp"</formula>
    </cfRule>
    <cfRule type="cellIs" dxfId="194" priority="29" operator="equal">
      <formula>"Rt"</formula>
    </cfRule>
  </conditionalFormatting>
  <conditionalFormatting sqref="AC21">
    <cfRule type="expression" dxfId="193" priority="19" stopIfTrue="1">
      <formula>AC21=Code2</formula>
    </cfRule>
  </conditionalFormatting>
  <conditionalFormatting sqref="AC21">
    <cfRule type="expression" dxfId="192" priority="20" stopIfTrue="1">
      <formula>AC21=Code5</formula>
    </cfRule>
    <cfRule type="expression" dxfId="191" priority="21" stopIfTrue="1">
      <formula>AC21=Code4</formula>
    </cfRule>
    <cfRule type="expression" dxfId="190" priority="22" stopIfTrue="1">
      <formula>AC21=Code3</formula>
    </cfRule>
    <cfRule type="expression" dxfId="189" priority="23" stopIfTrue="1">
      <formula>AC21=Code1</formula>
    </cfRule>
  </conditionalFormatting>
  <conditionalFormatting sqref="AC21">
    <cfRule type="cellIs" dxfId="188" priority="13" operator="equal">
      <formula>"S"</formula>
    </cfRule>
    <cfRule type="cellIs" dxfId="187" priority="14" operator="equal">
      <formula>"P"</formula>
    </cfRule>
    <cfRule type="cellIs" dxfId="186" priority="15" stopIfTrue="1" operator="equal">
      <formula>"Abs"</formula>
    </cfRule>
    <cfRule type="cellIs" dxfId="185" priority="16" operator="equal">
      <formula>"N1"</formula>
    </cfRule>
    <cfRule type="cellIs" dxfId="184" priority="17" operator="equal">
      <formula>"Rp"</formula>
    </cfRule>
    <cfRule type="cellIs" dxfId="183" priority="18" operator="equal">
      <formula>"Rt"</formula>
    </cfRule>
  </conditionalFormatting>
  <conditionalFormatting sqref="E21:W21">
    <cfRule type="expression" dxfId="182" priority="8" stopIfTrue="1">
      <formula>E21=Code2</formula>
    </cfRule>
  </conditionalFormatting>
  <conditionalFormatting sqref="E21:W21">
    <cfRule type="expression" dxfId="181" priority="9" stopIfTrue="1">
      <formula>E21=Code5</formula>
    </cfRule>
    <cfRule type="expression" dxfId="180" priority="10" stopIfTrue="1">
      <formula>E21=Code4</formula>
    </cfRule>
    <cfRule type="expression" dxfId="179" priority="11" stopIfTrue="1">
      <formula>E21=Code3</formula>
    </cfRule>
    <cfRule type="expression" dxfId="178" priority="12" stopIfTrue="1">
      <formula>E21=Code1</formula>
    </cfRule>
  </conditionalFormatting>
  <conditionalFormatting sqref="E21:W21">
    <cfRule type="cellIs" dxfId="177" priority="1" operator="equal">
      <formula>"MP"</formula>
    </cfRule>
    <cfRule type="cellIs" dxfId="176" priority="2" stopIfTrue="1" operator="equal">
      <formula>"NJ"</formula>
    </cfRule>
    <cfRule type="cellIs" dxfId="175" priority="3" operator="equal">
      <formula>"S"</formula>
    </cfRule>
    <cfRule type="cellIs" dxfId="174" priority="4" operator="equal">
      <formula>"P"</formula>
    </cfRule>
    <cfRule type="cellIs" dxfId="173" priority="5" stopIfTrue="1" operator="equal">
      <formula>"Abs"</formula>
    </cfRule>
    <cfRule type="cellIs" dxfId="172" priority="6" operator="equal">
      <formula>"Rp"</formula>
    </cfRule>
    <cfRule type="cellIs" dxfId="171" priority="7" operator="equal">
      <formula>"Rt"</formula>
    </cfRule>
  </conditionalFormatting>
  <dataValidations count="3">
    <dataValidation type="list" allowBlank="1" showInputMessage="1" showErrorMessage="1" sqref="C7:C29">
      <formula1>"Vigile,Pompiste,Stagiaire,en Formation,Graisseur,Boutique,Chef de piste,"</formula1>
    </dataValidation>
    <dataValidation type="list" allowBlank="1" showInputMessage="1" showErrorMessage="1" sqref="E7:E29 G7:AI29 F7:F26 F28:F29">
      <formula1>"P,Rp,Rt,S,Abs,NJ, MP, Congé"</formula1>
    </dataValidation>
    <dataValidation type="list" showInputMessage="1" showErrorMessage="1" sqref="E1">
      <formula1>"Nkolafamba, Nkozoa, Nkwen, Kena, Stade Yassa, Yassa1, Yapaki, Yakombo, Buea 1, Bomaka, Kumba 1, Mabanda, Kano, Nkolbikon, Betare-oya, Malang, Malo Goni, Bekha, Sambo, Loum,"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27B588-FA50-40A1-8FDC-1167B6858042}">
            <x14:dataBar minLength="0" maxLength="100" border="1" negativeBarBorderColorSameAsPositive="0">
              <x14:cfvo type="autoMin"/>
              <x14:cfvo type="num">
                <xm:f>31</xm:f>
              </x14:cfvo>
              <x14:borderColor theme="4"/>
              <x14:negativeFillColor rgb="FFFF0000"/>
              <x14:negativeBorderColor rgb="FFFF0000"/>
              <x14:axisColor rgb="FF000000"/>
            </x14:dataBar>
          </x14:cfRule>
          <xm:sqref>AR7:AR29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opLeftCell="G1" workbookViewId="0">
      <selection activeCell="O14" sqref="O14"/>
    </sheetView>
  </sheetViews>
  <sheetFormatPr baseColWidth="10" defaultRowHeight="15" x14ac:dyDescent="0.25"/>
  <cols>
    <col min="1" max="1" width="30.28515625" style="1127" customWidth="1"/>
    <col min="2" max="2" width="58.5703125" style="1127" customWidth="1"/>
    <col min="3" max="34" width="20.7109375" style="1127" customWidth="1"/>
    <col min="35" max="16384" width="11.42578125" style="1127"/>
  </cols>
  <sheetData>
    <row r="1" spans="1:36" ht="31.5" x14ac:dyDescent="0.5">
      <c r="A1" s="1216" t="s">
        <v>669</v>
      </c>
      <c r="B1" s="1217"/>
      <c r="C1" s="1217"/>
      <c r="D1" s="1216"/>
      <c r="E1" s="1216"/>
      <c r="F1" s="1216"/>
      <c r="G1" s="1218"/>
      <c r="H1" s="1218"/>
      <c r="I1" s="1218"/>
      <c r="J1" s="1218"/>
      <c r="K1" s="1219" t="s">
        <v>364</v>
      </c>
      <c r="L1" s="2095">
        <v>44682</v>
      </c>
      <c r="M1" s="2095"/>
      <c r="N1" s="2095"/>
      <c r="O1" s="1218" t="s">
        <v>365</v>
      </c>
      <c r="P1" s="2095">
        <f>EDATE(L1,1)-DAY(1)</f>
        <v>44712</v>
      </c>
      <c r="Q1" s="2095"/>
      <c r="R1" s="2095"/>
      <c r="S1" s="1220"/>
      <c r="T1" s="1221"/>
      <c r="U1" s="2096"/>
      <c r="V1" s="2096"/>
      <c r="W1" s="2096"/>
      <c r="X1" s="1222"/>
      <c r="Y1" s="1222"/>
      <c r="Z1" s="1218"/>
      <c r="AA1" s="1218"/>
      <c r="AB1" s="1221"/>
      <c r="AC1" s="1221"/>
      <c r="AD1" s="1221"/>
      <c r="AE1" s="1221"/>
      <c r="AF1" s="1223"/>
      <c r="AG1" s="1221"/>
      <c r="AH1" s="1221"/>
      <c r="AI1" s="792"/>
      <c r="AJ1" s="792"/>
    </row>
    <row r="2" spans="1:36" ht="31.5" x14ac:dyDescent="0.5">
      <c r="A2" s="1217"/>
      <c r="B2" s="1217"/>
      <c r="C2" s="1217"/>
      <c r="D2" s="1217"/>
      <c r="E2" s="1217"/>
      <c r="F2" s="1217"/>
      <c r="G2" s="1217"/>
      <c r="H2" s="1217"/>
      <c r="I2" s="1217"/>
      <c r="J2" s="1217"/>
      <c r="K2" s="1217"/>
      <c r="L2" s="1217"/>
      <c r="M2" s="1217"/>
      <c r="N2" s="1217"/>
      <c r="O2" s="1217"/>
      <c r="P2" s="1217"/>
      <c r="Q2" s="1217"/>
      <c r="R2" s="1217"/>
      <c r="S2" s="1217"/>
      <c r="T2" s="1217"/>
      <c r="U2" s="1217"/>
      <c r="V2" s="1217"/>
      <c r="W2" s="1217"/>
      <c r="X2" s="1217"/>
      <c r="Y2" s="1217"/>
      <c r="Z2" s="1217"/>
      <c r="AA2" s="1217"/>
      <c r="AB2" s="1217"/>
      <c r="AC2" s="1217"/>
      <c r="AD2" s="1217"/>
      <c r="AE2" s="1217"/>
      <c r="AF2" s="1217"/>
      <c r="AG2" s="1217"/>
      <c r="AH2" s="1217"/>
    </row>
    <row r="3" spans="1:36" ht="31.5" x14ac:dyDescent="0.5">
      <c r="A3" s="1224"/>
      <c r="B3" s="2097" t="s">
        <v>438</v>
      </c>
      <c r="C3" s="1217"/>
      <c r="D3" s="1225" t="s">
        <v>439</v>
      </c>
      <c r="E3" s="1225"/>
      <c r="F3" s="1225"/>
      <c r="G3" s="1225"/>
      <c r="H3" s="1225"/>
      <c r="I3" s="1225"/>
      <c r="J3" s="1225"/>
      <c r="K3" s="1225"/>
      <c r="L3" s="1225"/>
      <c r="M3" s="1225"/>
      <c r="N3" s="1225"/>
      <c r="O3" s="1225"/>
      <c r="P3" s="1226"/>
      <c r="Q3" s="1227"/>
      <c r="R3" s="1224"/>
      <c r="S3" s="1224"/>
      <c r="T3" s="1228"/>
      <c r="U3" s="1224"/>
      <c r="V3" s="1217"/>
      <c r="W3" s="1217"/>
      <c r="X3" s="1217"/>
      <c r="Y3" s="1224"/>
      <c r="Z3" s="1224"/>
      <c r="AA3" s="1224"/>
      <c r="AB3" s="1224"/>
      <c r="AC3" s="1228"/>
      <c r="AD3" s="1228"/>
      <c r="AE3" s="1224"/>
      <c r="AF3" s="1224"/>
      <c r="AG3" s="1229"/>
      <c r="AH3" s="1230"/>
      <c r="AI3" s="795"/>
      <c r="AJ3" s="795"/>
    </row>
    <row r="4" spans="1:36" ht="31.5" x14ac:dyDescent="0.5">
      <c r="A4" s="1217"/>
      <c r="B4" s="2097"/>
      <c r="C4" s="1217"/>
      <c r="D4" s="1217"/>
      <c r="E4" s="1217"/>
      <c r="F4" s="1217"/>
      <c r="G4" s="1217"/>
      <c r="H4" s="1217"/>
      <c r="I4" s="1217"/>
      <c r="J4" s="1217"/>
      <c r="K4" s="1217"/>
      <c r="L4" s="1217"/>
      <c r="M4" s="1217"/>
      <c r="N4" s="1217"/>
      <c r="O4" s="1217"/>
      <c r="P4" s="1217"/>
      <c r="Q4" s="1217"/>
      <c r="R4" s="1217"/>
      <c r="S4" s="1217"/>
      <c r="T4" s="1217"/>
      <c r="U4" s="1217"/>
      <c r="V4" s="1217"/>
      <c r="W4" s="1217"/>
      <c r="X4" s="1217"/>
      <c r="Y4" s="1217"/>
      <c r="Z4" s="1217"/>
      <c r="AA4" s="1217"/>
      <c r="AB4" s="1217"/>
      <c r="AC4" s="1217"/>
      <c r="AD4" s="1217"/>
      <c r="AE4" s="1217"/>
      <c r="AF4" s="1217"/>
      <c r="AG4" s="1217"/>
      <c r="AH4" s="1217"/>
    </row>
    <row r="5" spans="1:36" ht="31.5" thickBot="1" x14ac:dyDescent="0.45">
      <c r="A5" s="1231"/>
      <c r="B5" s="2097"/>
      <c r="C5" s="1232">
        <v>44682</v>
      </c>
      <c r="D5" s="1232">
        <v>44683</v>
      </c>
      <c r="E5" s="1232">
        <v>44684</v>
      </c>
      <c r="F5" s="1232">
        <v>44685</v>
      </c>
      <c r="G5" s="1232">
        <v>44686</v>
      </c>
      <c r="H5" s="1232">
        <v>44687</v>
      </c>
      <c r="I5" s="1232">
        <v>44688</v>
      </c>
      <c r="J5" s="1232">
        <v>44689</v>
      </c>
      <c r="K5" s="1232">
        <v>44690</v>
      </c>
      <c r="L5" s="1232">
        <v>44691</v>
      </c>
      <c r="M5" s="1232">
        <v>44692</v>
      </c>
      <c r="N5" s="1232">
        <v>44693</v>
      </c>
      <c r="O5" s="1232">
        <v>44694</v>
      </c>
      <c r="P5" s="1232">
        <v>44695</v>
      </c>
      <c r="Q5" s="1232">
        <v>44696</v>
      </c>
      <c r="R5" s="1232">
        <v>44697</v>
      </c>
      <c r="S5" s="1232">
        <v>44698</v>
      </c>
      <c r="T5" s="1232">
        <v>44699</v>
      </c>
      <c r="U5" s="1232">
        <v>44700</v>
      </c>
      <c r="V5" s="1232">
        <v>44701</v>
      </c>
      <c r="W5" s="1232">
        <v>44702</v>
      </c>
      <c r="X5" s="1232">
        <v>44703</v>
      </c>
      <c r="Y5" s="1232">
        <v>44704</v>
      </c>
      <c r="Z5" s="1232">
        <v>44705</v>
      </c>
      <c r="AA5" s="1232">
        <v>44706</v>
      </c>
      <c r="AB5" s="1232">
        <v>44707</v>
      </c>
      <c r="AC5" s="1232">
        <v>44708</v>
      </c>
      <c r="AD5" s="1232">
        <v>44709</v>
      </c>
      <c r="AE5" s="1232">
        <v>44710</v>
      </c>
      <c r="AF5" s="1232">
        <v>44711</v>
      </c>
      <c r="AG5" s="1232">
        <v>44712</v>
      </c>
      <c r="AH5" s="1233" t="s">
        <v>33</v>
      </c>
      <c r="AI5" s="803"/>
      <c r="AJ5" s="803"/>
    </row>
    <row r="6" spans="1:36" ht="32.25" thickBot="1" x14ac:dyDescent="0.55000000000000004">
      <c r="A6" s="1234" t="s">
        <v>670</v>
      </c>
      <c r="B6" s="1235" t="s">
        <v>440</v>
      </c>
      <c r="C6" s="1236" t="s">
        <v>387</v>
      </c>
      <c r="D6" s="1236" t="s">
        <v>388</v>
      </c>
      <c r="E6" s="1236" t="s">
        <v>389</v>
      </c>
      <c r="F6" s="1236" t="s">
        <v>390</v>
      </c>
      <c r="G6" s="1236" t="s">
        <v>391</v>
      </c>
      <c r="H6" s="1236" t="s">
        <v>392</v>
      </c>
      <c r="I6" s="1236" t="s">
        <v>393</v>
      </c>
      <c r="J6" s="1236" t="s">
        <v>394</v>
      </c>
      <c r="K6" s="1236" t="s">
        <v>395</v>
      </c>
      <c r="L6" s="1236" t="s">
        <v>396</v>
      </c>
      <c r="M6" s="1236" t="s">
        <v>397</v>
      </c>
      <c r="N6" s="1236" t="s">
        <v>398</v>
      </c>
      <c r="O6" s="1236" t="s">
        <v>399</v>
      </c>
      <c r="P6" s="1236" t="s">
        <v>400</v>
      </c>
      <c r="Q6" s="1236" t="s">
        <v>401</v>
      </c>
      <c r="R6" s="1236" t="s">
        <v>402</v>
      </c>
      <c r="S6" s="1236" t="s">
        <v>403</v>
      </c>
      <c r="T6" s="1236" t="s">
        <v>404</v>
      </c>
      <c r="U6" s="1236" t="s">
        <v>405</v>
      </c>
      <c r="V6" s="1236" t="s">
        <v>406</v>
      </c>
      <c r="W6" s="1236" t="s">
        <v>407</v>
      </c>
      <c r="X6" s="1236" t="s">
        <v>408</v>
      </c>
      <c r="Y6" s="1236" t="s">
        <v>409</v>
      </c>
      <c r="Z6" s="1236" t="s">
        <v>410</v>
      </c>
      <c r="AA6" s="1236" t="s">
        <v>411</v>
      </c>
      <c r="AB6" s="1236" t="s">
        <v>412</v>
      </c>
      <c r="AC6" s="1236" t="s">
        <v>413</v>
      </c>
      <c r="AD6" s="1236" t="s">
        <v>414</v>
      </c>
      <c r="AE6" s="1236" t="s">
        <v>415</v>
      </c>
      <c r="AF6" s="1236" t="s">
        <v>416</v>
      </c>
      <c r="AG6" s="1236" t="s">
        <v>417</v>
      </c>
      <c r="AH6" s="1237" t="s">
        <v>441</v>
      </c>
      <c r="AI6" s="810"/>
      <c r="AJ6" s="803"/>
    </row>
    <row r="7" spans="1:36" ht="32.25" thickBot="1" x14ac:dyDescent="0.35">
      <c r="A7" s="1238"/>
      <c r="B7" s="1239" t="s">
        <v>708</v>
      </c>
      <c r="C7" s="1240">
        <v>-462</v>
      </c>
      <c r="D7" s="1240">
        <v>-67</v>
      </c>
      <c r="E7" s="1240">
        <v>-547</v>
      </c>
      <c r="F7" s="1240">
        <v>-42</v>
      </c>
      <c r="G7" s="1240"/>
      <c r="H7" s="1240">
        <v>-235</v>
      </c>
      <c r="I7" s="1240">
        <v>-443</v>
      </c>
      <c r="J7" s="1240">
        <v>801</v>
      </c>
      <c r="K7" s="1240">
        <v>-530</v>
      </c>
      <c r="L7" s="1240">
        <v>83</v>
      </c>
      <c r="M7" s="1240">
        <v>-68</v>
      </c>
      <c r="N7" s="1240">
        <v>190</v>
      </c>
      <c r="O7" s="1240"/>
      <c r="P7" s="1240"/>
      <c r="Q7" s="1240"/>
      <c r="R7" s="1240"/>
      <c r="S7" s="1240"/>
      <c r="T7" s="1240"/>
      <c r="U7" s="1240"/>
      <c r="V7" s="1240"/>
      <c r="W7" s="1240"/>
      <c r="X7" s="1240"/>
      <c r="Y7" s="1240"/>
      <c r="Z7" s="1240"/>
      <c r="AA7" s="1240"/>
      <c r="AB7" s="1240"/>
      <c r="AC7" s="1240"/>
      <c r="AD7" s="1240"/>
      <c r="AE7" s="1240"/>
      <c r="AF7" s="1240"/>
      <c r="AG7" s="1240"/>
      <c r="AH7" s="1241">
        <f>SUM(EtatPresence313[[#This Row],[jour 1]:[jour 31]])</f>
        <v>-1320</v>
      </c>
      <c r="AI7" s="815"/>
      <c r="AJ7" s="803"/>
    </row>
    <row r="8" spans="1:36" ht="32.25" thickBot="1" x14ac:dyDescent="0.35">
      <c r="A8" s="1238"/>
      <c r="B8" s="1239" t="s">
        <v>709</v>
      </c>
      <c r="C8" s="1240"/>
      <c r="D8" s="1240">
        <v>-263</v>
      </c>
      <c r="E8" s="1240">
        <v>-756</v>
      </c>
      <c r="F8" s="1240">
        <v>487</v>
      </c>
      <c r="G8" s="1240">
        <v>104</v>
      </c>
      <c r="H8" s="1240">
        <v>64</v>
      </c>
      <c r="I8" s="1240">
        <v>-160</v>
      </c>
      <c r="J8" s="1240"/>
      <c r="K8" s="1240">
        <v>-1237</v>
      </c>
      <c r="L8" s="1240"/>
      <c r="M8" s="1240">
        <v>-1472</v>
      </c>
      <c r="N8" s="1240">
        <v>348</v>
      </c>
      <c r="O8" s="1240">
        <v>81</v>
      </c>
      <c r="P8" s="1240"/>
      <c r="Q8" s="1240"/>
      <c r="R8" s="1240"/>
      <c r="S8" s="1240"/>
      <c r="T8" s="1240"/>
      <c r="U8" s="1240"/>
      <c r="V8" s="1240"/>
      <c r="W8" s="1240"/>
      <c r="X8" s="1240"/>
      <c r="Y8" s="1240"/>
      <c r="Z8" s="1240"/>
      <c r="AA8" s="1240"/>
      <c r="AB8" s="1240"/>
      <c r="AC8" s="1240"/>
      <c r="AD8" s="1240"/>
      <c r="AE8" s="1240"/>
      <c r="AF8" s="1240"/>
      <c r="AG8" s="1240"/>
      <c r="AH8" s="1241">
        <f>SUM(EtatPresence313[[#This Row],[jour 1]:[jour 31]])</f>
        <v>-2804</v>
      </c>
      <c r="AI8" s="815"/>
      <c r="AJ8" s="803"/>
    </row>
    <row r="9" spans="1:36" ht="32.25" thickBot="1" x14ac:dyDescent="0.35">
      <c r="A9" s="1238"/>
      <c r="B9" s="1239" t="s">
        <v>710</v>
      </c>
      <c r="C9" s="1240">
        <v>-210</v>
      </c>
      <c r="D9" s="1240"/>
      <c r="E9" s="1240">
        <v>-1450</v>
      </c>
      <c r="F9" s="1240">
        <v>-256</v>
      </c>
      <c r="G9" s="1240">
        <v>-804</v>
      </c>
      <c r="H9" s="1240"/>
      <c r="I9" s="1240">
        <v>-754</v>
      </c>
      <c r="J9" s="1240">
        <v>-1151</v>
      </c>
      <c r="K9" s="1240">
        <v>42</v>
      </c>
      <c r="L9" s="1240">
        <v>-1625</v>
      </c>
      <c r="M9" s="1240">
        <v>11</v>
      </c>
      <c r="N9" s="1240">
        <v>-49</v>
      </c>
      <c r="O9" s="1240">
        <v>70</v>
      </c>
      <c r="P9" s="1240"/>
      <c r="Q9" s="1240"/>
      <c r="R9" s="1240"/>
      <c r="S9" s="1240"/>
      <c r="T9" s="1240"/>
      <c r="U9" s="1240"/>
      <c r="V9" s="1240"/>
      <c r="W9" s="1240"/>
      <c r="X9" s="1240"/>
      <c r="Y9" s="1240"/>
      <c r="Z9" s="1240"/>
      <c r="AA9" s="1240"/>
      <c r="AB9" s="1240"/>
      <c r="AC9" s="1240"/>
      <c r="AD9" s="1240"/>
      <c r="AE9" s="1240"/>
      <c r="AF9" s="1240"/>
      <c r="AG9" s="1240"/>
      <c r="AH9" s="1241">
        <f>SUM(EtatPresence313[[#This Row],[jour 1]:[jour 31]])</f>
        <v>-6176</v>
      </c>
      <c r="AI9" s="817"/>
      <c r="AJ9" s="803"/>
    </row>
    <row r="10" spans="1:36" ht="32.25" thickBot="1" x14ac:dyDescent="0.35">
      <c r="A10" s="1238"/>
      <c r="B10" s="1239" t="s">
        <v>648</v>
      </c>
      <c r="C10" s="1240">
        <v>-137</v>
      </c>
      <c r="D10" s="1240">
        <v>-2269</v>
      </c>
      <c r="E10" s="1240"/>
      <c r="F10" s="1240">
        <v>-163</v>
      </c>
      <c r="G10" s="1240">
        <v>-75</v>
      </c>
      <c r="H10" s="1240">
        <v>-1825</v>
      </c>
      <c r="I10" s="1240">
        <v>139</v>
      </c>
      <c r="J10" s="1240">
        <v>335</v>
      </c>
      <c r="K10" s="1240"/>
      <c r="L10" s="1240">
        <v>69</v>
      </c>
      <c r="M10" s="1240">
        <v>-137</v>
      </c>
      <c r="N10" s="1240">
        <v>-57</v>
      </c>
      <c r="O10" s="1240">
        <v>140</v>
      </c>
      <c r="P10" s="1240"/>
      <c r="Q10" s="1240"/>
      <c r="R10" s="1240"/>
      <c r="S10" s="1240"/>
      <c r="T10" s="1240"/>
      <c r="U10" s="1240"/>
      <c r="V10" s="1240"/>
      <c r="W10" s="1240"/>
      <c r="X10" s="1240"/>
      <c r="Y10" s="1240"/>
      <c r="Z10" s="1240"/>
      <c r="AA10" s="1240"/>
      <c r="AB10" s="1240"/>
      <c r="AC10" s="1240"/>
      <c r="AD10" s="1240"/>
      <c r="AE10" s="1240"/>
      <c r="AF10" s="1240"/>
      <c r="AG10" s="1240"/>
      <c r="AH10" s="1241">
        <f>SUM(EtatPresence313[[#This Row],[jour 1]:[jour 31]])</f>
        <v>-3980</v>
      </c>
      <c r="AI10" s="819"/>
      <c r="AJ10" s="803"/>
    </row>
    <row r="11" spans="1:36" ht="32.25" thickBot="1" x14ac:dyDescent="0.35">
      <c r="A11" s="1238"/>
      <c r="B11" s="1239" t="e">
        <f>[9]!Tableau6[[#This Row],[Nom]]</f>
        <v>#REF!</v>
      </c>
      <c r="C11" s="1240"/>
      <c r="D11" s="1240"/>
      <c r="E11" s="1240"/>
      <c r="F11" s="1240"/>
      <c r="G11" s="1240"/>
      <c r="H11" s="1240"/>
      <c r="I11" s="1240"/>
      <c r="J11" s="1240"/>
      <c r="K11" s="1240"/>
      <c r="L11" s="1240"/>
      <c r="M11" s="1240"/>
      <c r="N11" s="1240"/>
      <c r="O11" s="1240"/>
      <c r="P11" s="1240"/>
      <c r="Q11" s="1240"/>
      <c r="R11" s="1240"/>
      <c r="S11" s="1240"/>
      <c r="T11" s="1240"/>
      <c r="U11" s="1240"/>
      <c r="V11" s="1240"/>
      <c r="W11" s="1240"/>
      <c r="X11" s="1240"/>
      <c r="Y11" s="1240"/>
      <c r="Z11" s="1240"/>
      <c r="AA11" s="1240"/>
      <c r="AB11" s="1240"/>
      <c r="AC11" s="1240"/>
      <c r="AD11" s="1240"/>
      <c r="AE11" s="1240"/>
      <c r="AF11" s="1240"/>
      <c r="AG11" s="1240"/>
      <c r="AH11" s="1241">
        <f>SUM(EtatPresence313[[#This Row],[jour 1]:[jour 31]])</f>
        <v>0</v>
      </c>
      <c r="AI11" s="819"/>
      <c r="AJ11" s="803"/>
    </row>
    <row r="12" spans="1:36" ht="32.25" thickBot="1" x14ac:dyDescent="0.35">
      <c r="A12" s="1238"/>
      <c r="B12" s="1239" t="s">
        <v>667</v>
      </c>
      <c r="C12" s="1240">
        <v>57</v>
      </c>
      <c r="D12" s="1240"/>
      <c r="E12" s="1240">
        <v>-275</v>
      </c>
      <c r="F12" s="1240">
        <v>287</v>
      </c>
      <c r="G12" s="1240">
        <v>62</v>
      </c>
      <c r="H12" s="1240">
        <v>-566</v>
      </c>
      <c r="I12" s="1240">
        <v>-80</v>
      </c>
      <c r="J12" s="1240">
        <v>-698</v>
      </c>
      <c r="K12" s="1240">
        <v>-258</v>
      </c>
      <c r="L12" s="1240">
        <v>27</v>
      </c>
      <c r="M12" s="1240"/>
      <c r="N12" s="1240">
        <v>24</v>
      </c>
      <c r="O12" s="1240">
        <v>201</v>
      </c>
      <c r="P12" s="1240"/>
      <c r="Q12" s="1240"/>
      <c r="R12" s="1240"/>
      <c r="S12" s="1240"/>
      <c r="T12" s="1240"/>
      <c r="U12" s="1240"/>
      <c r="V12" s="1240"/>
      <c r="W12" s="1240"/>
      <c r="X12" s="1240"/>
      <c r="Y12" s="1240"/>
      <c r="Z12" s="1240"/>
      <c r="AA12" s="1240"/>
      <c r="AB12" s="1240"/>
      <c r="AC12" s="1240"/>
      <c r="AD12" s="1240"/>
      <c r="AE12" s="1240"/>
      <c r="AF12" s="1240"/>
      <c r="AG12" s="1240"/>
      <c r="AH12" s="1241">
        <f>SUM(EtatPresence313[[#This Row],[jour 1]:[jour 31]])</f>
        <v>-1219</v>
      </c>
      <c r="AI12" s="819"/>
      <c r="AJ12" s="803"/>
    </row>
    <row r="13" spans="1:36" ht="32.25" thickBot="1" x14ac:dyDescent="0.35">
      <c r="A13" s="1238"/>
      <c r="B13" s="1239" t="s">
        <v>668</v>
      </c>
      <c r="C13" s="1240">
        <v>-675</v>
      </c>
      <c r="D13" s="1240">
        <v>-797</v>
      </c>
      <c r="E13" s="1240"/>
      <c r="F13" s="1240">
        <v>169</v>
      </c>
      <c r="G13" s="1240">
        <v>-1376</v>
      </c>
      <c r="H13" s="1240">
        <v>-84</v>
      </c>
      <c r="I13" s="1240">
        <v>337</v>
      </c>
      <c r="J13" s="1240">
        <v>47</v>
      </c>
      <c r="K13" s="1240">
        <v>406</v>
      </c>
      <c r="L13" s="1240"/>
      <c r="M13" s="1240">
        <v>-121</v>
      </c>
      <c r="N13" s="1240">
        <v>179</v>
      </c>
      <c r="O13" s="1240">
        <v>-1521</v>
      </c>
      <c r="P13" s="1240"/>
      <c r="Q13" s="1240"/>
      <c r="R13" s="1240"/>
      <c r="S13" s="1240"/>
      <c r="T13" s="1240"/>
      <c r="U13" s="1240"/>
      <c r="V13" s="1240"/>
      <c r="W13" s="1240"/>
      <c r="X13" s="1240"/>
      <c r="Y13" s="1240"/>
      <c r="Z13" s="1240"/>
      <c r="AA13" s="1240"/>
      <c r="AB13" s="1240"/>
      <c r="AC13" s="1240"/>
      <c r="AD13" s="1240"/>
      <c r="AE13" s="1240"/>
      <c r="AF13" s="1240"/>
      <c r="AG13" s="1240"/>
      <c r="AH13" s="1241">
        <f>SUM(EtatPresence313[[#This Row],[jour 1]:[jour 31]])</f>
        <v>-3436</v>
      </c>
      <c r="AI13" s="819"/>
      <c r="AJ13" s="803"/>
    </row>
    <row r="14" spans="1:36" ht="32.25" thickBot="1" x14ac:dyDescent="0.35">
      <c r="A14" s="1238"/>
      <c r="B14" s="1239" t="e">
        <f>[9]!Tableau6[[#This Row],[Nom]]</f>
        <v>#REF!</v>
      </c>
      <c r="C14" s="1240"/>
      <c r="D14" s="1240"/>
      <c r="E14" s="1240"/>
      <c r="F14" s="1240"/>
      <c r="G14" s="1240"/>
      <c r="H14" s="1240"/>
      <c r="I14" s="1240"/>
      <c r="J14" s="1240"/>
      <c r="K14" s="1240"/>
      <c r="L14" s="1240"/>
      <c r="M14" s="1240"/>
      <c r="N14" s="1240"/>
      <c r="O14" s="1240"/>
      <c r="P14" s="1240"/>
      <c r="Q14" s="1240"/>
      <c r="R14" s="1240"/>
      <c r="S14" s="1240"/>
      <c r="T14" s="1240"/>
      <c r="U14" s="1240"/>
      <c r="V14" s="1240"/>
      <c r="W14" s="1240"/>
      <c r="X14" s="1240"/>
      <c r="Y14" s="1240"/>
      <c r="Z14" s="1240"/>
      <c r="AA14" s="1240"/>
      <c r="AB14" s="1240"/>
      <c r="AC14" s="1240"/>
      <c r="AD14" s="1240"/>
      <c r="AE14" s="1240"/>
      <c r="AF14" s="1240"/>
      <c r="AG14" s="1240"/>
      <c r="AH14" s="1241">
        <f>SUM(EtatPresence313[[#This Row],[jour 1]:[jour 31]])</f>
        <v>0</v>
      </c>
      <c r="AI14" s="819"/>
      <c r="AJ14" s="803"/>
    </row>
    <row r="15" spans="1:36" ht="32.25" thickBot="1" x14ac:dyDescent="0.3">
      <c r="A15" s="1238"/>
      <c r="B15" s="1239" t="e">
        <f>[9]!Tableau6[[#This Row],[Nom]]</f>
        <v>#REF!</v>
      </c>
      <c r="C15" s="1240"/>
      <c r="D15" s="1240"/>
      <c r="E15" s="1240"/>
      <c r="F15" s="1240"/>
      <c r="G15" s="1240"/>
      <c r="H15" s="1240"/>
      <c r="I15" s="1240"/>
      <c r="J15" s="1240"/>
      <c r="K15" s="1240"/>
      <c r="L15" s="1240"/>
      <c r="M15" s="1240"/>
      <c r="N15" s="1240"/>
      <c r="O15" s="1240"/>
      <c r="P15" s="1240"/>
      <c r="Q15" s="1240"/>
      <c r="R15" s="1240"/>
      <c r="S15" s="1240"/>
      <c r="T15" s="1240"/>
      <c r="U15" s="1240"/>
      <c r="V15" s="1240"/>
      <c r="W15" s="1240"/>
      <c r="X15" s="1240"/>
      <c r="Y15" s="1240"/>
      <c r="Z15" s="1240"/>
      <c r="AA15" s="1240"/>
      <c r="AB15" s="1240"/>
      <c r="AC15" s="1240"/>
      <c r="AD15" s="1240"/>
      <c r="AE15" s="1240"/>
      <c r="AF15" s="1240"/>
      <c r="AG15" s="1240"/>
      <c r="AH15" s="1241">
        <f>SUM(EtatPresence313[[#This Row],[jour 1]:[jour 31]])</f>
        <v>0</v>
      </c>
      <c r="AI15" s="819"/>
      <c r="AJ15" s="1242"/>
    </row>
    <row r="16" spans="1:36" ht="32.25" thickBot="1" x14ac:dyDescent="0.3">
      <c r="A16" s="1238"/>
      <c r="B16" s="1239" t="e">
        <f>[9]!Tableau6[[#This Row],[Nom]]</f>
        <v>#REF!</v>
      </c>
      <c r="C16" s="1240"/>
      <c r="D16" s="1240"/>
      <c r="E16" s="1240"/>
      <c r="F16" s="1240"/>
      <c r="G16" s="1240"/>
      <c r="H16" s="1240"/>
      <c r="I16" s="1240"/>
      <c r="J16" s="1240"/>
      <c r="K16" s="1240"/>
      <c r="L16" s="1240"/>
      <c r="M16" s="1240"/>
      <c r="N16" s="1240"/>
      <c r="O16" s="1240"/>
      <c r="P16" s="1240"/>
      <c r="Q16" s="1240"/>
      <c r="R16" s="1240"/>
      <c r="S16" s="1240"/>
      <c r="T16" s="1240"/>
      <c r="U16" s="1240"/>
      <c r="V16" s="1240"/>
      <c r="W16" s="1240"/>
      <c r="X16" s="1240"/>
      <c r="Y16" s="1240"/>
      <c r="Z16" s="1240"/>
      <c r="AA16" s="1240"/>
      <c r="AB16" s="1240"/>
      <c r="AC16" s="1240"/>
      <c r="AD16" s="1240"/>
      <c r="AE16" s="1240"/>
      <c r="AF16" s="1240"/>
      <c r="AG16" s="1240"/>
      <c r="AH16" s="1241">
        <f>SUM(EtatPresence313[[#This Row],[jour 1]:[jour 31]])</f>
        <v>0</v>
      </c>
      <c r="AI16" s="819"/>
      <c r="AJ16" s="818"/>
    </row>
    <row r="17" spans="1:36" ht="32.25" thickBot="1" x14ac:dyDescent="0.3">
      <c r="A17" s="1238"/>
      <c r="B17" s="1239" t="e">
        <f>[9]!Tableau6[[#This Row],[Nom]]</f>
        <v>#REF!</v>
      </c>
      <c r="C17" s="1240"/>
      <c r="D17" s="1240"/>
      <c r="E17" s="1240"/>
      <c r="F17" s="1240"/>
      <c r="G17" s="1240"/>
      <c r="H17" s="1240"/>
      <c r="I17" s="1240"/>
      <c r="J17" s="1240"/>
      <c r="K17" s="1240"/>
      <c r="L17" s="1240"/>
      <c r="M17" s="1240"/>
      <c r="N17" s="1240"/>
      <c r="O17" s="1240"/>
      <c r="P17" s="1240"/>
      <c r="Q17" s="1240"/>
      <c r="R17" s="1240"/>
      <c r="S17" s="1240"/>
      <c r="T17" s="1240"/>
      <c r="U17" s="1240"/>
      <c r="V17" s="1240"/>
      <c r="W17" s="1240"/>
      <c r="X17" s="1240"/>
      <c r="Y17" s="1240"/>
      <c r="Z17" s="1240"/>
      <c r="AA17" s="1240"/>
      <c r="AB17" s="1240"/>
      <c r="AC17" s="1240"/>
      <c r="AD17" s="1240"/>
      <c r="AE17" s="1240"/>
      <c r="AF17" s="1240"/>
      <c r="AG17" s="1240"/>
      <c r="AH17" s="1241">
        <f>SUM(EtatPresence313[[#This Row],[jour 1]:[jour 31]])</f>
        <v>0</v>
      </c>
      <c r="AI17" s="819"/>
      <c r="AJ17" s="818"/>
    </row>
    <row r="18" spans="1:36" ht="32.25" thickBot="1" x14ac:dyDescent="0.3">
      <c r="A18" s="1238"/>
      <c r="B18" s="1239"/>
      <c r="C18" s="1240"/>
      <c r="D18" s="1240"/>
      <c r="E18" s="1240"/>
      <c r="F18" s="1240"/>
      <c r="G18" s="1240"/>
      <c r="H18" s="1240"/>
      <c r="I18" s="1240"/>
      <c r="J18" s="1240"/>
      <c r="K18" s="1240"/>
      <c r="L18" s="1240"/>
      <c r="M18" s="1240"/>
      <c r="N18" s="1240"/>
      <c r="O18" s="1240"/>
      <c r="P18" s="1240"/>
      <c r="Q18" s="1240"/>
      <c r="R18" s="1240"/>
      <c r="S18" s="1240"/>
      <c r="T18" s="1240"/>
      <c r="U18" s="1240"/>
      <c r="V18" s="1240"/>
      <c r="W18" s="1240"/>
      <c r="X18" s="1240"/>
      <c r="Y18" s="1240"/>
      <c r="Z18" s="1240"/>
      <c r="AA18" s="1240"/>
      <c r="AB18" s="1240"/>
      <c r="AC18" s="1240"/>
      <c r="AD18" s="1240"/>
      <c r="AE18" s="1240"/>
      <c r="AF18" s="1240"/>
      <c r="AG18" s="1240"/>
      <c r="AH18" s="1241">
        <f>SUM(EtatPresence313[[#This Row],[jour 1]:[jour 31]])</f>
        <v>0</v>
      </c>
      <c r="AI18" s="819"/>
      <c r="AJ18" s="818"/>
    </row>
    <row r="19" spans="1:36" ht="32.25" thickBot="1" x14ac:dyDescent="0.3">
      <c r="A19" s="1238"/>
      <c r="B19" s="1239"/>
      <c r="C19" s="1240"/>
      <c r="D19" s="1240"/>
      <c r="E19" s="1240"/>
      <c r="F19" s="1240"/>
      <c r="G19" s="1240"/>
      <c r="H19" s="1240"/>
      <c r="I19" s="1240"/>
      <c r="J19" s="1240"/>
      <c r="K19" s="1240"/>
      <c r="L19" s="1240"/>
      <c r="M19" s="1240"/>
      <c r="N19" s="1240"/>
      <c r="O19" s="1240"/>
      <c r="P19" s="1240"/>
      <c r="Q19" s="1240"/>
      <c r="R19" s="1240"/>
      <c r="S19" s="1240"/>
      <c r="T19" s="1240"/>
      <c r="U19" s="1240"/>
      <c r="V19" s="1240"/>
      <c r="W19" s="1240"/>
      <c r="X19" s="1240"/>
      <c r="Y19" s="1240"/>
      <c r="Z19" s="1240"/>
      <c r="AA19" s="1240"/>
      <c r="AB19" s="1240"/>
      <c r="AC19" s="1240"/>
      <c r="AD19" s="1240"/>
      <c r="AE19" s="1240"/>
      <c r="AF19" s="1240"/>
      <c r="AG19" s="1240"/>
      <c r="AH19" s="1241">
        <f>SUM(EtatPresence313[[#This Row],[jour 1]:[jour 31]])</f>
        <v>0</v>
      </c>
      <c r="AI19" s="819"/>
      <c r="AJ19" s="818"/>
    </row>
    <row r="20" spans="1:36" ht="32.25" thickBot="1" x14ac:dyDescent="0.55000000000000004">
      <c r="A20" s="1238"/>
      <c r="B20" s="1243"/>
      <c r="C20" s="1240"/>
      <c r="D20" s="1240"/>
      <c r="E20" s="1240"/>
      <c r="F20" s="1240"/>
      <c r="G20" s="1240"/>
      <c r="H20" s="1240"/>
      <c r="I20" s="1240"/>
      <c r="J20" s="1240"/>
      <c r="K20" s="1240"/>
      <c r="L20" s="1240"/>
      <c r="M20" s="1240"/>
      <c r="N20" s="1240"/>
      <c r="O20" s="1240"/>
      <c r="P20" s="1240"/>
      <c r="Q20" s="1240"/>
      <c r="R20" s="1240"/>
      <c r="S20" s="1240"/>
      <c r="T20" s="1240"/>
      <c r="U20" s="1240"/>
      <c r="V20" s="1240"/>
      <c r="W20" s="1240"/>
      <c r="X20" s="1240"/>
      <c r="Y20" s="1240"/>
      <c r="Z20" s="1240"/>
      <c r="AA20" s="1240"/>
      <c r="AB20" s="1240"/>
      <c r="AC20" s="1240"/>
      <c r="AD20" s="1240"/>
      <c r="AE20" s="1240"/>
      <c r="AF20" s="1240"/>
      <c r="AG20" s="1240"/>
      <c r="AH20" s="1241"/>
      <c r="AI20" s="819"/>
      <c r="AJ20" s="818"/>
    </row>
    <row r="21" spans="1:36" ht="32.25" thickBot="1" x14ac:dyDescent="0.55000000000000004">
      <c r="A21" s="1238"/>
      <c r="B21" s="1243"/>
      <c r="C21" s="1240"/>
      <c r="D21" s="1240"/>
      <c r="E21" s="1240"/>
      <c r="F21" s="1240"/>
      <c r="G21" s="1240"/>
      <c r="H21" s="1240"/>
      <c r="I21" s="1240"/>
      <c r="J21" s="1240"/>
      <c r="K21" s="1240"/>
      <c r="L21" s="1240"/>
      <c r="M21" s="1240"/>
      <c r="N21" s="1240"/>
      <c r="O21" s="1240"/>
      <c r="P21" s="1240"/>
      <c r="Q21" s="1240"/>
      <c r="R21" s="1240"/>
      <c r="S21" s="1240"/>
      <c r="T21" s="1240"/>
      <c r="U21" s="1240"/>
      <c r="V21" s="1240"/>
      <c r="W21" s="1240"/>
      <c r="X21" s="1240"/>
      <c r="Y21" s="1240"/>
      <c r="Z21" s="1240"/>
      <c r="AA21" s="1240"/>
      <c r="AB21" s="1240"/>
      <c r="AC21" s="1240"/>
      <c r="AD21" s="1240"/>
      <c r="AE21" s="1240"/>
      <c r="AF21" s="1240"/>
      <c r="AG21" s="1240"/>
      <c r="AH21" s="1241">
        <f>SUM(EtatPresence313[[#This Row],[jour 1]:[jour 31]])</f>
        <v>0</v>
      </c>
      <c r="AI21" s="819"/>
      <c r="AJ21" s="818"/>
    </row>
    <row r="22" spans="1:36" ht="32.25" thickBot="1" x14ac:dyDescent="0.55000000000000004">
      <c r="A22" s="1238"/>
      <c r="B22" s="1243"/>
      <c r="C22" s="1240"/>
      <c r="D22" s="1240"/>
      <c r="E22" s="1240"/>
      <c r="F22" s="1240"/>
      <c r="G22" s="1240"/>
      <c r="H22" s="1240"/>
      <c r="I22" s="1240"/>
      <c r="J22" s="1240"/>
      <c r="K22" s="1240"/>
      <c r="L22" s="1240"/>
      <c r="M22" s="1240"/>
      <c r="N22" s="1240"/>
      <c r="O22" s="1240"/>
      <c r="P22" s="1240"/>
      <c r="Q22" s="1240"/>
      <c r="R22" s="1240"/>
      <c r="S22" s="1240"/>
      <c r="T22" s="1240"/>
      <c r="U22" s="1240"/>
      <c r="V22" s="1240"/>
      <c r="W22" s="1240"/>
      <c r="X22" s="1240"/>
      <c r="Y22" s="1240"/>
      <c r="Z22" s="1240"/>
      <c r="AA22" s="1240"/>
      <c r="AB22" s="1240"/>
      <c r="AC22" s="1240"/>
      <c r="AD22" s="1240"/>
      <c r="AE22" s="1240"/>
      <c r="AF22" s="1240"/>
      <c r="AG22" s="1240"/>
      <c r="AH22" s="1241">
        <f>SUM(EtatPresence313[[#This Row],[jour 1]:[jour 31]])</f>
        <v>0</v>
      </c>
      <c r="AI22" s="819"/>
      <c r="AJ22" s="818"/>
    </row>
    <row r="23" spans="1:36" ht="32.25" thickBot="1" x14ac:dyDescent="0.55000000000000004">
      <c r="A23" s="1238"/>
      <c r="B23" s="1243"/>
      <c r="C23" s="1240"/>
      <c r="D23" s="1240"/>
      <c r="E23" s="1240"/>
      <c r="F23" s="1240"/>
      <c r="G23" s="1240"/>
      <c r="H23" s="1240"/>
      <c r="I23" s="1240"/>
      <c r="J23" s="1240"/>
      <c r="K23" s="1240"/>
      <c r="L23" s="1240"/>
      <c r="M23" s="1240"/>
      <c r="N23" s="1240"/>
      <c r="O23" s="1240"/>
      <c r="P23" s="1240"/>
      <c r="Q23" s="1240"/>
      <c r="R23" s="1240"/>
      <c r="S23" s="1240"/>
      <c r="T23" s="1240"/>
      <c r="U23" s="1240"/>
      <c r="V23" s="1240"/>
      <c r="W23" s="1240"/>
      <c r="X23" s="1240"/>
      <c r="Y23" s="1240"/>
      <c r="Z23" s="1240"/>
      <c r="AA23" s="1240"/>
      <c r="AB23" s="1240"/>
      <c r="AC23" s="1240"/>
      <c r="AD23" s="1240"/>
      <c r="AE23" s="1240"/>
      <c r="AF23" s="1240"/>
      <c r="AG23" s="1240"/>
      <c r="AH23" s="1241">
        <f>SUM(EtatPresence313[[#This Row],[jour 1]:[jour 31]])</f>
        <v>0</v>
      </c>
      <c r="AI23" s="819"/>
      <c r="AJ23" s="818"/>
    </row>
    <row r="24" spans="1:36" ht="32.25" thickBot="1" x14ac:dyDescent="0.55000000000000004">
      <c r="A24" s="1238"/>
      <c r="B24" s="1244"/>
      <c r="C24" s="1240"/>
      <c r="D24" s="1240"/>
      <c r="E24" s="1240"/>
      <c r="F24" s="1240"/>
      <c r="G24" s="1240"/>
      <c r="H24" s="1240"/>
      <c r="I24" s="1240"/>
      <c r="J24" s="1240"/>
      <c r="K24" s="1240"/>
      <c r="L24" s="1240"/>
      <c r="M24" s="1240"/>
      <c r="N24" s="1240"/>
      <c r="O24" s="1240"/>
      <c r="P24" s="1240"/>
      <c r="Q24" s="1240"/>
      <c r="R24" s="1240"/>
      <c r="S24" s="1240"/>
      <c r="T24" s="1240"/>
      <c r="U24" s="1240"/>
      <c r="V24" s="1240"/>
      <c r="W24" s="1240"/>
      <c r="X24" s="1240"/>
      <c r="Y24" s="1240"/>
      <c r="Z24" s="1240"/>
      <c r="AA24" s="1240"/>
      <c r="AB24" s="1240"/>
      <c r="AC24" s="1240"/>
      <c r="AD24" s="1240"/>
      <c r="AE24" s="1240"/>
      <c r="AF24" s="1240"/>
      <c r="AG24" s="1240"/>
      <c r="AH24" s="1241">
        <f>SUM(EtatPresence313[[#This Row],[jour 1]:[jour 31]])</f>
        <v>0</v>
      </c>
      <c r="AI24" s="819"/>
      <c r="AJ24" s="818"/>
    </row>
    <row r="25" spans="1:36" ht="32.25" thickBot="1" x14ac:dyDescent="0.55000000000000004">
      <c r="A25" s="1238"/>
      <c r="B25" s="1244"/>
      <c r="C25" s="1240"/>
      <c r="D25" s="1240"/>
      <c r="E25" s="1240"/>
      <c r="F25" s="1240"/>
      <c r="G25" s="1240"/>
      <c r="H25" s="1240"/>
      <c r="I25" s="1240"/>
      <c r="J25" s="1240"/>
      <c r="K25" s="1240"/>
      <c r="L25" s="1240"/>
      <c r="M25" s="1240"/>
      <c r="N25" s="1240"/>
      <c r="O25" s="1245"/>
      <c r="P25" s="1240"/>
      <c r="Q25" s="1240"/>
      <c r="R25" s="1240"/>
      <c r="S25" s="1240"/>
      <c r="T25" s="1240"/>
      <c r="U25" s="1240"/>
      <c r="V25" s="1240"/>
      <c r="W25" s="1240"/>
      <c r="X25" s="1240"/>
      <c r="Y25" s="1240"/>
      <c r="Z25" s="1240"/>
      <c r="AA25" s="1240"/>
      <c r="AB25" s="1240"/>
      <c r="AC25" s="1240"/>
      <c r="AD25" s="1240"/>
      <c r="AE25" s="1240"/>
      <c r="AF25" s="1240"/>
      <c r="AG25" s="1240"/>
      <c r="AH25" s="1241">
        <f>SUM(EtatPresence313[[#This Row],[jour 1]:[jour 31]])</f>
        <v>0</v>
      </c>
      <c r="AI25" s="819"/>
      <c r="AJ25" s="818"/>
    </row>
    <row r="26" spans="1:36" ht="32.25" thickBot="1" x14ac:dyDescent="0.55000000000000004">
      <c r="A26" s="1238"/>
      <c r="B26" s="1244"/>
      <c r="C26" s="1240"/>
      <c r="D26" s="1240"/>
      <c r="E26" s="1240"/>
      <c r="F26" s="1240"/>
      <c r="G26" s="1240"/>
      <c r="H26" s="1240"/>
      <c r="I26" s="1240"/>
      <c r="J26" s="1240"/>
      <c r="K26" s="1240"/>
      <c r="L26" s="1240"/>
      <c r="M26" s="1240"/>
      <c r="N26" s="1240"/>
      <c r="O26" s="1240"/>
      <c r="P26" s="1240"/>
      <c r="Q26" s="1240"/>
      <c r="R26" s="1240"/>
      <c r="S26" s="1240"/>
      <c r="T26" s="1240"/>
      <c r="U26" s="1240"/>
      <c r="V26" s="1240"/>
      <c r="W26" s="1240"/>
      <c r="X26" s="1240"/>
      <c r="Y26" s="1240"/>
      <c r="Z26" s="1240"/>
      <c r="AA26" s="1240"/>
      <c r="AB26" s="1240"/>
      <c r="AC26" s="1240"/>
      <c r="AD26" s="1240"/>
      <c r="AE26" s="1240"/>
      <c r="AF26" s="1240"/>
      <c r="AG26" s="1240"/>
      <c r="AH26" s="1241"/>
      <c r="AI26" s="819"/>
      <c r="AJ26" s="818"/>
    </row>
    <row r="27" spans="1:36" ht="33" thickBot="1" x14ac:dyDescent="0.55000000000000004">
      <c r="A27" s="1246"/>
      <c r="B27" s="1244"/>
      <c r="C27" s="1240"/>
      <c r="D27" s="1240"/>
      <c r="E27" s="1240"/>
      <c r="F27" s="1240"/>
      <c r="G27" s="1240"/>
      <c r="H27" s="1240"/>
      <c r="I27" s="1240"/>
      <c r="J27" s="1240"/>
      <c r="K27" s="1240"/>
      <c r="L27" s="1240"/>
      <c r="M27" s="1240"/>
      <c r="N27" s="1240"/>
      <c r="O27" s="1240"/>
      <c r="P27" s="1240"/>
      <c r="Q27" s="1240"/>
      <c r="R27" s="1240"/>
      <c r="S27" s="1240"/>
      <c r="T27" s="1240"/>
      <c r="U27" s="1240"/>
      <c r="V27" s="1240"/>
      <c r="W27" s="1240"/>
      <c r="X27" s="1240"/>
      <c r="Y27" s="1240"/>
      <c r="Z27" s="1240"/>
      <c r="AA27" s="1240"/>
      <c r="AB27" s="1240"/>
      <c r="AC27" s="1240"/>
      <c r="AD27" s="1240"/>
      <c r="AE27" s="1240"/>
      <c r="AF27" s="1240"/>
      <c r="AG27" s="1240"/>
      <c r="AH27" s="1241">
        <f>SUM(EtatPresence313[[#This Row],[jour 1]:[jour 31]])</f>
        <v>0</v>
      </c>
      <c r="AI27" s="819"/>
      <c r="AJ27" s="818"/>
    </row>
    <row r="28" spans="1:36" ht="33" thickBot="1" x14ac:dyDescent="0.55000000000000004">
      <c r="A28" s="1246"/>
      <c r="B28" s="1244"/>
      <c r="C28" s="1240"/>
      <c r="D28" s="1240"/>
      <c r="E28" s="1240"/>
      <c r="F28" s="1240"/>
      <c r="G28" s="1240"/>
      <c r="H28" s="1240"/>
      <c r="I28" s="1240"/>
      <c r="J28" s="1240"/>
      <c r="K28" s="1240"/>
      <c r="L28" s="1240"/>
      <c r="M28" s="1240"/>
      <c r="N28" s="1240"/>
      <c r="O28" s="1240"/>
      <c r="P28" s="1240"/>
      <c r="Q28" s="1240"/>
      <c r="R28" s="1240"/>
      <c r="S28" s="1240"/>
      <c r="T28" s="1240"/>
      <c r="U28" s="1240"/>
      <c r="V28" s="1240"/>
      <c r="W28" s="1240"/>
      <c r="X28" s="1240"/>
      <c r="Y28" s="1240"/>
      <c r="Z28" s="1240"/>
      <c r="AA28" s="1240"/>
      <c r="AB28" s="1240"/>
      <c r="AC28" s="1240"/>
      <c r="AD28" s="1240"/>
      <c r="AE28" s="1240"/>
      <c r="AF28" s="1240"/>
      <c r="AG28" s="1240"/>
      <c r="AH28" s="1241">
        <f>SUM(EtatPresence313[[#This Row],[jour 1]:[jour 31]])</f>
        <v>0</v>
      </c>
      <c r="AI28" s="819"/>
      <c r="AJ28" s="818"/>
    </row>
    <row r="29" spans="1:36" ht="32.25" thickBot="1" x14ac:dyDescent="0.45">
      <c r="A29" s="1246"/>
      <c r="B29" s="1247"/>
      <c r="C29" s="1248">
        <f t="shared" ref="C29:AH29" si="0">SUM(C7:C28)</f>
        <v>-1427</v>
      </c>
      <c r="D29" s="1248">
        <f t="shared" si="0"/>
        <v>-3396</v>
      </c>
      <c r="E29" s="1248">
        <f t="shared" si="0"/>
        <v>-3028</v>
      </c>
      <c r="F29" s="1248">
        <f t="shared" si="0"/>
        <v>482</v>
      </c>
      <c r="G29" s="1248">
        <f t="shared" si="0"/>
        <v>-2089</v>
      </c>
      <c r="H29" s="1248">
        <f t="shared" si="0"/>
        <v>-2646</v>
      </c>
      <c r="I29" s="1248">
        <f t="shared" si="0"/>
        <v>-961</v>
      </c>
      <c r="J29" s="1248">
        <f t="shared" si="0"/>
        <v>-666</v>
      </c>
      <c r="K29" s="1248">
        <f t="shared" si="0"/>
        <v>-1577</v>
      </c>
      <c r="L29" s="1248">
        <f t="shared" si="0"/>
        <v>-1446</v>
      </c>
      <c r="M29" s="1248">
        <f t="shared" si="0"/>
        <v>-1787</v>
      </c>
      <c r="N29" s="1248">
        <f t="shared" si="0"/>
        <v>635</v>
      </c>
      <c r="O29" s="1248">
        <f>SUM(O7:O28)</f>
        <v>-1029</v>
      </c>
      <c r="P29" s="1248">
        <f>SUM(P7:P28)</f>
        <v>0</v>
      </c>
      <c r="Q29" s="1248">
        <f t="shared" si="0"/>
        <v>0</v>
      </c>
      <c r="R29" s="1248">
        <f t="shared" si="0"/>
        <v>0</v>
      </c>
      <c r="S29" s="1248">
        <f t="shared" si="0"/>
        <v>0</v>
      </c>
      <c r="T29" s="1248">
        <f t="shared" si="0"/>
        <v>0</v>
      </c>
      <c r="U29" s="1248">
        <f t="shared" si="0"/>
        <v>0</v>
      </c>
      <c r="V29" s="1248">
        <f t="shared" si="0"/>
        <v>0</v>
      </c>
      <c r="W29" s="1248">
        <f t="shared" si="0"/>
        <v>0</v>
      </c>
      <c r="X29" s="1248">
        <f t="shared" si="0"/>
        <v>0</v>
      </c>
      <c r="Y29" s="1248">
        <f t="shared" si="0"/>
        <v>0</v>
      </c>
      <c r="Z29" s="1248">
        <f t="shared" si="0"/>
        <v>0</v>
      </c>
      <c r="AA29" s="1248">
        <f t="shared" si="0"/>
        <v>0</v>
      </c>
      <c r="AB29" s="1248">
        <f t="shared" si="0"/>
        <v>0</v>
      </c>
      <c r="AC29" s="1248">
        <f t="shared" si="0"/>
        <v>0</v>
      </c>
      <c r="AD29" s="1248">
        <f t="shared" si="0"/>
        <v>0</v>
      </c>
      <c r="AE29" s="1248">
        <f t="shared" si="0"/>
        <v>0</v>
      </c>
      <c r="AF29" s="1248">
        <f t="shared" si="0"/>
        <v>0</v>
      </c>
      <c r="AG29" s="1248">
        <f t="shared" si="0"/>
        <v>0</v>
      </c>
      <c r="AH29" s="1248">
        <f t="shared" si="0"/>
        <v>-18935</v>
      </c>
      <c r="AI29" s="819"/>
      <c r="AJ29" s="818"/>
    </row>
    <row r="30" spans="1:36" ht="32.25" thickBot="1" x14ac:dyDescent="0.45">
      <c r="A30" s="1246"/>
      <c r="B30" s="1249"/>
      <c r="C30" s="1250"/>
      <c r="D30" s="1250"/>
      <c r="E30" s="1250"/>
      <c r="F30" s="1250"/>
      <c r="G30" s="1250"/>
      <c r="H30" s="1250"/>
      <c r="I30" s="1250"/>
      <c r="J30" s="1250"/>
      <c r="K30" s="1250"/>
      <c r="L30" s="1250"/>
      <c r="M30" s="1250"/>
      <c r="N30" s="1250"/>
      <c r="O30" s="1250"/>
      <c r="P30" s="1250"/>
      <c r="Q30" s="1250"/>
      <c r="R30" s="1250"/>
      <c r="S30" s="1250"/>
      <c r="T30" s="1250"/>
      <c r="U30" s="1250"/>
      <c r="V30" s="1250"/>
      <c r="W30" s="1250"/>
      <c r="X30" s="1250"/>
      <c r="Y30" s="1250"/>
      <c r="Z30" s="1250"/>
      <c r="AA30" s="1250"/>
      <c r="AB30" s="1250"/>
      <c r="AC30" s="1250"/>
      <c r="AD30" s="1250"/>
      <c r="AE30" s="1250"/>
      <c r="AF30" s="1250"/>
      <c r="AG30" s="1250"/>
      <c r="AH30" s="1250"/>
      <c r="AI30" s="818"/>
      <c r="AJ30" s="818"/>
    </row>
  </sheetData>
  <mergeCells count="4">
    <mergeCell ref="L1:N1"/>
    <mergeCell ref="P1:R1"/>
    <mergeCell ref="U1:W1"/>
    <mergeCell ref="B3:B5"/>
  </mergeCells>
  <conditionalFormatting sqref="C7:AG28">
    <cfRule type="cellIs" dxfId="80" priority="2" operator="lessThanOrEqual">
      <formula>-3000</formula>
    </cfRule>
  </conditionalFormatting>
  <conditionalFormatting sqref="AH7:AH28">
    <cfRule type="dataBar" priority="1">
      <dataBar>
        <cfvo type="num" val="-10000"/>
        <cfvo type="num" val="-1"/>
        <color rgb="FFFF0000"/>
      </dataBar>
      <extLst>
        <ext xmlns:x14="http://schemas.microsoft.com/office/spreadsheetml/2009/9/main" uri="{B025F937-C7B1-47D3-B67F-A62EFF666E3E}">
          <x14:id>{B9002CB2-F485-473C-ABCF-BD561097C5D1}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02CB2-F485-473C-ABCF-BD561097C5D1}">
            <x14:dataBar minLength="0" maxLength="100" gradient="0" direction="leftToRight">
              <x14:cfvo type="num">
                <xm:f>-10000</xm:f>
              </x14:cfvo>
              <x14:cfvo type="num">
                <xm:f>-1</xm:f>
              </x14:cfvo>
              <x14:negativeFillColor rgb="FFFF0000"/>
              <x14:axisColor rgb="FF000000"/>
            </x14:dataBar>
          </x14:cfRule>
          <xm:sqref>AH7:AH28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25"/>
  <sheetViews>
    <sheetView topLeftCell="A2" workbookViewId="0">
      <selection activeCell="AK18" sqref="AK18"/>
    </sheetView>
  </sheetViews>
  <sheetFormatPr baseColWidth="10" defaultRowHeight="15" x14ac:dyDescent="0.25"/>
  <cols>
    <col min="1" max="1" width="9.85546875" style="688" customWidth="1"/>
    <col min="2" max="2" width="13" style="688" customWidth="1"/>
    <col min="3" max="4" width="11.42578125" style="688"/>
    <col min="5" max="5" width="13.5703125" style="688" customWidth="1"/>
    <col min="6" max="6" width="15.140625" style="688" customWidth="1"/>
    <col min="7" max="72" width="11.42578125" style="688"/>
    <col min="73" max="73" width="12" style="688" bestFit="1" customWidth="1"/>
    <col min="74" max="100" width="11.42578125" style="688"/>
    <col min="101" max="101" width="12" style="688" bestFit="1" customWidth="1"/>
    <col min="102" max="129" width="11.42578125" style="688"/>
    <col min="130" max="130" width="14.140625" style="688" customWidth="1"/>
    <col min="131" max="16384" width="11.42578125" style="688"/>
  </cols>
  <sheetData>
    <row r="1" spans="1:130" ht="32.25" x14ac:dyDescent="0.5">
      <c r="A1" s="692"/>
      <c r="B1" s="692"/>
      <c r="C1" s="692" t="s">
        <v>311</v>
      </c>
      <c r="D1" s="692"/>
      <c r="E1" s="692"/>
      <c r="F1" s="692"/>
      <c r="G1" s="692"/>
      <c r="H1" s="692"/>
      <c r="I1" s="693"/>
      <c r="J1" s="693"/>
      <c r="K1" s="693"/>
      <c r="L1" s="693"/>
      <c r="M1" s="693"/>
      <c r="N1" s="693"/>
      <c r="O1" s="693"/>
      <c r="P1" s="693"/>
      <c r="Q1" s="693"/>
      <c r="R1" s="693"/>
      <c r="S1" s="693"/>
      <c r="T1" s="693"/>
      <c r="U1" s="693"/>
      <c r="V1" s="693"/>
      <c r="W1" s="693"/>
      <c r="X1" s="693"/>
      <c r="Y1" s="693"/>
      <c r="Z1" s="693"/>
      <c r="AA1" s="693"/>
      <c r="AB1" s="693"/>
      <c r="AC1" s="693"/>
      <c r="AD1" s="693"/>
      <c r="AE1" s="693"/>
      <c r="AF1" s="693"/>
      <c r="AG1" s="693"/>
      <c r="AH1" s="693"/>
      <c r="AI1" s="693"/>
      <c r="AJ1" s="693"/>
      <c r="AK1" s="693"/>
      <c r="AL1" s="693"/>
      <c r="AM1" s="693"/>
      <c r="AN1" s="693"/>
      <c r="AO1" s="693"/>
      <c r="AP1" s="693"/>
      <c r="AQ1" s="693"/>
      <c r="AR1" s="693"/>
      <c r="AS1" s="693"/>
      <c r="AT1" s="693"/>
      <c r="AU1" s="693"/>
      <c r="AV1" s="693"/>
      <c r="AW1" s="693"/>
      <c r="AX1" s="693"/>
      <c r="AY1" s="693"/>
      <c r="AZ1" s="693"/>
      <c r="BA1" s="693"/>
      <c r="BB1" s="693"/>
      <c r="BC1" s="693"/>
      <c r="BD1" s="693"/>
      <c r="BE1" s="693"/>
      <c r="BF1" s="693"/>
      <c r="BG1" s="693"/>
      <c r="BH1" s="693"/>
      <c r="BI1" s="693"/>
      <c r="BJ1" s="693"/>
      <c r="BK1" s="693"/>
      <c r="BL1" s="693"/>
      <c r="BM1" s="693"/>
      <c r="BN1" s="693"/>
      <c r="BO1" s="693"/>
      <c r="BP1" s="693"/>
      <c r="BQ1" s="693"/>
      <c r="BR1" s="693"/>
      <c r="BS1" s="693"/>
      <c r="BT1" s="693"/>
      <c r="BU1" s="693"/>
      <c r="BV1" s="693"/>
      <c r="BW1" s="693"/>
      <c r="BX1" s="693"/>
      <c r="BY1" s="693"/>
      <c r="BZ1" s="693"/>
      <c r="CA1" s="693"/>
      <c r="CB1" s="693"/>
      <c r="CC1" s="693"/>
      <c r="CD1" s="693"/>
      <c r="CE1" s="693"/>
      <c r="CF1" s="693"/>
      <c r="CG1" s="693"/>
      <c r="CH1" s="693"/>
      <c r="CI1" s="693"/>
      <c r="CJ1" s="693"/>
      <c r="CK1" s="693"/>
      <c r="CL1" s="693"/>
      <c r="CM1" s="693"/>
      <c r="CN1" s="693"/>
      <c r="CO1" s="693"/>
      <c r="CP1" s="693"/>
      <c r="CQ1" s="693"/>
      <c r="CR1" s="693"/>
      <c r="CS1" s="693"/>
      <c r="CT1" s="693"/>
      <c r="CU1" s="693"/>
      <c r="CV1" s="693"/>
      <c r="CW1" s="693"/>
      <c r="CX1" s="693"/>
      <c r="CY1" s="693"/>
      <c r="CZ1" s="693"/>
      <c r="DA1" s="693"/>
      <c r="DB1" s="693"/>
      <c r="DC1" s="693"/>
      <c r="DD1" s="693"/>
      <c r="DE1" s="693"/>
      <c r="DF1" s="693"/>
      <c r="DG1" s="693"/>
      <c r="DH1" s="693"/>
      <c r="DI1" s="693"/>
      <c r="DJ1" s="693"/>
      <c r="DK1" s="693"/>
      <c r="DL1" s="693"/>
      <c r="DM1" s="693"/>
      <c r="DN1" s="693"/>
      <c r="DO1" s="693"/>
      <c r="DP1" s="693"/>
      <c r="DQ1" s="693"/>
      <c r="DR1" s="693"/>
      <c r="DS1" s="693"/>
      <c r="DT1" s="693"/>
      <c r="DU1" s="693"/>
      <c r="DV1" s="693"/>
      <c r="DW1" s="693"/>
      <c r="DX1" s="693"/>
      <c r="DY1" s="693"/>
      <c r="DZ1" s="693"/>
    </row>
    <row r="2" spans="1:130" x14ac:dyDescent="0.25">
      <c r="A2" s="694"/>
      <c r="B2" s="694"/>
      <c r="C2" s="1816">
        <v>43800</v>
      </c>
      <c r="D2" s="1816"/>
      <c r="E2" s="1816"/>
      <c r="F2" s="1817"/>
      <c r="G2" s="1826">
        <f>C2+DAY(1)</f>
        <v>43801</v>
      </c>
      <c r="H2" s="1816"/>
      <c r="I2" s="1816"/>
      <c r="J2" s="1817"/>
      <c r="K2" s="1826">
        <f>G2+DAY(1)</f>
        <v>43802</v>
      </c>
      <c r="L2" s="1816"/>
      <c r="M2" s="1816"/>
      <c r="N2" s="1817"/>
      <c r="O2" s="1826">
        <f>K2+DAY(1)</f>
        <v>43803</v>
      </c>
      <c r="P2" s="1816"/>
      <c r="Q2" s="1816"/>
      <c r="R2" s="1817"/>
      <c r="S2" s="1826">
        <f>O2+DAY(1)</f>
        <v>43804</v>
      </c>
      <c r="T2" s="1816"/>
      <c r="U2" s="1816"/>
      <c r="V2" s="1817"/>
      <c r="W2" s="1826">
        <f>S2+DAY(1)</f>
        <v>43805</v>
      </c>
      <c r="X2" s="1816"/>
      <c r="Y2" s="1816"/>
      <c r="Z2" s="1817"/>
      <c r="AA2" s="1826">
        <f>W2+DAY(1)</f>
        <v>43806</v>
      </c>
      <c r="AB2" s="1816"/>
      <c r="AC2" s="1816"/>
      <c r="AD2" s="1817"/>
      <c r="AE2" s="1816">
        <f>AA2+DAY(1)</f>
        <v>43807</v>
      </c>
      <c r="AF2" s="1816"/>
      <c r="AG2" s="1816"/>
      <c r="AH2" s="1817"/>
      <c r="AI2" s="1816">
        <f>AE2+DAY(1)</f>
        <v>43808</v>
      </c>
      <c r="AJ2" s="1816"/>
      <c r="AK2" s="1816"/>
      <c r="AL2" s="1817"/>
      <c r="AM2" s="1816">
        <f>AI2+DAY(1)</f>
        <v>43809</v>
      </c>
      <c r="AN2" s="1816"/>
      <c r="AO2" s="1816"/>
      <c r="AP2" s="1817"/>
      <c r="AQ2" s="1816">
        <f>AM2+DAY(1)</f>
        <v>43810</v>
      </c>
      <c r="AR2" s="1816"/>
      <c r="AS2" s="1816"/>
      <c r="AT2" s="1817"/>
      <c r="AU2" s="1816">
        <f>AQ2+DAY(1)</f>
        <v>43811</v>
      </c>
      <c r="AV2" s="1816"/>
      <c r="AW2" s="1816"/>
      <c r="AX2" s="1817"/>
      <c r="AY2" s="1816">
        <f>AU2+DAY(1)</f>
        <v>43812</v>
      </c>
      <c r="AZ2" s="1816"/>
      <c r="BA2" s="1816"/>
      <c r="BB2" s="1817"/>
      <c r="BC2" s="1816">
        <f>AY2+DAY(1)</f>
        <v>43813</v>
      </c>
      <c r="BD2" s="1816"/>
      <c r="BE2" s="1816"/>
      <c r="BF2" s="1817"/>
      <c r="BG2" s="1816">
        <f>BC2+DAY(1)</f>
        <v>43814</v>
      </c>
      <c r="BH2" s="1816"/>
      <c r="BI2" s="1816"/>
      <c r="BJ2" s="1817"/>
      <c r="BK2" s="1816">
        <f>BG2+DAY(1)</f>
        <v>43815</v>
      </c>
      <c r="BL2" s="1816"/>
      <c r="BM2" s="1816"/>
      <c r="BN2" s="1817"/>
      <c r="BO2" s="1816">
        <f>BK2+DAY(1)</f>
        <v>43816</v>
      </c>
      <c r="BP2" s="1816"/>
      <c r="BQ2" s="1816"/>
      <c r="BR2" s="1817"/>
      <c r="BS2" s="1816">
        <f>BO2+DAY(1)</f>
        <v>43817</v>
      </c>
      <c r="BT2" s="1816"/>
      <c r="BU2" s="1816"/>
      <c r="BV2" s="1817"/>
      <c r="BW2" s="1816">
        <f>BS2+DAY(1)</f>
        <v>43818</v>
      </c>
      <c r="BX2" s="1816"/>
      <c r="BY2" s="1816"/>
      <c r="BZ2" s="1817"/>
      <c r="CA2" s="1816">
        <f>BW2+DAY(1)</f>
        <v>43819</v>
      </c>
      <c r="CB2" s="1816"/>
      <c r="CC2" s="1816"/>
      <c r="CD2" s="1817"/>
      <c r="CE2" s="1816">
        <f>CA2+DAY(1)</f>
        <v>43820</v>
      </c>
      <c r="CF2" s="1816"/>
      <c r="CG2" s="1816"/>
      <c r="CH2" s="1817"/>
      <c r="CI2" s="1816">
        <f>CE2+DAY(1)</f>
        <v>43821</v>
      </c>
      <c r="CJ2" s="1816"/>
      <c r="CK2" s="1816"/>
      <c r="CL2" s="1817"/>
      <c r="CM2" s="1816">
        <f>CI2+DAY(1)</f>
        <v>43822</v>
      </c>
      <c r="CN2" s="1816"/>
      <c r="CO2" s="1816"/>
      <c r="CP2" s="1817"/>
      <c r="CQ2" s="1816">
        <f>CM2+DAY(1)</f>
        <v>43823</v>
      </c>
      <c r="CR2" s="1816"/>
      <c r="CS2" s="1816"/>
      <c r="CT2" s="1817"/>
      <c r="CU2" s="1816">
        <f>CQ2+DAY(1)</f>
        <v>43824</v>
      </c>
      <c r="CV2" s="1816"/>
      <c r="CW2" s="1816"/>
      <c r="CX2" s="1817"/>
      <c r="CY2" s="1816">
        <f>CU2+DAY(1)</f>
        <v>43825</v>
      </c>
      <c r="CZ2" s="1816"/>
      <c r="DA2" s="1816"/>
      <c r="DB2" s="1817"/>
      <c r="DC2" s="1816">
        <f>CY2+DAY(1)</f>
        <v>43826</v>
      </c>
      <c r="DD2" s="1816"/>
      <c r="DE2" s="1816"/>
      <c r="DF2" s="1817"/>
      <c r="DG2" s="1816">
        <f>DC2+DAY(1)</f>
        <v>43827</v>
      </c>
      <c r="DH2" s="1816"/>
      <c r="DI2" s="1816"/>
      <c r="DJ2" s="1817"/>
      <c r="DK2" s="1816">
        <f>DG2+DAY(1)</f>
        <v>43828</v>
      </c>
      <c r="DL2" s="1816"/>
      <c r="DM2" s="1816"/>
      <c r="DN2" s="1817"/>
      <c r="DO2" s="1816">
        <f>DK2+DAY(1)</f>
        <v>43829</v>
      </c>
      <c r="DP2" s="1816"/>
      <c r="DQ2" s="1816"/>
      <c r="DR2" s="1817"/>
      <c r="DS2" s="1816">
        <f>DO2+DAY(1)</f>
        <v>43830</v>
      </c>
      <c r="DT2" s="1816"/>
      <c r="DU2" s="1816"/>
      <c r="DV2" s="1817"/>
      <c r="DW2" s="1816" t="s">
        <v>312</v>
      </c>
      <c r="DX2" s="1816"/>
      <c r="DY2" s="1816"/>
      <c r="DZ2" s="1817"/>
    </row>
    <row r="3" spans="1:130" ht="27" x14ac:dyDescent="0.3">
      <c r="A3" s="695"/>
      <c r="B3" s="696" t="s">
        <v>313</v>
      </c>
      <c r="C3" s="715" t="s">
        <v>314</v>
      </c>
      <c r="D3" s="715" t="s">
        <v>315</v>
      </c>
      <c r="E3" s="715" t="s">
        <v>316</v>
      </c>
      <c r="F3" s="715" t="s">
        <v>220</v>
      </c>
      <c r="G3" s="715" t="s">
        <v>314</v>
      </c>
      <c r="H3" s="715" t="s">
        <v>315</v>
      </c>
      <c r="I3" s="715" t="s">
        <v>316</v>
      </c>
      <c r="J3" s="715" t="s">
        <v>220</v>
      </c>
      <c r="K3" s="715" t="s">
        <v>314</v>
      </c>
      <c r="L3" s="715" t="s">
        <v>315</v>
      </c>
      <c r="M3" s="715" t="s">
        <v>316</v>
      </c>
      <c r="N3" s="715" t="s">
        <v>220</v>
      </c>
      <c r="O3" s="715" t="s">
        <v>314</v>
      </c>
      <c r="P3" s="715" t="s">
        <v>315</v>
      </c>
      <c r="Q3" s="715" t="s">
        <v>316</v>
      </c>
      <c r="R3" s="715" t="s">
        <v>220</v>
      </c>
      <c r="S3" s="715" t="s">
        <v>314</v>
      </c>
      <c r="T3" s="715" t="s">
        <v>315</v>
      </c>
      <c r="U3" s="715" t="s">
        <v>316</v>
      </c>
      <c r="V3" s="715" t="s">
        <v>220</v>
      </c>
      <c r="W3" s="715" t="s">
        <v>314</v>
      </c>
      <c r="X3" s="715" t="s">
        <v>315</v>
      </c>
      <c r="Y3" s="715" t="s">
        <v>316</v>
      </c>
      <c r="Z3" s="715" t="s">
        <v>220</v>
      </c>
      <c r="AA3" s="715" t="s">
        <v>314</v>
      </c>
      <c r="AB3" s="715" t="s">
        <v>315</v>
      </c>
      <c r="AC3" s="715" t="s">
        <v>316</v>
      </c>
      <c r="AD3" s="715" t="s">
        <v>220</v>
      </c>
      <c r="AE3" s="715" t="s">
        <v>314</v>
      </c>
      <c r="AF3" s="715" t="s">
        <v>315</v>
      </c>
      <c r="AG3" s="715" t="s">
        <v>316</v>
      </c>
      <c r="AH3" s="717" t="s">
        <v>220</v>
      </c>
      <c r="AI3" s="715" t="s">
        <v>314</v>
      </c>
      <c r="AJ3" s="715" t="s">
        <v>315</v>
      </c>
      <c r="AK3" s="715" t="s">
        <v>316</v>
      </c>
      <c r="AL3" s="715" t="s">
        <v>220</v>
      </c>
      <c r="AM3" s="715" t="s">
        <v>314</v>
      </c>
      <c r="AN3" s="715" t="s">
        <v>315</v>
      </c>
      <c r="AO3" s="715" t="s">
        <v>316</v>
      </c>
      <c r="AP3" s="715" t="s">
        <v>220</v>
      </c>
      <c r="AQ3" s="715" t="s">
        <v>314</v>
      </c>
      <c r="AR3" s="715" t="s">
        <v>315</v>
      </c>
      <c r="AS3" s="715" t="s">
        <v>316</v>
      </c>
      <c r="AT3" s="715" t="s">
        <v>220</v>
      </c>
      <c r="AU3" s="715" t="s">
        <v>314</v>
      </c>
      <c r="AV3" s="715" t="s">
        <v>315</v>
      </c>
      <c r="AW3" s="715" t="s">
        <v>316</v>
      </c>
      <c r="AX3" s="715" t="s">
        <v>220</v>
      </c>
      <c r="AY3" s="715" t="s">
        <v>314</v>
      </c>
      <c r="AZ3" s="715" t="s">
        <v>315</v>
      </c>
      <c r="BA3" s="715" t="s">
        <v>316</v>
      </c>
      <c r="BB3" s="715" t="s">
        <v>220</v>
      </c>
      <c r="BC3" s="715" t="s">
        <v>314</v>
      </c>
      <c r="BD3" s="715" t="s">
        <v>315</v>
      </c>
      <c r="BE3" s="715" t="s">
        <v>316</v>
      </c>
      <c r="BF3" s="715" t="s">
        <v>220</v>
      </c>
      <c r="BG3" s="715" t="s">
        <v>314</v>
      </c>
      <c r="BH3" s="715" t="s">
        <v>315</v>
      </c>
      <c r="BI3" s="715" t="s">
        <v>316</v>
      </c>
      <c r="BJ3" s="715" t="s">
        <v>220</v>
      </c>
      <c r="BK3" s="715" t="s">
        <v>314</v>
      </c>
      <c r="BL3" s="715" t="s">
        <v>315</v>
      </c>
      <c r="BM3" s="715" t="s">
        <v>316</v>
      </c>
      <c r="BN3" s="715" t="s">
        <v>220</v>
      </c>
      <c r="BO3" s="715" t="s">
        <v>314</v>
      </c>
      <c r="BP3" s="715" t="s">
        <v>315</v>
      </c>
      <c r="BQ3" s="715" t="s">
        <v>316</v>
      </c>
      <c r="BR3" s="715" t="s">
        <v>220</v>
      </c>
      <c r="BS3" s="715" t="s">
        <v>314</v>
      </c>
      <c r="BT3" s="715" t="s">
        <v>315</v>
      </c>
      <c r="BU3" s="715" t="s">
        <v>316</v>
      </c>
      <c r="BV3" s="715" t="s">
        <v>220</v>
      </c>
      <c r="BW3" s="715" t="s">
        <v>314</v>
      </c>
      <c r="BX3" s="715" t="s">
        <v>315</v>
      </c>
      <c r="BY3" s="715" t="s">
        <v>316</v>
      </c>
      <c r="BZ3" s="715" t="s">
        <v>220</v>
      </c>
      <c r="CA3" s="715" t="s">
        <v>314</v>
      </c>
      <c r="CB3" s="715" t="s">
        <v>315</v>
      </c>
      <c r="CC3" s="715" t="s">
        <v>316</v>
      </c>
      <c r="CD3" s="715" t="s">
        <v>220</v>
      </c>
      <c r="CE3" s="715" t="s">
        <v>314</v>
      </c>
      <c r="CF3" s="715" t="s">
        <v>315</v>
      </c>
      <c r="CG3" s="715" t="s">
        <v>316</v>
      </c>
      <c r="CH3" s="715" t="s">
        <v>220</v>
      </c>
      <c r="CI3" s="715" t="s">
        <v>314</v>
      </c>
      <c r="CJ3" s="715" t="s">
        <v>315</v>
      </c>
      <c r="CK3" s="715" t="s">
        <v>316</v>
      </c>
      <c r="CL3" s="715" t="s">
        <v>220</v>
      </c>
      <c r="CM3" s="715" t="s">
        <v>314</v>
      </c>
      <c r="CN3" s="715" t="s">
        <v>315</v>
      </c>
      <c r="CO3" s="715" t="s">
        <v>316</v>
      </c>
      <c r="CP3" s="715" t="s">
        <v>220</v>
      </c>
      <c r="CQ3" s="715" t="s">
        <v>314</v>
      </c>
      <c r="CR3" s="715" t="s">
        <v>315</v>
      </c>
      <c r="CS3" s="715" t="s">
        <v>316</v>
      </c>
      <c r="CT3" s="715" t="s">
        <v>220</v>
      </c>
      <c r="CU3" s="715" t="s">
        <v>314</v>
      </c>
      <c r="CV3" s="715" t="s">
        <v>315</v>
      </c>
      <c r="CW3" s="715" t="s">
        <v>316</v>
      </c>
      <c r="CX3" s="715" t="s">
        <v>220</v>
      </c>
      <c r="CY3" s="715" t="s">
        <v>314</v>
      </c>
      <c r="CZ3" s="715" t="s">
        <v>315</v>
      </c>
      <c r="DA3" s="715" t="s">
        <v>316</v>
      </c>
      <c r="DB3" s="715" t="s">
        <v>220</v>
      </c>
      <c r="DC3" s="715" t="s">
        <v>314</v>
      </c>
      <c r="DD3" s="715" t="s">
        <v>315</v>
      </c>
      <c r="DE3" s="715" t="s">
        <v>316</v>
      </c>
      <c r="DF3" s="715" t="s">
        <v>220</v>
      </c>
      <c r="DG3" s="715" t="s">
        <v>314</v>
      </c>
      <c r="DH3" s="715" t="s">
        <v>315</v>
      </c>
      <c r="DI3" s="715" t="s">
        <v>316</v>
      </c>
      <c r="DJ3" s="715" t="s">
        <v>220</v>
      </c>
      <c r="DK3" s="715" t="s">
        <v>314</v>
      </c>
      <c r="DL3" s="715" t="s">
        <v>315</v>
      </c>
      <c r="DM3" s="715" t="s">
        <v>316</v>
      </c>
      <c r="DN3" s="715" t="s">
        <v>220</v>
      </c>
      <c r="DO3" s="715" t="s">
        <v>314</v>
      </c>
      <c r="DP3" s="715" t="s">
        <v>315</v>
      </c>
      <c r="DQ3" s="715" t="s">
        <v>316</v>
      </c>
      <c r="DR3" s="715" t="s">
        <v>220</v>
      </c>
      <c r="DS3" s="715" t="s">
        <v>314</v>
      </c>
      <c r="DT3" s="715" t="s">
        <v>315</v>
      </c>
      <c r="DU3" s="715" t="s">
        <v>316</v>
      </c>
      <c r="DV3" s="715" t="s">
        <v>220</v>
      </c>
      <c r="DW3" s="715" t="s">
        <v>314</v>
      </c>
      <c r="DX3" s="715" t="s">
        <v>315</v>
      </c>
      <c r="DY3" s="715" t="s">
        <v>316</v>
      </c>
      <c r="DZ3" s="715" t="s">
        <v>220</v>
      </c>
    </row>
    <row r="4" spans="1:130" ht="15" customHeight="1" x14ac:dyDescent="0.25">
      <c r="A4" s="1818" t="s">
        <v>317</v>
      </c>
      <c r="B4" s="687" t="s">
        <v>318</v>
      </c>
      <c r="C4" s="682">
        <v>302907</v>
      </c>
      <c r="D4" s="707"/>
      <c r="E4" s="707">
        <v>303466</v>
      </c>
      <c r="F4" s="708">
        <f>E4-C4-D4</f>
        <v>559</v>
      </c>
      <c r="G4" s="707">
        <f t="shared" ref="G4:G20" si="0">+E4</f>
        <v>303466</v>
      </c>
      <c r="H4" s="707"/>
      <c r="I4" s="707">
        <v>303900</v>
      </c>
      <c r="J4" s="708">
        <f>I4-G4-H4</f>
        <v>434</v>
      </c>
      <c r="K4" s="707">
        <f>+I4</f>
        <v>303900</v>
      </c>
      <c r="L4" s="707">
        <v>10</v>
      </c>
      <c r="M4" s="707">
        <v>304347</v>
      </c>
      <c r="N4" s="708">
        <f>M4-K4-L4</f>
        <v>437</v>
      </c>
      <c r="O4" s="707">
        <f>+M4</f>
        <v>304347</v>
      </c>
      <c r="P4" s="707"/>
      <c r="Q4" s="707">
        <v>304717</v>
      </c>
      <c r="R4" s="708">
        <f>Q4-O4-P4</f>
        <v>370</v>
      </c>
      <c r="S4" s="707">
        <f>+Q4</f>
        <v>304717</v>
      </c>
      <c r="T4" s="707"/>
      <c r="U4" s="707">
        <v>305104</v>
      </c>
      <c r="V4" s="708">
        <f>U4-S4-T4</f>
        <v>387</v>
      </c>
      <c r="W4" s="707">
        <f>+U4</f>
        <v>305104</v>
      </c>
      <c r="X4" s="707"/>
      <c r="Y4" s="707">
        <v>305722</v>
      </c>
      <c r="Z4" s="708">
        <f>Y4-W4-X4</f>
        <v>618</v>
      </c>
      <c r="AA4" s="707">
        <f>+Y4</f>
        <v>305722</v>
      </c>
      <c r="AB4" s="707"/>
      <c r="AC4" s="707">
        <v>306663</v>
      </c>
      <c r="AD4" s="708">
        <f>AC4-AA4-AB4</f>
        <v>941</v>
      </c>
      <c r="AE4" s="707">
        <f>+AC4</f>
        <v>306663</v>
      </c>
      <c r="AF4" s="707"/>
      <c r="AG4" s="707">
        <v>306886</v>
      </c>
      <c r="AH4" s="707">
        <f>AG4-AE4-AF4</f>
        <v>223</v>
      </c>
      <c r="AI4" s="707">
        <f>+AG4</f>
        <v>306886</v>
      </c>
      <c r="AJ4" s="707"/>
      <c r="AK4" s="707"/>
      <c r="AL4" s="708"/>
      <c r="AM4" s="707">
        <f>+AK4</f>
        <v>0</v>
      </c>
      <c r="AN4" s="707"/>
      <c r="AO4" s="707"/>
      <c r="AP4" s="708">
        <f>AO4-AM4-AN4</f>
        <v>0</v>
      </c>
      <c r="AQ4" s="707">
        <f>+AO4</f>
        <v>0</v>
      </c>
      <c r="AR4" s="707"/>
      <c r="AS4" s="707"/>
      <c r="AT4" s="708">
        <f>AS4-AQ4-AR4</f>
        <v>0</v>
      </c>
      <c r="AU4" s="707">
        <f>+AS4</f>
        <v>0</v>
      </c>
      <c r="AV4" s="707"/>
      <c r="AW4" s="709"/>
      <c r="AX4" s="708">
        <f>AW4-AU4-AV4</f>
        <v>0</v>
      </c>
      <c r="AY4" s="707">
        <f>+AW4</f>
        <v>0</v>
      </c>
      <c r="AZ4" s="707"/>
      <c r="BA4" s="707"/>
      <c r="BB4" s="708">
        <f>BA4-AY4-AZ4</f>
        <v>0</v>
      </c>
      <c r="BC4" s="707">
        <f>+BA4</f>
        <v>0</v>
      </c>
      <c r="BD4" s="707"/>
      <c r="BE4" s="707"/>
      <c r="BF4" s="708">
        <f>BE4-BC4-BD4</f>
        <v>0</v>
      </c>
      <c r="BG4" s="707">
        <f>+BE4</f>
        <v>0</v>
      </c>
      <c r="BH4" s="707"/>
      <c r="BI4" s="707"/>
      <c r="BJ4" s="708">
        <f>BI4-BG4-BH4</f>
        <v>0</v>
      </c>
      <c r="BK4" s="707">
        <f>+BI4</f>
        <v>0</v>
      </c>
      <c r="BL4" s="707"/>
      <c r="BM4" s="707"/>
      <c r="BN4" s="708">
        <f>BM4-BK4-BL4</f>
        <v>0</v>
      </c>
      <c r="BO4" s="707">
        <f>BM4</f>
        <v>0</v>
      </c>
      <c r="BP4" s="707"/>
      <c r="BQ4" s="707"/>
      <c r="BR4" s="708">
        <f>BQ4-BO4-BP4</f>
        <v>0</v>
      </c>
      <c r="BS4" s="707">
        <f>+BQ4</f>
        <v>0</v>
      </c>
      <c r="BT4" s="707"/>
      <c r="BU4" s="707"/>
      <c r="BV4" s="708">
        <f>BU4-BS4-BT4</f>
        <v>0</v>
      </c>
      <c r="BW4" s="707">
        <f>+BU4</f>
        <v>0</v>
      </c>
      <c r="BX4" s="707"/>
      <c r="BY4" s="707"/>
      <c r="BZ4" s="708">
        <f>BY4-BW4-BX4</f>
        <v>0</v>
      </c>
      <c r="CA4" s="707">
        <f>BY4</f>
        <v>0</v>
      </c>
      <c r="CB4" s="707"/>
      <c r="CC4" s="707"/>
      <c r="CD4" s="708">
        <f>CC4-CA4-CB4</f>
        <v>0</v>
      </c>
      <c r="CE4" s="707">
        <f>+CC4</f>
        <v>0</v>
      </c>
      <c r="CF4" s="707"/>
      <c r="CG4" s="707"/>
      <c r="CH4" s="708">
        <f>CG4-CE4-CF4</f>
        <v>0</v>
      </c>
      <c r="CI4" s="707">
        <f>+CG4</f>
        <v>0</v>
      </c>
      <c r="CJ4" s="707"/>
      <c r="CK4" s="707"/>
      <c r="CL4" s="708">
        <f>CK4-CI4-CJ4</f>
        <v>0</v>
      </c>
      <c r="CM4" s="707">
        <f>+CK4</f>
        <v>0</v>
      </c>
      <c r="CN4" s="707"/>
      <c r="CO4" s="707"/>
      <c r="CP4" s="708">
        <f>CO4-CM4-CN4</f>
        <v>0</v>
      </c>
      <c r="CQ4" s="707">
        <f>CO4</f>
        <v>0</v>
      </c>
      <c r="CR4" s="707"/>
      <c r="CS4" s="707"/>
      <c r="CT4" s="708">
        <f>CS4-CQ4-CR4</f>
        <v>0</v>
      </c>
      <c r="CU4" s="707">
        <f>+CS4</f>
        <v>0</v>
      </c>
      <c r="CV4" s="707"/>
      <c r="CW4" s="707"/>
      <c r="CX4" s="708">
        <f>CW4-CU4-CV4</f>
        <v>0</v>
      </c>
      <c r="CY4" s="707">
        <f>+CW4</f>
        <v>0</v>
      </c>
      <c r="CZ4" s="707"/>
      <c r="DA4" s="707"/>
      <c r="DB4" s="708">
        <f>DA4-CY4-CZ4</f>
        <v>0</v>
      </c>
      <c r="DC4" s="707">
        <f>+DA4</f>
        <v>0</v>
      </c>
      <c r="DD4" s="707"/>
      <c r="DE4" s="707"/>
      <c r="DF4" s="708">
        <f>DE4-DC4-DD4</f>
        <v>0</v>
      </c>
      <c r="DG4" s="707">
        <f>+DE4</f>
        <v>0</v>
      </c>
      <c r="DH4" s="707"/>
      <c r="DI4" s="707"/>
      <c r="DJ4" s="708">
        <f>DI4-DG4-DH4</f>
        <v>0</v>
      </c>
      <c r="DK4" s="707">
        <f t="shared" ref="DK4:DK19" si="1">DI4</f>
        <v>0</v>
      </c>
      <c r="DL4" s="707"/>
      <c r="DM4" s="707"/>
      <c r="DN4" s="708">
        <f>DM4-DK4-DL4</f>
        <v>0</v>
      </c>
      <c r="DO4" s="707">
        <f t="shared" ref="DO4:DO20" si="2">DM4</f>
        <v>0</v>
      </c>
      <c r="DP4" s="707"/>
      <c r="DQ4" s="707"/>
      <c r="DR4" s="708">
        <f>DQ4-DO4-DP4</f>
        <v>0</v>
      </c>
      <c r="DS4" s="707">
        <f>DQ4</f>
        <v>0</v>
      </c>
      <c r="DT4" s="707"/>
      <c r="DU4" s="707"/>
      <c r="DV4" s="708">
        <f>DU4-DS4-DT4</f>
        <v>0</v>
      </c>
      <c r="DW4" s="707">
        <v>274714</v>
      </c>
      <c r="DX4" s="707">
        <f t="shared" ref="DX4:DX20" si="3">DT4+DP4+DL4+DH4+DD4+CZ4+CV4+CR4+CN4+CJ4+CF4+CB4+BX4+BT4+BP4+BL4+BH4+BD4+AZ4+AV4+AR4+AN4+AJ4+AF4+AB4+X4+T4+P4+L4+H4+D4</f>
        <v>10</v>
      </c>
      <c r="DY4" s="707">
        <f>DU4</f>
        <v>0</v>
      </c>
      <c r="DZ4" s="708">
        <f>DY4-DW4-DX4</f>
        <v>-274724</v>
      </c>
    </row>
    <row r="5" spans="1:130" x14ac:dyDescent="0.25">
      <c r="A5" s="1819"/>
      <c r="B5" s="685" t="s">
        <v>319</v>
      </c>
      <c r="C5" s="707">
        <v>693299</v>
      </c>
      <c r="D5" s="707"/>
      <c r="E5" s="707">
        <v>694580</v>
      </c>
      <c r="F5" s="710">
        <f t="shared" ref="F5:F20" si="4">E5-C5-D5</f>
        <v>1281</v>
      </c>
      <c r="G5" s="707">
        <f t="shared" si="0"/>
        <v>694580</v>
      </c>
      <c r="H5" s="707"/>
      <c r="I5" s="707">
        <v>695914</v>
      </c>
      <c r="J5" s="710">
        <f t="shared" ref="J5:J20" si="5">I5-G5-H5</f>
        <v>1334</v>
      </c>
      <c r="K5" s="707">
        <f t="shared" ref="K5:K20" si="6">+I5</f>
        <v>695914</v>
      </c>
      <c r="L5" s="707">
        <v>10</v>
      </c>
      <c r="M5" s="707">
        <v>697130</v>
      </c>
      <c r="N5" s="710">
        <f t="shared" ref="N5:N20" si="7">M5-K5-L5</f>
        <v>1206</v>
      </c>
      <c r="O5" s="707">
        <f t="shared" ref="O5:O20" si="8">+M5</f>
        <v>697130</v>
      </c>
      <c r="P5" s="707"/>
      <c r="Q5" s="707">
        <v>698082</v>
      </c>
      <c r="R5" s="710">
        <f t="shared" ref="R5:R20" si="9">Q5-O5-P5</f>
        <v>952</v>
      </c>
      <c r="S5" s="707">
        <f t="shared" ref="S5:S20" si="10">+Q5</f>
        <v>698082</v>
      </c>
      <c r="T5" s="707"/>
      <c r="U5" s="707">
        <v>699407</v>
      </c>
      <c r="V5" s="710">
        <f t="shared" ref="V5:V20" si="11">U5-S5-T5</f>
        <v>1325</v>
      </c>
      <c r="W5" s="707">
        <f t="shared" ref="W5:W20" si="12">+U5</f>
        <v>699407</v>
      </c>
      <c r="X5" s="707"/>
      <c r="Y5" s="707">
        <v>701335</v>
      </c>
      <c r="Z5" s="710">
        <f t="shared" ref="Z5:Z20" si="13">Y5-W5-X5</f>
        <v>1928</v>
      </c>
      <c r="AA5" s="707">
        <f t="shared" ref="AA5:AA20" si="14">+Y5</f>
        <v>701335</v>
      </c>
      <c r="AB5" s="707"/>
      <c r="AC5" s="707">
        <v>703434</v>
      </c>
      <c r="AD5" s="710">
        <f t="shared" ref="AD5:AD20" si="15">AC5-AA5-AB5</f>
        <v>2099</v>
      </c>
      <c r="AE5" s="707">
        <f t="shared" ref="AE5:AE20" si="16">+AC5</f>
        <v>703434</v>
      </c>
      <c r="AF5" s="707"/>
      <c r="AG5" s="707">
        <v>704513</v>
      </c>
      <c r="AH5" s="707">
        <f t="shared" ref="AH5:AH18" si="17">AG5-AE5-AF5</f>
        <v>1079</v>
      </c>
      <c r="AI5" s="707">
        <f t="shared" ref="AI5:AI20" si="18">+AG5</f>
        <v>704513</v>
      </c>
      <c r="AJ5" s="707"/>
      <c r="AK5" s="707"/>
      <c r="AL5" s="710"/>
      <c r="AM5" s="707">
        <f t="shared" ref="AM5:AM20" si="19">+AK5</f>
        <v>0</v>
      </c>
      <c r="AN5" s="707"/>
      <c r="AO5" s="707"/>
      <c r="AP5" s="710">
        <f t="shared" ref="AP5:AP20" si="20">AO5-AM5-AN5</f>
        <v>0</v>
      </c>
      <c r="AQ5" s="707">
        <f t="shared" ref="AQ5:AQ20" si="21">+AO5</f>
        <v>0</v>
      </c>
      <c r="AR5" s="707"/>
      <c r="AS5" s="707"/>
      <c r="AT5" s="710">
        <f t="shared" ref="AT5:AT20" si="22">AS5-AQ5-AR5</f>
        <v>0</v>
      </c>
      <c r="AU5" s="707">
        <f t="shared" ref="AU5:AU20" si="23">+AS5</f>
        <v>0</v>
      </c>
      <c r="AV5" s="707"/>
      <c r="AW5" s="709"/>
      <c r="AX5" s="710">
        <f t="shared" ref="AX5:AX20" si="24">AW5-AU5-AV5</f>
        <v>0</v>
      </c>
      <c r="AY5" s="707">
        <f t="shared" ref="AY5:AY20" si="25">+AW5</f>
        <v>0</v>
      </c>
      <c r="AZ5" s="707"/>
      <c r="BA5" s="707"/>
      <c r="BB5" s="710">
        <f t="shared" ref="BB5:BB20" si="26">BA5-AY5-AZ5</f>
        <v>0</v>
      </c>
      <c r="BC5" s="707">
        <f t="shared" ref="BC5:BC20" si="27">+BA5</f>
        <v>0</v>
      </c>
      <c r="BD5" s="707"/>
      <c r="BE5" s="707"/>
      <c r="BF5" s="710">
        <f t="shared" ref="BF5:BF20" si="28">BE5-BC5-BD5</f>
        <v>0</v>
      </c>
      <c r="BG5" s="707">
        <f t="shared" ref="BG5:BG20" si="29">+BE5</f>
        <v>0</v>
      </c>
      <c r="BH5" s="707"/>
      <c r="BI5" s="707"/>
      <c r="BJ5" s="710">
        <f t="shared" ref="BJ5:BJ20" si="30">BI5-BG5-BH5</f>
        <v>0</v>
      </c>
      <c r="BK5" s="707">
        <f t="shared" ref="BK5:BK20" si="31">+BI5</f>
        <v>0</v>
      </c>
      <c r="BL5" s="707"/>
      <c r="BM5" s="707"/>
      <c r="BN5" s="710">
        <f t="shared" ref="BN5:BN20" si="32">BM5-BK5-BL5</f>
        <v>0</v>
      </c>
      <c r="BO5" s="707">
        <f t="shared" ref="BO5:BO20" si="33">BM5</f>
        <v>0</v>
      </c>
      <c r="BP5" s="707"/>
      <c r="BQ5" s="707"/>
      <c r="BR5" s="710">
        <f t="shared" ref="BR5:BR20" si="34">BQ5-BO5-BP5</f>
        <v>0</v>
      </c>
      <c r="BS5" s="707">
        <f t="shared" ref="BS5:BS20" si="35">+BQ5</f>
        <v>0</v>
      </c>
      <c r="BT5" s="707"/>
      <c r="BU5" s="707"/>
      <c r="BV5" s="710">
        <f t="shared" ref="BV5:BV20" si="36">BU5-BS5-BT5</f>
        <v>0</v>
      </c>
      <c r="BW5" s="707">
        <f t="shared" ref="BW5:BW20" si="37">+BU5</f>
        <v>0</v>
      </c>
      <c r="BX5" s="707"/>
      <c r="BY5" s="707"/>
      <c r="BZ5" s="710">
        <f t="shared" ref="BZ5:BZ20" si="38">BY5-BW5-BX5</f>
        <v>0</v>
      </c>
      <c r="CA5" s="707">
        <f t="shared" ref="CA5:CA20" si="39">BY5</f>
        <v>0</v>
      </c>
      <c r="CB5" s="707"/>
      <c r="CC5" s="707"/>
      <c r="CD5" s="710">
        <f t="shared" ref="CD5:CD20" si="40">CC5-CA5-CB5</f>
        <v>0</v>
      </c>
      <c r="CE5" s="707">
        <f t="shared" ref="CE5:CE20" si="41">+CC5</f>
        <v>0</v>
      </c>
      <c r="CF5" s="707"/>
      <c r="CG5" s="707"/>
      <c r="CH5" s="710">
        <f t="shared" ref="CH5:CH20" si="42">CG5-CE5-CF5</f>
        <v>0</v>
      </c>
      <c r="CI5" s="707">
        <f t="shared" ref="CI5:CI20" si="43">+CG5</f>
        <v>0</v>
      </c>
      <c r="CJ5" s="707"/>
      <c r="CK5" s="707"/>
      <c r="CL5" s="710">
        <f t="shared" ref="CL5:CL20" si="44">CK5-CI5-CJ5</f>
        <v>0</v>
      </c>
      <c r="CM5" s="707">
        <f t="shared" ref="CM5:CM20" si="45">+CK5</f>
        <v>0</v>
      </c>
      <c r="CN5" s="707"/>
      <c r="CO5" s="707"/>
      <c r="CP5" s="710">
        <f t="shared" ref="CP5:CP20" si="46">CO5-CM5-CN5</f>
        <v>0</v>
      </c>
      <c r="CQ5" s="707">
        <f t="shared" ref="CQ5:CQ19" si="47">CO5</f>
        <v>0</v>
      </c>
      <c r="CR5" s="707"/>
      <c r="CS5" s="707"/>
      <c r="CT5" s="710">
        <f t="shared" ref="CT5:CT20" si="48">CS5-CQ5-CR5</f>
        <v>0</v>
      </c>
      <c r="CU5" s="707">
        <f t="shared" ref="CU5:CU20" si="49">+CS5</f>
        <v>0</v>
      </c>
      <c r="CV5" s="707"/>
      <c r="CW5" s="707"/>
      <c r="CX5" s="710">
        <f t="shared" ref="CX5:CX20" si="50">CW5-CU5-CV5</f>
        <v>0</v>
      </c>
      <c r="CY5" s="707">
        <f t="shared" ref="CY5:CY20" si="51">+CW5</f>
        <v>0</v>
      </c>
      <c r="CZ5" s="707"/>
      <c r="DA5" s="707"/>
      <c r="DB5" s="710">
        <f t="shared" ref="DB5:DB20" si="52">DA5-CY5-CZ5</f>
        <v>0</v>
      </c>
      <c r="DC5" s="707">
        <f t="shared" ref="DC5:DC20" si="53">+DA5</f>
        <v>0</v>
      </c>
      <c r="DD5" s="707"/>
      <c r="DE5" s="707"/>
      <c r="DF5" s="710">
        <f t="shared" ref="DF5:DF20" si="54">DE5-DC5-DD5</f>
        <v>0</v>
      </c>
      <c r="DG5" s="707">
        <f t="shared" ref="DG5:DG20" si="55">+DE5</f>
        <v>0</v>
      </c>
      <c r="DH5" s="707"/>
      <c r="DI5" s="707"/>
      <c r="DJ5" s="710">
        <f t="shared" ref="DJ5:DJ20" si="56">DI5-DG5-DH5</f>
        <v>0</v>
      </c>
      <c r="DK5" s="707">
        <f t="shared" si="1"/>
        <v>0</v>
      </c>
      <c r="DL5" s="707"/>
      <c r="DM5" s="707"/>
      <c r="DN5" s="710">
        <f t="shared" ref="DN5:DN20" si="57">DM5-DK5-DL5</f>
        <v>0</v>
      </c>
      <c r="DO5" s="707">
        <f t="shared" si="2"/>
        <v>0</v>
      </c>
      <c r="DP5" s="707"/>
      <c r="DQ5" s="707"/>
      <c r="DR5" s="710">
        <f t="shared" ref="DR5:DR20" si="58">DQ5-DO5-DP5</f>
        <v>0</v>
      </c>
      <c r="DS5" s="707">
        <f t="shared" ref="DS5:DS19" si="59">DQ5</f>
        <v>0</v>
      </c>
      <c r="DT5" s="707"/>
      <c r="DU5" s="707"/>
      <c r="DV5" s="710">
        <f t="shared" ref="DV5:DV20" si="60">DU5-DS5-DT5</f>
        <v>0</v>
      </c>
      <c r="DW5" s="707">
        <v>615076</v>
      </c>
      <c r="DX5" s="707">
        <f t="shared" si="3"/>
        <v>10</v>
      </c>
      <c r="DY5" s="707">
        <f t="shared" ref="DY5:DY20" si="61">DU5</f>
        <v>0</v>
      </c>
      <c r="DZ5" s="710">
        <f t="shared" ref="DZ5:DZ20" si="62">DY5-DW5-DX5</f>
        <v>-615086</v>
      </c>
    </row>
    <row r="6" spans="1:130" x14ac:dyDescent="0.25">
      <c r="A6" s="1819"/>
      <c r="B6" s="685" t="s">
        <v>320</v>
      </c>
      <c r="C6" s="707">
        <v>339571</v>
      </c>
      <c r="D6" s="707"/>
      <c r="E6" s="707">
        <v>339772</v>
      </c>
      <c r="F6" s="710">
        <f t="shared" si="4"/>
        <v>201</v>
      </c>
      <c r="G6" s="707">
        <f t="shared" si="0"/>
        <v>339772</v>
      </c>
      <c r="H6" s="707"/>
      <c r="I6" s="707">
        <v>340018</v>
      </c>
      <c r="J6" s="710">
        <f t="shared" si="5"/>
        <v>246</v>
      </c>
      <c r="K6" s="707">
        <f t="shared" si="6"/>
        <v>340018</v>
      </c>
      <c r="L6" s="707">
        <v>10</v>
      </c>
      <c r="M6" s="707">
        <v>340284</v>
      </c>
      <c r="N6" s="710">
        <f t="shared" si="7"/>
        <v>256</v>
      </c>
      <c r="O6" s="707">
        <f t="shared" si="8"/>
        <v>340284</v>
      </c>
      <c r="P6" s="707"/>
      <c r="Q6" s="707">
        <v>340612</v>
      </c>
      <c r="R6" s="710">
        <f t="shared" si="9"/>
        <v>328</v>
      </c>
      <c r="S6" s="707">
        <f t="shared" si="10"/>
        <v>340612</v>
      </c>
      <c r="T6" s="707"/>
      <c r="U6" s="707">
        <v>340871</v>
      </c>
      <c r="V6" s="710">
        <f t="shared" si="11"/>
        <v>259</v>
      </c>
      <c r="W6" s="707">
        <f t="shared" si="12"/>
        <v>340871</v>
      </c>
      <c r="X6" s="707"/>
      <c r="Y6" s="707">
        <v>341586</v>
      </c>
      <c r="Z6" s="710">
        <f t="shared" si="13"/>
        <v>715</v>
      </c>
      <c r="AA6" s="707">
        <f t="shared" si="14"/>
        <v>341586</v>
      </c>
      <c r="AB6" s="707"/>
      <c r="AC6" s="707">
        <v>342248</v>
      </c>
      <c r="AD6" s="710">
        <f t="shared" si="15"/>
        <v>662</v>
      </c>
      <c r="AE6" s="707">
        <f t="shared" si="16"/>
        <v>342248</v>
      </c>
      <c r="AF6" s="707"/>
      <c r="AG6" s="707">
        <v>342537</v>
      </c>
      <c r="AH6" s="707">
        <f t="shared" si="17"/>
        <v>289</v>
      </c>
      <c r="AI6" s="707">
        <f t="shared" si="18"/>
        <v>342537</v>
      </c>
      <c r="AJ6" s="707"/>
      <c r="AK6" s="707"/>
      <c r="AL6" s="710"/>
      <c r="AM6" s="707">
        <f t="shared" si="19"/>
        <v>0</v>
      </c>
      <c r="AN6" s="707"/>
      <c r="AO6" s="707"/>
      <c r="AP6" s="710">
        <f t="shared" si="20"/>
        <v>0</v>
      </c>
      <c r="AQ6" s="707">
        <f t="shared" si="21"/>
        <v>0</v>
      </c>
      <c r="AR6" s="707"/>
      <c r="AS6" s="707"/>
      <c r="AT6" s="710">
        <f t="shared" si="22"/>
        <v>0</v>
      </c>
      <c r="AU6" s="707">
        <f t="shared" si="23"/>
        <v>0</v>
      </c>
      <c r="AV6" s="707"/>
      <c r="AW6" s="709"/>
      <c r="AX6" s="710">
        <f t="shared" si="24"/>
        <v>0</v>
      </c>
      <c r="AY6" s="707">
        <f t="shared" si="25"/>
        <v>0</v>
      </c>
      <c r="AZ6" s="707"/>
      <c r="BA6" s="707"/>
      <c r="BB6" s="710">
        <f t="shared" si="26"/>
        <v>0</v>
      </c>
      <c r="BC6" s="707">
        <f t="shared" si="27"/>
        <v>0</v>
      </c>
      <c r="BD6" s="707"/>
      <c r="BE6" s="707"/>
      <c r="BF6" s="710">
        <f t="shared" si="28"/>
        <v>0</v>
      </c>
      <c r="BG6" s="707">
        <f t="shared" si="29"/>
        <v>0</v>
      </c>
      <c r="BH6" s="707"/>
      <c r="BI6" s="707"/>
      <c r="BJ6" s="710">
        <f t="shared" si="30"/>
        <v>0</v>
      </c>
      <c r="BK6" s="707">
        <f t="shared" si="31"/>
        <v>0</v>
      </c>
      <c r="BL6" s="707"/>
      <c r="BM6" s="707"/>
      <c r="BN6" s="710">
        <f t="shared" si="32"/>
        <v>0</v>
      </c>
      <c r="BO6" s="707">
        <f t="shared" si="33"/>
        <v>0</v>
      </c>
      <c r="BP6" s="707"/>
      <c r="BQ6" s="707"/>
      <c r="BR6" s="710">
        <f t="shared" si="34"/>
        <v>0</v>
      </c>
      <c r="BS6" s="707">
        <f t="shared" si="35"/>
        <v>0</v>
      </c>
      <c r="BT6" s="707"/>
      <c r="BU6" s="707"/>
      <c r="BV6" s="710">
        <f t="shared" si="36"/>
        <v>0</v>
      </c>
      <c r="BW6" s="707">
        <f t="shared" si="37"/>
        <v>0</v>
      </c>
      <c r="BX6" s="707"/>
      <c r="BY6" s="707"/>
      <c r="BZ6" s="710">
        <f t="shared" si="38"/>
        <v>0</v>
      </c>
      <c r="CA6" s="707">
        <f t="shared" si="39"/>
        <v>0</v>
      </c>
      <c r="CB6" s="707"/>
      <c r="CC6" s="707"/>
      <c r="CD6" s="710">
        <f t="shared" si="40"/>
        <v>0</v>
      </c>
      <c r="CE6" s="707">
        <f t="shared" si="41"/>
        <v>0</v>
      </c>
      <c r="CF6" s="707"/>
      <c r="CG6" s="707"/>
      <c r="CH6" s="710">
        <f t="shared" si="42"/>
        <v>0</v>
      </c>
      <c r="CI6" s="707">
        <f t="shared" si="43"/>
        <v>0</v>
      </c>
      <c r="CJ6" s="707"/>
      <c r="CK6" s="707"/>
      <c r="CL6" s="710">
        <f t="shared" si="44"/>
        <v>0</v>
      </c>
      <c r="CM6" s="707">
        <f t="shared" si="45"/>
        <v>0</v>
      </c>
      <c r="CN6" s="707"/>
      <c r="CO6" s="707"/>
      <c r="CP6" s="710">
        <f t="shared" si="46"/>
        <v>0</v>
      </c>
      <c r="CQ6" s="707">
        <f t="shared" si="47"/>
        <v>0</v>
      </c>
      <c r="CR6" s="707"/>
      <c r="CS6" s="707"/>
      <c r="CT6" s="710">
        <f t="shared" si="48"/>
        <v>0</v>
      </c>
      <c r="CU6" s="707">
        <f t="shared" si="49"/>
        <v>0</v>
      </c>
      <c r="CV6" s="707"/>
      <c r="CW6" s="707"/>
      <c r="CX6" s="710">
        <f t="shared" si="50"/>
        <v>0</v>
      </c>
      <c r="CY6" s="707">
        <f t="shared" si="51"/>
        <v>0</v>
      </c>
      <c r="CZ6" s="707"/>
      <c r="DA6" s="707"/>
      <c r="DB6" s="710">
        <f t="shared" si="52"/>
        <v>0</v>
      </c>
      <c r="DC6" s="707">
        <f t="shared" si="53"/>
        <v>0</v>
      </c>
      <c r="DD6" s="707"/>
      <c r="DE6" s="707"/>
      <c r="DF6" s="710">
        <f t="shared" si="54"/>
        <v>0</v>
      </c>
      <c r="DG6" s="707">
        <f t="shared" si="55"/>
        <v>0</v>
      </c>
      <c r="DH6" s="707"/>
      <c r="DI6" s="707"/>
      <c r="DJ6" s="710">
        <f t="shared" si="56"/>
        <v>0</v>
      </c>
      <c r="DK6" s="707">
        <f t="shared" si="1"/>
        <v>0</v>
      </c>
      <c r="DL6" s="707"/>
      <c r="DM6" s="707"/>
      <c r="DN6" s="710">
        <f t="shared" si="57"/>
        <v>0</v>
      </c>
      <c r="DO6" s="707">
        <f t="shared" si="2"/>
        <v>0</v>
      </c>
      <c r="DP6" s="707"/>
      <c r="DQ6" s="707"/>
      <c r="DR6" s="710">
        <f t="shared" si="58"/>
        <v>0</v>
      </c>
      <c r="DS6" s="707">
        <f t="shared" si="59"/>
        <v>0</v>
      </c>
      <c r="DT6" s="707"/>
      <c r="DU6" s="707"/>
      <c r="DV6" s="710">
        <f t="shared" si="60"/>
        <v>0</v>
      </c>
      <c r="DW6" s="707">
        <v>322877</v>
      </c>
      <c r="DX6" s="707">
        <f t="shared" si="3"/>
        <v>10</v>
      </c>
      <c r="DY6" s="707">
        <f t="shared" si="61"/>
        <v>0</v>
      </c>
      <c r="DZ6" s="710">
        <f t="shared" si="62"/>
        <v>-322887</v>
      </c>
    </row>
    <row r="7" spans="1:130" x14ac:dyDescent="0.25">
      <c r="A7" s="1819"/>
      <c r="B7" s="685" t="s">
        <v>321</v>
      </c>
      <c r="C7" s="707">
        <v>779757</v>
      </c>
      <c r="D7" s="707"/>
      <c r="E7" s="707">
        <v>780523</v>
      </c>
      <c r="F7" s="710">
        <f t="shared" si="4"/>
        <v>766</v>
      </c>
      <c r="G7" s="707">
        <f t="shared" si="0"/>
        <v>780523</v>
      </c>
      <c r="H7" s="707"/>
      <c r="I7" s="707">
        <v>781009</v>
      </c>
      <c r="J7" s="710">
        <f t="shared" si="5"/>
        <v>486</v>
      </c>
      <c r="K7" s="707">
        <f t="shared" si="6"/>
        <v>781009</v>
      </c>
      <c r="L7" s="707">
        <v>10</v>
      </c>
      <c r="M7" s="707">
        <v>781606</v>
      </c>
      <c r="N7" s="710">
        <f t="shared" si="7"/>
        <v>587</v>
      </c>
      <c r="O7" s="707">
        <f t="shared" si="8"/>
        <v>781606</v>
      </c>
      <c r="P7" s="707"/>
      <c r="Q7" s="707">
        <v>782080</v>
      </c>
      <c r="R7" s="710">
        <f t="shared" si="9"/>
        <v>474</v>
      </c>
      <c r="S7" s="707">
        <f t="shared" si="10"/>
        <v>782080</v>
      </c>
      <c r="T7" s="707"/>
      <c r="U7" s="707">
        <v>782830</v>
      </c>
      <c r="V7" s="710">
        <f t="shared" si="11"/>
        <v>750</v>
      </c>
      <c r="W7" s="707">
        <f t="shared" si="12"/>
        <v>782830</v>
      </c>
      <c r="X7" s="707"/>
      <c r="Y7" s="707">
        <v>784273</v>
      </c>
      <c r="Z7" s="710">
        <f t="shared" si="13"/>
        <v>1443</v>
      </c>
      <c r="AA7" s="707">
        <f t="shared" si="14"/>
        <v>784273</v>
      </c>
      <c r="AB7" s="707"/>
      <c r="AC7" s="707">
        <v>785759</v>
      </c>
      <c r="AD7" s="710">
        <f t="shared" si="15"/>
        <v>1486</v>
      </c>
      <c r="AE7" s="707">
        <f t="shared" si="16"/>
        <v>785759</v>
      </c>
      <c r="AF7" s="707"/>
      <c r="AG7" s="707">
        <v>786272</v>
      </c>
      <c r="AH7" s="707">
        <f t="shared" si="17"/>
        <v>513</v>
      </c>
      <c r="AI7" s="707">
        <f t="shared" si="18"/>
        <v>786272</v>
      </c>
      <c r="AJ7" s="707"/>
      <c r="AK7" s="707"/>
      <c r="AL7" s="710"/>
      <c r="AM7" s="707">
        <f t="shared" si="19"/>
        <v>0</v>
      </c>
      <c r="AN7" s="707"/>
      <c r="AO7" s="707"/>
      <c r="AP7" s="710">
        <f t="shared" si="20"/>
        <v>0</v>
      </c>
      <c r="AQ7" s="707">
        <f t="shared" si="21"/>
        <v>0</v>
      </c>
      <c r="AR7" s="707"/>
      <c r="AS7" s="707"/>
      <c r="AT7" s="710">
        <f t="shared" si="22"/>
        <v>0</v>
      </c>
      <c r="AU7" s="707">
        <f t="shared" si="23"/>
        <v>0</v>
      </c>
      <c r="AV7" s="707"/>
      <c r="AW7" s="709"/>
      <c r="AX7" s="710">
        <f t="shared" si="24"/>
        <v>0</v>
      </c>
      <c r="AY7" s="707">
        <f t="shared" si="25"/>
        <v>0</v>
      </c>
      <c r="AZ7" s="707"/>
      <c r="BA7" s="707"/>
      <c r="BB7" s="710">
        <f t="shared" si="26"/>
        <v>0</v>
      </c>
      <c r="BC7" s="707">
        <f t="shared" si="27"/>
        <v>0</v>
      </c>
      <c r="BD7" s="707"/>
      <c r="BE7" s="707"/>
      <c r="BF7" s="710">
        <f t="shared" si="28"/>
        <v>0</v>
      </c>
      <c r="BG7" s="707">
        <f t="shared" si="29"/>
        <v>0</v>
      </c>
      <c r="BH7" s="707"/>
      <c r="BI7" s="707"/>
      <c r="BJ7" s="710">
        <f t="shared" si="30"/>
        <v>0</v>
      </c>
      <c r="BK7" s="707">
        <f t="shared" si="31"/>
        <v>0</v>
      </c>
      <c r="BL7" s="707"/>
      <c r="BM7" s="707"/>
      <c r="BN7" s="710">
        <f t="shared" si="32"/>
        <v>0</v>
      </c>
      <c r="BO7" s="707">
        <f t="shared" si="33"/>
        <v>0</v>
      </c>
      <c r="BP7" s="707"/>
      <c r="BQ7" s="707"/>
      <c r="BR7" s="710">
        <f t="shared" si="34"/>
        <v>0</v>
      </c>
      <c r="BS7" s="707">
        <f t="shared" si="35"/>
        <v>0</v>
      </c>
      <c r="BT7" s="707"/>
      <c r="BU7" s="707"/>
      <c r="BV7" s="710">
        <f t="shared" si="36"/>
        <v>0</v>
      </c>
      <c r="BW7" s="707">
        <f t="shared" si="37"/>
        <v>0</v>
      </c>
      <c r="BX7" s="707"/>
      <c r="BY7" s="707"/>
      <c r="BZ7" s="710">
        <f t="shared" si="38"/>
        <v>0</v>
      </c>
      <c r="CA7" s="707">
        <f t="shared" si="39"/>
        <v>0</v>
      </c>
      <c r="CB7" s="707"/>
      <c r="CC7" s="707"/>
      <c r="CD7" s="710">
        <f t="shared" si="40"/>
        <v>0</v>
      </c>
      <c r="CE7" s="707">
        <f t="shared" si="41"/>
        <v>0</v>
      </c>
      <c r="CF7" s="707"/>
      <c r="CG7" s="707"/>
      <c r="CH7" s="710">
        <f t="shared" si="42"/>
        <v>0</v>
      </c>
      <c r="CI7" s="707">
        <f t="shared" si="43"/>
        <v>0</v>
      </c>
      <c r="CJ7" s="707"/>
      <c r="CK7" s="707"/>
      <c r="CL7" s="710">
        <f t="shared" si="44"/>
        <v>0</v>
      </c>
      <c r="CM7" s="707">
        <f t="shared" si="45"/>
        <v>0</v>
      </c>
      <c r="CN7" s="707"/>
      <c r="CO7" s="707"/>
      <c r="CP7" s="710">
        <f t="shared" si="46"/>
        <v>0</v>
      </c>
      <c r="CQ7" s="707">
        <f t="shared" si="47"/>
        <v>0</v>
      </c>
      <c r="CR7" s="707"/>
      <c r="CS7" s="707"/>
      <c r="CT7" s="710">
        <f t="shared" si="48"/>
        <v>0</v>
      </c>
      <c r="CU7" s="707">
        <f t="shared" si="49"/>
        <v>0</v>
      </c>
      <c r="CV7" s="707"/>
      <c r="CW7" s="707"/>
      <c r="CX7" s="710">
        <f t="shared" si="50"/>
        <v>0</v>
      </c>
      <c r="CY7" s="707">
        <f t="shared" si="51"/>
        <v>0</v>
      </c>
      <c r="CZ7" s="707"/>
      <c r="DA7" s="707"/>
      <c r="DB7" s="710">
        <f t="shared" si="52"/>
        <v>0</v>
      </c>
      <c r="DC7" s="707">
        <f t="shared" si="53"/>
        <v>0</v>
      </c>
      <c r="DD7" s="707"/>
      <c r="DE7" s="707"/>
      <c r="DF7" s="710">
        <f t="shared" si="54"/>
        <v>0</v>
      </c>
      <c r="DG7" s="707">
        <f t="shared" si="55"/>
        <v>0</v>
      </c>
      <c r="DH7" s="707"/>
      <c r="DI7" s="707"/>
      <c r="DJ7" s="710">
        <f t="shared" si="56"/>
        <v>0</v>
      </c>
      <c r="DK7" s="707">
        <f t="shared" si="1"/>
        <v>0</v>
      </c>
      <c r="DL7" s="707"/>
      <c r="DM7" s="707"/>
      <c r="DN7" s="710">
        <f t="shared" si="57"/>
        <v>0</v>
      </c>
      <c r="DO7" s="707">
        <f t="shared" si="2"/>
        <v>0</v>
      </c>
      <c r="DP7" s="707"/>
      <c r="DQ7" s="707"/>
      <c r="DR7" s="710">
        <f t="shared" si="58"/>
        <v>0</v>
      </c>
      <c r="DS7" s="707">
        <f t="shared" si="59"/>
        <v>0</v>
      </c>
      <c r="DT7" s="707"/>
      <c r="DU7" s="707"/>
      <c r="DV7" s="710">
        <f t="shared" si="60"/>
        <v>0</v>
      </c>
      <c r="DW7" s="707">
        <v>740850</v>
      </c>
      <c r="DX7" s="707">
        <f t="shared" si="3"/>
        <v>10</v>
      </c>
      <c r="DY7" s="707">
        <f t="shared" si="61"/>
        <v>0</v>
      </c>
      <c r="DZ7" s="710">
        <f t="shared" si="62"/>
        <v>-740860</v>
      </c>
    </row>
    <row r="8" spans="1:130" x14ac:dyDescent="0.25">
      <c r="A8" s="1819"/>
      <c r="B8" s="685" t="s">
        <v>322</v>
      </c>
      <c r="C8" s="707"/>
      <c r="D8" s="707"/>
      <c r="E8" s="707"/>
      <c r="F8" s="710">
        <f t="shared" si="4"/>
        <v>0</v>
      </c>
      <c r="G8" s="707">
        <f t="shared" si="0"/>
        <v>0</v>
      </c>
      <c r="H8" s="707"/>
      <c r="I8" s="707"/>
      <c r="J8" s="710">
        <f t="shared" si="5"/>
        <v>0</v>
      </c>
      <c r="K8" s="707">
        <f t="shared" si="6"/>
        <v>0</v>
      </c>
      <c r="L8" s="707"/>
      <c r="M8" s="707"/>
      <c r="N8" s="710">
        <f t="shared" si="7"/>
        <v>0</v>
      </c>
      <c r="O8" s="707">
        <f t="shared" si="8"/>
        <v>0</v>
      </c>
      <c r="P8" s="707"/>
      <c r="Q8" s="707"/>
      <c r="R8" s="710">
        <f t="shared" si="9"/>
        <v>0</v>
      </c>
      <c r="S8" s="707">
        <f t="shared" si="10"/>
        <v>0</v>
      </c>
      <c r="T8" s="707"/>
      <c r="U8" s="707"/>
      <c r="V8" s="710">
        <f t="shared" si="11"/>
        <v>0</v>
      </c>
      <c r="W8" s="707">
        <f t="shared" si="12"/>
        <v>0</v>
      </c>
      <c r="X8" s="707"/>
      <c r="Y8" s="707"/>
      <c r="Z8" s="710">
        <f t="shared" si="13"/>
        <v>0</v>
      </c>
      <c r="AA8" s="707">
        <f t="shared" si="14"/>
        <v>0</v>
      </c>
      <c r="AB8" s="707"/>
      <c r="AC8" s="707"/>
      <c r="AD8" s="710">
        <f t="shared" si="15"/>
        <v>0</v>
      </c>
      <c r="AE8" s="707">
        <f t="shared" si="16"/>
        <v>0</v>
      </c>
      <c r="AF8" s="707"/>
      <c r="AG8" s="707"/>
      <c r="AH8" s="707">
        <f t="shared" si="17"/>
        <v>0</v>
      </c>
      <c r="AI8" s="707">
        <f t="shared" si="18"/>
        <v>0</v>
      </c>
      <c r="AJ8" s="707"/>
      <c r="AK8" s="707"/>
      <c r="AL8" s="710"/>
      <c r="AM8" s="707">
        <f t="shared" si="19"/>
        <v>0</v>
      </c>
      <c r="AN8" s="707"/>
      <c r="AO8" s="707"/>
      <c r="AP8" s="710">
        <f t="shared" si="20"/>
        <v>0</v>
      </c>
      <c r="AQ8" s="707">
        <f t="shared" si="21"/>
        <v>0</v>
      </c>
      <c r="AR8" s="707"/>
      <c r="AS8" s="707"/>
      <c r="AT8" s="710">
        <f t="shared" si="22"/>
        <v>0</v>
      </c>
      <c r="AU8" s="707">
        <f t="shared" si="23"/>
        <v>0</v>
      </c>
      <c r="AV8" s="707"/>
      <c r="AW8" s="709"/>
      <c r="AX8" s="710">
        <f t="shared" si="24"/>
        <v>0</v>
      </c>
      <c r="AY8" s="707">
        <f t="shared" si="25"/>
        <v>0</v>
      </c>
      <c r="AZ8" s="707"/>
      <c r="BA8" s="707"/>
      <c r="BB8" s="710">
        <f t="shared" si="26"/>
        <v>0</v>
      </c>
      <c r="BC8" s="707">
        <f t="shared" si="27"/>
        <v>0</v>
      </c>
      <c r="BD8" s="707"/>
      <c r="BE8" s="707"/>
      <c r="BF8" s="710">
        <f t="shared" si="28"/>
        <v>0</v>
      </c>
      <c r="BG8" s="707">
        <f t="shared" si="29"/>
        <v>0</v>
      </c>
      <c r="BH8" s="707"/>
      <c r="BI8" s="707"/>
      <c r="BJ8" s="710">
        <f t="shared" si="30"/>
        <v>0</v>
      </c>
      <c r="BK8" s="707">
        <f t="shared" si="31"/>
        <v>0</v>
      </c>
      <c r="BL8" s="707"/>
      <c r="BM8" s="707"/>
      <c r="BN8" s="710">
        <f t="shared" si="32"/>
        <v>0</v>
      </c>
      <c r="BO8" s="707">
        <f t="shared" si="33"/>
        <v>0</v>
      </c>
      <c r="BP8" s="707"/>
      <c r="BQ8" s="707"/>
      <c r="BR8" s="710">
        <f t="shared" si="34"/>
        <v>0</v>
      </c>
      <c r="BS8" s="707">
        <f t="shared" si="35"/>
        <v>0</v>
      </c>
      <c r="BT8" s="707"/>
      <c r="BU8" s="707"/>
      <c r="BV8" s="710">
        <f t="shared" si="36"/>
        <v>0</v>
      </c>
      <c r="BW8" s="707">
        <f t="shared" si="37"/>
        <v>0</v>
      </c>
      <c r="BX8" s="707"/>
      <c r="BY8" s="707"/>
      <c r="BZ8" s="710">
        <f t="shared" si="38"/>
        <v>0</v>
      </c>
      <c r="CA8" s="707">
        <f t="shared" si="39"/>
        <v>0</v>
      </c>
      <c r="CB8" s="707"/>
      <c r="CC8" s="707"/>
      <c r="CD8" s="710">
        <f t="shared" si="40"/>
        <v>0</v>
      </c>
      <c r="CE8" s="707">
        <f t="shared" si="41"/>
        <v>0</v>
      </c>
      <c r="CF8" s="707"/>
      <c r="CG8" s="707"/>
      <c r="CH8" s="710">
        <f t="shared" si="42"/>
        <v>0</v>
      </c>
      <c r="CI8" s="707">
        <f t="shared" si="43"/>
        <v>0</v>
      </c>
      <c r="CJ8" s="707"/>
      <c r="CK8" s="707"/>
      <c r="CL8" s="710">
        <f t="shared" si="44"/>
        <v>0</v>
      </c>
      <c r="CM8" s="707">
        <f t="shared" si="45"/>
        <v>0</v>
      </c>
      <c r="CN8" s="707"/>
      <c r="CO8" s="707"/>
      <c r="CP8" s="710">
        <f t="shared" si="46"/>
        <v>0</v>
      </c>
      <c r="CQ8" s="707">
        <f t="shared" si="47"/>
        <v>0</v>
      </c>
      <c r="CR8" s="707"/>
      <c r="CS8" s="707"/>
      <c r="CT8" s="710">
        <f t="shared" si="48"/>
        <v>0</v>
      </c>
      <c r="CU8" s="707">
        <f t="shared" si="49"/>
        <v>0</v>
      </c>
      <c r="CV8" s="707"/>
      <c r="CW8" s="707"/>
      <c r="CX8" s="710">
        <f t="shared" si="50"/>
        <v>0</v>
      </c>
      <c r="CY8" s="707">
        <f t="shared" si="51"/>
        <v>0</v>
      </c>
      <c r="CZ8" s="707"/>
      <c r="DA8" s="707"/>
      <c r="DB8" s="710">
        <f t="shared" si="52"/>
        <v>0</v>
      </c>
      <c r="DC8" s="707">
        <f t="shared" si="53"/>
        <v>0</v>
      </c>
      <c r="DD8" s="707"/>
      <c r="DE8" s="707"/>
      <c r="DF8" s="710">
        <f t="shared" si="54"/>
        <v>0</v>
      </c>
      <c r="DG8" s="707">
        <f t="shared" si="55"/>
        <v>0</v>
      </c>
      <c r="DH8" s="707"/>
      <c r="DI8" s="707"/>
      <c r="DJ8" s="710">
        <f t="shared" si="56"/>
        <v>0</v>
      </c>
      <c r="DK8" s="707">
        <f t="shared" si="1"/>
        <v>0</v>
      </c>
      <c r="DL8" s="707"/>
      <c r="DM8" s="707"/>
      <c r="DN8" s="710">
        <f t="shared" si="57"/>
        <v>0</v>
      </c>
      <c r="DO8" s="707">
        <f t="shared" si="2"/>
        <v>0</v>
      </c>
      <c r="DP8" s="707"/>
      <c r="DQ8" s="707"/>
      <c r="DR8" s="710">
        <f t="shared" si="58"/>
        <v>0</v>
      </c>
      <c r="DS8" s="707">
        <f t="shared" si="59"/>
        <v>0</v>
      </c>
      <c r="DT8" s="707"/>
      <c r="DU8" s="707"/>
      <c r="DV8" s="710">
        <f t="shared" si="60"/>
        <v>0</v>
      </c>
      <c r="DW8" s="707"/>
      <c r="DX8" s="707">
        <f t="shared" si="3"/>
        <v>0</v>
      </c>
      <c r="DY8" s="707">
        <f t="shared" si="61"/>
        <v>0</v>
      </c>
      <c r="DZ8" s="710">
        <f t="shared" si="62"/>
        <v>0</v>
      </c>
    </row>
    <row r="9" spans="1:130" x14ac:dyDescent="0.25">
      <c r="A9" s="1819"/>
      <c r="B9" s="685" t="s">
        <v>323</v>
      </c>
      <c r="C9" s="707"/>
      <c r="D9" s="707"/>
      <c r="E9" s="707"/>
      <c r="F9" s="710">
        <f t="shared" si="4"/>
        <v>0</v>
      </c>
      <c r="G9" s="707">
        <f t="shared" si="0"/>
        <v>0</v>
      </c>
      <c r="H9" s="707"/>
      <c r="I9" s="707"/>
      <c r="J9" s="710">
        <f t="shared" si="5"/>
        <v>0</v>
      </c>
      <c r="K9" s="707">
        <f t="shared" si="6"/>
        <v>0</v>
      </c>
      <c r="L9" s="707"/>
      <c r="M9" s="707"/>
      <c r="N9" s="710">
        <f t="shared" si="7"/>
        <v>0</v>
      </c>
      <c r="O9" s="707">
        <f t="shared" si="8"/>
        <v>0</v>
      </c>
      <c r="P9" s="707"/>
      <c r="Q9" s="707"/>
      <c r="R9" s="710">
        <f t="shared" si="9"/>
        <v>0</v>
      </c>
      <c r="S9" s="707">
        <f t="shared" si="10"/>
        <v>0</v>
      </c>
      <c r="T9" s="707"/>
      <c r="U9" s="707"/>
      <c r="V9" s="710">
        <f t="shared" si="11"/>
        <v>0</v>
      </c>
      <c r="W9" s="707">
        <f t="shared" si="12"/>
        <v>0</v>
      </c>
      <c r="X9" s="707"/>
      <c r="Y9" s="707"/>
      <c r="Z9" s="710">
        <f t="shared" si="13"/>
        <v>0</v>
      </c>
      <c r="AA9" s="707">
        <f t="shared" si="14"/>
        <v>0</v>
      </c>
      <c r="AB9" s="707"/>
      <c r="AC9" s="707"/>
      <c r="AD9" s="710">
        <f t="shared" si="15"/>
        <v>0</v>
      </c>
      <c r="AE9" s="707">
        <f t="shared" si="16"/>
        <v>0</v>
      </c>
      <c r="AF9" s="707"/>
      <c r="AG9" s="707"/>
      <c r="AH9" s="707">
        <f t="shared" si="17"/>
        <v>0</v>
      </c>
      <c r="AI9" s="707">
        <f t="shared" si="18"/>
        <v>0</v>
      </c>
      <c r="AJ9" s="707"/>
      <c r="AK9" s="707"/>
      <c r="AL9" s="710"/>
      <c r="AM9" s="707">
        <f t="shared" si="19"/>
        <v>0</v>
      </c>
      <c r="AN9" s="707"/>
      <c r="AO9" s="707"/>
      <c r="AP9" s="710">
        <f t="shared" si="20"/>
        <v>0</v>
      </c>
      <c r="AQ9" s="707">
        <f t="shared" si="21"/>
        <v>0</v>
      </c>
      <c r="AR9" s="707"/>
      <c r="AS9" s="707"/>
      <c r="AT9" s="710">
        <f t="shared" si="22"/>
        <v>0</v>
      </c>
      <c r="AU9" s="707">
        <f t="shared" si="23"/>
        <v>0</v>
      </c>
      <c r="AV9" s="707"/>
      <c r="AW9" s="709"/>
      <c r="AX9" s="710">
        <f t="shared" si="24"/>
        <v>0</v>
      </c>
      <c r="AY9" s="707">
        <f t="shared" si="25"/>
        <v>0</v>
      </c>
      <c r="AZ9" s="707"/>
      <c r="BA9" s="707"/>
      <c r="BB9" s="710">
        <f t="shared" si="26"/>
        <v>0</v>
      </c>
      <c r="BC9" s="707">
        <f t="shared" si="27"/>
        <v>0</v>
      </c>
      <c r="BD9" s="707"/>
      <c r="BE9" s="707"/>
      <c r="BF9" s="710">
        <f t="shared" si="28"/>
        <v>0</v>
      </c>
      <c r="BG9" s="707">
        <f t="shared" si="29"/>
        <v>0</v>
      </c>
      <c r="BH9" s="707"/>
      <c r="BI9" s="707"/>
      <c r="BJ9" s="710">
        <f t="shared" si="30"/>
        <v>0</v>
      </c>
      <c r="BK9" s="707">
        <f t="shared" si="31"/>
        <v>0</v>
      </c>
      <c r="BL9" s="707"/>
      <c r="BM9" s="707"/>
      <c r="BN9" s="710">
        <f t="shared" si="32"/>
        <v>0</v>
      </c>
      <c r="BO9" s="707">
        <f t="shared" si="33"/>
        <v>0</v>
      </c>
      <c r="BP9" s="707"/>
      <c r="BQ9" s="707"/>
      <c r="BR9" s="710">
        <f t="shared" si="34"/>
        <v>0</v>
      </c>
      <c r="BS9" s="707">
        <f t="shared" si="35"/>
        <v>0</v>
      </c>
      <c r="BT9" s="707"/>
      <c r="BU9" s="707"/>
      <c r="BV9" s="710">
        <f t="shared" si="36"/>
        <v>0</v>
      </c>
      <c r="BW9" s="707">
        <f t="shared" si="37"/>
        <v>0</v>
      </c>
      <c r="BX9" s="707"/>
      <c r="BY9" s="707"/>
      <c r="BZ9" s="710">
        <f t="shared" si="38"/>
        <v>0</v>
      </c>
      <c r="CA9" s="707">
        <f t="shared" si="39"/>
        <v>0</v>
      </c>
      <c r="CB9" s="707"/>
      <c r="CC9" s="707"/>
      <c r="CD9" s="710">
        <f t="shared" si="40"/>
        <v>0</v>
      </c>
      <c r="CE9" s="707">
        <f t="shared" si="41"/>
        <v>0</v>
      </c>
      <c r="CF9" s="707"/>
      <c r="CG9" s="707"/>
      <c r="CH9" s="710">
        <f t="shared" si="42"/>
        <v>0</v>
      </c>
      <c r="CI9" s="707">
        <f t="shared" si="43"/>
        <v>0</v>
      </c>
      <c r="CJ9" s="707"/>
      <c r="CK9" s="707"/>
      <c r="CL9" s="710">
        <f t="shared" si="44"/>
        <v>0</v>
      </c>
      <c r="CM9" s="707">
        <f t="shared" si="45"/>
        <v>0</v>
      </c>
      <c r="CN9" s="707"/>
      <c r="CO9" s="707"/>
      <c r="CP9" s="710">
        <f t="shared" si="46"/>
        <v>0</v>
      </c>
      <c r="CQ9" s="707">
        <f t="shared" si="47"/>
        <v>0</v>
      </c>
      <c r="CR9" s="707"/>
      <c r="CS9" s="707"/>
      <c r="CT9" s="710">
        <f t="shared" si="48"/>
        <v>0</v>
      </c>
      <c r="CU9" s="707">
        <f t="shared" si="49"/>
        <v>0</v>
      </c>
      <c r="CV9" s="707"/>
      <c r="CW9" s="707"/>
      <c r="CX9" s="710">
        <f t="shared" si="50"/>
        <v>0</v>
      </c>
      <c r="CY9" s="707">
        <f t="shared" si="51"/>
        <v>0</v>
      </c>
      <c r="CZ9" s="707"/>
      <c r="DA9" s="707"/>
      <c r="DB9" s="710">
        <f t="shared" si="52"/>
        <v>0</v>
      </c>
      <c r="DC9" s="707">
        <f t="shared" si="53"/>
        <v>0</v>
      </c>
      <c r="DD9" s="707"/>
      <c r="DE9" s="707"/>
      <c r="DF9" s="710">
        <f t="shared" si="54"/>
        <v>0</v>
      </c>
      <c r="DG9" s="707">
        <f t="shared" si="55"/>
        <v>0</v>
      </c>
      <c r="DH9" s="707"/>
      <c r="DI9" s="707"/>
      <c r="DJ9" s="710">
        <f t="shared" si="56"/>
        <v>0</v>
      </c>
      <c r="DK9" s="707">
        <f t="shared" si="1"/>
        <v>0</v>
      </c>
      <c r="DL9" s="707"/>
      <c r="DM9" s="707"/>
      <c r="DN9" s="710">
        <f t="shared" si="57"/>
        <v>0</v>
      </c>
      <c r="DO9" s="707">
        <f t="shared" si="2"/>
        <v>0</v>
      </c>
      <c r="DP9" s="707"/>
      <c r="DQ9" s="707"/>
      <c r="DR9" s="710">
        <f t="shared" si="58"/>
        <v>0</v>
      </c>
      <c r="DS9" s="707">
        <f t="shared" si="59"/>
        <v>0</v>
      </c>
      <c r="DT9" s="707"/>
      <c r="DU9" s="707"/>
      <c r="DV9" s="710">
        <f t="shared" si="60"/>
        <v>0</v>
      </c>
      <c r="DW9" s="707"/>
      <c r="DX9" s="707">
        <f t="shared" si="3"/>
        <v>0</v>
      </c>
      <c r="DY9" s="707">
        <f t="shared" si="61"/>
        <v>0</v>
      </c>
      <c r="DZ9" s="710">
        <f t="shared" si="62"/>
        <v>0</v>
      </c>
    </row>
    <row r="10" spans="1:130" x14ac:dyDescent="0.25">
      <c r="A10" s="1819"/>
      <c r="B10" s="685" t="s">
        <v>324</v>
      </c>
      <c r="C10" s="707">
        <v>667367</v>
      </c>
      <c r="D10" s="707"/>
      <c r="E10" s="707">
        <v>668439</v>
      </c>
      <c r="F10" s="710">
        <f t="shared" si="4"/>
        <v>1072</v>
      </c>
      <c r="G10" s="707">
        <f t="shared" si="0"/>
        <v>668439</v>
      </c>
      <c r="H10" s="707"/>
      <c r="I10" s="707">
        <v>669670</v>
      </c>
      <c r="J10" s="710">
        <f t="shared" si="5"/>
        <v>1231</v>
      </c>
      <c r="K10" s="707">
        <f t="shared" si="6"/>
        <v>669670</v>
      </c>
      <c r="L10" s="707">
        <v>10</v>
      </c>
      <c r="M10" s="707">
        <v>671237</v>
      </c>
      <c r="N10" s="710">
        <f t="shared" si="7"/>
        <v>1557</v>
      </c>
      <c r="O10" s="707">
        <f t="shared" si="8"/>
        <v>671237</v>
      </c>
      <c r="P10" s="707"/>
      <c r="Q10" s="707">
        <v>672365</v>
      </c>
      <c r="R10" s="710">
        <f t="shared" si="9"/>
        <v>1128</v>
      </c>
      <c r="S10" s="707">
        <f t="shared" si="10"/>
        <v>672365</v>
      </c>
      <c r="T10" s="707"/>
      <c r="U10" s="707">
        <v>674130</v>
      </c>
      <c r="V10" s="710">
        <f t="shared" si="11"/>
        <v>1765</v>
      </c>
      <c r="W10" s="707">
        <f t="shared" si="12"/>
        <v>674130</v>
      </c>
      <c r="X10" s="707"/>
      <c r="Y10" s="707">
        <v>675484</v>
      </c>
      <c r="Z10" s="710">
        <f t="shared" si="13"/>
        <v>1354</v>
      </c>
      <c r="AA10" s="707">
        <f t="shared" si="14"/>
        <v>675484</v>
      </c>
      <c r="AB10" s="707"/>
      <c r="AC10" s="707">
        <v>676657</v>
      </c>
      <c r="AD10" s="710">
        <f t="shared" si="15"/>
        <v>1173</v>
      </c>
      <c r="AE10" s="707">
        <f t="shared" si="16"/>
        <v>676657</v>
      </c>
      <c r="AF10" s="707"/>
      <c r="AG10" s="707">
        <v>678203</v>
      </c>
      <c r="AH10" s="707">
        <f t="shared" si="17"/>
        <v>1546</v>
      </c>
      <c r="AI10" s="707">
        <f t="shared" si="18"/>
        <v>678203</v>
      </c>
      <c r="AJ10" s="707"/>
      <c r="AK10" s="707"/>
      <c r="AL10" s="710"/>
      <c r="AM10" s="707">
        <f t="shared" si="19"/>
        <v>0</v>
      </c>
      <c r="AN10" s="707"/>
      <c r="AO10" s="707"/>
      <c r="AP10" s="710">
        <f t="shared" si="20"/>
        <v>0</v>
      </c>
      <c r="AQ10" s="707">
        <f t="shared" si="21"/>
        <v>0</v>
      </c>
      <c r="AR10" s="707"/>
      <c r="AS10" s="707"/>
      <c r="AT10" s="710">
        <f t="shared" si="22"/>
        <v>0</v>
      </c>
      <c r="AU10" s="707">
        <f t="shared" si="23"/>
        <v>0</v>
      </c>
      <c r="AV10" s="707"/>
      <c r="AW10" s="709"/>
      <c r="AX10" s="710">
        <f t="shared" si="24"/>
        <v>0</v>
      </c>
      <c r="AY10" s="707">
        <f t="shared" si="25"/>
        <v>0</v>
      </c>
      <c r="AZ10" s="707"/>
      <c r="BA10" s="707"/>
      <c r="BB10" s="710">
        <f t="shared" si="26"/>
        <v>0</v>
      </c>
      <c r="BC10" s="707">
        <f t="shared" si="27"/>
        <v>0</v>
      </c>
      <c r="BD10" s="707"/>
      <c r="BE10" s="707"/>
      <c r="BF10" s="710">
        <f t="shared" si="28"/>
        <v>0</v>
      </c>
      <c r="BG10" s="707">
        <f t="shared" si="29"/>
        <v>0</v>
      </c>
      <c r="BH10" s="707"/>
      <c r="BI10" s="707"/>
      <c r="BJ10" s="710">
        <f t="shared" si="30"/>
        <v>0</v>
      </c>
      <c r="BK10" s="707">
        <f t="shared" si="31"/>
        <v>0</v>
      </c>
      <c r="BL10" s="707"/>
      <c r="BM10" s="707"/>
      <c r="BN10" s="711">
        <f t="shared" si="32"/>
        <v>0</v>
      </c>
      <c r="BO10" s="707">
        <f t="shared" si="33"/>
        <v>0</v>
      </c>
      <c r="BP10" s="707"/>
      <c r="BQ10" s="707"/>
      <c r="BR10" s="710">
        <f t="shared" si="34"/>
        <v>0</v>
      </c>
      <c r="BS10" s="707">
        <f t="shared" si="35"/>
        <v>0</v>
      </c>
      <c r="BT10" s="707"/>
      <c r="BU10" s="707"/>
      <c r="BV10" s="710">
        <f t="shared" si="36"/>
        <v>0</v>
      </c>
      <c r="BW10" s="707">
        <f t="shared" si="37"/>
        <v>0</v>
      </c>
      <c r="BX10" s="707"/>
      <c r="BY10" s="707"/>
      <c r="BZ10" s="710">
        <f t="shared" si="38"/>
        <v>0</v>
      </c>
      <c r="CA10" s="707">
        <f t="shared" si="39"/>
        <v>0</v>
      </c>
      <c r="CB10" s="707"/>
      <c r="CC10" s="707"/>
      <c r="CD10" s="710">
        <f t="shared" si="40"/>
        <v>0</v>
      </c>
      <c r="CE10" s="707">
        <f t="shared" si="41"/>
        <v>0</v>
      </c>
      <c r="CF10" s="707"/>
      <c r="CG10" s="707"/>
      <c r="CH10" s="710">
        <f t="shared" si="42"/>
        <v>0</v>
      </c>
      <c r="CI10" s="707">
        <f t="shared" si="43"/>
        <v>0</v>
      </c>
      <c r="CJ10" s="707"/>
      <c r="CK10" s="707"/>
      <c r="CL10" s="710">
        <f t="shared" si="44"/>
        <v>0</v>
      </c>
      <c r="CM10" s="707">
        <f t="shared" si="45"/>
        <v>0</v>
      </c>
      <c r="CN10" s="707"/>
      <c r="CO10" s="707"/>
      <c r="CP10" s="710">
        <f t="shared" si="46"/>
        <v>0</v>
      </c>
      <c r="CQ10" s="707">
        <f t="shared" si="47"/>
        <v>0</v>
      </c>
      <c r="CR10" s="707"/>
      <c r="CS10" s="707"/>
      <c r="CT10" s="710">
        <f t="shared" si="48"/>
        <v>0</v>
      </c>
      <c r="CU10" s="707">
        <f t="shared" si="49"/>
        <v>0</v>
      </c>
      <c r="CV10" s="707"/>
      <c r="CW10" s="707"/>
      <c r="CX10" s="710">
        <f t="shared" si="50"/>
        <v>0</v>
      </c>
      <c r="CY10" s="707">
        <f t="shared" si="51"/>
        <v>0</v>
      </c>
      <c r="CZ10" s="707"/>
      <c r="DA10" s="707"/>
      <c r="DB10" s="710">
        <f t="shared" si="52"/>
        <v>0</v>
      </c>
      <c r="DC10" s="707">
        <f t="shared" si="53"/>
        <v>0</v>
      </c>
      <c r="DD10" s="707"/>
      <c r="DE10" s="707"/>
      <c r="DF10" s="710">
        <f t="shared" si="54"/>
        <v>0</v>
      </c>
      <c r="DG10" s="707">
        <f t="shared" si="55"/>
        <v>0</v>
      </c>
      <c r="DH10" s="707"/>
      <c r="DI10" s="707"/>
      <c r="DJ10" s="710">
        <f t="shared" si="56"/>
        <v>0</v>
      </c>
      <c r="DK10" s="707">
        <f t="shared" si="1"/>
        <v>0</v>
      </c>
      <c r="DL10" s="707"/>
      <c r="DM10" s="707"/>
      <c r="DN10" s="710">
        <f t="shared" si="57"/>
        <v>0</v>
      </c>
      <c r="DO10" s="707">
        <f t="shared" si="2"/>
        <v>0</v>
      </c>
      <c r="DP10" s="707"/>
      <c r="DQ10" s="707"/>
      <c r="DR10" s="710">
        <f t="shared" si="58"/>
        <v>0</v>
      </c>
      <c r="DS10" s="707">
        <f t="shared" si="59"/>
        <v>0</v>
      </c>
      <c r="DT10" s="707"/>
      <c r="DU10" s="707"/>
      <c r="DV10" s="710">
        <f t="shared" si="60"/>
        <v>0</v>
      </c>
      <c r="DW10" s="707">
        <v>590900</v>
      </c>
      <c r="DX10" s="707">
        <f t="shared" si="3"/>
        <v>10</v>
      </c>
      <c r="DY10" s="707">
        <f t="shared" si="61"/>
        <v>0</v>
      </c>
      <c r="DZ10" s="710">
        <f t="shared" si="62"/>
        <v>-590910</v>
      </c>
    </row>
    <row r="11" spans="1:130" x14ac:dyDescent="0.25">
      <c r="A11" s="1819"/>
      <c r="B11" s="685" t="s">
        <v>325</v>
      </c>
      <c r="C11" s="707">
        <v>386827</v>
      </c>
      <c r="D11" s="707"/>
      <c r="E11" s="707">
        <v>387369</v>
      </c>
      <c r="F11" s="710">
        <f t="shared" si="4"/>
        <v>542</v>
      </c>
      <c r="G11" s="707">
        <f t="shared" si="0"/>
        <v>387369</v>
      </c>
      <c r="H11" s="707"/>
      <c r="I11" s="707">
        <v>388048</v>
      </c>
      <c r="J11" s="710">
        <f t="shared" si="5"/>
        <v>679</v>
      </c>
      <c r="K11" s="707">
        <f t="shared" si="6"/>
        <v>388048</v>
      </c>
      <c r="L11" s="707">
        <v>10</v>
      </c>
      <c r="M11" s="707">
        <v>388587</v>
      </c>
      <c r="N11" s="710">
        <f t="shared" si="7"/>
        <v>529</v>
      </c>
      <c r="O11" s="707">
        <f t="shared" si="8"/>
        <v>388587</v>
      </c>
      <c r="P11" s="707"/>
      <c r="Q11" s="707">
        <v>389240</v>
      </c>
      <c r="R11" s="710">
        <f t="shared" si="9"/>
        <v>653</v>
      </c>
      <c r="S11" s="707">
        <f t="shared" si="10"/>
        <v>389240</v>
      </c>
      <c r="T11" s="707"/>
      <c r="U11" s="707">
        <v>389705</v>
      </c>
      <c r="V11" s="710">
        <f t="shared" si="11"/>
        <v>465</v>
      </c>
      <c r="W11" s="707">
        <f t="shared" si="12"/>
        <v>389705</v>
      </c>
      <c r="X11" s="707"/>
      <c r="Y11" s="707">
        <v>390468</v>
      </c>
      <c r="Z11" s="710">
        <f t="shared" si="13"/>
        <v>763</v>
      </c>
      <c r="AA11" s="707">
        <f t="shared" si="14"/>
        <v>390468</v>
      </c>
      <c r="AB11" s="707"/>
      <c r="AC11" s="707">
        <v>391260</v>
      </c>
      <c r="AD11" s="710">
        <f t="shared" si="15"/>
        <v>792</v>
      </c>
      <c r="AE11" s="707">
        <f t="shared" si="16"/>
        <v>391260</v>
      </c>
      <c r="AF11" s="707"/>
      <c r="AG11" s="707">
        <v>391984</v>
      </c>
      <c r="AH11" s="707">
        <f t="shared" si="17"/>
        <v>724</v>
      </c>
      <c r="AI11" s="707">
        <f t="shared" si="18"/>
        <v>391984</v>
      </c>
      <c r="AJ11" s="707"/>
      <c r="AK11" s="707"/>
      <c r="AL11" s="710"/>
      <c r="AM11" s="707">
        <f t="shared" si="19"/>
        <v>0</v>
      </c>
      <c r="AN11" s="707"/>
      <c r="AO11" s="707"/>
      <c r="AP11" s="710">
        <f t="shared" si="20"/>
        <v>0</v>
      </c>
      <c r="AQ11" s="707">
        <f t="shared" si="21"/>
        <v>0</v>
      </c>
      <c r="AR11" s="707"/>
      <c r="AS11" s="707"/>
      <c r="AT11" s="710">
        <f t="shared" si="22"/>
        <v>0</v>
      </c>
      <c r="AU11" s="707">
        <f t="shared" si="23"/>
        <v>0</v>
      </c>
      <c r="AV11" s="707"/>
      <c r="AW11" s="707"/>
      <c r="AX11" s="710">
        <f t="shared" si="24"/>
        <v>0</v>
      </c>
      <c r="AY11" s="707">
        <f t="shared" si="25"/>
        <v>0</v>
      </c>
      <c r="AZ11" s="707"/>
      <c r="BA11" s="707"/>
      <c r="BB11" s="710">
        <f t="shared" si="26"/>
        <v>0</v>
      </c>
      <c r="BC11" s="707">
        <f t="shared" si="27"/>
        <v>0</v>
      </c>
      <c r="BD11" s="707"/>
      <c r="BE11" s="707"/>
      <c r="BF11" s="710">
        <f t="shared" si="28"/>
        <v>0</v>
      </c>
      <c r="BG11" s="707">
        <f t="shared" si="29"/>
        <v>0</v>
      </c>
      <c r="BH11" s="707"/>
      <c r="BI11" s="707"/>
      <c r="BJ11" s="710">
        <f t="shared" si="30"/>
        <v>0</v>
      </c>
      <c r="BK11" s="707">
        <f t="shared" si="31"/>
        <v>0</v>
      </c>
      <c r="BL11" s="707"/>
      <c r="BM11" s="707"/>
      <c r="BN11" s="710">
        <f t="shared" si="32"/>
        <v>0</v>
      </c>
      <c r="BO11" s="707">
        <f t="shared" si="33"/>
        <v>0</v>
      </c>
      <c r="BP11" s="707"/>
      <c r="BQ11" s="707"/>
      <c r="BR11" s="710">
        <f t="shared" si="34"/>
        <v>0</v>
      </c>
      <c r="BS11" s="707">
        <f t="shared" si="35"/>
        <v>0</v>
      </c>
      <c r="BT11" s="707"/>
      <c r="BU11" s="707"/>
      <c r="BV11" s="710">
        <f t="shared" si="36"/>
        <v>0</v>
      </c>
      <c r="BW11" s="707">
        <f t="shared" si="37"/>
        <v>0</v>
      </c>
      <c r="BX11" s="707"/>
      <c r="BY11" s="707"/>
      <c r="BZ11" s="710">
        <f t="shared" si="38"/>
        <v>0</v>
      </c>
      <c r="CA11" s="707">
        <f t="shared" si="39"/>
        <v>0</v>
      </c>
      <c r="CB11" s="707"/>
      <c r="CC11" s="707"/>
      <c r="CD11" s="710">
        <f t="shared" si="40"/>
        <v>0</v>
      </c>
      <c r="CE11" s="707">
        <f t="shared" si="41"/>
        <v>0</v>
      </c>
      <c r="CF11" s="707"/>
      <c r="CG11" s="707"/>
      <c r="CH11" s="710">
        <f t="shared" si="42"/>
        <v>0</v>
      </c>
      <c r="CI11" s="707">
        <f t="shared" si="43"/>
        <v>0</v>
      </c>
      <c r="CJ11" s="707"/>
      <c r="CK11" s="707"/>
      <c r="CL11" s="710">
        <f t="shared" si="44"/>
        <v>0</v>
      </c>
      <c r="CM11" s="707">
        <f t="shared" si="45"/>
        <v>0</v>
      </c>
      <c r="CN11" s="707"/>
      <c r="CO11" s="707"/>
      <c r="CP11" s="710">
        <f t="shared" si="46"/>
        <v>0</v>
      </c>
      <c r="CQ11" s="707">
        <f t="shared" si="47"/>
        <v>0</v>
      </c>
      <c r="CR11" s="707"/>
      <c r="CS11" s="707"/>
      <c r="CT11" s="710">
        <f t="shared" si="48"/>
        <v>0</v>
      </c>
      <c r="CU11" s="707">
        <f t="shared" si="49"/>
        <v>0</v>
      </c>
      <c r="CV11" s="707"/>
      <c r="CW11" s="707"/>
      <c r="CX11" s="710">
        <f t="shared" si="50"/>
        <v>0</v>
      </c>
      <c r="CY11" s="707">
        <f t="shared" si="51"/>
        <v>0</v>
      </c>
      <c r="CZ11" s="707"/>
      <c r="DA11" s="707"/>
      <c r="DB11" s="710">
        <f t="shared" si="52"/>
        <v>0</v>
      </c>
      <c r="DC11" s="707">
        <f t="shared" si="53"/>
        <v>0</v>
      </c>
      <c r="DD11" s="707"/>
      <c r="DE11" s="707"/>
      <c r="DF11" s="710">
        <f t="shared" si="54"/>
        <v>0</v>
      </c>
      <c r="DG11" s="707">
        <f t="shared" si="55"/>
        <v>0</v>
      </c>
      <c r="DH11" s="707"/>
      <c r="DI11" s="707"/>
      <c r="DJ11" s="710">
        <f t="shared" si="56"/>
        <v>0</v>
      </c>
      <c r="DK11" s="707">
        <f t="shared" si="1"/>
        <v>0</v>
      </c>
      <c r="DL11" s="707"/>
      <c r="DM11" s="707"/>
      <c r="DN11" s="710">
        <f t="shared" si="57"/>
        <v>0</v>
      </c>
      <c r="DO11" s="707">
        <f t="shared" si="2"/>
        <v>0</v>
      </c>
      <c r="DP11" s="707"/>
      <c r="DQ11" s="707"/>
      <c r="DR11" s="710">
        <f t="shared" si="58"/>
        <v>0</v>
      </c>
      <c r="DS11" s="707">
        <f t="shared" si="59"/>
        <v>0</v>
      </c>
      <c r="DT11" s="707"/>
      <c r="DU11" s="707"/>
      <c r="DV11" s="710">
        <f t="shared" si="60"/>
        <v>0</v>
      </c>
      <c r="DW11" s="707">
        <v>343980</v>
      </c>
      <c r="DX11" s="707">
        <f t="shared" si="3"/>
        <v>10</v>
      </c>
      <c r="DY11" s="707">
        <f t="shared" si="61"/>
        <v>0</v>
      </c>
      <c r="DZ11" s="710">
        <f t="shared" si="62"/>
        <v>-343990</v>
      </c>
    </row>
    <row r="12" spans="1:130" x14ac:dyDescent="0.25">
      <c r="A12" s="1819"/>
      <c r="B12" s="685" t="s">
        <v>326</v>
      </c>
      <c r="C12" s="707">
        <v>770945</v>
      </c>
      <c r="D12" s="707"/>
      <c r="E12" s="707">
        <v>771187</v>
      </c>
      <c r="F12" s="710">
        <f t="shared" si="4"/>
        <v>242</v>
      </c>
      <c r="G12" s="707">
        <f t="shared" si="0"/>
        <v>771187</v>
      </c>
      <c r="H12" s="707"/>
      <c r="I12" s="707">
        <v>771383</v>
      </c>
      <c r="J12" s="710">
        <f t="shared" si="5"/>
        <v>196</v>
      </c>
      <c r="K12" s="707">
        <f t="shared" si="6"/>
        <v>771383</v>
      </c>
      <c r="L12" s="707">
        <v>10</v>
      </c>
      <c r="M12" s="707">
        <v>771773</v>
      </c>
      <c r="N12" s="710">
        <f t="shared" si="7"/>
        <v>380</v>
      </c>
      <c r="O12" s="707">
        <f t="shared" si="8"/>
        <v>771773</v>
      </c>
      <c r="P12" s="707"/>
      <c r="Q12" s="707">
        <v>772272</v>
      </c>
      <c r="R12" s="710">
        <f t="shared" si="9"/>
        <v>499</v>
      </c>
      <c r="S12" s="707">
        <f t="shared" si="10"/>
        <v>772272</v>
      </c>
      <c r="T12" s="707"/>
      <c r="U12" s="707">
        <v>772682</v>
      </c>
      <c r="V12" s="710">
        <f t="shared" si="11"/>
        <v>410</v>
      </c>
      <c r="W12" s="707">
        <f t="shared" si="12"/>
        <v>772682</v>
      </c>
      <c r="X12" s="707"/>
      <c r="Y12" s="707">
        <v>773081</v>
      </c>
      <c r="Z12" s="710">
        <f t="shared" si="13"/>
        <v>399</v>
      </c>
      <c r="AA12" s="707">
        <f t="shared" si="14"/>
        <v>773081</v>
      </c>
      <c r="AB12" s="707"/>
      <c r="AC12" s="707">
        <v>773511</v>
      </c>
      <c r="AD12" s="710">
        <f t="shared" si="15"/>
        <v>430</v>
      </c>
      <c r="AE12" s="707">
        <f t="shared" si="16"/>
        <v>773511</v>
      </c>
      <c r="AF12" s="707"/>
      <c r="AG12" s="707">
        <v>773614</v>
      </c>
      <c r="AH12" s="707">
        <f t="shared" si="17"/>
        <v>103</v>
      </c>
      <c r="AI12" s="707">
        <f t="shared" si="18"/>
        <v>773614</v>
      </c>
      <c r="AJ12" s="707"/>
      <c r="AK12" s="707"/>
      <c r="AL12" s="710"/>
      <c r="AM12" s="707">
        <f t="shared" si="19"/>
        <v>0</v>
      </c>
      <c r="AN12" s="707"/>
      <c r="AO12" s="707"/>
      <c r="AP12" s="710">
        <f t="shared" si="20"/>
        <v>0</v>
      </c>
      <c r="AQ12" s="707">
        <f t="shared" si="21"/>
        <v>0</v>
      </c>
      <c r="AR12" s="707"/>
      <c r="AS12" s="707"/>
      <c r="AT12" s="710">
        <f t="shared" si="22"/>
        <v>0</v>
      </c>
      <c r="AU12" s="707">
        <f t="shared" si="23"/>
        <v>0</v>
      </c>
      <c r="AV12" s="707"/>
      <c r="AW12" s="707"/>
      <c r="AX12" s="710">
        <f t="shared" si="24"/>
        <v>0</v>
      </c>
      <c r="AY12" s="707">
        <f t="shared" si="25"/>
        <v>0</v>
      </c>
      <c r="AZ12" s="707"/>
      <c r="BA12" s="707"/>
      <c r="BB12" s="710">
        <f t="shared" si="26"/>
        <v>0</v>
      </c>
      <c r="BC12" s="707">
        <f t="shared" si="27"/>
        <v>0</v>
      </c>
      <c r="BD12" s="707"/>
      <c r="BE12" s="707"/>
      <c r="BF12" s="710">
        <f t="shared" si="28"/>
        <v>0</v>
      </c>
      <c r="BG12" s="707">
        <f t="shared" si="29"/>
        <v>0</v>
      </c>
      <c r="BH12" s="707"/>
      <c r="BI12" s="707"/>
      <c r="BJ12" s="710">
        <f t="shared" si="30"/>
        <v>0</v>
      </c>
      <c r="BK12" s="707">
        <f t="shared" si="31"/>
        <v>0</v>
      </c>
      <c r="BL12" s="707"/>
      <c r="BM12" s="707"/>
      <c r="BN12" s="710">
        <f t="shared" si="32"/>
        <v>0</v>
      </c>
      <c r="BO12" s="707">
        <f t="shared" si="33"/>
        <v>0</v>
      </c>
      <c r="BP12" s="707"/>
      <c r="BQ12" s="707"/>
      <c r="BR12" s="710">
        <f t="shared" si="34"/>
        <v>0</v>
      </c>
      <c r="BS12" s="707">
        <f t="shared" si="35"/>
        <v>0</v>
      </c>
      <c r="BT12" s="707"/>
      <c r="BU12" s="707"/>
      <c r="BV12" s="710">
        <f t="shared" si="36"/>
        <v>0</v>
      </c>
      <c r="BW12" s="707">
        <f t="shared" si="37"/>
        <v>0</v>
      </c>
      <c r="BX12" s="707"/>
      <c r="BY12" s="707"/>
      <c r="BZ12" s="710">
        <f t="shared" si="38"/>
        <v>0</v>
      </c>
      <c r="CA12" s="707">
        <f t="shared" si="39"/>
        <v>0</v>
      </c>
      <c r="CB12" s="707"/>
      <c r="CC12" s="707"/>
      <c r="CD12" s="710">
        <f t="shared" si="40"/>
        <v>0</v>
      </c>
      <c r="CE12" s="707">
        <f t="shared" si="41"/>
        <v>0</v>
      </c>
      <c r="CF12" s="707"/>
      <c r="CG12" s="707"/>
      <c r="CH12" s="710">
        <f t="shared" si="42"/>
        <v>0</v>
      </c>
      <c r="CI12" s="707">
        <f t="shared" si="43"/>
        <v>0</v>
      </c>
      <c r="CJ12" s="707"/>
      <c r="CK12" s="707"/>
      <c r="CL12" s="710">
        <f t="shared" si="44"/>
        <v>0</v>
      </c>
      <c r="CM12" s="707">
        <f t="shared" si="45"/>
        <v>0</v>
      </c>
      <c r="CN12" s="707"/>
      <c r="CO12" s="707"/>
      <c r="CP12" s="710">
        <f t="shared" si="46"/>
        <v>0</v>
      </c>
      <c r="CQ12" s="707">
        <f t="shared" si="47"/>
        <v>0</v>
      </c>
      <c r="CR12" s="707"/>
      <c r="CS12" s="707"/>
      <c r="CT12" s="710">
        <f t="shared" si="48"/>
        <v>0</v>
      </c>
      <c r="CU12" s="707">
        <f t="shared" si="49"/>
        <v>0</v>
      </c>
      <c r="CV12" s="707"/>
      <c r="CW12" s="707"/>
      <c r="CX12" s="710">
        <f t="shared" si="50"/>
        <v>0</v>
      </c>
      <c r="CY12" s="707">
        <f t="shared" si="51"/>
        <v>0</v>
      </c>
      <c r="CZ12" s="707"/>
      <c r="DA12" s="707"/>
      <c r="DB12" s="710">
        <f t="shared" si="52"/>
        <v>0</v>
      </c>
      <c r="DC12" s="707">
        <f t="shared" si="53"/>
        <v>0</v>
      </c>
      <c r="DD12" s="707"/>
      <c r="DE12" s="707"/>
      <c r="DF12" s="710">
        <f t="shared" si="54"/>
        <v>0</v>
      </c>
      <c r="DG12" s="707">
        <f t="shared" si="55"/>
        <v>0</v>
      </c>
      <c r="DH12" s="707"/>
      <c r="DI12" s="707"/>
      <c r="DJ12" s="710">
        <f t="shared" si="56"/>
        <v>0</v>
      </c>
      <c r="DK12" s="707">
        <f t="shared" si="1"/>
        <v>0</v>
      </c>
      <c r="DL12" s="707"/>
      <c r="DM12" s="707"/>
      <c r="DN12" s="710">
        <f t="shared" si="57"/>
        <v>0</v>
      </c>
      <c r="DO12" s="707">
        <f t="shared" si="2"/>
        <v>0</v>
      </c>
      <c r="DP12" s="707"/>
      <c r="DQ12" s="707"/>
      <c r="DR12" s="710">
        <f t="shared" si="58"/>
        <v>0</v>
      </c>
      <c r="DS12" s="707">
        <f t="shared" si="59"/>
        <v>0</v>
      </c>
      <c r="DT12" s="707"/>
      <c r="DU12" s="707"/>
      <c r="DV12" s="710">
        <f t="shared" si="60"/>
        <v>0</v>
      </c>
      <c r="DW12" s="707">
        <v>756728</v>
      </c>
      <c r="DX12" s="707">
        <f t="shared" si="3"/>
        <v>10</v>
      </c>
      <c r="DY12" s="707">
        <f t="shared" si="61"/>
        <v>0</v>
      </c>
      <c r="DZ12" s="710">
        <f t="shared" si="62"/>
        <v>-756738</v>
      </c>
    </row>
    <row r="13" spans="1:130" x14ac:dyDescent="0.25">
      <c r="A13" s="1819"/>
      <c r="B13" s="685" t="s">
        <v>327</v>
      </c>
      <c r="C13" s="707">
        <v>246975</v>
      </c>
      <c r="D13" s="707"/>
      <c r="E13" s="707">
        <v>247399</v>
      </c>
      <c r="F13" s="710">
        <f t="shared" si="4"/>
        <v>424</v>
      </c>
      <c r="G13" s="707">
        <f t="shared" si="0"/>
        <v>247399</v>
      </c>
      <c r="H13" s="707"/>
      <c r="I13" s="707">
        <v>247543</v>
      </c>
      <c r="J13" s="710">
        <f t="shared" si="5"/>
        <v>144</v>
      </c>
      <c r="K13" s="707">
        <f t="shared" si="6"/>
        <v>247543</v>
      </c>
      <c r="L13" s="707">
        <v>10</v>
      </c>
      <c r="M13" s="707">
        <v>247794</v>
      </c>
      <c r="N13" s="710">
        <f t="shared" si="7"/>
        <v>241</v>
      </c>
      <c r="O13" s="707">
        <f t="shared" si="8"/>
        <v>247794</v>
      </c>
      <c r="P13" s="707"/>
      <c r="Q13" s="707">
        <v>248038</v>
      </c>
      <c r="R13" s="710">
        <f t="shared" si="9"/>
        <v>244</v>
      </c>
      <c r="S13" s="707">
        <f t="shared" si="10"/>
        <v>248038</v>
      </c>
      <c r="T13" s="707"/>
      <c r="U13" s="707">
        <v>248349</v>
      </c>
      <c r="V13" s="710">
        <f t="shared" si="11"/>
        <v>311</v>
      </c>
      <c r="W13" s="707">
        <f t="shared" si="12"/>
        <v>248349</v>
      </c>
      <c r="X13" s="707"/>
      <c r="Y13" s="707">
        <v>248876</v>
      </c>
      <c r="Z13" s="710">
        <f t="shared" si="13"/>
        <v>527</v>
      </c>
      <c r="AA13" s="707">
        <f t="shared" si="14"/>
        <v>248876</v>
      </c>
      <c r="AB13" s="707"/>
      <c r="AC13" s="707">
        <v>249308</v>
      </c>
      <c r="AD13" s="710">
        <f t="shared" si="15"/>
        <v>432</v>
      </c>
      <c r="AE13" s="707">
        <f t="shared" si="16"/>
        <v>249308</v>
      </c>
      <c r="AF13" s="707"/>
      <c r="AG13" s="707">
        <v>249652</v>
      </c>
      <c r="AH13" s="707">
        <f t="shared" si="17"/>
        <v>344</v>
      </c>
      <c r="AI13" s="707">
        <f t="shared" si="18"/>
        <v>249652</v>
      </c>
      <c r="AJ13" s="707"/>
      <c r="AK13" s="707"/>
      <c r="AL13" s="710"/>
      <c r="AM13" s="707">
        <f t="shared" si="19"/>
        <v>0</v>
      </c>
      <c r="AN13" s="707"/>
      <c r="AO13" s="707"/>
      <c r="AP13" s="710">
        <f t="shared" si="20"/>
        <v>0</v>
      </c>
      <c r="AQ13" s="707">
        <f t="shared" si="21"/>
        <v>0</v>
      </c>
      <c r="AR13" s="707"/>
      <c r="AS13" s="707"/>
      <c r="AT13" s="710">
        <f t="shared" si="22"/>
        <v>0</v>
      </c>
      <c r="AU13" s="707">
        <f t="shared" si="23"/>
        <v>0</v>
      </c>
      <c r="AV13" s="707"/>
      <c r="AW13" s="707"/>
      <c r="AX13" s="710">
        <f t="shared" si="24"/>
        <v>0</v>
      </c>
      <c r="AY13" s="707">
        <f t="shared" si="25"/>
        <v>0</v>
      </c>
      <c r="AZ13" s="707"/>
      <c r="BA13" s="707"/>
      <c r="BB13" s="710">
        <f t="shared" si="26"/>
        <v>0</v>
      </c>
      <c r="BC13" s="707">
        <f t="shared" si="27"/>
        <v>0</v>
      </c>
      <c r="BD13" s="707"/>
      <c r="BE13" s="707"/>
      <c r="BF13" s="710">
        <f t="shared" si="28"/>
        <v>0</v>
      </c>
      <c r="BG13" s="707">
        <f t="shared" si="29"/>
        <v>0</v>
      </c>
      <c r="BH13" s="707"/>
      <c r="BI13" s="707"/>
      <c r="BJ13" s="710">
        <f t="shared" si="30"/>
        <v>0</v>
      </c>
      <c r="BK13" s="707">
        <f t="shared" si="31"/>
        <v>0</v>
      </c>
      <c r="BL13" s="707"/>
      <c r="BM13" s="707"/>
      <c r="BN13" s="710">
        <f t="shared" si="32"/>
        <v>0</v>
      </c>
      <c r="BO13" s="707">
        <f t="shared" si="33"/>
        <v>0</v>
      </c>
      <c r="BP13" s="707"/>
      <c r="BQ13" s="707"/>
      <c r="BR13" s="710">
        <f t="shared" si="34"/>
        <v>0</v>
      </c>
      <c r="BS13" s="707">
        <f t="shared" si="35"/>
        <v>0</v>
      </c>
      <c r="BT13" s="707"/>
      <c r="BU13" s="707"/>
      <c r="BV13" s="710">
        <f t="shared" si="36"/>
        <v>0</v>
      </c>
      <c r="BW13" s="707">
        <f t="shared" si="37"/>
        <v>0</v>
      </c>
      <c r="BX13" s="707"/>
      <c r="BY13" s="707"/>
      <c r="BZ13" s="710">
        <f t="shared" si="38"/>
        <v>0</v>
      </c>
      <c r="CA13" s="707">
        <f t="shared" si="39"/>
        <v>0</v>
      </c>
      <c r="CB13" s="707"/>
      <c r="CC13" s="707"/>
      <c r="CD13" s="710">
        <f t="shared" si="40"/>
        <v>0</v>
      </c>
      <c r="CE13" s="707">
        <f t="shared" si="41"/>
        <v>0</v>
      </c>
      <c r="CF13" s="707"/>
      <c r="CG13" s="707"/>
      <c r="CH13" s="710">
        <f t="shared" si="42"/>
        <v>0</v>
      </c>
      <c r="CI13" s="707">
        <f t="shared" si="43"/>
        <v>0</v>
      </c>
      <c r="CJ13" s="707"/>
      <c r="CK13" s="707"/>
      <c r="CL13" s="710">
        <f t="shared" si="44"/>
        <v>0</v>
      </c>
      <c r="CM13" s="707">
        <f t="shared" si="45"/>
        <v>0</v>
      </c>
      <c r="CN13" s="707"/>
      <c r="CO13" s="707"/>
      <c r="CP13" s="710">
        <f t="shared" si="46"/>
        <v>0</v>
      </c>
      <c r="CQ13" s="707">
        <f t="shared" si="47"/>
        <v>0</v>
      </c>
      <c r="CR13" s="707"/>
      <c r="CS13" s="707"/>
      <c r="CT13" s="710">
        <f t="shared" si="48"/>
        <v>0</v>
      </c>
      <c r="CU13" s="707">
        <f t="shared" si="49"/>
        <v>0</v>
      </c>
      <c r="CV13" s="707"/>
      <c r="CW13" s="707"/>
      <c r="CX13" s="710">
        <f t="shared" si="50"/>
        <v>0</v>
      </c>
      <c r="CY13" s="707">
        <f t="shared" si="51"/>
        <v>0</v>
      </c>
      <c r="CZ13" s="707"/>
      <c r="DA13" s="707"/>
      <c r="DB13" s="710">
        <f t="shared" si="52"/>
        <v>0</v>
      </c>
      <c r="DC13" s="707">
        <f t="shared" si="53"/>
        <v>0</v>
      </c>
      <c r="DD13" s="707"/>
      <c r="DE13" s="707"/>
      <c r="DF13" s="710">
        <f t="shared" si="54"/>
        <v>0</v>
      </c>
      <c r="DG13" s="707">
        <f t="shared" si="55"/>
        <v>0</v>
      </c>
      <c r="DH13" s="707"/>
      <c r="DI13" s="707"/>
      <c r="DJ13" s="710">
        <f t="shared" si="56"/>
        <v>0</v>
      </c>
      <c r="DK13" s="707">
        <f t="shared" si="1"/>
        <v>0</v>
      </c>
      <c r="DL13" s="707"/>
      <c r="DM13" s="707"/>
      <c r="DN13" s="710">
        <f t="shared" si="57"/>
        <v>0</v>
      </c>
      <c r="DO13" s="707">
        <f t="shared" si="2"/>
        <v>0</v>
      </c>
      <c r="DP13" s="707"/>
      <c r="DQ13" s="707"/>
      <c r="DR13" s="710">
        <f t="shared" si="58"/>
        <v>0</v>
      </c>
      <c r="DS13" s="707">
        <f t="shared" si="59"/>
        <v>0</v>
      </c>
      <c r="DT13" s="707"/>
      <c r="DU13" s="707"/>
      <c r="DV13" s="710">
        <f t="shared" si="60"/>
        <v>0</v>
      </c>
      <c r="DW13" s="707">
        <v>229040</v>
      </c>
      <c r="DX13" s="707">
        <f t="shared" si="3"/>
        <v>10</v>
      </c>
      <c r="DY13" s="707">
        <f t="shared" si="61"/>
        <v>0</v>
      </c>
      <c r="DZ13" s="710">
        <f t="shared" si="62"/>
        <v>-229050</v>
      </c>
    </row>
    <row r="14" spans="1:130" x14ac:dyDescent="0.25">
      <c r="A14" s="1819"/>
      <c r="B14" s="685" t="s">
        <v>328</v>
      </c>
      <c r="C14" s="707"/>
      <c r="D14" s="707"/>
      <c r="E14" s="707"/>
      <c r="F14" s="710">
        <f t="shared" si="4"/>
        <v>0</v>
      </c>
      <c r="G14" s="707">
        <v>40253</v>
      </c>
      <c r="H14" s="707"/>
      <c r="I14" s="707">
        <v>40253</v>
      </c>
      <c r="J14" s="710">
        <f t="shared" si="5"/>
        <v>0</v>
      </c>
      <c r="K14" s="707">
        <f t="shared" si="6"/>
        <v>40253</v>
      </c>
      <c r="L14" s="707"/>
      <c r="M14" s="707">
        <v>40253</v>
      </c>
      <c r="N14" s="710">
        <f t="shared" si="7"/>
        <v>0</v>
      </c>
      <c r="O14" s="707">
        <f t="shared" si="8"/>
        <v>40253</v>
      </c>
      <c r="P14" s="707"/>
      <c r="Q14" s="707">
        <v>40253</v>
      </c>
      <c r="R14" s="710">
        <f t="shared" si="9"/>
        <v>0</v>
      </c>
      <c r="S14" s="707">
        <f t="shared" si="10"/>
        <v>40253</v>
      </c>
      <c r="T14" s="707"/>
      <c r="U14" s="707">
        <v>40253</v>
      </c>
      <c r="V14" s="710">
        <f t="shared" si="11"/>
        <v>0</v>
      </c>
      <c r="W14" s="707">
        <f t="shared" si="12"/>
        <v>40253</v>
      </c>
      <c r="X14" s="707"/>
      <c r="Y14" s="707">
        <v>40253</v>
      </c>
      <c r="Z14" s="710">
        <f t="shared" si="13"/>
        <v>0</v>
      </c>
      <c r="AA14" s="707">
        <f t="shared" si="14"/>
        <v>40253</v>
      </c>
      <c r="AB14" s="707"/>
      <c r="AC14" s="707">
        <v>40253</v>
      </c>
      <c r="AD14" s="710">
        <f t="shared" si="15"/>
        <v>0</v>
      </c>
      <c r="AE14" s="707">
        <f t="shared" si="16"/>
        <v>40253</v>
      </c>
      <c r="AF14" s="707"/>
      <c r="AG14" s="707">
        <v>40253</v>
      </c>
      <c r="AH14" s="707">
        <f t="shared" si="17"/>
        <v>0</v>
      </c>
      <c r="AI14" s="707">
        <f t="shared" si="18"/>
        <v>40253</v>
      </c>
      <c r="AJ14" s="707"/>
      <c r="AK14" s="707"/>
      <c r="AL14" s="710">
        <f t="shared" ref="AL14:AL20" si="63">AK14-AI14-AJ14</f>
        <v>-40253</v>
      </c>
      <c r="AM14" s="707">
        <f t="shared" si="19"/>
        <v>0</v>
      </c>
      <c r="AN14" s="707"/>
      <c r="AO14" s="707"/>
      <c r="AP14" s="710">
        <f t="shared" si="20"/>
        <v>0</v>
      </c>
      <c r="AQ14" s="707">
        <f t="shared" si="21"/>
        <v>0</v>
      </c>
      <c r="AR14" s="707"/>
      <c r="AS14" s="707">
        <v>40253</v>
      </c>
      <c r="AT14" s="710">
        <f t="shared" si="22"/>
        <v>40253</v>
      </c>
      <c r="AU14" s="707">
        <f t="shared" si="23"/>
        <v>40253</v>
      </c>
      <c r="AV14" s="707"/>
      <c r="AW14" s="707">
        <v>40253</v>
      </c>
      <c r="AX14" s="710">
        <f t="shared" si="24"/>
        <v>0</v>
      </c>
      <c r="AY14" s="707">
        <f t="shared" si="25"/>
        <v>40253</v>
      </c>
      <c r="AZ14" s="707"/>
      <c r="BA14" s="707">
        <v>40253</v>
      </c>
      <c r="BB14" s="710">
        <f t="shared" si="26"/>
        <v>0</v>
      </c>
      <c r="BC14" s="707">
        <f t="shared" si="27"/>
        <v>40253</v>
      </c>
      <c r="BD14" s="707"/>
      <c r="BE14" s="707">
        <v>40253</v>
      </c>
      <c r="BF14" s="710">
        <f t="shared" si="28"/>
        <v>0</v>
      </c>
      <c r="BG14" s="707">
        <f t="shared" si="29"/>
        <v>40253</v>
      </c>
      <c r="BH14" s="707"/>
      <c r="BI14" s="707">
        <v>40253</v>
      </c>
      <c r="BJ14" s="710">
        <f t="shared" si="30"/>
        <v>0</v>
      </c>
      <c r="BK14" s="707">
        <f t="shared" si="31"/>
        <v>40253</v>
      </c>
      <c r="BL14" s="707"/>
      <c r="BM14" s="707">
        <v>40253</v>
      </c>
      <c r="BN14" s="712">
        <f t="shared" si="32"/>
        <v>0</v>
      </c>
      <c r="BO14" s="707">
        <f t="shared" si="33"/>
        <v>40253</v>
      </c>
      <c r="BP14" s="707"/>
      <c r="BQ14" s="707">
        <v>40253</v>
      </c>
      <c r="BR14" s="710">
        <f t="shared" si="34"/>
        <v>0</v>
      </c>
      <c r="BS14" s="707">
        <f t="shared" si="35"/>
        <v>40253</v>
      </c>
      <c r="BT14" s="707"/>
      <c r="BU14" s="707">
        <v>40253</v>
      </c>
      <c r="BV14" s="710">
        <f t="shared" si="36"/>
        <v>0</v>
      </c>
      <c r="BW14" s="707">
        <f t="shared" si="37"/>
        <v>40253</v>
      </c>
      <c r="BX14" s="707"/>
      <c r="BY14" s="707">
        <v>40253</v>
      </c>
      <c r="BZ14" s="710">
        <f t="shared" si="38"/>
        <v>0</v>
      </c>
      <c r="CA14" s="707">
        <f t="shared" si="39"/>
        <v>40253</v>
      </c>
      <c r="CB14" s="707"/>
      <c r="CC14" s="707">
        <v>40253</v>
      </c>
      <c r="CD14" s="710">
        <f t="shared" si="40"/>
        <v>0</v>
      </c>
      <c r="CE14" s="707">
        <f t="shared" si="41"/>
        <v>40253</v>
      </c>
      <c r="CF14" s="707"/>
      <c r="CG14" s="707">
        <v>40253</v>
      </c>
      <c r="CH14" s="710">
        <f t="shared" si="42"/>
        <v>0</v>
      </c>
      <c r="CI14" s="707">
        <f t="shared" si="43"/>
        <v>40253</v>
      </c>
      <c r="CJ14" s="707"/>
      <c r="CK14" s="707">
        <v>40253</v>
      </c>
      <c r="CL14" s="710">
        <f t="shared" si="44"/>
        <v>0</v>
      </c>
      <c r="CM14" s="707">
        <f t="shared" si="45"/>
        <v>40253</v>
      </c>
      <c r="CN14" s="707"/>
      <c r="CO14" s="707">
        <v>40253</v>
      </c>
      <c r="CP14" s="710">
        <f t="shared" si="46"/>
        <v>0</v>
      </c>
      <c r="CQ14" s="707">
        <f t="shared" si="47"/>
        <v>40253</v>
      </c>
      <c r="CR14" s="707"/>
      <c r="CS14" s="707">
        <v>40253</v>
      </c>
      <c r="CT14" s="710">
        <f t="shared" si="48"/>
        <v>0</v>
      </c>
      <c r="CU14" s="707">
        <f t="shared" si="49"/>
        <v>40253</v>
      </c>
      <c r="CV14" s="707"/>
      <c r="CW14" s="707">
        <v>40253</v>
      </c>
      <c r="CX14" s="710">
        <f t="shared" si="50"/>
        <v>0</v>
      </c>
      <c r="CY14" s="707">
        <f t="shared" si="51"/>
        <v>40253</v>
      </c>
      <c r="CZ14" s="707"/>
      <c r="DA14" s="707">
        <v>40253</v>
      </c>
      <c r="DB14" s="710">
        <f t="shared" si="52"/>
        <v>0</v>
      </c>
      <c r="DC14" s="707">
        <f t="shared" si="53"/>
        <v>40253</v>
      </c>
      <c r="DD14" s="707"/>
      <c r="DE14" s="707">
        <v>40253</v>
      </c>
      <c r="DF14" s="710">
        <f t="shared" si="54"/>
        <v>0</v>
      </c>
      <c r="DG14" s="707">
        <f t="shared" si="55"/>
        <v>40253</v>
      </c>
      <c r="DH14" s="707"/>
      <c r="DI14" s="707">
        <v>40253</v>
      </c>
      <c r="DJ14" s="710">
        <f t="shared" si="56"/>
        <v>0</v>
      </c>
      <c r="DK14" s="707">
        <f t="shared" si="1"/>
        <v>40253</v>
      </c>
      <c r="DL14" s="707"/>
      <c r="DM14" s="707">
        <v>40253</v>
      </c>
      <c r="DN14" s="710">
        <f t="shared" si="57"/>
        <v>0</v>
      </c>
      <c r="DO14" s="707">
        <f t="shared" si="2"/>
        <v>40253</v>
      </c>
      <c r="DP14" s="707"/>
      <c r="DQ14" s="707">
        <v>40253</v>
      </c>
      <c r="DR14" s="710">
        <f t="shared" si="58"/>
        <v>0</v>
      </c>
      <c r="DS14" s="707">
        <f t="shared" si="59"/>
        <v>40253</v>
      </c>
      <c r="DT14" s="707"/>
      <c r="DU14" s="707">
        <v>40253</v>
      </c>
      <c r="DV14" s="710">
        <f t="shared" si="60"/>
        <v>0</v>
      </c>
      <c r="DW14" s="707">
        <v>40253</v>
      </c>
      <c r="DX14" s="707">
        <f t="shared" si="3"/>
        <v>0</v>
      </c>
      <c r="DY14" s="707">
        <f t="shared" si="61"/>
        <v>40253</v>
      </c>
      <c r="DZ14" s="710">
        <f t="shared" si="62"/>
        <v>0</v>
      </c>
    </row>
    <row r="15" spans="1:130" x14ac:dyDescent="0.25">
      <c r="A15" s="1819"/>
      <c r="B15" s="685" t="s">
        <v>329</v>
      </c>
      <c r="C15" s="707"/>
      <c r="D15" s="707"/>
      <c r="E15" s="707"/>
      <c r="F15" s="710">
        <f t="shared" si="4"/>
        <v>0</v>
      </c>
      <c r="G15" s="707">
        <f t="shared" si="0"/>
        <v>0</v>
      </c>
      <c r="H15" s="707"/>
      <c r="I15" s="707"/>
      <c r="J15" s="710">
        <f t="shared" si="5"/>
        <v>0</v>
      </c>
      <c r="K15" s="707">
        <f t="shared" si="6"/>
        <v>0</v>
      </c>
      <c r="L15" s="707"/>
      <c r="M15" s="707"/>
      <c r="N15" s="710">
        <f t="shared" si="7"/>
        <v>0</v>
      </c>
      <c r="O15" s="707">
        <f t="shared" si="8"/>
        <v>0</v>
      </c>
      <c r="P15" s="707"/>
      <c r="Q15" s="707"/>
      <c r="R15" s="710">
        <f t="shared" si="9"/>
        <v>0</v>
      </c>
      <c r="S15" s="707">
        <f t="shared" si="10"/>
        <v>0</v>
      </c>
      <c r="T15" s="707"/>
      <c r="U15" s="707"/>
      <c r="V15" s="710">
        <f t="shared" si="11"/>
        <v>0</v>
      </c>
      <c r="W15" s="707">
        <f t="shared" si="12"/>
        <v>0</v>
      </c>
      <c r="X15" s="707"/>
      <c r="Y15" s="707"/>
      <c r="Z15" s="710">
        <f t="shared" si="13"/>
        <v>0</v>
      </c>
      <c r="AA15" s="707">
        <f t="shared" si="14"/>
        <v>0</v>
      </c>
      <c r="AB15" s="707"/>
      <c r="AC15" s="707"/>
      <c r="AD15" s="710">
        <f t="shared" si="15"/>
        <v>0</v>
      </c>
      <c r="AE15" s="707">
        <f t="shared" si="16"/>
        <v>0</v>
      </c>
      <c r="AF15" s="707"/>
      <c r="AG15" s="707"/>
      <c r="AH15" s="707">
        <f t="shared" si="17"/>
        <v>0</v>
      </c>
      <c r="AI15" s="707">
        <f t="shared" si="18"/>
        <v>0</v>
      </c>
      <c r="AJ15" s="707"/>
      <c r="AK15" s="707"/>
      <c r="AL15" s="710">
        <f t="shared" si="63"/>
        <v>0</v>
      </c>
      <c r="AM15" s="707">
        <f t="shared" si="19"/>
        <v>0</v>
      </c>
      <c r="AN15" s="707"/>
      <c r="AO15" s="707"/>
      <c r="AP15" s="710">
        <f t="shared" si="20"/>
        <v>0</v>
      </c>
      <c r="AQ15" s="707">
        <f t="shared" si="21"/>
        <v>0</v>
      </c>
      <c r="AR15" s="707"/>
      <c r="AS15" s="707"/>
      <c r="AT15" s="710">
        <f t="shared" si="22"/>
        <v>0</v>
      </c>
      <c r="AU15" s="707">
        <f t="shared" si="23"/>
        <v>0</v>
      </c>
      <c r="AV15" s="707"/>
      <c r="AW15" s="707"/>
      <c r="AX15" s="710">
        <f t="shared" si="24"/>
        <v>0</v>
      </c>
      <c r="AY15" s="707">
        <f t="shared" si="25"/>
        <v>0</v>
      </c>
      <c r="AZ15" s="707"/>
      <c r="BA15" s="707"/>
      <c r="BB15" s="710">
        <f t="shared" si="26"/>
        <v>0</v>
      </c>
      <c r="BC15" s="707">
        <f t="shared" si="27"/>
        <v>0</v>
      </c>
      <c r="BD15" s="707"/>
      <c r="BE15" s="707"/>
      <c r="BF15" s="710">
        <f t="shared" si="28"/>
        <v>0</v>
      </c>
      <c r="BG15" s="707">
        <f t="shared" si="29"/>
        <v>0</v>
      </c>
      <c r="BH15" s="707"/>
      <c r="BI15" s="707"/>
      <c r="BJ15" s="710">
        <f t="shared" si="30"/>
        <v>0</v>
      </c>
      <c r="BK15" s="707">
        <f t="shared" si="31"/>
        <v>0</v>
      </c>
      <c r="BL15" s="707"/>
      <c r="BM15" s="707"/>
      <c r="BN15" s="710">
        <f t="shared" si="32"/>
        <v>0</v>
      </c>
      <c r="BO15" s="707">
        <f t="shared" si="33"/>
        <v>0</v>
      </c>
      <c r="BP15" s="707"/>
      <c r="BQ15" s="707"/>
      <c r="BR15" s="710">
        <f t="shared" si="34"/>
        <v>0</v>
      </c>
      <c r="BS15" s="707">
        <f t="shared" si="35"/>
        <v>0</v>
      </c>
      <c r="BT15" s="707"/>
      <c r="BU15" s="707"/>
      <c r="BV15" s="710">
        <f t="shared" si="36"/>
        <v>0</v>
      </c>
      <c r="BW15" s="707">
        <f t="shared" si="37"/>
        <v>0</v>
      </c>
      <c r="BX15" s="707"/>
      <c r="BY15" s="707"/>
      <c r="BZ15" s="710">
        <f t="shared" si="38"/>
        <v>0</v>
      </c>
      <c r="CA15" s="707">
        <f t="shared" si="39"/>
        <v>0</v>
      </c>
      <c r="CB15" s="707"/>
      <c r="CC15" s="707"/>
      <c r="CD15" s="710">
        <f t="shared" si="40"/>
        <v>0</v>
      </c>
      <c r="CE15" s="707">
        <f t="shared" si="41"/>
        <v>0</v>
      </c>
      <c r="CF15" s="707"/>
      <c r="CG15" s="707"/>
      <c r="CH15" s="710">
        <f t="shared" si="42"/>
        <v>0</v>
      </c>
      <c r="CI15" s="707">
        <f t="shared" si="43"/>
        <v>0</v>
      </c>
      <c r="CJ15" s="707"/>
      <c r="CK15" s="707"/>
      <c r="CL15" s="710">
        <f t="shared" si="44"/>
        <v>0</v>
      </c>
      <c r="CM15" s="707">
        <f t="shared" si="45"/>
        <v>0</v>
      </c>
      <c r="CN15" s="707"/>
      <c r="CO15" s="707"/>
      <c r="CP15" s="710">
        <f t="shared" si="46"/>
        <v>0</v>
      </c>
      <c r="CQ15" s="707">
        <f t="shared" si="47"/>
        <v>0</v>
      </c>
      <c r="CR15" s="707"/>
      <c r="CS15" s="707"/>
      <c r="CT15" s="710">
        <f t="shared" si="48"/>
        <v>0</v>
      </c>
      <c r="CU15" s="707">
        <f t="shared" si="49"/>
        <v>0</v>
      </c>
      <c r="CV15" s="707"/>
      <c r="CW15" s="707"/>
      <c r="CX15" s="710">
        <f t="shared" si="50"/>
        <v>0</v>
      </c>
      <c r="CY15" s="707">
        <f t="shared" si="51"/>
        <v>0</v>
      </c>
      <c r="CZ15" s="707"/>
      <c r="DA15" s="707"/>
      <c r="DB15" s="710">
        <f t="shared" si="52"/>
        <v>0</v>
      </c>
      <c r="DC15" s="707">
        <f t="shared" si="53"/>
        <v>0</v>
      </c>
      <c r="DD15" s="707"/>
      <c r="DE15" s="707"/>
      <c r="DF15" s="710">
        <f t="shared" si="54"/>
        <v>0</v>
      </c>
      <c r="DG15" s="707">
        <f t="shared" si="55"/>
        <v>0</v>
      </c>
      <c r="DH15" s="707"/>
      <c r="DI15" s="707"/>
      <c r="DJ15" s="710">
        <f t="shared" si="56"/>
        <v>0</v>
      </c>
      <c r="DK15" s="707">
        <f t="shared" si="1"/>
        <v>0</v>
      </c>
      <c r="DL15" s="707"/>
      <c r="DM15" s="707"/>
      <c r="DN15" s="710">
        <f t="shared" si="57"/>
        <v>0</v>
      </c>
      <c r="DO15" s="707">
        <f t="shared" si="2"/>
        <v>0</v>
      </c>
      <c r="DP15" s="707"/>
      <c r="DQ15" s="707"/>
      <c r="DR15" s="710">
        <f t="shared" si="58"/>
        <v>0</v>
      </c>
      <c r="DS15" s="707">
        <f t="shared" si="59"/>
        <v>0</v>
      </c>
      <c r="DT15" s="707"/>
      <c r="DU15" s="707"/>
      <c r="DV15" s="710">
        <f t="shared" si="60"/>
        <v>0</v>
      </c>
      <c r="DW15" s="707"/>
      <c r="DX15" s="707">
        <f t="shared" si="3"/>
        <v>0</v>
      </c>
      <c r="DY15" s="707">
        <f t="shared" si="61"/>
        <v>0</v>
      </c>
      <c r="DZ15" s="710">
        <f t="shared" si="62"/>
        <v>0</v>
      </c>
    </row>
    <row r="16" spans="1:130" x14ac:dyDescent="0.25">
      <c r="A16" s="1819"/>
      <c r="B16" s="685" t="s">
        <v>330</v>
      </c>
      <c r="C16" s="707"/>
      <c r="D16" s="707"/>
      <c r="E16" s="707"/>
      <c r="F16" s="710">
        <f t="shared" si="4"/>
        <v>0</v>
      </c>
      <c r="G16" s="707">
        <f t="shared" si="0"/>
        <v>0</v>
      </c>
      <c r="H16" s="707"/>
      <c r="I16" s="707"/>
      <c r="J16" s="710">
        <f t="shared" si="5"/>
        <v>0</v>
      </c>
      <c r="K16" s="707">
        <f t="shared" si="6"/>
        <v>0</v>
      </c>
      <c r="L16" s="707"/>
      <c r="M16" s="707"/>
      <c r="N16" s="710">
        <f t="shared" si="7"/>
        <v>0</v>
      </c>
      <c r="O16" s="707">
        <f t="shared" si="8"/>
        <v>0</v>
      </c>
      <c r="P16" s="707"/>
      <c r="Q16" s="707"/>
      <c r="R16" s="710">
        <f t="shared" si="9"/>
        <v>0</v>
      </c>
      <c r="S16" s="707">
        <f t="shared" si="10"/>
        <v>0</v>
      </c>
      <c r="T16" s="707"/>
      <c r="U16" s="707"/>
      <c r="V16" s="710">
        <f t="shared" si="11"/>
        <v>0</v>
      </c>
      <c r="W16" s="707">
        <f t="shared" si="12"/>
        <v>0</v>
      </c>
      <c r="X16" s="707"/>
      <c r="Y16" s="707"/>
      <c r="Z16" s="710">
        <f t="shared" si="13"/>
        <v>0</v>
      </c>
      <c r="AA16" s="707">
        <f t="shared" si="14"/>
        <v>0</v>
      </c>
      <c r="AB16" s="707"/>
      <c r="AC16" s="707"/>
      <c r="AD16" s="710">
        <f t="shared" si="15"/>
        <v>0</v>
      </c>
      <c r="AE16" s="707">
        <f t="shared" si="16"/>
        <v>0</v>
      </c>
      <c r="AF16" s="707"/>
      <c r="AG16" s="707"/>
      <c r="AH16" s="707">
        <f t="shared" si="17"/>
        <v>0</v>
      </c>
      <c r="AI16" s="707">
        <f t="shared" si="18"/>
        <v>0</v>
      </c>
      <c r="AJ16" s="707"/>
      <c r="AK16" s="707"/>
      <c r="AL16" s="710">
        <f t="shared" si="63"/>
        <v>0</v>
      </c>
      <c r="AM16" s="707">
        <f t="shared" si="19"/>
        <v>0</v>
      </c>
      <c r="AN16" s="707"/>
      <c r="AO16" s="707"/>
      <c r="AP16" s="710">
        <f t="shared" si="20"/>
        <v>0</v>
      </c>
      <c r="AQ16" s="707">
        <f t="shared" si="21"/>
        <v>0</v>
      </c>
      <c r="AR16" s="707"/>
      <c r="AS16" s="707"/>
      <c r="AT16" s="710">
        <f t="shared" si="22"/>
        <v>0</v>
      </c>
      <c r="AU16" s="707">
        <f t="shared" si="23"/>
        <v>0</v>
      </c>
      <c r="AV16" s="707"/>
      <c r="AW16" s="707"/>
      <c r="AX16" s="710">
        <f t="shared" si="24"/>
        <v>0</v>
      </c>
      <c r="AY16" s="707">
        <f t="shared" si="25"/>
        <v>0</v>
      </c>
      <c r="AZ16" s="707"/>
      <c r="BA16" s="707"/>
      <c r="BB16" s="710">
        <f t="shared" si="26"/>
        <v>0</v>
      </c>
      <c r="BC16" s="707">
        <f t="shared" si="27"/>
        <v>0</v>
      </c>
      <c r="BD16" s="707"/>
      <c r="BE16" s="707"/>
      <c r="BF16" s="710">
        <f t="shared" si="28"/>
        <v>0</v>
      </c>
      <c r="BG16" s="707">
        <f t="shared" si="29"/>
        <v>0</v>
      </c>
      <c r="BH16" s="707"/>
      <c r="BI16" s="707"/>
      <c r="BJ16" s="710">
        <f t="shared" si="30"/>
        <v>0</v>
      </c>
      <c r="BK16" s="707">
        <f t="shared" si="31"/>
        <v>0</v>
      </c>
      <c r="BL16" s="707"/>
      <c r="BM16" s="707"/>
      <c r="BN16" s="710">
        <f t="shared" si="32"/>
        <v>0</v>
      </c>
      <c r="BO16" s="707">
        <f t="shared" si="33"/>
        <v>0</v>
      </c>
      <c r="BP16" s="707"/>
      <c r="BQ16" s="707"/>
      <c r="BR16" s="710">
        <f t="shared" si="34"/>
        <v>0</v>
      </c>
      <c r="BS16" s="707">
        <f t="shared" si="35"/>
        <v>0</v>
      </c>
      <c r="BT16" s="707"/>
      <c r="BU16" s="707"/>
      <c r="BV16" s="710">
        <f t="shared" si="36"/>
        <v>0</v>
      </c>
      <c r="BW16" s="707">
        <f t="shared" si="37"/>
        <v>0</v>
      </c>
      <c r="BX16" s="707"/>
      <c r="BY16" s="707"/>
      <c r="BZ16" s="710">
        <f t="shared" si="38"/>
        <v>0</v>
      </c>
      <c r="CA16" s="707">
        <f t="shared" si="39"/>
        <v>0</v>
      </c>
      <c r="CB16" s="707"/>
      <c r="CC16" s="707"/>
      <c r="CD16" s="710">
        <f t="shared" si="40"/>
        <v>0</v>
      </c>
      <c r="CE16" s="707">
        <f t="shared" si="41"/>
        <v>0</v>
      </c>
      <c r="CF16" s="707"/>
      <c r="CG16" s="707"/>
      <c r="CH16" s="710">
        <f t="shared" si="42"/>
        <v>0</v>
      </c>
      <c r="CI16" s="707">
        <f t="shared" si="43"/>
        <v>0</v>
      </c>
      <c r="CJ16" s="707"/>
      <c r="CK16" s="707"/>
      <c r="CL16" s="710">
        <f t="shared" si="44"/>
        <v>0</v>
      </c>
      <c r="CM16" s="707">
        <f t="shared" si="45"/>
        <v>0</v>
      </c>
      <c r="CN16" s="707"/>
      <c r="CO16" s="707"/>
      <c r="CP16" s="710">
        <f t="shared" si="46"/>
        <v>0</v>
      </c>
      <c r="CQ16" s="707">
        <f t="shared" si="47"/>
        <v>0</v>
      </c>
      <c r="CR16" s="707"/>
      <c r="CS16" s="707"/>
      <c r="CT16" s="710">
        <f t="shared" si="48"/>
        <v>0</v>
      </c>
      <c r="CU16" s="707">
        <f t="shared" si="49"/>
        <v>0</v>
      </c>
      <c r="CV16" s="707"/>
      <c r="CW16" s="707"/>
      <c r="CX16" s="710">
        <f t="shared" si="50"/>
        <v>0</v>
      </c>
      <c r="CY16" s="707">
        <f t="shared" si="51"/>
        <v>0</v>
      </c>
      <c r="CZ16" s="707"/>
      <c r="DA16" s="707"/>
      <c r="DB16" s="710">
        <f t="shared" si="52"/>
        <v>0</v>
      </c>
      <c r="DC16" s="707">
        <f t="shared" si="53"/>
        <v>0</v>
      </c>
      <c r="DD16" s="707"/>
      <c r="DE16" s="707"/>
      <c r="DF16" s="710">
        <f t="shared" si="54"/>
        <v>0</v>
      </c>
      <c r="DG16" s="707">
        <f t="shared" si="55"/>
        <v>0</v>
      </c>
      <c r="DH16" s="707"/>
      <c r="DI16" s="707"/>
      <c r="DJ16" s="710">
        <f t="shared" si="56"/>
        <v>0</v>
      </c>
      <c r="DK16" s="707">
        <f t="shared" si="1"/>
        <v>0</v>
      </c>
      <c r="DL16" s="707"/>
      <c r="DM16" s="707"/>
      <c r="DN16" s="710">
        <f t="shared" si="57"/>
        <v>0</v>
      </c>
      <c r="DO16" s="707">
        <f t="shared" si="2"/>
        <v>0</v>
      </c>
      <c r="DP16" s="707"/>
      <c r="DQ16" s="707"/>
      <c r="DR16" s="710">
        <f t="shared" si="58"/>
        <v>0</v>
      </c>
      <c r="DS16" s="707">
        <f t="shared" si="59"/>
        <v>0</v>
      </c>
      <c r="DT16" s="707"/>
      <c r="DU16" s="707"/>
      <c r="DV16" s="710">
        <f t="shared" si="60"/>
        <v>0</v>
      </c>
      <c r="DW16" s="707"/>
      <c r="DX16" s="707">
        <f t="shared" si="3"/>
        <v>0</v>
      </c>
      <c r="DY16" s="707">
        <f t="shared" si="61"/>
        <v>0</v>
      </c>
      <c r="DZ16" s="710">
        <f t="shared" si="62"/>
        <v>0</v>
      </c>
    </row>
    <row r="17" spans="1:130" x14ac:dyDescent="0.25">
      <c r="A17" s="1819"/>
      <c r="B17" s="685" t="s">
        <v>331</v>
      </c>
      <c r="C17" s="707"/>
      <c r="D17" s="707"/>
      <c r="E17" s="707"/>
      <c r="F17" s="710">
        <f t="shared" si="4"/>
        <v>0</v>
      </c>
      <c r="G17" s="707">
        <f t="shared" si="0"/>
        <v>0</v>
      </c>
      <c r="H17" s="707"/>
      <c r="I17" s="707"/>
      <c r="J17" s="710">
        <f t="shared" si="5"/>
        <v>0</v>
      </c>
      <c r="K17" s="707">
        <f t="shared" si="6"/>
        <v>0</v>
      </c>
      <c r="L17" s="707"/>
      <c r="M17" s="707"/>
      <c r="N17" s="710">
        <f t="shared" si="7"/>
        <v>0</v>
      </c>
      <c r="O17" s="707">
        <f t="shared" si="8"/>
        <v>0</v>
      </c>
      <c r="P17" s="707"/>
      <c r="Q17" s="707"/>
      <c r="R17" s="710">
        <f t="shared" si="9"/>
        <v>0</v>
      </c>
      <c r="S17" s="707">
        <f t="shared" si="10"/>
        <v>0</v>
      </c>
      <c r="T17" s="707"/>
      <c r="U17" s="707"/>
      <c r="V17" s="710">
        <f t="shared" si="11"/>
        <v>0</v>
      </c>
      <c r="W17" s="707">
        <f t="shared" si="12"/>
        <v>0</v>
      </c>
      <c r="X17" s="707"/>
      <c r="Y17" s="707"/>
      <c r="Z17" s="710">
        <f t="shared" si="13"/>
        <v>0</v>
      </c>
      <c r="AA17" s="707">
        <f t="shared" si="14"/>
        <v>0</v>
      </c>
      <c r="AB17" s="707"/>
      <c r="AC17" s="707"/>
      <c r="AD17" s="710">
        <f t="shared" si="15"/>
        <v>0</v>
      </c>
      <c r="AE17" s="707">
        <f t="shared" si="16"/>
        <v>0</v>
      </c>
      <c r="AF17" s="707"/>
      <c r="AG17" s="707"/>
      <c r="AH17" s="707">
        <f t="shared" si="17"/>
        <v>0</v>
      </c>
      <c r="AI17" s="707">
        <f t="shared" si="18"/>
        <v>0</v>
      </c>
      <c r="AJ17" s="707"/>
      <c r="AK17" s="707"/>
      <c r="AL17" s="710">
        <f t="shared" si="63"/>
        <v>0</v>
      </c>
      <c r="AM17" s="707">
        <f t="shared" si="19"/>
        <v>0</v>
      </c>
      <c r="AN17" s="707"/>
      <c r="AO17" s="707"/>
      <c r="AP17" s="710">
        <f t="shared" si="20"/>
        <v>0</v>
      </c>
      <c r="AQ17" s="707">
        <f t="shared" si="21"/>
        <v>0</v>
      </c>
      <c r="AR17" s="707"/>
      <c r="AS17" s="707"/>
      <c r="AT17" s="710">
        <f t="shared" si="22"/>
        <v>0</v>
      </c>
      <c r="AU17" s="707">
        <f t="shared" si="23"/>
        <v>0</v>
      </c>
      <c r="AV17" s="707"/>
      <c r="AW17" s="707"/>
      <c r="AX17" s="710">
        <f t="shared" si="24"/>
        <v>0</v>
      </c>
      <c r="AY17" s="707">
        <f t="shared" si="25"/>
        <v>0</v>
      </c>
      <c r="AZ17" s="707"/>
      <c r="BA17" s="707"/>
      <c r="BB17" s="710">
        <f t="shared" si="26"/>
        <v>0</v>
      </c>
      <c r="BC17" s="707">
        <f t="shared" si="27"/>
        <v>0</v>
      </c>
      <c r="BD17" s="707"/>
      <c r="BE17" s="707"/>
      <c r="BF17" s="710">
        <f t="shared" si="28"/>
        <v>0</v>
      </c>
      <c r="BG17" s="707">
        <f t="shared" si="29"/>
        <v>0</v>
      </c>
      <c r="BH17" s="707"/>
      <c r="BI17" s="707"/>
      <c r="BJ17" s="710">
        <f t="shared" si="30"/>
        <v>0</v>
      </c>
      <c r="BK17" s="707">
        <f t="shared" si="31"/>
        <v>0</v>
      </c>
      <c r="BL17" s="707"/>
      <c r="BM17" s="707"/>
      <c r="BN17" s="710">
        <f t="shared" si="32"/>
        <v>0</v>
      </c>
      <c r="BO17" s="707">
        <f t="shared" si="33"/>
        <v>0</v>
      </c>
      <c r="BP17" s="707"/>
      <c r="BQ17" s="707"/>
      <c r="BR17" s="710">
        <f t="shared" si="34"/>
        <v>0</v>
      </c>
      <c r="BS17" s="707">
        <f t="shared" si="35"/>
        <v>0</v>
      </c>
      <c r="BT17" s="707"/>
      <c r="BU17" s="707"/>
      <c r="BV17" s="710">
        <f t="shared" si="36"/>
        <v>0</v>
      </c>
      <c r="BW17" s="707">
        <f t="shared" si="37"/>
        <v>0</v>
      </c>
      <c r="BX17" s="707"/>
      <c r="BY17" s="707"/>
      <c r="BZ17" s="710">
        <f t="shared" si="38"/>
        <v>0</v>
      </c>
      <c r="CA17" s="707">
        <f t="shared" si="39"/>
        <v>0</v>
      </c>
      <c r="CB17" s="707"/>
      <c r="CC17" s="707"/>
      <c r="CD17" s="710">
        <f t="shared" si="40"/>
        <v>0</v>
      </c>
      <c r="CE17" s="707">
        <f t="shared" si="41"/>
        <v>0</v>
      </c>
      <c r="CF17" s="707"/>
      <c r="CG17" s="707"/>
      <c r="CH17" s="710">
        <f t="shared" si="42"/>
        <v>0</v>
      </c>
      <c r="CI17" s="707">
        <f t="shared" si="43"/>
        <v>0</v>
      </c>
      <c r="CJ17" s="707"/>
      <c r="CK17" s="707"/>
      <c r="CL17" s="710">
        <f t="shared" si="44"/>
        <v>0</v>
      </c>
      <c r="CM17" s="707">
        <f t="shared" si="45"/>
        <v>0</v>
      </c>
      <c r="CN17" s="707"/>
      <c r="CO17" s="707"/>
      <c r="CP17" s="710">
        <f t="shared" si="46"/>
        <v>0</v>
      </c>
      <c r="CQ17" s="707">
        <f t="shared" si="47"/>
        <v>0</v>
      </c>
      <c r="CR17" s="707"/>
      <c r="CS17" s="707"/>
      <c r="CT17" s="710">
        <f t="shared" si="48"/>
        <v>0</v>
      </c>
      <c r="CU17" s="707">
        <f t="shared" si="49"/>
        <v>0</v>
      </c>
      <c r="CV17" s="707"/>
      <c r="CW17" s="707"/>
      <c r="CX17" s="710">
        <f t="shared" si="50"/>
        <v>0</v>
      </c>
      <c r="CY17" s="707">
        <f t="shared" si="51"/>
        <v>0</v>
      </c>
      <c r="CZ17" s="707"/>
      <c r="DA17" s="707"/>
      <c r="DB17" s="710">
        <f t="shared" si="52"/>
        <v>0</v>
      </c>
      <c r="DC17" s="707">
        <f t="shared" si="53"/>
        <v>0</v>
      </c>
      <c r="DD17" s="707"/>
      <c r="DE17" s="707"/>
      <c r="DF17" s="710">
        <f t="shared" si="54"/>
        <v>0</v>
      </c>
      <c r="DG17" s="707">
        <f t="shared" si="55"/>
        <v>0</v>
      </c>
      <c r="DH17" s="707"/>
      <c r="DI17" s="707"/>
      <c r="DJ17" s="710">
        <f t="shared" si="56"/>
        <v>0</v>
      </c>
      <c r="DK17" s="707">
        <f t="shared" si="1"/>
        <v>0</v>
      </c>
      <c r="DL17" s="707"/>
      <c r="DM17" s="707"/>
      <c r="DN17" s="710">
        <f t="shared" si="57"/>
        <v>0</v>
      </c>
      <c r="DO17" s="707">
        <f t="shared" si="2"/>
        <v>0</v>
      </c>
      <c r="DP17" s="707"/>
      <c r="DQ17" s="707"/>
      <c r="DR17" s="710">
        <f t="shared" si="58"/>
        <v>0</v>
      </c>
      <c r="DS17" s="707">
        <f t="shared" si="59"/>
        <v>0</v>
      </c>
      <c r="DT17" s="707"/>
      <c r="DU17" s="707"/>
      <c r="DV17" s="710">
        <f t="shared" si="60"/>
        <v>0</v>
      </c>
      <c r="DW17" s="707"/>
      <c r="DX17" s="707">
        <f t="shared" si="3"/>
        <v>0</v>
      </c>
      <c r="DY17" s="707">
        <f t="shared" si="61"/>
        <v>0</v>
      </c>
      <c r="DZ17" s="710">
        <f t="shared" si="62"/>
        <v>0</v>
      </c>
    </row>
    <row r="18" spans="1:130" x14ac:dyDescent="0.25">
      <c r="A18" s="1819"/>
      <c r="B18" s="685" t="s">
        <v>332</v>
      </c>
      <c r="C18" s="707"/>
      <c r="D18" s="707"/>
      <c r="E18" s="707"/>
      <c r="F18" s="710">
        <f t="shared" si="4"/>
        <v>0</v>
      </c>
      <c r="G18" s="707">
        <f t="shared" si="0"/>
        <v>0</v>
      </c>
      <c r="H18" s="707"/>
      <c r="I18" s="707"/>
      <c r="J18" s="710">
        <f t="shared" si="5"/>
        <v>0</v>
      </c>
      <c r="K18" s="707">
        <f t="shared" si="6"/>
        <v>0</v>
      </c>
      <c r="L18" s="707"/>
      <c r="M18" s="707"/>
      <c r="N18" s="710">
        <f t="shared" si="7"/>
        <v>0</v>
      </c>
      <c r="O18" s="707">
        <f t="shared" si="8"/>
        <v>0</v>
      </c>
      <c r="P18" s="707"/>
      <c r="Q18" s="707"/>
      <c r="R18" s="710">
        <f t="shared" si="9"/>
        <v>0</v>
      </c>
      <c r="S18" s="707">
        <f t="shared" si="10"/>
        <v>0</v>
      </c>
      <c r="T18" s="707"/>
      <c r="U18" s="707"/>
      <c r="V18" s="710">
        <f t="shared" si="11"/>
        <v>0</v>
      </c>
      <c r="W18" s="707">
        <f t="shared" si="12"/>
        <v>0</v>
      </c>
      <c r="X18" s="707"/>
      <c r="Y18" s="707"/>
      <c r="Z18" s="710">
        <f t="shared" si="13"/>
        <v>0</v>
      </c>
      <c r="AA18" s="707">
        <f t="shared" si="14"/>
        <v>0</v>
      </c>
      <c r="AB18" s="707"/>
      <c r="AC18" s="707"/>
      <c r="AD18" s="710">
        <f t="shared" si="15"/>
        <v>0</v>
      </c>
      <c r="AE18" s="707">
        <f t="shared" si="16"/>
        <v>0</v>
      </c>
      <c r="AF18" s="707"/>
      <c r="AG18" s="707"/>
      <c r="AH18" s="707">
        <f t="shared" si="17"/>
        <v>0</v>
      </c>
      <c r="AI18" s="707">
        <f t="shared" si="18"/>
        <v>0</v>
      </c>
      <c r="AJ18" s="707"/>
      <c r="AK18" s="707"/>
      <c r="AL18" s="710">
        <f t="shared" si="63"/>
        <v>0</v>
      </c>
      <c r="AM18" s="707">
        <f t="shared" si="19"/>
        <v>0</v>
      </c>
      <c r="AN18" s="707"/>
      <c r="AO18" s="707"/>
      <c r="AP18" s="710">
        <f t="shared" si="20"/>
        <v>0</v>
      </c>
      <c r="AQ18" s="707">
        <f t="shared" si="21"/>
        <v>0</v>
      </c>
      <c r="AR18" s="707"/>
      <c r="AS18" s="707"/>
      <c r="AT18" s="710">
        <f t="shared" si="22"/>
        <v>0</v>
      </c>
      <c r="AU18" s="707">
        <f t="shared" si="23"/>
        <v>0</v>
      </c>
      <c r="AV18" s="707"/>
      <c r="AW18" s="707"/>
      <c r="AX18" s="710">
        <f t="shared" si="24"/>
        <v>0</v>
      </c>
      <c r="AY18" s="707">
        <f t="shared" si="25"/>
        <v>0</v>
      </c>
      <c r="AZ18" s="707"/>
      <c r="BA18" s="707"/>
      <c r="BB18" s="710">
        <f t="shared" si="26"/>
        <v>0</v>
      </c>
      <c r="BC18" s="707">
        <f t="shared" si="27"/>
        <v>0</v>
      </c>
      <c r="BD18" s="707"/>
      <c r="BE18" s="707"/>
      <c r="BF18" s="710">
        <f t="shared" si="28"/>
        <v>0</v>
      </c>
      <c r="BG18" s="707">
        <f t="shared" si="29"/>
        <v>0</v>
      </c>
      <c r="BH18" s="707"/>
      <c r="BI18" s="707"/>
      <c r="BJ18" s="710">
        <f t="shared" si="30"/>
        <v>0</v>
      </c>
      <c r="BK18" s="707">
        <f t="shared" si="31"/>
        <v>0</v>
      </c>
      <c r="BL18" s="707"/>
      <c r="BM18" s="707"/>
      <c r="BN18" s="710">
        <f t="shared" si="32"/>
        <v>0</v>
      </c>
      <c r="BO18" s="707">
        <f t="shared" si="33"/>
        <v>0</v>
      </c>
      <c r="BP18" s="707"/>
      <c r="BQ18" s="707"/>
      <c r="BR18" s="710">
        <f t="shared" si="34"/>
        <v>0</v>
      </c>
      <c r="BS18" s="707">
        <f t="shared" si="35"/>
        <v>0</v>
      </c>
      <c r="BT18" s="707"/>
      <c r="BU18" s="707"/>
      <c r="BV18" s="710">
        <f t="shared" si="36"/>
        <v>0</v>
      </c>
      <c r="BW18" s="707">
        <f t="shared" si="37"/>
        <v>0</v>
      </c>
      <c r="BX18" s="707"/>
      <c r="BY18" s="707"/>
      <c r="BZ18" s="710">
        <f t="shared" si="38"/>
        <v>0</v>
      </c>
      <c r="CA18" s="707">
        <f t="shared" si="39"/>
        <v>0</v>
      </c>
      <c r="CB18" s="707"/>
      <c r="CC18" s="707"/>
      <c r="CD18" s="710">
        <f t="shared" si="40"/>
        <v>0</v>
      </c>
      <c r="CE18" s="707">
        <f t="shared" si="41"/>
        <v>0</v>
      </c>
      <c r="CF18" s="707"/>
      <c r="CG18" s="707"/>
      <c r="CH18" s="710">
        <f t="shared" si="42"/>
        <v>0</v>
      </c>
      <c r="CI18" s="707">
        <f t="shared" si="43"/>
        <v>0</v>
      </c>
      <c r="CJ18" s="707"/>
      <c r="CK18" s="707"/>
      <c r="CL18" s="710">
        <f t="shared" si="44"/>
        <v>0</v>
      </c>
      <c r="CM18" s="707">
        <f t="shared" si="45"/>
        <v>0</v>
      </c>
      <c r="CN18" s="707"/>
      <c r="CO18" s="707"/>
      <c r="CP18" s="710">
        <f t="shared" si="46"/>
        <v>0</v>
      </c>
      <c r="CQ18" s="707">
        <f t="shared" si="47"/>
        <v>0</v>
      </c>
      <c r="CR18" s="707"/>
      <c r="CS18" s="707"/>
      <c r="CT18" s="710">
        <f t="shared" si="48"/>
        <v>0</v>
      </c>
      <c r="CU18" s="707">
        <f t="shared" si="49"/>
        <v>0</v>
      </c>
      <c r="CV18" s="707"/>
      <c r="CW18" s="707"/>
      <c r="CX18" s="710">
        <f t="shared" si="50"/>
        <v>0</v>
      </c>
      <c r="CY18" s="707">
        <f t="shared" si="51"/>
        <v>0</v>
      </c>
      <c r="CZ18" s="707"/>
      <c r="DA18" s="707"/>
      <c r="DB18" s="710">
        <f t="shared" si="52"/>
        <v>0</v>
      </c>
      <c r="DC18" s="707">
        <f t="shared" si="53"/>
        <v>0</v>
      </c>
      <c r="DD18" s="707"/>
      <c r="DE18" s="707"/>
      <c r="DF18" s="710">
        <f t="shared" si="54"/>
        <v>0</v>
      </c>
      <c r="DG18" s="707">
        <f t="shared" si="55"/>
        <v>0</v>
      </c>
      <c r="DH18" s="707"/>
      <c r="DI18" s="707"/>
      <c r="DJ18" s="710">
        <f t="shared" si="56"/>
        <v>0</v>
      </c>
      <c r="DK18" s="707">
        <f t="shared" si="1"/>
        <v>0</v>
      </c>
      <c r="DL18" s="707"/>
      <c r="DM18" s="707"/>
      <c r="DN18" s="710">
        <f t="shared" si="57"/>
        <v>0</v>
      </c>
      <c r="DO18" s="707">
        <f t="shared" si="2"/>
        <v>0</v>
      </c>
      <c r="DP18" s="707"/>
      <c r="DQ18" s="707"/>
      <c r="DR18" s="710">
        <f t="shared" si="58"/>
        <v>0</v>
      </c>
      <c r="DS18" s="707">
        <f t="shared" si="59"/>
        <v>0</v>
      </c>
      <c r="DT18" s="707"/>
      <c r="DU18" s="707"/>
      <c r="DV18" s="710">
        <f t="shared" si="60"/>
        <v>0</v>
      </c>
      <c r="DW18" s="707"/>
      <c r="DX18" s="707">
        <f t="shared" si="3"/>
        <v>0</v>
      </c>
      <c r="DY18" s="707">
        <f t="shared" si="61"/>
        <v>0</v>
      </c>
      <c r="DZ18" s="710">
        <f t="shared" si="62"/>
        <v>0</v>
      </c>
    </row>
    <row r="19" spans="1:130" x14ac:dyDescent="0.25">
      <c r="A19" s="1819"/>
      <c r="B19" s="685" t="s">
        <v>333</v>
      </c>
      <c r="C19" s="707">
        <v>40437</v>
      </c>
      <c r="D19" s="707"/>
      <c r="E19" s="707">
        <v>40437</v>
      </c>
      <c r="F19" s="710">
        <f t="shared" si="4"/>
        <v>0</v>
      </c>
      <c r="G19" s="707">
        <f t="shared" si="0"/>
        <v>40437</v>
      </c>
      <c r="H19" s="707"/>
      <c r="I19" s="707">
        <v>40437</v>
      </c>
      <c r="J19" s="710">
        <f t="shared" si="5"/>
        <v>0</v>
      </c>
      <c r="K19" s="707">
        <f t="shared" si="6"/>
        <v>40437</v>
      </c>
      <c r="L19" s="707"/>
      <c r="M19" s="707">
        <v>40437</v>
      </c>
      <c r="N19" s="710">
        <f t="shared" si="7"/>
        <v>0</v>
      </c>
      <c r="O19" s="707">
        <f t="shared" si="8"/>
        <v>40437</v>
      </c>
      <c r="P19" s="707"/>
      <c r="Q19" s="707">
        <v>40437</v>
      </c>
      <c r="R19" s="710">
        <f t="shared" si="9"/>
        <v>0</v>
      </c>
      <c r="S19" s="707">
        <f t="shared" si="10"/>
        <v>40437</v>
      </c>
      <c r="T19" s="707"/>
      <c r="U19" s="707">
        <v>40437</v>
      </c>
      <c r="V19" s="710">
        <f t="shared" si="11"/>
        <v>0</v>
      </c>
      <c r="W19" s="707">
        <f t="shared" si="12"/>
        <v>40437</v>
      </c>
      <c r="X19" s="707"/>
      <c r="Y19" s="707">
        <v>40437</v>
      </c>
      <c r="Z19" s="710">
        <f t="shared" si="13"/>
        <v>0</v>
      </c>
      <c r="AA19" s="707">
        <f t="shared" si="14"/>
        <v>40437</v>
      </c>
      <c r="AB19" s="707"/>
      <c r="AC19" s="707">
        <v>40437</v>
      </c>
      <c r="AD19" s="710">
        <f t="shared" si="15"/>
        <v>0</v>
      </c>
      <c r="AE19" s="707">
        <f t="shared" si="16"/>
        <v>40437</v>
      </c>
      <c r="AF19" s="707"/>
      <c r="AG19" s="707">
        <v>40437</v>
      </c>
      <c r="AH19" s="710">
        <f>AG19-AE19-AF19</f>
        <v>0</v>
      </c>
      <c r="AI19" s="707">
        <f t="shared" si="18"/>
        <v>40437</v>
      </c>
      <c r="AJ19" s="707"/>
      <c r="AK19" s="707">
        <v>40437</v>
      </c>
      <c r="AL19" s="710">
        <f t="shared" si="63"/>
        <v>0</v>
      </c>
      <c r="AM19" s="707">
        <f t="shared" si="19"/>
        <v>40437</v>
      </c>
      <c r="AN19" s="707"/>
      <c r="AO19" s="707">
        <v>40437</v>
      </c>
      <c r="AP19" s="710">
        <f t="shared" si="20"/>
        <v>0</v>
      </c>
      <c r="AQ19" s="707">
        <f t="shared" si="21"/>
        <v>40437</v>
      </c>
      <c r="AR19" s="707"/>
      <c r="AS19" s="707">
        <v>40437</v>
      </c>
      <c r="AT19" s="710">
        <f t="shared" si="22"/>
        <v>0</v>
      </c>
      <c r="AU19" s="707">
        <f t="shared" si="23"/>
        <v>40437</v>
      </c>
      <c r="AV19" s="707"/>
      <c r="AW19" s="707">
        <v>40437</v>
      </c>
      <c r="AX19" s="710">
        <f t="shared" si="24"/>
        <v>0</v>
      </c>
      <c r="AY19" s="707">
        <f t="shared" si="25"/>
        <v>40437</v>
      </c>
      <c r="AZ19" s="707"/>
      <c r="BA19" s="707">
        <v>40437</v>
      </c>
      <c r="BB19" s="710">
        <f t="shared" si="26"/>
        <v>0</v>
      </c>
      <c r="BC19" s="707">
        <f t="shared" si="27"/>
        <v>40437</v>
      </c>
      <c r="BD19" s="707"/>
      <c r="BE19" s="707">
        <v>40437</v>
      </c>
      <c r="BF19" s="710">
        <f t="shared" si="28"/>
        <v>0</v>
      </c>
      <c r="BG19" s="707">
        <f t="shared" si="29"/>
        <v>40437</v>
      </c>
      <c r="BH19" s="707"/>
      <c r="BI19" s="707">
        <v>40437</v>
      </c>
      <c r="BJ19" s="710">
        <f t="shared" si="30"/>
        <v>0</v>
      </c>
      <c r="BK19" s="707">
        <f t="shared" si="31"/>
        <v>40437</v>
      </c>
      <c r="BL19" s="707"/>
      <c r="BM19" s="707">
        <v>40437</v>
      </c>
      <c r="BN19" s="710">
        <f t="shared" si="32"/>
        <v>0</v>
      </c>
      <c r="BO19" s="707">
        <f t="shared" si="33"/>
        <v>40437</v>
      </c>
      <c r="BP19" s="707"/>
      <c r="BQ19" s="707">
        <v>40437</v>
      </c>
      <c r="BR19" s="710">
        <f t="shared" si="34"/>
        <v>0</v>
      </c>
      <c r="BS19" s="707">
        <f t="shared" si="35"/>
        <v>40437</v>
      </c>
      <c r="BT19" s="707"/>
      <c r="BU19" s="707">
        <v>40437</v>
      </c>
      <c r="BV19" s="710">
        <f t="shared" si="36"/>
        <v>0</v>
      </c>
      <c r="BW19" s="707">
        <f t="shared" si="37"/>
        <v>40437</v>
      </c>
      <c r="BX19" s="707"/>
      <c r="BY19" s="707">
        <v>40437</v>
      </c>
      <c r="BZ19" s="710">
        <f t="shared" si="38"/>
        <v>0</v>
      </c>
      <c r="CA19" s="707">
        <f t="shared" si="39"/>
        <v>40437</v>
      </c>
      <c r="CB19" s="707"/>
      <c r="CC19" s="707">
        <v>40437</v>
      </c>
      <c r="CD19" s="710">
        <f t="shared" si="40"/>
        <v>0</v>
      </c>
      <c r="CE19" s="707">
        <f t="shared" si="41"/>
        <v>40437</v>
      </c>
      <c r="CF19" s="707"/>
      <c r="CG19" s="707">
        <v>40437</v>
      </c>
      <c r="CH19" s="710">
        <f t="shared" si="42"/>
        <v>0</v>
      </c>
      <c r="CI19" s="707">
        <f t="shared" si="43"/>
        <v>40437</v>
      </c>
      <c r="CJ19" s="707"/>
      <c r="CK19" s="707">
        <v>40437</v>
      </c>
      <c r="CL19" s="710">
        <f t="shared" si="44"/>
        <v>0</v>
      </c>
      <c r="CM19" s="707">
        <f t="shared" si="45"/>
        <v>40437</v>
      </c>
      <c r="CN19" s="707"/>
      <c r="CO19" s="707">
        <v>40437</v>
      </c>
      <c r="CP19" s="710">
        <f t="shared" si="46"/>
        <v>0</v>
      </c>
      <c r="CQ19" s="707">
        <f t="shared" si="47"/>
        <v>40437</v>
      </c>
      <c r="CR19" s="707"/>
      <c r="CS19" s="707">
        <v>40437</v>
      </c>
      <c r="CT19" s="710">
        <f t="shared" si="48"/>
        <v>0</v>
      </c>
      <c r="CU19" s="707">
        <f t="shared" si="49"/>
        <v>40437</v>
      </c>
      <c r="CV19" s="707"/>
      <c r="CW19" s="707">
        <v>40437</v>
      </c>
      <c r="CX19" s="710">
        <f t="shared" si="50"/>
        <v>0</v>
      </c>
      <c r="CY19" s="707">
        <f t="shared" si="51"/>
        <v>40437</v>
      </c>
      <c r="CZ19" s="707"/>
      <c r="DA19" s="707">
        <v>40437</v>
      </c>
      <c r="DB19" s="710">
        <f t="shared" si="52"/>
        <v>0</v>
      </c>
      <c r="DC19" s="707">
        <f t="shared" si="53"/>
        <v>40437</v>
      </c>
      <c r="DD19" s="707"/>
      <c r="DE19" s="707">
        <v>40437</v>
      </c>
      <c r="DF19" s="710">
        <f t="shared" si="54"/>
        <v>0</v>
      </c>
      <c r="DG19" s="707">
        <f t="shared" si="55"/>
        <v>40437</v>
      </c>
      <c r="DH19" s="707"/>
      <c r="DI19" s="707">
        <v>40437</v>
      </c>
      <c r="DJ19" s="710">
        <f t="shared" si="56"/>
        <v>0</v>
      </c>
      <c r="DK19" s="707">
        <f t="shared" si="1"/>
        <v>40437</v>
      </c>
      <c r="DL19" s="707"/>
      <c r="DM19" s="707">
        <v>40437</v>
      </c>
      <c r="DN19" s="710">
        <f t="shared" si="57"/>
        <v>0</v>
      </c>
      <c r="DO19" s="707">
        <f t="shared" si="2"/>
        <v>40437</v>
      </c>
      <c r="DP19" s="707"/>
      <c r="DQ19" s="707">
        <v>40437</v>
      </c>
      <c r="DR19" s="710">
        <f t="shared" si="58"/>
        <v>0</v>
      </c>
      <c r="DS19" s="707">
        <f t="shared" si="59"/>
        <v>40437</v>
      </c>
      <c r="DT19" s="707"/>
      <c r="DU19" s="707">
        <v>40437</v>
      </c>
      <c r="DV19" s="710">
        <f t="shared" si="60"/>
        <v>0</v>
      </c>
      <c r="DW19" s="707">
        <v>40437</v>
      </c>
      <c r="DX19" s="707">
        <f t="shared" si="3"/>
        <v>0</v>
      </c>
      <c r="DY19" s="707">
        <f t="shared" si="61"/>
        <v>40437</v>
      </c>
      <c r="DZ19" s="710">
        <f t="shared" si="62"/>
        <v>0</v>
      </c>
    </row>
    <row r="20" spans="1:130" x14ac:dyDescent="0.25">
      <c r="A20" s="1819"/>
      <c r="B20" s="685" t="s">
        <v>334</v>
      </c>
      <c r="C20" s="707">
        <v>0</v>
      </c>
      <c r="D20" s="707"/>
      <c r="E20" s="707"/>
      <c r="F20" s="710">
        <f t="shared" si="4"/>
        <v>0</v>
      </c>
      <c r="G20" s="707">
        <f t="shared" si="0"/>
        <v>0</v>
      </c>
      <c r="H20" s="707"/>
      <c r="I20" s="707"/>
      <c r="J20" s="710">
        <f t="shared" si="5"/>
        <v>0</v>
      </c>
      <c r="K20" s="707">
        <f t="shared" si="6"/>
        <v>0</v>
      </c>
      <c r="L20" s="707"/>
      <c r="M20" s="707"/>
      <c r="N20" s="710">
        <f t="shared" si="7"/>
        <v>0</v>
      </c>
      <c r="O20" s="707">
        <f t="shared" si="8"/>
        <v>0</v>
      </c>
      <c r="P20" s="707"/>
      <c r="Q20" s="707"/>
      <c r="R20" s="710">
        <f t="shared" si="9"/>
        <v>0</v>
      </c>
      <c r="S20" s="707">
        <f t="shared" si="10"/>
        <v>0</v>
      </c>
      <c r="T20" s="707"/>
      <c r="U20" s="707"/>
      <c r="V20" s="710">
        <f t="shared" si="11"/>
        <v>0</v>
      </c>
      <c r="W20" s="707">
        <f t="shared" si="12"/>
        <v>0</v>
      </c>
      <c r="X20" s="707"/>
      <c r="Y20" s="707"/>
      <c r="Z20" s="710">
        <f t="shared" si="13"/>
        <v>0</v>
      </c>
      <c r="AA20" s="707">
        <f t="shared" si="14"/>
        <v>0</v>
      </c>
      <c r="AB20" s="707"/>
      <c r="AC20" s="707"/>
      <c r="AD20" s="710">
        <f t="shared" si="15"/>
        <v>0</v>
      </c>
      <c r="AE20" s="707">
        <f t="shared" si="16"/>
        <v>0</v>
      </c>
      <c r="AF20" s="707"/>
      <c r="AG20" s="707"/>
      <c r="AH20" s="710">
        <f>AG20-AE20-AF20</f>
        <v>0</v>
      </c>
      <c r="AI20" s="707">
        <f t="shared" si="18"/>
        <v>0</v>
      </c>
      <c r="AJ20" s="707"/>
      <c r="AK20" s="707"/>
      <c r="AL20" s="710">
        <f t="shared" si="63"/>
        <v>0</v>
      </c>
      <c r="AM20" s="707">
        <f t="shared" si="19"/>
        <v>0</v>
      </c>
      <c r="AN20" s="707"/>
      <c r="AO20" s="707"/>
      <c r="AP20" s="710">
        <f t="shared" si="20"/>
        <v>0</v>
      </c>
      <c r="AQ20" s="707">
        <f t="shared" si="21"/>
        <v>0</v>
      </c>
      <c r="AR20" s="707"/>
      <c r="AS20" s="707"/>
      <c r="AT20" s="710">
        <f t="shared" si="22"/>
        <v>0</v>
      </c>
      <c r="AU20" s="707">
        <f t="shared" si="23"/>
        <v>0</v>
      </c>
      <c r="AV20" s="707"/>
      <c r="AW20" s="707"/>
      <c r="AX20" s="710">
        <f t="shared" si="24"/>
        <v>0</v>
      </c>
      <c r="AY20" s="707">
        <f t="shared" si="25"/>
        <v>0</v>
      </c>
      <c r="AZ20" s="707"/>
      <c r="BA20" s="707"/>
      <c r="BB20" s="710">
        <f t="shared" si="26"/>
        <v>0</v>
      </c>
      <c r="BC20" s="707">
        <f t="shared" si="27"/>
        <v>0</v>
      </c>
      <c r="BD20" s="707"/>
      <c r="BE20" s="707"/>
      <c r="BF20" s="710">
        <f t="shared" si="28"/>
        <v>0</v>
      </c>
      <c r="BG20" s="707">
        <f t="shared" si="29"/>
        <v>0</v>
      </c>
      <c r="BH20" s="707"/>
      <c r="BI20" s="707"/>
      <c r="BJ20" s="710">
        <f t="shared" si="30"/>
        <v>0</v>
      </c>
      <c r="BK20" s="707">
        <f t="shared" si="31"/>
        <v>0</v>
      </c>
      <c r="BL20" s="707"/>
      <c r="BM20" s="707"/>
      <c r="BN20" s="710">
        <f t="shared" si="32"/>
        <v>0</v>
      </c>
      <c r="BO20" s="707">
        <f t="shared" si="33"/>
        <v>0</v>
      </c>
      <c r="BP20" s="707"/>
      <c r="BQ20" s="707"/>
      <c r="BR20" s="710">
        <f t="shared" si="34"/>
        <v>0</v>
      </c>
      <c r="BS20" s="707">
        <f t="shared" si="35"/>
        <v>0</v>
      </c>
      <c r="BT20" s="707"/>
      <c r="BU20" s="707"/>
      <c r="BV20" s="710">
        <f t="shared" si="36"/>
        <v>0</v>
      </c>
      <c r="BW20" s="707">
        <f t="shared" si="37"/>
        <v>0</v>
      </c>
      <c r="BX20" s="707"/>
      <c r="BY20" s="707"/>
      <c r="BZ20" s="710">
        <f t="shared" si="38"/>
        <v>0</v>
      </c>
      <c r="CA20" s="707">
        <f t="shared" si="39"/>
        <v>0</v>
      </c>
      <c r="CB20" s="707"/>
      <c r="CC20" s="707"/>
      <c r="CD20" s="710">
        <f t="shared" si="40"/>
        <v>0</v>
      </c>
      <c r="CE20" s="707">
        <f t="shared" si="41"/>
        <v>0</v>
      </c>
      <c r="CF20" s="707"/>
      <c r="CG20" s="707"/>
      <c r="CH20" s="710">
        <f t="shared" si="42"/>
        <v>0</v>
      </c>
      <c r="CI20" s="707">
        <f t="shared" si="43"/>
        <v>0</v>
      </c>
      <c r="CJ20" s="707"/>
      <c r="CK20" s="707"/>
      <c r="CL20" s="710">
        <f t="shared" si="44"/>
        <v>0</v>
      </c>
      <c r="CM20" s="707">
        <f t="shared" si="45"/>
        <v>0</v>
      </c>
      <c r="CN20" s="707"/>
      <c r="CO20" s="707"/>
      <c r="CP20" s="710">
        <f t="shared" si="46"/>
        <v>0</v>
      </c>
      <c r="CQ20" s="707"/>
      <c r="CR20" s="707"/>
      <c r="CS20" s="707"/>
      <c r="CT20" s="710">
        <f t="shared" si="48"/>
        <v>0</v>
      </c>
      <c r="CU20" s="707">
        <f t="shared" si="49"/>
        <v>0</v>
      </c>
      <c r="CV20" s="707"/>
      <c r="CW20" s="707"/>
      <c r="CX20" s="710">
        <f t="shared" si="50"/>
        <v>0</v>
      </c>
      <c r="CY20" s="707">
        <f t="shared" si="51"/>
        <v>0</v>
      </c>
      <c r="CZ20" s="707"/>
      <c r="DA20" s="707"/>
      <c r="DB20" s="710">
        <f t="shared" si="52"/>
        <v>0</v>
      </c>
      <c r="DC20" s="707">
        <f t="shared" si="53"/>
        <v>0</v>
      </c>
      <c r="DD20" s="707"/>
      <c r="DE20" s="707"/>
      <c r="DF20" s="710">
        <f t="shared" si="54"/>
        <v>0</v>
      </c>
      <c r="DG20" s="707">
        <f t="shared" si="55"/>
        <v>0</v>
      </c>
      <c r="DH20" s="707"/>
      <c r="DI20" s="707"/>
      <c r="DJ20" s="710">
        <f t="shared" si="56"/>
        <v>0</v>
      </c>
      <c r="DK20" s="707"/>
      <c r="DL20" s="707"/>
      <c r="DM20" s="707"/>
      <c r="DN20" s="710">
        <f t="shared" si="57"/>
        <v>0</v>
      </c>
      <c r="DO20" s="707">
        <f t="shared" si="2"/>
        <v>0</v>
      </c>
      <c r="DP20" s="707"/>
      <c r="DQ20" s="707"/>
      <c r="DR20" s="710">
        <f t="shared" si="58"/>
        <v>0</v>
      </c>
      <c r="DS20" s="707"/>
      <c r="DT20" s="707"/>
      <c r="DU20" s="707"/>
      <c r="DV20" s="710">
        <f t="shared" si="60"/>
        <v>0</v>
      </c>
      <c r="DW20" s="707"/>
      <c r="DX20" s="707">
        <f t="shared" si="3"/>
        <v>0</v>
      </c>
      <c r="DY20" s="707">
        <f t="shared" si="61"/>
        <v>0</v>
      </c>
      <c r="DZ20" s="710">
        <f t="shared" si="62"/>
        <v>0</v>
      </c>
    </row>
    <row r="21" spans="1:130" x14ac:dyDescent="0.25">
      <c r="A21" s="1819"/>
      <c r="B21" s="685"/>
      <c r="C21" s="707"/>
      <c r="D21" s="707"/>
      <c r="E21" s="707"/>
      <c r="F21" s="710"/>
      <c r="G21" s="707"/>
      <c r="H21" s="707"/>
      <c r="I21" s="707"/>
      <c r="J21" s="710"/>
      <c r="K21" s="707"/>
      <c r="L21" s="707"/>
      <c r="M21" s="707"/>
      <c r="N21" s="710"/>
      <c r="O21" s="707"/>
      <c r="P21" s="707"/>
      <c r="Q21" s="707"/>
      <c r="R21" s="710"/>
      <c r="S21" s="707"/>
      <c r="T21" s="707"/>
      <c r="U21" s="707"/>
      <c r="V21" s="710"/>
      <c r="W21" s="707"/>
      <c r="X21" s="707"/>
      <c r="Y21" s="707"/>
      <c r="Z21" s="710"/>
      <c r="AA21" s="707"/>
      <c r="AB21" s="707"/>
      <c r="AC21" s="707"/>
      <c r="AD21" s="710"/>
      <c r="AE21" s="707"/>
      <c r="AF21" s="707"/>
      <c r="AG21" s="707"/>
      <c r="AH21" s="710"/>
      <c r="AI21" s="707"/>
      <c r="AJ21" s="707"/>
      <c r="AK21" s="707"/>
      <c r="AL21" s="710"/>
      <c r="AM21" s="707"/>
      <c r="AN21" s="707"/>
      <c r="AO21" s="707"/>
      <c r="AP21" s="710"/>
      <c r="AQ21" s="707"/>
      <c r="AR21" s="707"/>
      <c r="AS21" s="707"/>
      <c r="AT21" s="710"/>
      <c r="AU21" s="707"/>
      <c r="AV21" s="707"/>
      <c r="AW21" s="707"/>
      <c r="AX21" s="710"/>
      <c r="AY21" s="707"/>
      <c r="AZ21" s="707"/>
      <c r="BA21" s="707"/>
      <c r="BB21" s="710"/>
      <c r="BC21" s="707"/>
      <c r="BD21" s="707"/>
      <c r="BE21" s="707"/>
      <c r="BF21" s="710"/>
      <c r="BG21" s="707"/>
      <c r="BH21" s="707"/>
      <c r="BI21" s="707"/>
      <c r="BJ21" s="710"/>
      <c r="BK21" s="707"/>
      <c r="BL21" s="707"/>
      <c r="BM21" s="707"/>
      <c r="BN21" s="710"/>
      <c r="BO21" s="707"/>
      <c r="BP21" s="707"/>
      <c r="BQ21" s="707"/>
      <c r="BR21" s="710"/>
      <c r="BS21" s="707"/>
      <c r="BT21" s="707"/>
      <c r="BU21" s="707"/>
      <c r="BV21" s="710"/>
      <c r="BW21" s="707"/>
      <c r="BX21" s="707"/>
      <c r="BY21" s="707"/>
      <c r="BZ21" s="710"/>
      <c r="CA21" s="707"/>
      <c r="CB21" s="707"/>
      <c r="CC21" s="707"/>
      <c r="CD21" s="710"/>
      <c r="CE21" s="707"/>
      <c r="CF21" s="707"/>
      <c r="CG21" s="707"/>
      <c r="CH21" s="710"/>
      <c r="CI21" s="707"/>
      <c r="CJ21" s="707"/>
      <c r="CK21" s="707"/>
      <c r="CL21" s="710"/>
      <c r="CM21" s="707"/>
      <c r="CN21" s="707"/>
      <c r="CO21" s="707"/>
      <c r="CP21" s="710"/>
      <c r="CQ21" s="707"/>
      <c r="CR21" s="707"/>
      <c r="CS21" s="707"/>
      <c r="CT21" s="710"/>
      <c r="CU21" s="707"/>
      <c r="CV21" s="707"/>
      <c r="CW21" s="707"/>
      <c r="CX21" s="710"/>
      <c r="CY21" s="707"/>
      <c r="CZ21" s="707"/>
      <c r="DA21" s="707"/>
      <c r="DB21" s="710"/>
      <c r="DC21" s="707"/>
      <c r="DD21" s="707"/>
      <c r="DE21" s="707"/>
      <c r="DF21" s="710"/>
      <c r="DG21" s="707"/>
      <c r="DH21" s="707"/>
      <c r="DI21" s="707"/>
      <c r="DJ21" s="710"/>
      <c r="DK21" s="707"/>
      <c r="DL21" s="707"/>
      <c r="DM21" s="707"/>
      <c r="DN21" s="710"/>
      <c r="DO21" s="707"/>
      <c r="DP21" s="707"/>
      <c r="DQ21" s="707"/>
      <c r="DR21" s="710"/>
      <c r="DS21" s="707"/>
      <c r="DT21" s="707"/>
      <c r="DU21" s="707"/>
      <c r="DV21" s="710"/>
      <c r="DW21" s="707"/>
      <c r="DX21" s="707"/>
      <c r="DY21" s="707"/>
      <c r="DZ21" s="710"/>
    </row>
    <row r="22" spans="1:130" x14ac:dyDescent="0.25">
      <c r="A22" s="1819"/>
      <c r="B22" s="680"/>
      <c r="C22" s="684"/>
      <c r="D22" s="684"/>
      <c r="E22" s="684"/>
      <c r="F22" s="699">
        <f>SUM(F4:F21)</f>
        <v>5087</v>
      </c>
      <c r="G22" s="684"/>
      <c r="H22" s="684"/>
      <c r="I22" s="684"/>
      <c r="J22" s="699">
        <f>SUM(J4:J21)</f>
        <v>4750</v>
      </c>
      <c r="K22" s="684"/>
      <c r="L22" s="684"/>
      <c r="M22" s="684"/>
      <c r="N22" s="699">
        <f>SUM(N4:N21)</f>
        <v>5193</v>
      </c>
      <c r="O22" s="684"/>
      <c r="P22" s="684"/>
      <c r="Q22" s="684"/>
      <c r="R22" s="699">
        <f>SUM(R4:R21)</f>
        <v>4648</v>
      </c>
      <c r="S22" s="684"/>
      <c r="T22" s="684"/>
      <c r="U22" s="684"/>
      <c r="V22" s="699">
        <f>SUM(V4:V21)</f>
        <v>5672</v>
      </c>
      <c r="W22" s="684"/>
      <c r="X22" s="684"/>
      <c r="Y22" s="684"/>
      <c r="Z22" s="699">
        <f>SUM(Z4:Z21)</f>
        <v>7747</v>
      </c>
      <c r="AA22" s="684"/>
      <c r="AB22" s="684"/>
      <c r="AC22" s="684"/>
      <c r="AD22" s="699">
        <f>SUM(AD4:AD21)</f>
        <v>8015</v>
      </c>
      <c r="AE22" s="684"/>
      <c r="AF22" s="684"/>
      <c r="AG22" s="684"/>
      <c r="AH22" s="699">
        <f>SUM(AH4:AH21)</f>
        <v>4821</v>
      </c>
      <c r="AI22" s="684"/>
      <c r="AJ22" s="684"/>
      <c r="AK22" s="684"/>
      <c r="AL22" s="699">
        <f>SUM(AL4:AL21)</f>
        <v>-40253</v>
      </c>
      <c r="AM22" s="684"/>
      <c r="AN22" s="684"/>
      <c r="AO22" s="684"/>
      <c r="AP22" s="699">
        <f>SUM(AP4:AP21)</f>
        <v>0</v>
      </c>
      <c r="AQ22" s="684"/>
      <c r="AR22" s="684"/>
      <c r="AS22" s="684"/>
      <c r="AT22" s="699">
        <f>SUM(AT4:AT21)</f>
        <v>40253</v>
      </c>
      <c r="AU22" s="684"/>
      <c r="AV22" s="684"/>
      <c r="AW22" s="684"/>
      <c r="AX22" s="699">
        <f>SUM(AX4:AX21)</f>
        <v>0</v>
      </c>
      <c r="AY22" s="684"/>
      <c r="AZ22" s="684"/>
      <c r="BA22" s="684"/>
      <c r="BB22" s="699">
        <f>SUM(BB4:BB21)</f>
        <v>0</v>
      </c>
      <c r="BC22" s="684"/>
      <c r="BD22" s="684"/>
      <c r="BE22" s="684"/>
      <c r="BF22" s="699">
        <f>SUM(BF4:BF21)</f>
        <v>0</v>
      </c>
      <c r="BG22" s="684"/>
      <c r="BH22" s="684"/>
      <c r="BI22" s="684"/>
      <c r="BJ22" s="699">
        <f>SUM(BJ4:BJ21)</f>
        <v>0</v>
      </c>
      <c r="BK22" s="684"/>
      <c r="BL22" s="684"/>
      <c r="BM22" s="684"/>
      <c r="BN22" s="699">
        <f>SUM(BN4:BN21)</f>
        <v>0</v>
      </c>
      <c r="BO22" s="684"/>
      <c r="BP22" s="684"/>
      <c r="BQ22" s="684"/>
      <c r="BR22" s="699">
        <f>SUM(BR4:BR21)</f>
        <v>0</v>
      </c>
      <c r="BS22" s="684"/>
      <c r="BT22" s="684"/>
      <c r="BU22" s="684"/>
      <c r="BV22" s="699">
        <f>SUM(BV4:BV21)</f>
        <v>0</v>
      </c>
      <c r="BW22" s="684"/>
      <c r="BX22" s="684"/>
      <c r="BY22" s="684"/>
      <c r="BZ22" s="699">
        <f>SUM(BZ4:BZ21)</f>
        <v>0</v>
      </c>
      <c r="CA22" s="684"/>
      <c r="CB22" s="684"/>
      <c r="CC22" s="684"/>
      <c r="CD22" s="699">
        <f>SUM(CD4:CD21)</f>
        <v>0</v>
      </c>
      <c r="CE22" s="684"/>
      <c r="CF22" s="684"/>
      <c r="CG22" s="684"/>
      <c r="CH22" s="699">
        <f>SUM(CH4:CH21)</f>
        <v>0</v>
      </c>
      <c r="CI22" s="684"/>
      <c r="CJ22" s="684"/>
      <c r="CK22" s="684"/>
      <c r="CL22" s="699">
        <f>SUM(CL4:CL21)</f>
        <v>0</v>
      </c>
      <c r="CM22" s="684"/>
      <c r="CN22" s="684"/>
      <c r="CO22" s="684"/>
      <c r="CP22" s="699">
        <f>SUM(CP4:CP21)</f>
        <v>0</v>
      </c>
      <c r="CQ22" s="684"/>
      <c r="CR22" s="684"/>
      <c r="CS22" s="684"/>
      <c r="CT22" s="699">
        <f>SUM(CT4:CT21)</f>
        <v>0</v>
      </c>
      <c r="CU22" s="684"/>
      <c r="CV22" s="684"/>
      <c r="CW22" s="684"/>
      <c r="CX22" s="699">
        <f>SUM(CX4:CX21)</f>
        <v>0</v>
      </c>
      <c r="CY22" s="684"/>
      <c r="CZ22" s="684"/>
      <c r="DA22" s="684"/>
      <c r="DB22" s="699">
        <f>SUM(DB4:DB21)</f>
        <v>0</v>
      </c>
      <c r="DC22" s="684"/>
      <c r="DD22" s="684"/>
      <c r="DE22" s="684"/>
      <c r="DF22" s="699">
        <f>SUM(DF4:DF21)</f>
        <v>0</v>
      </c>
      <c r="DG22" s="684"/>
      <c r="DH22" s="684"/>
      <c r="DI22" s="684"/>
      <c r="DJ22" s="699">
        <f>SUM(DJ4:DJ21)</f>
        <v>0</v>
      </c>
      <c r="DK22" s="684"/>
      <c r="DL22" s="684"/>
      <c r="DM22" s="684"/>
      <c r="DN22" s="699">
        <f>SUM(DN4:DN21)</f>
        <v>0</v>
      </c>
      <c r="DO22" s="684"/>
      <c r="DP22" s="684"/>
      <c r="DQ22" s="684"/>
      <c r="DR22" s="699">
        <f>SUM(DR4:DR21)</f>
        <v>0</v>
      </c>
      <c r="DS22" s="684"/>
      <c r="DT22" s="684"/>
      <c r="DU22" s="684"/>
      <c r="DV22" s="699">
        <f>SUM(DV4:DV21)</f>
        <v>0</v>
      </c>
      <c r="DW22" s="684"/>
      <c r="DX22" s="684"/>
      <c r="DY22" s="684"/>
      <c r="DZ22" s="699">
        <f>SUM(DZ4:DZ21)</f>
        <v>-3874245</v>
      </c>
    </row>
    <row r="23" spans="1:130" ht="15" customHeight="1" x14ac:dyDescent="0.25">
      <c r="A23" s="1819"/>
      <c r="B23" s="1821" t="s">
        <v>335</v>
      </c>
      <c r="C23" s="1822"/>
      <c r="D23" s="707"/>
      <c r="E23" s="683" t="s">
        <v>95</v>
      </c>
      <c r="F23" s="893">
        <v>77000</v>
      </c>
      <c r="G23" s="707"/>
      <c r="I23" s="683" t="s">
        <v>95</v>
      </c>
      <c r="J23" s="893">
        <v>77000</v>
      </c>
      <c r="K23" s="707"/>
      <c r="L23" s="707"/>
      <c r="M23" s="683" t="s">
        <v>95</v>
      </c>
      <c r="N23" s="893">
        <v>77000</v>
      </c>
      <c r="O23" s="707"/>
      <c r="P23" s="707"/>
      <c r="Q23" s="683" t="s">
        <v>95</v>
      </c>
      <c r="R23" s="893">
        <v>77000</v>
      </c>
      <c r="S23" s="707"/>
      <c r="T23" s="707"/>
      <c r="U23" s="683" t="s">
        <v>95</v>
      </c>
      <c r="V23" s="893">
        <v>77000</v>
      </c>
      <c r="W23" s="707"/>
      <c r="X23" s="707"/>
      <c r="Y23" s="683" t="s">
        <v>95</v>
      </c>
      <c r="Z23" s="893">
        <v>77000</v>
      </c>
      <c r="AA23" s="707"/>
      <c r="AB23" s="707"/>
      <c r="AC23" s="683" t="s">
        <v>95</v>
      </c>
      <c r="AD23" s="893">
        <v>77000</v>
      </c>
      <c r="AE23" s="707"/>
      <c r="AF23" s="707"/>
      <c r="AG23" s="683" t="s">
        <v>95</v>
      </c>
      <c r="AH23" s="893">
        <v>77000</v>
      </c>
      <c r="AI23" s="707"/>
      <c r="AJ23" s="707"/>
      <c r="AK23" s="683" t="s">
        <v>95</v>
      </c>
      <c r="AL23" s="893">
        <v>77000</v>
      </c>
      <c r="AM23" s="707"/>
      <c r="AN23" s="707"/>
      <c r="AO23" s="683" t="s">
        <v>95</v>
      </c>
      <c r="AP23" s="893">
        <v>77000</v>
      </c>
      <c r="AQ23" s="707"/>
      <c r="AR23" s="707"/>
      <c r="AS23" s="683" t="s">
        <v>95</v>
      </c>
      <c r="AT23" s="708">
        <v>77000</v>
      </c>
      <c r="AU23" s="707"/>
      <c r="AV23" s="707"/>
      <c r="AW23" s="683" t="s">
        <v>95</v>
      </c>
      <c r="AX23" s="893">
        <v>77000</v>
      </c>
      <c r="AY23" s="707"/>
      <c r="AZ23" s="707"/>
      <c r="BA23" s="683" t="s">
        <v>95</v>
      </c>
      <c r="BB23" s="893">
        <v>77000</v>
      </c>
      <c r="BC23" s="707"/>
      <c r="BD23" s="707"/>
      <c r="BE23" s="683" t="s">
        <v>95</v>
      </c>
      <c r="BF23" s="893">
        <v>77000</v>
      </c>
      <c r="BG23" s="707"/>
      <c r="BH23" s="707"/>
      <c r="BI23" s="683" t="s">
        <v>95</v>
      </c>
      <c r="BJ23" s="893">
        <v>77000</v>
      </c>
      <c r="BK23" s="707"/>
      <c r="BL23" s="707"/>
      <c r="BM23" s="683" t="s">
        <v>95</v>
      </c>
      <c r="BN23" s="893">
        <v>77000</v>
      </c>
      <c r="BO23" s="707"/>
      <c r="BP23" s="707"/>
      <c r="BQ23" s="683" t="s">
        <v>95</v>
      </c>
      <c r="BR23" s="893">
        <v>77000</v>
      </c>
      <c r="BS23" s="707"/>
      <c r="BT23" s="707"/>
      <c r="BU23" s="683" t="s">
        <v>95</v>
      </c>
      <c r="BV23" s="893">
        <v>77000</v>
      </c>
      <c r="BW23" s="707"/>
      <c r="BX23" s="707"/>
      <c r="BY23" s="683" t="s">
        <v>95</v>
      </c>
      <c r="BZ23" s="893">
        <v>77000</v>
      </c>
      <c r="CA23" s="707"/>
      <c r="CB23" s="707"/>
      <c r="CC23" s="683" t="s">
        <v>95</v>
      </c>
      <c r="CD23" s="893">
        <v>77000</v>
      </c>
      <c r="CE23" s="707"/>
      <c r="CF23" s="707"/>
      <c r="CG23" s="683" t="s">
        <v>95</v>
      </c>
      <c r="CH23" s="893">
        <v>77000</v>
      </c>
      <c r="CI23" s="707"/>
      <c r="CJ23" s="707"/>
      <c r="CK23" s="683" t="s">
        <v>95</v>
      </c>
      <c r="CL23" s="893">
        <v>77000</v>
      </c>
      <c r="CM23" s="707"/>
      <c r="CN23" s="707"/>
      <c r="CO23" s="683" t="s">
        <v>95</v>
      </c>
      <c r="CP23" s="893">
        <v>77000</v>
      </c>
      <c r="CQ23" s="707"/>
      <c r="CR23" s="707"/>
      <c r="CS23" s="683" t="s">
        <v>95</v>
      </c>
      <c r="CT23" s="893">
        <v>77000</v>
      </c>
      <c r="CU23" s="707"/>
      <c r="CV23" s="707"/>
      <c r="CW23" s="683" t="s">
        <v>95</v>
      </c>
      <c r="CX23" s="893">
        <v>77000</v>
      </c>
      <c r="CY23" s="707"/>
      <c r="CZ23" s="707"/>
      <c r="DA23" s="683" t="s">
        <v>95</v>
      </c>
      <c r="DB23" s="893">
        <v>77000</v>
      </c>
      <c r="DC23" s="707"/>
      <c r="DD23" s="707"/>
      <c r="DE23" s="683" t="s">
        <v>95</v>
      </c>
      <c r="DF23" s="893">
        <v>77000</v>
      </c>
      <c r="DG23" s="707"/>
      <c r="DH23" s="707"/>
      <c r="DI23" s="683" t="s">
        <v>95</v>
      </c>
      <c r="DJ23" s="893">
        <v>77000</v>
      </c>
      <c r="DK23" s="707"/>
      <c r="DL23" s="707"/>
      <c r="DM23" s="683" t="s">
        <v>95</v>
      </c>
      <c r="DN23" s="893">
        <v>77000</v>
      </c>
      <c r="DO23" s="707"/>
      <c r="DP23" s="707"/>
      <c r="DQ23" s="683" t="s">
        <v>95</v>
      </c>
      <c r="DR23" s="893">
        <v>77000</v>
      </c>
      <c r="DS23" s="707"/>
      <c r="DT23" s="707"/>
      <c r="DU23" s="683" t="s">
        <v>95</v>
      </c>
      <c r="DV23" s="893">
        <v>77000</v>
      </c>
      <c r="DW23" s="707"/>
      <c r="DX23" s="707"/>
      <c r="DY23" s="683" t="s">
        <v>95</v>
      </c>
      <c r="DZ23" s="893">
        <v>77000</v>
      </c>
    </row>
    <row r="24" spans="1:130" x14ac:dyDescent="0.25">
      <c r="A24" s="1819"/>
      <c r="B24" s="681" t="s">
        <v>95</v>
      </c>
      <c r="C24" s="706"/>
      <c r="D24" s="707"/>
      <c r="E24" s="686" t="s">
        <v>336</v>
      </c>
      <c r="F24" s="710">
        <v>10439</v>
      </c>
      <c r="G24" s="707"/>
      <c r="I24" s="686" t="s">
        <v>336</v>
      </c>
      <c r="J24" s="710">
        <f>+F28</f>
        <v>7607</v>
      </c>
      <c r="K24" s="707"/>
      <c r="L24" s="707"/>
      <c r="M24" s="686" t="s">
        <v>336</v>
      </c>
      <c r="N24" s="710">
        <f>+J28</f>
        <v>5121</v>
      </c>
      <c r="O24" s="707"/>
      <c r="P24" s="707"/>
      <c r="Q24" s="686" t="s">
        <v>336</v>
      </c>
      <c r="R24" s="710">
        <f>+N28</f>
        <v>10584</v>
      </c>
      <c r="S24" s="707"/>
      <c r="T24" s="707"/>
      <c r="U24" s="686" t="s">
        <v>336</v>
      </c>
      <c r="V24" s="710">
        <f>+R28</f>
        <v>8480</v>
      </c>
      <c r="W24" s="707"/>
      <c r="X24" s="707"/>
      <c r="Y24" s="686" t="s">
        <v>336</v>
      </c>
      <c r="Z24" s="710">
        <f>+V28</f>
        <v>5811</v>
      </c>
      <c r="AA24" s="707"/>
      <c r="AB24" s="707"/>
      <c r="AC24" s="686" t="s">
        <v>336</v>
      </c>
      <c r="AD24" s="710">
        <f>+Z28</f>
        <v>11087</v>
      </c>
      <c r="AE24" s="707"/>
      <c r="AF24" s="707"/>
      <c r="AG24" s="686" t="s">
        <v>336</v>
      </c>
      <c r="AH24" s="710">
        <f>+AD28</f>
        <v>5862</v>
      </c>
      <c r="AI24" s="707"/>
      <c r="AJ24" s="707"/>
      <c r="AK24" s="686" t="s">
        <v>336</v>
      </c>
      <c r="AL24" s="710">
        <f>+AH28</f>
        <v>3736</v>
      </c>
      <c r="AM24" s="707"/>
      <c r="AN24" s="707"/>
      <c r="AO24" s="686" t="s">
        <v>336</v>
      </c>
      <c r="AP24" s="710">
        <f>+AL28</f>
        <v>7224</v>
      </c>
      <c r="AQ24" s="707"/>
      <c r="AR24" s="707"/>
      <c r="AS24" s="686" t="s">
        <v>336</v>
      </c>
      <c r="AT24" s="710">
        <f>+AP28</f>
        <v>4724</v>
      </c>
      <c r="AU24" s="707"/>
      <c r="AV24" s="707"/>
      <c r="AW24" s="686" t="s">
        <v>336</v>
      </c>
      <c r="AX24" s="710">
        <f>+AT28</f>
        <v>2585</v>
      </c>
      <c r="AY24" s="707"/>
      <c r="AZ24" s="707"/>
      <c r="BA24" s="686" t="s">
        <v>336</v>
      </c>
      <c r="BB24" s="710">
        <f>+AX28</f>
        <v>8900</v>
      </c>
      <c r="BC24" s="707"/>
      <c r="BD24" s="707"/>
      <c r="BE24" s="686" t="s">
        <v>336</v>
      </c>
      <c r="BF24" s="710">
        <f>+BB28</f>
        <v>7143</v>
      </c>
      <c r="BG24" s="707"/>
      <c r="BH24" s="707"/>
      <c r="BI24" s="686" t="s">
        <v>336</v>
      </c>
      <c r="BJ24" s="710">
        <f>+BF28</f>
        <v>13078</v>
      </c>
      <c r="BK24" s="707"/>
      <c r="BL24" s="707"/>
      <c r="BM24" s="686" t="s">
        <v>336</v>
      </c>
      <c r="BN24" s="710">
        <f>+BJ28</f>
        <v>8502</v>
      </c>
      <c r="BO24" s="707"/>
      <c r="BP24" s="707"/>
      <c r="BQ24" s="686" t="s">
        <v>336</v>
      </c>
      <c r="BR24" s="710">
        <f>+BN28</f>
        <v>4555</v>
      </c>
      <c r="BS24" s="707"/>
      <c r="BT24" s="707"/>
      <c r="BU24" s="686" t="s">
        <v>336</v>
      </c>
      <c r="BV24" s="710">
        <f>+BR28</f>
        <v>3589</v>
      </c>
      <c r="BW24" s="707"/>
      <c r="BX24" s="707"/>
      <c r="BY24" s="686" t="s">
        <v>336</v>
      </c>
      <c r="BZ24" s="710">
        <f>+BV28</f>
        <v>12230</v>
      </c>
      <c r="CA24" s="707"/>
      <c r="CB24" s="707"/>
      <c r="CC24" s="686" t="s">
        <v>336</v>
      </c>
      <c r="CD24" s="710">
        <f>BZ28</f>
        <v>9948</v>
      </c>
      <c r="CE24" s="707"/>
      <c r="CF24" s="707"/>
      <c r="CG24" s="686" t="s">
        <v>336</v>
      </c>
      <c r="CH24" s="710">
        <f>CD28</f>
        <v>7864</v>
      </c>
      <c r="CI24" s="707"/>
      <c r="CJ24" s="707"/>
      <c r="CK24" s="686" t="s">
        <v>336</v>
      </c>
      <c r="CL24" s="710">
        <f>CH28</f>
        <v>13246</v>
      </c>
      <c r="CM24" s="707"/>
      <c r="CN24" s="707"/>
      <c r="CO24" s="686" t="s">
        <v>336</v>
      </c>
      <c r="CP24" s="710">
        <f>CL28</f>
        <v>11801</v>
      </c>
      <c r="CQ24" s="707"/>
      <c r="CR24" s="707"/>
      <c r="CS24" s="686" t="s">
        <v>336</v>
      </c>
      <c r="CT24" s="710">
        <f>CP28</f>
        <v>7451</v>
      </c>
      <c r="CU24" s="707"/>
      <c r="CV24" s="707"/>
      <c r="CW24" s="686" t="s">
        <v>336</v>
      </c>
      <c r="CX24" s="710">
        <f>CT28</f>
        <v>4868</v>
      </c>
      <c r="CY24" s="707"/>
      <c r="CZ24" s="707"/>
      <c r="DA24" s="686" t="s">
        <v>336</v>
      </c>
      <c r="DB24" s="710">
        <f>CX28</f>
        <v>10785</v>
      </c>
      <c r="DC24" s="707"/>
      <c r="DD24" s="707"/>
      <c r="DE24" s="686" t="s">
        <v>336</v>
      </c>
      <c r="DF24" s="710">
        <f>DB28</f>
        <v>13129</v>
      </c>
      <c r="DG24" s="707"/>
      <c r="DH24" s="707"/>
      <c r="DI24" s="686" t="s">
        <v>336</v>
      </c>
      <c r="DJ24" s="710">
        <f>DF28</f>
        <v>11021</v>
      </c>
      <c r="DK24" s="707"/>
      <c r="DL24" s="707"/>
      <c r="DM24" s="686" t="s">
        <v>336</v>
      </c>
      <c r="DN24" s="710">
        <f>DJ28</f>
        <v>13956</v>
      </c>
      <c r="DO24" s="707"/>
      <c r="DP24" s="707"/>
      <c r="DQ24" s="686" t="s">
        <v>336</v>
      </c>
      <c r="DR24" s="710">
        <f>DN28</f>
        <v>11611</v>
      </c>
      <c r="DS24" s="707"/>
      <c r="DT24" s="707"/>
      <c r="DU24" s="686" t="s">
        <v>336</v>
      </c>
      <c r="DV24" s="710">
        <f>DR28</f>
        <v>9373</v>
      </c>
      <c r="DW24" s="707"/>
      <c r="DX24" s="707"/>
      <c r="DY24" s="686" t="s">
        <v>336</v>
      </c>
      <c r="DZ24" s="710">
        <v>9344</v>
      </c>
    </row>
    <row r="25" spans="1:130" x14ac:dyDescent="0.25">
      <c r="A25" s="1819"/>
      <c r="B25" s="681" t="s">
        <v>96</v>
      </c>
      <c r="C25" s="706"/>
      <c r="D25" s="707"/>
      <c r="E25" s="686" t="s">
        <v>219</v>
      </c>
      <c r="F25" s="710"/>
      <c r="G25" s="707"/>
      <c r="I25" s="686" t="s">
        <v>219</v>
      </c>
      <c r="J25" s="710"/>
      <c r="K25" s="707"/>
      <c r="L25" s="707"/>
      <c r="M25" s="686" t="s">
        <v>219</v>
      </c>
      <c r="N25" s="710">
        <v>8000</v>
      </c>
      <c r="O25" s="707"/>
      <c r="P25" s="707"/>
      <c r="Q25" s="686" t="s">
        <v>219</v>
      </c>
      <c r="R25" s="710"/>
      <c r="S25" s="707"/>
      <c r="T25" s="707"/>
      <c r="U25" s="686" t="s">
        <v>219</v>
      </c>
      <c r="V25" s="710"/>
      <c r="W25" s="707"/>
      <c r="X25" s="707"/>
      <c r="Y25" s="686" t="s">
        <v>219</v>
      </c>
      <c r="Z25" s="710">
        <v>10000</v>
      </c>
      <c r="AA25" s="707"/>
      <c r="AB25" s="707"/>
      <c r="AC25" s="686" t="s">
        <v>219</v>
      </c>
      <c r="AD25" s="928"/>
      <c r="AE25" s="707"/>
      <c r="AF25" s="707"/>
      <c r="AG25" s="686" t="s">
        <v>219</v>
      </c>
      <c r="AH25" s="710"/>
      <c r="AI25" s="707"/>
      <c r="AJ25" s="707"/>
      <c r="AK25" s="686" t="s">
        <v>219</v>
      </c>
      <c r="AL25" s="710"/>
      <c r="AM25" s="707"/>
      <c r="AN25" s="707"/>
      <c r="AO25" s="686" t="s">
        <v>219</v>
      </c>
      <c r="AP25" s="895"/>
      <c r="AQ25" s="707"/>
      <c r="AR25" s="707"/>
      <c r="AS25" s="686" t="s">
        <v>219</v>
      </c>
      <c r="AT25" s="710"/>
      <c r="AU25" s="707"/>
      <c r="AV25" s="707"/>
      <c r="AW25" s="686" t="s">
        <v>219</v>
      </c>
      <c r="AX25" s="710"/>
      <c r="AY25" s="707"/>
      <c r="AZ25" s="707"/>
      <c r="BA25" s="686" t="s">
        <v>219</v>
      </c>
      <c r="BB25" s="922"/>
      <c r="BC25" s="707"/>
      <c r="BD25" s="707"/>
      <c r="BE25" s="686" t="s">
        <v>219</v>
      </c>
      <c r="BF25" s="710"/>
      <c r="BG25" s="707"/>
      <c r="BH25" s="707"/>
      <c r="BI25" s="686" t="s">
        <v>219</v>
      </c>
      <c r="BJ25" s="923"/>
      <c r="BK25" s="707"/>
      <c r="BL25" s="707"/>
      <c r="BM25" s="686" t="s">
        <v>219</v>
      </c>
      <c r="BN25" s="923"/>
      <c r="BO25" s="707"/>
      <c r="BP25" s="707"/>
      <c r="BQ25" s="686" t="s">
        <v>219</v>
      </c>
      <c r="BR25" s="710"/>
      <c r="BS25" s="707"/>
      <c r="BT25" s="707"/>
      <c r="BU25" s="686" t="s">
        <v>219</v>
      </c>
      <c r="BV25" s="924"/>
      <c r="BW25" s="707"/>
      <c r="BX25" s="707"/>
      <c r="BY25" s="686" t="s">
        <v>219</v>
      </c>
      <c r="BZ25" s="895"/>
      <c r="CA25" s="707"/>
      <c r="CB25" s="707"/>
      <c r="CC25" s="686" t="s">
        <v>219</v>
      </c>
      <c r="CD25" s="710"/>
      <c r="CE25" s="707"/>
      <c r="CF25" s="707"/>
      <c r="CG25" s="686" t="s">
        <v>219</v>
      </c>
      <c r="CH25" s="922"/>
      <c r="CI25" s="707"/>
      <c r="CJ25" s="707"/>
      <c r="CK25" s="686" t="s">
        <v>219</v>
      </c>
      <c r="CL25" s="710"/>
      <c r="CM25" s="707"/>
      <c r="CN25" s="707"/>
      <c r="CO25" s="686" t="s">
        <v>219</v>
      </c>
      <c r="CP25" s="923"/>
      <c r="CQ25" s="707"/>
      <c r="CR25" s="707"/>
      <c r="CS25" s="686" t="s">
        <v>219</v>
      </c>
      <c r="CT25" s="710"/>
      <c r="CU25" s="707"/>
      <c r="CV25" s="707"/>
      <c r="CW25" s="686" t="s">
        <v>219</v>
      </c>
      <c r="CX25" s="710"/>
      <c r="CY25" s="707"/>
      <c r="CZ25" s="707"/>
      <c r="DA25" s="686" t="s">
        <v>219</v>
      </c>
      <c r="DB25" s="895"/>
      <c r="DC25" s="707"/>
      <c r="DD25" s="707"/>
      <c r="DE25" s="686" t="s">
        <v>219</v>
      </c>
      <c r="DF25" s="710"/>
      <c r="DG25" s="707"/>
      <c r="DH25" s="707"/>
      <c r="DI25" s="686" t="s">
        <v>219</v>
      </c>
      <c r="DJ25" s="710"/>
      <c r="DK25" s="707"/>
      <c r="DL25" s="707"/>
      <c r="DM25" s="686" t="s">
        <v>219</v>
      </c>
      <c r="DN25" s="710"/>
      <c r="DO25" s="707"/>
      <c r="DP25" s="707"/>
      <c r="DQ25" s="686" t="s">
        <v>219</v>
      </c>
      <c r="DR25" s="710"/>
      <c r="DS25" s="707"/>
      <c r="DT25" s="707"/>
      <c r="DU25" s="686" t="s">
        <v>219</v>
      </c>
      <c r="DV25" s="710"/>
      <c r="DW25" s="707"/>
      <c r="DX25" s="707"/>
      <c r="DY25" s="686" t="s">
        <v>219</v>
      </c>
      <c r="DZ25" s="710">
        <f>'reception carburant'!D42</f>
        <v>29000</v>
      </c>
    </row>
    <row r="26" spans="1:130" x14ac:dyDescent="0.25">
      <c r="A26" s="1819"/>
      <c r="B26" s="681" t="s">
        <v>337</v>
      </c>
      <c r="C26" s="706"/>
      <c r="D26" s="707"/>
      <c r="E26" s="686" t="s">
        <v>338</v>
      </c>
      <c r="F26" s="710">
        <f>+F4+F5+F6+F7+F8+F9</f>
        <v>2807</v>
      </c>
      <c r="I26" s="686" t="s">
        <v>338</v>
      </c>
      <c r="J26" s="710">
        <f>+J4+J5+J6+J7+J8+J9</f>
        <v>2500</v>
      </c>
      <c r="K26" s="707"/>
      <c r="L26" s="707"/>
      <c r="M26" s="686" t="s">
        <v>338</v>
      </c>
      <c r="N26" s="710">
        <f>+N4+N5+N6+N7+N8+N9</f>
        <v>2486</v>
      </c>
      <c r="O26" s="707"/>
      <c r="P26" s="707"/>
      <c r="Q26" s="686" t="s">
        <v>338</v>
      </c>
      <c r="R26" s="710">
        <f>+R4+R5+R6+R7+R8+R9</f>
        <v>2124</v>
      </c>
      <c r="S26" s="707"/>
      <c r="T26" s="707"/>
      <c r="U26" s="686" t="s">
        <v>338</v>
      </c>
      <c r="V26" s="710">
        <f>+V4+V5+V6+V7+V8+V9</f>
        <v>2721</v>
      </c>
      <c r="W26" s="707"/>
      <c r="X26" s="707"/>
      <c r="Y26" s="686" t="s">
        <v>338</v>
      </c>
      <c r="Z26" s="710">
        <f>+Z4+Z5+Z6+Z7+Z8+Z9</f>
        <v>4704</v>
      </c>
      <c r="AA26" s="707"/>
      <c r="AB26" s="707"/>
      <c r="AC26" s="686" t="s">
        <v>338</v>
      </c>
      <c r="AD26" s="710">
        <f>+AD4+AD5+AD6+AD7+AD8+AD9</f>
        <v>5188</v>
      </c>
      <c r="AE26" s="707"/>
      <c r="AF26" s="707"/>
      <c r="AG26" s="686" t="s">
        <v>338</v>
      </c>
      <c r="AH26" s="710">
        <f>+AH4+AH5+AH6+AH7+AH8+AH9</f>
        <v>2104</v>
      </c>
      <c r="AI26" s="707"/>
      <c r="AJ26" s="707"/>
      <c r="AK26" s="686" t="s">
        <v>338</v>
      </c>
      <c r="AL26" s="710">
        <f>+AL4+AL5+AL6+AL7+AL8+AL9</f>
        <v>0</v>
      </c>
      <c r="AM26" s="707"/>
      <c r="AN26" s="707"/>
      <c r="AO26" s="686" t="s">
        <v>338</v>
      </c>
      <c r="AP26" s="710">
        <f>+AP4+AP5+AP6+AP7+AP8+AP9</f>
        <v>0</v>
      </c>
      <c r="AQ26" s="707"/>
      <c r="AR26" s="707"/>
      <c r="AS26" s="686" t="s">
        <v>338</v>
      </c>
      <c r="AT26" s="710">
        <f>+AT4+AT5+AT6+AT7+AT8+AT9</f>
        <v>0</v>
      </c>
      <c r="AU26" s="707"/>
      <c r="AV26" s="707"/>
      <c r="AW26" s="686" t="s">
        <v>338</v>
      </c>
      <c r="AX26" s="710">
        <f>+AX4+AX5+AX6+AX7+AX8+AX9</f>
        <v>0</v>
      </c>
      <c r="AY26" s="707"/>
      <c r="AZ26" s="707"/>
      <c r="BA26" s="686" t="s">
        <v>338</v>
      </c>
      <c r="BB26" s="710">
        <f>+BB4+BB5+BB6+BB7+BB8+BB9</f>
        <v>0</v>
      </c>
      <c r="BC26" s="707"/>
      <c r="BD26" s="707"/>
      <c r="BE26" s="686" t="s">
        <v>338</v>
      </c>
      <c r="BF26" s="710">
        <f>+BF4+BF5+BF6+BF7+BF8+BF9</f>
        <v>0</v>
      </c>
      <c r="BG26" s="707"/>
      <c r="BH26" s="707"/>
      <c r="BI26" s="686" t="s">
        <v>338</v>
      </c>
      <c r="BJ26" s="710">
        <f>+BJ4+BJ5+BJ6+BJ7+BJ8+BJ9</f>
        <v>0</v>
      </c>
      <c r="BK26" s="707"/>
      <c r="BL26" s="707"/>
      <c r="BM26" s="686" t="s">
        <v>338</v>
      </c>
      <c r="BN26" s="710">
        <f>+BN4+BN5+BN6+BN7+BN8+BN9</f>
        <v>0</v>
      </c>
      <c r="BO26" s="707"/>
      <c r="BP26" s="707"/>
      <c r="BQ26" s="686" t="s">
        <v>338</v>
      </c>
      <c r="BR26" s="710">
        <f>+BR4+BR5+BR6+BR7+BR8+BR9</f>
        <v>0</v>
      </c>
      <c r="BS26" s="707"/>
      <c r="BT26" s="707"/>
      <c r="BU26" s="686" t="s">
        <v>338</v>
      </c>
      <c r="BV26" s="710">
        <f>+BV4+BV5+BV6+BV7+BV8+BV9</f>
        <v>0</v>
      </c>
      <c r="BW26" s="707"/>
      <c r="BX26" s="707"/>
      <c r="BY26" s="686" t="s">
        <v>338</v>
      </c>
      <c r="BZ26" s="710">
        <f>+BZ4+BZ5+BZ6+BZ7+BZ8+BZ9</f>
        <v>0</v>
      </c>
      <c r="CA26" s="707"/>
      <c r="CB26" s="707"/>
      <c r="CC26" s="686" t="s">
        <v>338</v>
      </c>
      <c r="CD26" s="710">
        <f>+CD4+CD5+CD6+CD7+CD8+CD9</f>
        <v>0</v>
      </c>
      <c r="CE26" s="707"/>
      <c r="CF26" s="707"/>
      <c r="CG26" s="686" t="s">
        <v>338</v>
      </c>
      <c r="CH26" s="710">
        <f>+CH4+CH5+CH6+CH7+CH8+CH9</f>
        <v>0</v>
      </c>
      <c r="CI26" s="707"/>
      <c r="CJ26" s="707"/>
      <c r="CK26" s="686" t="s">
        <v>338</v>
      </c>
      <c r="CL26" s="710">
        <f>+CL4+CL5+CL6+CL7+CL8+CL9</f>
        <v>0</v>
      </c>
      <c r="CM26" s="707"/>
      <c r="CN26" s="707"/>
      <c r="CO26" s="686" t="s">
        <v>338</v>
      </c>
      <c r="CP26" s="710">
        <f>+CP4+CP5+CP6+CP7+CP8+CP9</f>
        <v>0</v>
      </c>
      <c r="CQ26" s="707"/>
      <c r="CR26" s="707"/>
      <c r="CS26" s="686" t="s">
        <v>338</v>
      </c>
      <c r="CT26" s="710">
        <f>+CT4+CT5+CT6+CT7+CT8+CT9</f>
        <v>0</v>
      </c>
      <c r="CU26" s="707"/>
      <c r="CV26" s="707"/>
      <c r="CW26" s="686" t="s">
        <v>338</v>
      </c>
      <c r="CX26" s="710">
        <f>+CX4+CX5+CX6+CX7+CX8+CX9</f>
        <v>0</v>
      </c>
      <c r="CY26" s="707"/>
      <c r="CZ26" s="707"/>
      <c r="DA26" s="686" t="s">
        <v>338</v>
      </c>
      <c r="DB26" s="710">
        <f>+DB4+DB5+DB6+DB7+DB8+DB9</f>
        <v>0</v>
      </c>
      <c r="DC26" s="707"/>
      <c r="DD26" s="707"/>
      <c r="DE26" s="686" t="s">
        <v>338</v>
      </c>
      <c r="DF26" s="710">
        <f>+DF4+DF5+DF6+DF7+DF8+DF9</f>
        <v>0</v>
      </c>
      <c r="DG26" s="707"/>
      <c r="DH26" s="707"/>
      <c r="DI26" s="686" t="s">
        <v>338</v>
      </c>
      <c r="DJ26" s="710">
        <f>+DJ4+DJ5+DJ6+DJ7+DJ8+DJ9</f>
        <v>0</v>
      </c>
      <c r="DK26" s="707"/>
      <c r="DL26" s="707"/>
      <c r="DM26" s="686" t="s">
        <v>338</v>
      </c>
      <c r="DN26" s="710">
        <f>+DN4+DN5+DN6+DN7+DN8+DN9</f>
        <v>0</v>
      </c>
      <c r="DO26" s="707"/>
      <c r="DP26" s="707"/>
      <c r="DQ26" s="686" t="s">
        <v>338</v>
      </c>
      <c r="DR26" s="710">
        <f>+DR4+DR5+DR6+DR7+DR8+DR9</f>
        <v>0</v>
      </c>
      <c r="DS26" s="707"/>
      <c r="DT26" s="707"/>
      <c r="DU26" s="686" t="s">
        <v>338</v>
      </c>
      <c r="DV26" s="710">
        <f>+DV4+DV5+DV6+DV7+DV8+DV9</f>
        <v>0</v>
      </c>
      <c r="DW26" s="707"/>
      <c r="DX26" s="707"/>
      <c r="DY26" s="686" t="s">
        <v>338</v>
      </c>
      <c r="DZ26" s="710">
        <f>+DZ4+DZ5+DZ6+DZ7+DZ8+DZ9</f>
        <v>-1953557</v>
      </c>
    </row>
    <row r="27" spans="1:130" x14ac:dyDescent="0.25">
      <c r="A27" s="1819"/>
      <c r="B27" s="718"/>
      <c r="C27" s="706"/>
      <c r="D27" s="707"/>
      <c r="E27" s="686" t="s">
        <v>339</v>
      </c>
      <c r="F27" s="710">
        <f>+F24+F25-F26</f>
        <v>7632</v>
      </c>
      <c r="I27" s="686" t="s">
        <v>339</v>
      </c>
      <c r="J27" s="710">
        <f>+J24+J25-J26</f>
        <v>5107</v>
      </c>
      <c r="K27" s="707"/>
      <c r="L27" s="707"/>
      <c r="M27" s="686" t="s">
        <v>339</v>
      </c>
      <c r="N27" s="710">
        <f>+N24+N25-N26</f>
        <v>10635</v>
      </c>
      <c r="O27" s="707"/>
      <c r="P27" s="707"/>
      <c r="Q27" s="686" t="s">
        <v>339</v>
      </c>
      <c r="R27" s="710">
        <f>+R24+R25-R26</f>
        <v>8460</v>
      </c>
      <c r="S27" s="707"/>
      <c r="T27" s="707"/>
      <c r="U27" s="686" t="s">
        <v>339</v>
      </c>
      <c r="V27" s="710">
        <f>+V24+V25-V26</f>
        <v>5759</v>
      </c>
      <c r="W27" s="707"/>
      <c r="X27" s="707"/>
      <c r="Y27" s="686" t="s">
        <v>339</v>
      </c>
      <c r="Z27" s="710">
        <f>+Z24+Z25-Z26</f>
        <v>11107</v>
      </c>
      <c r="AA27" s="707"/>
      <c r="AB27" s="707"/>
      <c r="AC27" s="686" t="s">
        <v>339</v>
      </c>
      <c r="AD27" s="710">
        <f>+AD24+AD25-AD26</f>
        <v>5899</v>
      </c>
      <c r="AE27" s="707"/>
      <c r="AF27" s="707"/>
      <c r="AG27" s="686" t="s">
        <v>339</v>
      </c>
      <c r="AH27" s="710">
        <f>+AH24+AH25-AH26</f>
        <v>3758</v>
      </c>
      <c r="AI27" s="707"/>
      <c r="AJ27" s="707"/>
      <c r="AK27" s="686" t="s">
        <v>339</v>
      </c>
      <c r="AL27" s="710">
        <f>+AL24+AL25-AL26</f>
        <v>3736</v>
      </c>
      <c r="AM27" s="707"/>
      <c r="AN27" s="707"/>
      <c r="AO27" s="686" t="s">
        <v>339</v>
      </c>
      <c r="AP27" s="710">
        <f>+AP24+AP25-AP26</f>
        <v>7224</v>
      </c>
      <c r="AQ27" s="707"/>
      <c r="AR27" s="707"/>
      <c r="AS27" s="686" t="s">
        <v>339</v>
      </c>
      <c r="AT27" s="710">
        <f>+AT24+AT25-AT26</f>
        <v>4724</v>
      </c>
      <c r="AU27" s="707"/>
      <c r="AV27" s="707"/>
      <c r="AW27" s="686" t="s">
        <v>339</v>
      </c>
      <c r="AX27" s="710">
        <f>+AX24+AX25-AX26</f>
        <v>2585</v>
      </c>
      <c r="AY27" s="707"/>
      <c r="AZ27" s="707"/>
      <c r="BA27" s="686" t="s">
        <v>339</v>
      </c>
      <c r="BB27" s="710">
        <f>+BB24+BB25-BB26</f>
        <v>8900</v>
      </c>
      <c r="BC27" s="707"/>
      <c r="BD27" s="707"/>
      <c r="BE27" s="686" t="s">
        <v>339</v>
      </c>
      <c r="BF27" s="710">
        <f>+BF24+BF25-BF26</f>
        <v>7143</v>
      </c>
      <c r="BG27" s="707"/>
      <c r="BH27" s="707"/>
      <c r="BI27" s="686" t="s">
        <v>339</v>
      </c>
      <c r="BJ27" s="710">
        <f>+BJ24+BJ25-BJ26</f>
        <v>13078</v>
      </c>
      <c r="BK27" s="707"/>
      <c r="BL27" s="707"/>
      <c r="BM27" s="686" t="s">
        <v>339</v>
      </c>
      <c r="BN27" s="710">
        <f>+BN24+BN25-BN26</f>
        <v>8502</v>
      </c>
      <c r="BO27" s="707"/>
      <c r="BP27" s="707"/>
      <c r="BQ27" s="686" t="s">
        <v>339</v>
      </c>
      <c r="BR27" s="710">
        <f>+BR24+BR25-BR26</f>
        <v>4555</v>
      </c>
      <c r="BS27" s="707"/>
      <c r="BT27" s="707"/>
      <c r="BU27" s="686" t="s">
        <v>339</v>
      </c>
      <c r="BV27" s="710">
        <f>+BV24+BV25-BV26</f>
        <v>3589</v>
      </c>
      <c r="BW27" s="707"/>
      <c r="BX27" s="707"/>
      <c r="BY27" s="686" t="s">
        <v>339</v>
      </c>
      <c r="BZ27" s="710">
        <f>+BZ24+BZ25-BZ26</f>
        <v>12230</v>
      </c>
      <c r="CA27" s="707"/>
      <c r="CB27" s="707"/>
      <c r="CC27" s="686" t="s">
        <v>339</v>
      </c>
      <c r="CD27" s="710">
        <f>+CD24+CD25-CD26</f>
        <v>9948</v>
      </c>
      <c r="CE27" s="707"/>
      <c r="CF27" s="707"/>
      <c r="CG27" s="686" t="s">
        <v>339</v>
      </c>
      <c r="CH27" s="710">
        <f>+CH24+CH25-CH26</f>
        <v>7864</v>
      </c>
      <c r="CI27" s="707"/>
      <c r="CJ27" s="707"/>
      <c r="CK27" s="686" t="s">
        <v>339</v>
      </c>
      <c r="CL27" s="710">
        <f>+CL24+CL25-CL26</f>
        <v>13246</v>
      </c>
      <c r="CM27" s="707"/>
      <c r="CN27" s="707"/>
      <c r="CO27" s="686" t="s">
        <v>339</v>
      </c>
      <c r="CP27" s="710">
        <f>+CP24+CP25-CP26</f>
        <v>11801</v>
      </c>
      <c r="CQ27" s="707"/>
      <c r="CR27" s="707"/>
      <c r="CS27" s="686" t="s">
        <v>339</v>
      </c>
      <c r="CT27" s="710">
        <f>+CT24+CT25-CT26</f>
        <v>7451</v>
      </c>
      <c r="CU27" s="707"/>
      <c r="CV27" s="707"/>
      <c r="CW27" s="686" t="s">
        <v>339</v>
      </c>
      <c r="CX27" s="710">
        <f>+CX24+CX25-CX26</f>
        <v>4868</v>
      </c>
      <c r="CY27" s="707"/>
      <c r="CZ27" s="707"/>
      <c r="DA27" s="686" t="s">
        <v>339</v>
      </c>
      <c r="DB27" s="710">
        <f>+DB24+DB25-DB26</f>
        <v>10785</v>
      </c>
      <c r="DC27" s="707"/>
      <c r="DD27" s="707"/>
      <c r="DE27" s="686" t="s">
        <v>339</v>
      </c>
      <c r="DF27" s="710">
        <f>+DF24+DF25-DF26</f>
        <v>13129</v>
      </c>
      <c r="DG27" s="707"/>
      <c r="DH27" s="707"/>
      <c r="DI27" s="686" t="s">
        <v>339</v>
      </c>
      <c r="DJ27" s="710">
        <f>+DJ24+DJ25-DJ26</f>
        <v>11021</v>
      </c>
      <c r="DK27" s="707"/>
      <c r="DL27" s="707"/>
      <c r="DM27" s="686" t="s">
        <v>339</v>
      </c>
      <c r="DN27" s="710">
        <f>+DN24+DN25-DN26</f>
        <v>13956</v>
      </c>
      <c r="DO27" s="707"/>
      <c r="DP27" s="707"/>
      <c r="DQ27" s="686" t="s">
        <v>339</v>
      </c>
      <c r="DR27" s="710">
        <f>+DR24+DR25-DR26</f>
        <v>11611</v>
      </c>
      <c r="DS27" s="707"/>
      <c r="DT27" s="707"/>
      <c r="DU27" s="686" t="s">
        <v>339</v>
      </c>
      <c r="DV27" s="710">
        <f>+DV24+DV25-DV26</f>
        <v>9373</v>
      </c>
      <c r="DW27" s="707"/>
      <c r="DX27" s="707"/>
      <c r="DY27" s="686" t="s">
        <v>339</v>
      </c>
      <c r="DZ27" s="710">
        <f>+DZ24+DZ25-DZ26</f>
        <v>1991901</v>
      </c>
    </row>
    <row r="28" spans="1:130" x14ac:dyDescent="0.25">
      <c r="A28" s="1819"/>
      <c r="B28" s="718"/>
      <c r="C28" s="706"/>
      <c r="D28" s="707"/>
      <c r="E28" s="686" t="s">
        <v>340</v>
      </c>
      <c r="F28" s="710">
        <v>7607</v>
      </c>
      <c r="I28" s="686" t="s">
        <v>340</v>
      </c>
      <c r="J28" s="710">
        <v>5121</v>
      </c>
      <c r="K28" s="707"/>
      <c r="L28" s="707"/>
      <c r="M28" s="686" t="s">
        <v>340</v>
      </c>
      <c r="N28" s="710">
        <v>10584</v>
      </c>
      <c r="O28" s="707"/>
      <c r="P28" s="707"/>
      <c r="Q28" s="686" t="s">
        <v>340</v>
      </c>
      <c r="R28" s="710">
        <v>8480</v>
      </c>
      <c r="S28" s="707"/>
      <c r="T28" s="707"/>
      <c r="U28" s="686" t="s">
        <v>340</v>
      </c>
      <c r="V28" s="710">
        <v>5811</v>
      </c>
      <c r="W28" s="707"/>
      <c r="X28" s="707"/>
      <c r="Y28" s="686" t="s">
        <v>340</v>
      </c>
      <c r="Z28" s="710">
        <v>11087</v>
      </c>
      <c r="AA28" s="707"/>
      <c r="AB28" s="707"/>
      <c r="AC28" s="686" t="s">
        <v>340</v>
      </c>
      <c r="AD28" s="710">
        <v>5862</v>
      </c>
      <c r="AE28" s="707"/>
      <c r="AF28" s="707"/>
      <c r="AG28" s="686" t="s">
        <v>340</v>
      </c>
      <c r="AH28" s="710">
        <v>3736</v>
      </c>
      <c r="AI28" s="707"/>
      <c r="AJ28" s="707"/>
      <c r="AK28" s="686" t="s">
        <v>340</v>
      </c>
      <c r="AL28" s="710">
        <v>7224</v>
      </c>
      <c r="AM28" s="707"/>
      <c r="AN28" s="707"/>
      <c r="AO28" s="686" t="s">
        <v>340</v>
      </c>
      <c r="AP28" s="710">
        <v>4724</v>
      </c>
      <c r="AQ28" s="707"/>
      <c r="AR28" s="707"/>
      <c r="AS28" s="686" t="s">
        <v>340</v>
      </c>
      <c r="AT28" s="710">
        <v>2585</v>
      </c>
      <c r="AU28" s="707"/>
      <c r="AV28" s="707"/>
      <c r="AW28" s="686" t="s">
        <v>340</v>
      </c>
      <c r="AX28" s="710">
        <v>8900</v>
      </c>
      <c r="AY28" s="707"/>
      <c r="AZ28" s="707"/>
      <c r="BA28" s="686" t="s">
        <v>340</v>
      </c>
      <c r="BB28" s="710">
        <v>7143</v>
      </c>
      <c r="BC28" s="707"/>
      <c r="BD28" s="707"/>
      <c r="BE28" s="686" t="s">
        <v>340</v>
      </c>
      <c r="BF28" s="710">
        <v>13078</v>
      </c>
      <c r="BG28" s="707"/>
      <c r="BH28" s="707"/>
      <c r="BI28" s="686" t="s">
        <v>340</v>
      </c>
      <c r="BJ28" s="710">
        <v>8502</v>
      </c>
      <c r="BK28" s="707"/>
      <c r="BL28" s="707"/>
      <c r="BM28" s="686" t="s">
        <v>340</v>
      </c>
      <c r="BN28" s="710">
        <v>4555</v>
      </c>
      <c r="BO28" s="707"/>
      <c r="BP28" s="707"/>
      <c r="BQ28" s="686" t="s">
        <v>340</v>
      </c>
      <c r="BR28" s="710">
        <v>3589</v>
      </c>
      <c r="BS28" s="707"/>
      <c r="BT28" s="707"/>
      <c r="BU28" s="686" t="s">
        <v>340</v>
      </c>
      <c r="BV28" s="710">
        <v>12230</v>
      </c>
      <c r="BW28" s="707"/>
      <c r="BX28" s="707"/>
      <c r="BY28" s="686" t="s">
        <v>340</v>
      </c>
      <c r="BZ28" s="710">
        <v>9948</v>
      </c>
      <c r="CA28" s="707"/>
      <c r="CB28" s="707"/>
      <c r="CC28" s="686" t="s">
        <v>340</v>
      </c>
      <c r="CD28" s="710">
        <v>7864</v>
      </c>
      <c r="CE28" s="707"/>
      <c r="CF28" s="707"/>
      <c r="CG28" s="686" t="s">
        <v>340</v>
      </c>
      <c r="CH28" s="710">
        <v>13246</v>
      </c>
      <c r="CI28" s="707"/>
      <c r="CJ28" s="707"/>
      <c r="CK28" s="686" t="s">
        <v>340</v>
      </c>
      <c r="CL28" s="710">
        <v>11801</v>
      </c>
      <c r="CM28" s="707"/>
      <c r="CN28" s="707"/>
      <c r="CO28" s="686" t="s">
        <v>340</v>
      </c>
      <c r="CP28" s="710">
        <v>7451</v>
      </c>
      <c r="CQ28" s="707"/>
      <c r="CR28" s="707"/>
      <c r="CS28" s="686" t="s">
        <v>340</v>
      </c>
      <c r="CT28" s="710">
        <v>4868</v>
      </c>
      <c r="CU28" s="707"/>
      <c r="CV28" s="707"/>
      <c r="CW28" s="686" t="s">
        <v>340</v>
      </c>
      <c r="CX28" s="710">
        <v>10785</v>
      </c>
      <c r="CY28" s="707"/>
      <c r="CZ28" s="707"/>
      <c r="DA28" s="686" t="s">
        <v>340</v>
      </c>
      <c r="DB28" s="710">
        <v>13129</v>
      </c>
      <c r="DC28" s="707"/>
      <c r="DD28" s="707"/>
      <c r="DE28" s="686" t="s">
        <v>340</v>
      </c>
      <c r="DF28" s="710">
        <v>11021</v>
      </c>
      <c r="DG28" s="707"/>
      <c r="DH28" s="707"/>
      <c r="DI28" s="686" t="s">
        <v>340</v>
      </c>
      <c r="DJ28" s="710">
        <v>13956</v>
      </c>
      <c r="DK28" s="707"/>
      <c r="DL28" s="707"/>
      <c r="DM28" s="686" t="s">
        <v>340</v>
      </c>
      <c r="DN28" s="710">
        <v>11611</v>
      </c>
      <c r="DO28" s="707"/>
      <c r="DP28" s="707"/>
      <c r="DQ28" s="686" t="s">
        <v>340</v>
      </c>
      <c r="DR28" s="710">
        <v>9373</v>
      </c>
      <c r="DS28" s="707"/>
      <c r="DT28" s="707"/>
      <c r="DU28" s="686" t="s">
        <v>340</v>
      </c>
      <c r="DV28" s="710">
        <v>7031</v>
      </c>
      <c r="DW28" s="707"/>
      <c r="DX28" s="707"/>
      <c r="DY28" s="686" t="s">
        <v>340</v>
      </c>
      <c r="DZ28" s="710">
        <v>7031</v>
      </c>
    </row>
    <row r="29" spans="1:130" x14ac:dyDescent="0.25">
      <c r="A29" s="1819"/>
      <c r="B29" s="718"/>
      <c r="C29" s="706"/>
      <c r="D29" s="707"/>
      <c r="E29" s="683" t="s">
        <v>456</v>
      </c>
      <c r="F29" s="719">
        <f>+F28-F27</f>
        <v>-25</v>
      </c>
      <c r="I29" s="683" t="s">
        <v>456</v>
      </c>
      <c r="J29" s="719">
        <f>+J28-J27</f>
        <v>14</v>
      </c>
      <c r="K29" s="707"/>
      <c r="L29" s="707"/>
      <c r="M29" s="683" t="s">
        <v>456</v>
      </c>
      <c r="N29" s="719">
        <f>+N28-N27</f>
        <v>-51</v>
      </c>
      <c r="O29" s="707"/>
      <c r="P29" s="707"/>
      <c r="Q29" s="683" t="s">
        <v>456</v>
      </c>
      <c r="R29" s="719">
        <f>+R28-R27</f>
        <v>20</v>
      </c>
      <c r="S29" s="707"/>
      <c r="T29" s="707"/>
      <c r="U29" s="683" t="s">
        <v>456</v>
      </c>
      <c r="V29" s="719">
        <f>+V28-V27</f>
        <v>52</v>
      </c>
      <c r="W29" s="707"/>
      <c r="X29" s="707"/>
      <c r="Y29" s="683" t="s">
        <v>456</v>
      </c>
      <c r="Z29" s="719">
        <f>+Z28-Z27</f>
        <v>-20</v>
      </c>
      <c r="AA29" s="707"/>
      <c r="AB29" s="707"/>
      <c r="AC29" s="683" t="s">
        <v>456</v>
      </c>
      <c r="AD29" s="719">
        <f>+AD28-AD27</f>
        <v>-37</v>
      </c>
      <c r="AE29" s="707"/>
      <c r="AF29" s="707"/>
      <c r="AG29" s="683" t="s">
        <v>456</v>
      </c>
      <c r="AH29" s="719">
        <f>+AH28-AH27</f>
        <v>-22</v>
      </c>
      <c r="AI29" s="707"/>
      <c r="AJ29" s="707"/>
      <c r="AK29" s="683" t="s">
        <v>456</v>
      </c>
      <c r="AL29" s="719">
        <f>+AL28-AL27</f>
        <v>3488</v>
      </c>
      <c r="AM29" s="707"/>
      <c r="AN29" s="707"/>
      <c r="AO29" s="683" t="s">
        <v>456</v>
      </c>
      <c r="AP29" s="719">
        <f>+AP28-AP27</f>
        <v>-2500</v>
      </c>
      <c r="AQ29" s="707"/>
      <c r="AR29" s="707"/>
      <c r="AS29" s="683" t="s">
        <v>456</v>
      </c>
      <c r="AT29" s="719">
        <f>+AT28-AT27</f>
        <v>-2139</v>
      </c>
      <c r="AU29" s="707"/>
      <c r="AV29" s="707"/>
      <c r="AW29" s="683" t="s">
        <v>456</v>
      </c>
      <c r="AX29" s="719">
        <f>+AX28-AX27</f>
        <v>6315</v>
      </c>
      <c r="AY29" s="707"/>
      <c r="AZ29" s="707"/>
      <c r="BA29" s="683" t="s">
        <v>456</v>
      </c>
      <c r="BB29" s="719">
        <f>+BB28-BB27</f>
        <v>-1757</v>
      </c>
      <c r="BC29" s="707"/>
      <c r="BD29" s="707"/>
      <c r="BE29" s="683" t="s">
        <v>456</v>
      </c>
      <c r="BF29" s="719">
        <f>+BF28-BF27</f>
        <v>5935</v>
      </c>
      <c r="BG29" s="707"/>
      <c r="BH29" s="707"/>
      <c r="BI29" s="683" t="s">
        <v>456</v>
      </c>
      <c r="BJ29" s="719">
        <f>+BJ28-BJ27</f>
        <v>-4576</v>
      </c>
      <c r="BK29" s="707"/>
      <c r="BL29" s="707"/>
      <c r="BM29" s="683" t="s">
        <v>456</v>
      </c>
      <c r="BN29" s="719">
        <f>+BN28-BN27</f>
        <v>-3947</v>
      </c>
      <c r="BO29" s="707"/>
      <c r="BP29" s="707"/>
      <c r="BQ29" s="683" t="s">
        <v>456</v>
      </c>
      <c r="BR29" s="719">
        <f>+BR28-BR27</f>
        <v>-966</v>
      </c>
      <c r="BS29" s="707"/>
      <c r="BT29" s="707"/>
      <c r="BU29" s="683" t="s">
        <v>456</v>
      </c>
      <c r="BV29" s="719">
        <f>+BV28-BV27</f>
        <v>8641</v>
      </c>
      <c r="BW29" s="707"/>
      <c r="BX29" s="707"/>
      <c r="BY29" s="683" t="s">
        <v>456</v>
      </c>
      <c r="BZ29" s="719">
        <f>+BZ28-BZ27</f>
        <v>-2282</v>
      </c>
      <c r="CA29" s="707"/>
      <c r="CB29" s="707"/>
      <c r="CC29" s="683" t="s">
        <v>456</v>
      </c>
      <c r="CD29" s="719">
        <f>+CD28-CD27</f>
        <v>-2084</v>
      </c>
      <c r="CE29" s="707"/>
      <c r="CF29" s="707"/>
      <c r="CG29" s="683" t="s">
        <v>456</v>
      </c>
      <c r="CH29" s="719">
        <f>+CH28-CH27</f>
        <v>5382</v>
      </c>
      <c r="CI29" s="707"/>
      <c r="CJ29" s="707"/>
      <c r="CK29" s="683" t="s">
        <v>456</v>
      </c>
      <c r="CL29" s="719">
        <f>+CL28-CL27</f>
        <v>-1445</v>
      </c>
      <c r="CM29" s="707"/>
      <c r="CN29" s="707"/>
      <c r="CO29" s="683" t="s">
        <v>456</v>
      </c>
      <c r="CP29" s="719">
        <f>+CP28-CP27</f>
        <v>-4350</v>
      </c>
      <c r="CQ29" s="707"/>
      <c r="CR29" s="707"/>
      <c r="CS29" s="683" t="s">
        <v>456</v>
      </c>
      <c r="CT29" s="719">
        <f>+CT28-CT27</f>
        <v>-2583</v>
      </c>
      <c r="CU29" s="707"/>
      <c r="CV29" s="707"/>
      <c r="CW29" s="683" t="s">
        <v>456</v>
      </c>
      <c r="CX29" s="719">
        <f>+CX28-CX27</f>
        <v>5917</v>
      </c>
      <c r="CY29" s="707"/>
      <c r="CZ29" s="707"/>
      <c r="DA29" s="683" t="s">
        <v>456</v>
      </c>
      <c r="DB29" s="719">
        <f>+DB28-DB27</f>
        <v>2344</v>
      </c>
      <c r="DC29" s="707"/>
      <c r="DD29" s="707"/>
      <c r="DE29" s="683" t="s">
        <v>456</v>
      </c>
      <c r="DF29" s="719">
        <f>+DF28-DF27</f>
        <v>-2108</v>
      </c>
      <c r="DG29" s="707"/>
      <c r="DH29" s="707"/>
      <c r="DI29" s="683" t="s">
        <v>456</v>
      </c>
      <c r="DJ29" s="719">
        <f>+DJ28-DJ27</f>
        <v>2935</v>
      </c>
      <c r="DK29" s="707"/>
      <c r="DL29" s="707"/>
      <c r="DM29" s="683" t="s">
        <v>456</v>
      </c>
      <c r="DN29" s="719">
        <f>+DN28-DN27</f>
        <v>-2345</v>
      </c>
      <c r="DO29" s="707"/>
      <c r="DP29" s="707"/>
      <c r="DQ29" s="683" t="s">
        <v>456</v>
      </c>
      <c r="DR29" s="719">
        <f>+DR28-DR27</f>
        <v>-2238</v>
      </c>
      <c r="DS29" s="707"/>
      <c r="DT29" s="707"/>
      <c r="DU29" s="683" t="s">
        <v>456</v>
      </c>
      <c r="DV29" s="719">
        <f>+DV28-DV27</f>
        <v>-2342</v>
      </c>
      <c r="DW29" s="707"/>
      <c r="DX29" s="707"/>
      <c r="DY29" s="683" t="s">
        <v>456</v>
      </c>
      <c r="DZ29" s="719">
        <f>+DZ28-DZ27</f>
        <v>-1984870</v>
      </c>
    </row>
    <row r="30" spans="1:130" x14ac:dyDescent="0.25">
      <c r="A30" s="1819"/>
      <c r="B30" s="720"/>
      <c r="C30" s="706"/>
      <c r="F30" s="721"/>
      <c r="J30" s="721"/>
      <c r="K30" s="707"/>
      <c r="L30" s="707"/>
      <c r="N30" s="721"/>
      <c r="O30" s="707"/>
      <c r="P30" s="707"/>
      <c r="R30" s="721"/>
      <c r="S30" s="707"/>
      <c r="T30" s="707"/>
      <c r="V30" s="721"/>
      <c r="W30" s="707"/>
      <c r="X30" s="707"/>
      <c r="Z30" s="721"/>
      <c r="AA30" s="707"/>
      <c r="AB30" s="707"/>
      <c r="AD30" s="721"/>
      <c r="AE30" s="707"/>
      <c r="AF30" s="707"/>
      <c r="AH30" s="721"/>
      <c r="AI30" s="707"/>
      <c r="AJ30" s="707"/>
      <c r="AL30" s="721"/>
      <c r="AM30" s="707"/>
      <c r="AN30" s="707"/>
      <c r="AP30" s="721"/>
      <c r="AQ30" s="707"/>
      <c r="AR30" s="707"/>
      <c r="AT30" s="721"/>
      <c r="AU30" s="707"/>
      <c r="AV30" s="707"/>
      <c r="AX30" s="721"/>
      <c r="AY30" s="707"/>
      <c r="AZ30" s="707"/>
      <c r="BB30" s="721"/>
      <c r="BC30" s="707"/>
      <c r="BD30" s="707"/>
      <c r="BF30" s="721"/>
      <c r="BG30" s="707"/>
      <c r="BH30" s="707"/>
      <c r="BJ30" s="721"/>
      <c r="BK30" s="707"/>
      <c r="BL30" s="707"/>
      <c r="BN30" s="721"/>
      <c r="BO30" s="707"/>
      <c r="BP30" s="707"/>
      <c r="BR30" s="721"/>
      <c r="BS30" s="707"/>
      <c r="BT30" s="707"/>
      <c r="BV30" s="721"/>
      <c r="BW30" s="707"/>
      <c r="BX30" s="707"/>
      <c r="BZ30" s="721"/>
      <c r="CA30" s="707"/>
      <c r="CB30" s="707"/>
      <c r="CD30" s="721"/>
      <c r="CE30" s="707"/>
      <c r="CF30" s="707"/>
      <c r="CH30" s="721"/>
      <c r="CI30" s="707"/>
      <c r="CJ30" s="707"/>
      <c r="CL30" s="721"/>
      <c r="CM30" s="707"/>
      <c r="CN30" s="707"/>
      <c r="CP30" s="721"/>
      <c r="CQ30" s="707"/>
      <c r="CR30" s="707"/>
      <c r="CT30" s="721"/>
      <c r="CU30" s="707"/>
      <c r="CV30" s="707"/>
      <c r="CX30" s="721"/>
      <c r="CY30" s="707"/>
      <c r="CZ30" s="707"/>
      <c r="DB30" s="721"/>
      <c r="DC30" s="707"/>
      <c r="DD30" s="707"/>
      <c r="DF30" s="721"/>
      <c r="DG30" s="707"/>
      <c r="DH30" s="707"/>
      <c r="DJ30" s="721"/>
      <c r="DK30" s="707"/>
      <c r="DL30" s="707"/>
      <c r="DN30" s="721"/>
      <c r="DO30" s="707"/>
      <c r="DP30" s="707"/>
      <c r="DR30" s="721"/>
      <c r="DS30" s="707"/>
      <c r="DT30" s="707"/>
      <c r="DV30" s="721"/>
      <c r="DW30" s="707"/>
      <c r="DX30" s="707"/>
      <c r="DZ30" s="721"/>
    </row>
    <row r="31" spans="1:130" x14ac:dyDescent="0.25">
      <c r="A31" s="1819"/>
      <c r="B31" s="720"/>
      <c r="C31" s="706"/>
      <c r="D31" s="707"/>
      <c r="E31" s="722"/>
      <c r="F31" s="710"/>
      <c r="I31" s="722"/>
      <c r="J31" s="710"/>
      <c r="K31" s="707"/>
      <c r="L31" s="707"/>
      <c r="M31" s="722"/>
      <c r="N31" s="710"/>
      <c r="O31" s="707"/>
      <c r="P31" s="707"/>
      <c r="Q31" s="722"/>
      <c r="R31" s="710"/>
      <c r="S31" s="707"/>
      <c r="T31" s="707"/>
      <c r="U31" s="722"/>
      <c r="V31" s="710"/>
      <c r="W31" s="707"/>
      <c r="X31" s="707"/>
      <c r="Y31" s="722"/>
      <c r="Z31" s="710"/>
      <c r="AA31" s="707"/>
      <c r="AB31" s="707"/>
      <c r="AC31" s="722"/>
      <c r="AD31" s="710"/>
      <c r="AE31" s="707"/>
      <c r="AF31" s="707"/>
      <c r="AG31" s="722"/>
      <c r="AH31" s="710"/>
      <c r="AI31" s="707"/>
      <c r="AJ31" s="707"/>
      <c r="AK31" s="722"/>
      <c r="AL31" s="710"/>
      <c r="AM31" s="707"/>
      <c r="AN31" s="707"/>
      <c r="AO31" s="722"/>
      <c r="AP31" s="710"/>
      <c r="AQ31" s="707"/>
      <c r="AR31" s="707"/>
      <c r="AS31" s="722"/>
      <c r="AT31" s="710"/>
      <c r="AU31" s="707"/>
      <c r="AV31" s="707"/>
      <c r="AW31" s="722"/>
      <c r="AX31" s="710"/>
      <c r="AY31" s="707"/>
      <c r="AZ31" s="707"/>
      <c r="BA31" s="722"/>
      <c r="BB31" s="710"/>
      <c r="BC31" s="707"/>
      <c r="BD31" s="707"/>
      <c r="BE31" s="722"/>
      <c r="BF31" s="710"/>
      <c r="BG31" s="707"/>
      <c r="BH31" s="707"/>
      <c r="BI31" s="722"/>
      <c r="BJ31" s="710"/>
      <c r="BK31" s="707"/>
      <c r="BL31" s="707"/>
      <c r="BM31" s="722"/>
      <c r="BN31" s="710"/>
      <c r="BO31" s="707"/>
      <c r="BP31" s="707"/>
      <c r="BQ31" s="722"/>
      <c r="BR31" s="710"/>
      <c r="BS31" s="707"/>
      <c r="BT31" s="707"/>
      <c r="BU31" s="722"/>
      <c r="BV31" s="710"/>
      <c r="BW31" s="707"/>
      <c r="BX31" s="707"/>
      <c r="BY31" s="722"/>
      <c r="BZ31" s="710"/>
      <c r="CA31" s="707"/>
      <c r="CB31" s="707"/>
      <c r="CC31" s="722"/>
      <c r="CD31" s="710"/>
      <c r="CE31" s="707"/>
      <c r="CF31" s="707"/>
      <c r="CG31" s="722"/>
      <c r="CH31" s="710"/>
      <c r="CI31" s="707"/>
      <c r="CJ31" s="707"/>
      <c r="CK31" s="722"/>
      <c r="CL31" s="710"/>
      <c r="CM31" s="707"/>
      <c r="CN31" s="707"/>
      <c r="CO31" s="722"/>
      <c r="CP31" s="710"/>
      <c r="CQ31" s="707"/>
      <c r="CR31" s="707"/>
      <c r="CS31" s="722"/>
      <c r="CT31" s="710"/>
      <c r="CU31" s="707"/>
      <c r="CV31" s="707"/>
      <c r="CW31" s="722"/>
      <c r="CX31" s="710"/>
      <c r="CY31" s="707"/>
      <c r="CZ31" s="707"/>
      <c r="DA31" s="722"/>
      <c r="DB31" s="710"/>
      <c r="DC31" s="707"/>
      <c r="DD31" s="707"/>
      <c r="DE31" s="722"/>
      <c r="DF31" s="710"/>
      <c r="DG31" s="707"/>
      <c r="DH31" s="707"/>
      <c r="DI31" s="722"/>
      <c r="DJ31" s="710"/>
      <c r="DK31" s="707"/>
      <c r="DL31" s="707"/>
      <c r="DM31" s="722"/>
      <c r="DN31" s="710"/>
      <c r="DO31" s="707"/>
      <c r="DP31" s="707"/>
      <c r="DQ31" s="722"/>
      <c r="DR31" s="710"/>
      <c r="DS31" s="707"/>
      <c r="DT31" s="707"/>
      <c r="DU31" s="722"/>
      <c r="DV31" s="710"/>
      <c r="DW31" s="707"/>
      <c r="DX31" s="707"/>
      <c r="DY31" s="722"/>
      <c r="DZ31" s="710"/>
    </row>
    <row r="32" spans="1:130" x14ac:dyDescent="0.25">
      <c r="A32" s="1819"/>
      <c r="B32" s="720"/>
      <c r="C32" s="706"/>
      <c r="D32" s="707"/>
      <c r="E32" s="683" t="s">
        <v>96</v>
      </c>
      <c r="F32" s="894">
        <v>76000</v>
      </c>
      <c r="I32" s="683" t="s">
        <v>96</v>
      </c>
      <c r="J32" s="894">
        <v>76000</v>
      </c>
      <c r="K32" s="707"/>
      <c r="L32" s="707"/>
      <c r="M32" s="683" t="s">
        <v>96</v>
      </c>
      <c r="N32" s="894">
        <v>76000</v>
      </c>
      <c r="O32" s="707"/>
      <c r="P32" s="707"/>
      <c r="Q32" s="683" t="s">
        <v>96</v>
      </c>
      <c r="R32" s="894">
        <v>76000</v>
      </c>
      <c r="S32" s="707"/>
      <c r="T32" s="707"/>
      <c r="U32" s="683" t="s">
        <v>96</v>
      </c>
      <c r="V32" s="894">
        <v>76000</v>
      </c>
      <c r="W32" s="707"/>
      <c r="X32" s="707"/>
      <c r="Y32" s="683" t="s">
        <v>96</v>
      </c>
      <c r="Z32" s="894">
        <v>76000</v>
      </c>
      <c r="AA32" s="707"/>
      <c r="AB32" s="707"/>
      <c r="AC32" s="683" t="s">
        <v>96</v>
      </c>
      <c r="AD32" s="894">
        <v>76000</v>
      </c>
      <c r="AE32" s="707"/>
      <c r="AF32" s="707"/>
      <c r="AG32" s="683" t="s">
        <v>96</v>
      </c>
      <c r="AH32" s="894">
        <v>76000</v>
      </c>
      <c r="AI32" s="707"/>
      <c r="AJ32" s="707"/>
      <c r="AK32" s="683" t="s">
        <v>96</v>
      </c>
      <c r="AL32" s="894">
        <v>76000</v>
      </c>
      <c r="AM32" s="707"/>
      <c r="AN32" s="707"/>
      <c r="AO32" s="683" t="s">
        <v>96</v>
      </c>
      <c r="AP32" s="894">
        <v>76000</v>
      </c>
      <c r="AQ32" s="707"/>
      <c r="AR32" s="707"/>
      <c r="AS32" s="683" t="s">
        <v>96</v>
      </c>
      <c r="AT32" s="710">
        <v>76000</v>
      </c>
      <c r="AU32" s="707"/>
      <c r="AV32" s="707"/>
      <c r="AW32" s="683" t="s">
        <v>96</v>
      </c>
      <c r="AX32" s="894">
        <v>76000</v>
      </c>
      <c r="AY32" s="707"/>
      <c r="AZ32" s="707"/>
      <c r="BA32" s="683" t="s">
        <v>96</v>
      </c>
      <c r="BB32" s="894">
        <v>76000</v>
      </c>
      <c r="BC32" s="707"/>
      <c r="BD32" s="707"/>
      <c r="BE32" s="683" t="s">
        <v>96</v>
      </c>
      <c r="BF32" s="894">
        <v>76000</v>
      </c>
      <c r="BG32" s="707"/>
      <c r="BH32" s="707"/>
      <c r="BI32" s="683" t="s">
        <v>96</v>
      </c>
      <c r="BJ32" s="894">
        <v>76000</v>
      </c>
      <c r="BK32" s="707"/>
      <c r="BL32" s="707"/>
      <c r="BM32" s="683" t="s">
        <v>96</v>
      </c>
      <c r="BN32" s="894">
        <v>76000</v>
      </c>
      <c r="BO32" s="707"/>
      <c r="BP32" s="707"/>
      <c r="BQ32" s="683" t="s">
        <v>96</v>
      </c>
      <c r="BR32" s="894">
        <v>76000</v>
      </c>
      <c r="BS32" s="707"/>
      <c r="BT32" s="707"/>
      <c r="BU32" s="683" t="s">
        <v>96</v>
      </c>
      <c r="BV32" s="894">
        <v>76000</v>
      </c>
      <c r="BW32" s="707"/>
      <c r="BX32" s="707"/>
      <c r="BY32" s="683" t="s">
        <v>96</v>
      </c>
      <c r="BZ32" s="894">
        <v>76000</v>
      </c>
      <c r="CA32" s="707"/>
      <c r="CB32" s="707"/>
      <c r="CC32" s="683" t="s">
        <v>96</v>
      </c>
      <c r="CD32" s="894">
        <v>76000</v>
      </c>
      <c r="CE32" s="707"/>
      <c r="CF32" s="707"/>
      <c r="CG32" s="683" t="s">
        <v>96</v>
      </c>
      <c r="CH32" s="894">
        <v>76000</v>
      </c>
      <c r="CI32" s="707"/>
      <c r="CJ32" s="707"/>
      <c r="CK32" s="683" t="s">
        <v>96</v>
      </c>
      <c r="CL32" s="894">
        <v>76000</v>
      </c>
      <c r="CM32" s="707"/>
      <c r="CN32" s="707"/>
      <c r="CO32" s="683" t="s">
        <v>96</v>
      </c>
      <c r="CP32" s="894">
        <v>76000</v>
      </c>
      <c r="CQ32" s="707"/>
      <c r="CR32" s="707"/>
      <c r="CS32" s="683" t="s">
        <v>96</v>
      </c>
      <c r="CT32" s="894">
        <v>76000</v>
      </c>
      <c r="CU32" s="707"/>
      <c r="CV32" s="707"/>
      <c r="CW32" s="683" t="s">
        <v>96</v>
      </c>
      <c r="CX32" s="894">
        <v>76000</v>
      </c>
      <c r="CY32" s="707"/>
      <c r="CZ32" s="707"/>
      <c r="DA32" s="683" t="s">
        <v>96</v>
      </c>
      <c r="DB32" s="894">
        <v>76000</v>
      </c>
      <c r="DC32" s="707"/>
      <c r="DD32" s="707"/>
      <c r="DE32" s="683" t="s">
        <v>96</v>
      </c>
      <c r="DF32" s="894">
        <v>76000</v>
      </c>
      <c r="DG32" s="707"/>
      <c r="DH32" s="707"/>
      <c r="DI32" s="683" t="s">
        <v>96</v>
      </c>
      <c r="DJ32" s="894">
        <v>76000</v>
      </c>
      <c r="DK32" s="707"/>
      <c r="DL32" s="707"/>
      <c r="DM32" s="683" t="s">
        <v>96</v>
      </c>
      <c r="DN32" s="894">
        <v>76000</v>
      </c>
      <c r="DO32" s="707"/>
      <c r="DP32" s="707"/>
      <c r="DQ32" s="683" t="s">
        <v>96</v>
      </c>
      <c r="DR32" s="894">
        <v>76000</v>
      </c>
      <c r="DS32" s="707"/>
      <c r="DT32" s="707"/>
      <c r="DU32" s="683" t="s">
        <v>96</v>
      </c>
      <c r="DV32" s="894">
        <v>76000</v>
      </c>
      <c r="DW32" s="707"/>
      <c r="DX32" s="707"/>
      <c r="DY32" s="683" t="s">
        <v>96</v>
      </c>
      <c r="DZ32" s="894">
        <v>76000</v>
      </c>
    </row>
    <row r="33" spans="1:138" x14ac:dyDescent="0.25">
      <c r="A33" s="1819"/>
      <c r="B33" s="720"/>
      <c r="C33" s="706"/>
      <c r="D33" s="707"/>
      <c r="E33" s="686" t="s">
        <v>336</v>
      </c>
      <c r="F33" s="710">
        <v>12452</v>
      </c>
      <c r="I33" s="686" t="s">
        <v>336</v>
      </c>
      <c r="J33" s="710">
        <v>14140</v>
      </c>
      <c r="K33" s="707"/>
      <c r="L33" s="707"/>
      <c r="M33" s="686" t="s">
        <v>336</v>
      </c>
      <c r="N33" s="710">
        <f>+J37</f>
        <v>11909</v>
      </c>
      <c r="O33" s="707"/>
      <c r="P33" s="707"/>
      <c r="Q33" s="686" t="s">
        <v>336</v>
      </c>
      <c r="R33" s="710">
        <f>+N37</f>
        <v>14185</v>
      </c>
      <c r="S33" s="707"/>
      <c r="T33" s="707"/>
      <c r="U33" s="686" t="s">
        <v>336</v>
      </c>
      <c r="V33" s="710">
        <f>+R37</f>
        <v>15657</v>
      </c>
      <c r="W33" s="707"/>
      <c r="X33" s="707"/>
      <c r="Y33" s="686" t="s">
        <v>336</v>
      </c>
      <c r="Z33" s="710">
        <f>+V37</f>
        <v>12727</v>
      </c>
      <c r="AA33" s="707"/>
      <c r="AB33" s="707"/>
      <c r="AC33" s="686" t="s">
        <v>336</v>
      </c>
      <c r="AD33" s="710">
        <f>+Z37</f>
        <v>14669</v>
      </c>
      <c r="AE33" s="707"/>
      <c r="AF33" s="707"/>
      <c r="AG33" s="686" t="s">
        <v>336</v>
      </c>
      <c r="AH33" s="710">
        <f>+AD37</f>
        <v>11833</v>
      </c>
      <c r="AI33" s="707"/>
      <c r="AJ33" s="707"/>
      <c r="AK33" s="686" t="s">
        <v>336</v>
      </c>
      <c r="AL33" s="710">
        <f>+AH37</f>
        <v>9112</v>
      </c>
      <c r="AM33" s="707"/>
      <c r="AN33" s="707"/>
      <c r="AO33" s="686" t="s">
        <v>336</v>
      </c>
      <c r="AP33" s="710">
        <f>+AL37</f>
        <v>4943</v>
      </c>
      <c r="AQ33" s="707"/>
      <c r="AR33" s="707"/>
      <c r="AS33" s="686" t="s">
        <v>336</v>
      </c>
      <c r="AT33" s="710">
        <f>+AP37</f>
        <v>2835</v>
      </c>
      <c r="AU33" s="707"/>
      <c r="AV33" s="707"/>
      <c r="AW33" s="686" t="s">
        <v>336</v>
      </c>
      <c r="AX33" s="710">
        <f>+AT37</f>
        <v>1064</v>
      </c>
      <c r="AY33" s="707"/>
      <c r="AZ33" s="707"/>
      <c r="BA33" s="686" t="s">
        <v>336</v>
      </c>
      <c r="BB33" s="710">
        <f>+AX37</f>
        <v>6077</v>
      </c>
      <c r="BC33" s="707"/>
      <c r="BD33" s="707"/>
      <c r="BE33" s="686" t="s">
        <v>336</v>
      </c>
      <c r="BF33" s="710">
        <f>+BB37</f>
        <v>3315</v>
      </c>
      <c r="BG33" s="707"/>
      <c r="BH33" s="707"/>
      <c r="BI33" s="686" t="s">
        <v>336</v>
      </c>
      <c r="BJ33" s="710">
        <f>+BF37</f>
        <v>7083</v>
      </c>
      <c r="BK33" s="707"/>
      <c r="BL33" s="707"/>
      <c r="BM33" s="686" t="s">
        <v>336</v>
      </c>
      <c r="BN33" s="710">
        <f>+BJ37</f>
        <v>9600</v>
      </c>
      <c r="BO33" s="707"/>
      <c r="BP33" s="707"/>
      <c r="BQ33" s="686" t="s">
        <v>336</v>
      </c>
      <c r="BR33" s="710">
        <f>+BN37</f>
        <v>6582</v>
      </c>
      <c r="BS33" s="707"/>
      <c r="BT33" s="707"/>
      <c r="BU33" s="686" t="s">
        <v>336</v>
      </c>
      <c r="BV33" s="710">
        <f>+BR37</f>
        <v>4137</v>
      </c>
      <c r="BW33" s="707"/>
      <c r="BX33" s="707"/>
      <c r="BY33" s="686" t="s">
        <v>336</v>
      </c>
      <c r="BZ33" s="710">
        <f>+BV37</f>
        <v>7141</v>
      </c>
      <c r="CA33" s="707"/>
      <c r="CB33" s="707"/>
      <c r="CC33" s="686" t="s">
        <v>336</v>
      </c>
      <c r="CD33" s="710">
        <f>BZ37</f>
        <v>5065</v>
      </c>
      <c r="CE33" s="707"/>
      <c r="CF33" s="707"/>
      <c r="CG33" s="686" t="s">
        <v>336</v>
      </c>
      <c r="CH33" s="710">
        <f>CD37</f>
        <v>3281</v>
      </c>
      <c r="CI33" s="707"/>
      <c r="CJ33" s="707"/>
      <c r="CK33" s="686" t="s">
        <v>336</v>
      </c>
      <c r="CL33" s="710">
        <f>CH37</f>
        <v>8084</v>
      </c>
      <c r="CM33" s="707"/>
      <c r="CN33" s="707"/>
      <c r="CO33" s="686" t="s">
        <v>336</v>
      </c>
      <c r="CP33" s="710">
        <f>CL37</f>
        <v>7298</v>
      </c>
      <c r="CQ33" s="707"/>
      <c r="CR33" s="707"/>
      <c r="CS33" s="686" t="s">
        <v>336</v>
      </c>
      <c r="CT33" s="710">
        <f>CP37</f>
        <v>4218</v>
      </c>
      <c r="CU33" s="707"/>
      <c r="CV33" s="707"/>
      <c r="CW33" s="686" t="s">
        <v>336</v>
      </c>
      <c r="CX33" s="710">
        <f>CT37</f>
        <v>1268</v>
      </c>
      <c r="CY33" s="707"/>
      <c r="CZ33" s="707"/>
      <c r="DA33" s="686" t="s">
        <v>336</v>
      </c>
      <c r="DB33" s="710">
        <f>CX37</f>
        <v>10478</v>
      </c>
      <c r="DC33" s="707"/>
      <c r="DD33" s="707"/>
      <c r="DE33" s="686" t="s">
        <v>336</v>
      </c>
      <c r="DF33" s="710">
        <f>DB37</f>
        <v>5514</v>
      </c>
      <c r="DG33" s="707"/>
      <c r="DH33" s="707"/>
      <c r="DI33" s="686" t="s">
        <v>336</v>
      </c>
      <c r="DJ33" s="710">
        <f>DF37</f>
        <v>2980</v>
      </c>
      <c r="DK33" s="707"/>
      <c r="DL33" s="707"/>
      <c r="DM33" s="686" t="s">
        <v>336</v>
      </c>
      <c r="DN33" s="710">
        <f>DJ37</f>
        <v>11447</v>
      </c>
      <c r="DO33" s="707"/>
      <c r="DP33" s="707"/>
      <c r="DQ33" s="686" t="s">
        <v>336</v>
      </c>
      <c r="DR33" s="710">
        <f>DN37</f>
        <v>9171</v>
      </c>
      <c r="DS33" s="707"/>
      <c r="DT33" s="707"/>
      <c r="DU33" s="686" t="s">
        <v>336</v>
      </c>
      <c r="DV33" s="710">
        <f>DR37</f>
        <v>5776</v>
      </c>
      <c r="DW33" s="707"/>
      <c r="DX33" s="707"/>
      <c r="DY33" s="686" t="s">
        <v>336</v>
      </c>
      <c r="DZ33" s="710">
        <v>8541</v>
      </c>
    </row>
    <row r="34" spans="1:138" x14ac:dyDescent="0.25">
      <c r="A34" s="1819"/>
      <c r="B34" s="720"/>
      <c r="C34" s="706"/>
      <c r="D34" s="707"/>
      <c r="E34" s="686" t="s">
        <v>219</v>
      </c>
      <c r="F34" s="710">
        <v>4000</v>
      </c>
      <c r="I34" s="686" t="s">
        <v>219</v>
      </c>
      <c r="J34" s="710"/>
      <c r="K34" s="707"/>
      <c r="L34" s="707"/>
      <c r="M34" s="686" t="s">
        <v>219</v>
      </c>
      <c r="N34" s="895">
        <v>5000</v>
      </c>
      <c r="O34" s="707"/>
      <c r="P34" s="707"/>
      <c r="Q34" s="686" t="s">
        <v>219</v>
      </c>
      <c r="R34" s="710">
        <v>4000</v>
      </c>
      <c r="S34" s="707"/>
      <c r="T34" s="707"/>
      <c r="U34" s="686" t="s">
        <v>219</v>
      </c>
      <c r="V34" s="710"/>
      <c r="W34" s="707"/>
      <c r="X34" s="707"/>
      <c r="Y34" s="686" t="s">
        <v>219</v>
      </c>
      <c r="Z34" s="710">
        <v>5000</v>
      </c>
      <c r="AA34" s="707"/>
      <c r="AB34" s="707"/>
      <c r="AC34" s="686" t="s">
        <v>219</v>
      </c>
      <c r="AD34" s="710"/>
      <c r="AE34" s="707"/>
      <c r="AF34" s="707"/>
      <c r="AG34" s="686" t="s">
        <v>219</v>
      </c>
      <c r="AH34" s="710"/>
      <c r="AI34" s="707"/>
      <c r="AJ34" s="707"/>
      <c r="AK34" s="686" t="s">
        <v>219</v>
      </c>
      <c r="AL34" s="710"/>
      <c r="AM34" s="707"/>
      <c r="AN34" s="707"/>
      <c r="AO34" s="686" t="s">
        <v>219</v>
      </c>
      <c r="AP34" s="895"/>
      <c r="AQ34" s="707"/>
      <c r="AR34" s="707"/>
      <c r="AS34" s="686" t="s">
        <v>219</v>
      </c>
      <c r="AT34" s="710"/>
      <c r="AU34" s="707"/>
      <c r="AV34" s="707"/>
      <c r="AW34" s="686" t="s">
        <v>219</v>
      </c>
      <c r="AX34" s="710"/>
      <c r="AY34" s="707"/>
      <c r="AZ34" s="707"/>
      <c r="BA34" s="686" t="s">
        <v>219</v>
      </c>
      <c r="BB34" s="922"/>
      <c r="BC34" s="707"/>
      <c r="BD34" s="707"/>
      <c r="BE34" s="686" t="s">
        <v>219</v>
      </c>
      <c r="BF34" s="922"/>
      <c r="BG34" s="707"/>
      <c r="BH34" s="707"/>
      <c r="BI34" s="686" t="s">
        <v>219</v>
      </c>
      <c r="BJ34" s="923"/>
      <c r="BK34" s="707"/>
      <c r="BL34" s="707"/>
      <c r="BM34" s="686" t="s">
        <v>219</v>
      </c>
      <c r="BN34" s="923"/>
      <c r="BO34" s="707"/>
      <c r="BP34" s="707"/>
      <c r="BQ34" s="686" t="s">
        <v>219</v>
      </c>
      <c r="BR34" s="710"/>
      <c r="BS34" s="707"/>
      <c r="BT34" s="707"/>
      <c r="BU34" s="686" t="s">
        <v>219</v>
      </c>
      <c r="BV34" s="924"/>
      <c r="BW34" s="707"/>
      <c r="BX34" s="707"/>
      <c r="BY34" s="686" t="s">
        <v>219</v>
      </c>
      <c r="BZ34" s="895"/>
      <c r="CA34" s="707"/>
      <c r="CB34" s="707"/>
      <c r="CC34" s="686" t="s">
        <v>219</v>
      </c>
      <c r="CD34" s="710"/>
      <c r="CE34" s="707"/>
      <c r="CF34" s="707"/>
      <c r="CG34" s="686" t="s">
        <v>219</v>
      </c>
      <c r="CH34" s="922"/>
      <c r="CI34" s="707"/>
      <c r="CJ34" s="707"/>
      <c r="CK34" s="686" t="s">
        <v>219</v>
      </c>
      <c r="CL34" s="710"/>
      <c r="CM34" s="707"/>
      <c r="CN34" s="707"/>
      <c r="CO34" s="686" t="s">
        <v>219</v>
      </c>
      <c r="CP34" s="923"/>
      <c r="CQ34" s="707"/>
      <c r="CR34" s="707"/>
      <c r="CS34" s="686" t="s">
        <v>219</v>
      </c>
      <c r="CT34" s="710"/>
      <c r="CU34" s="707"/>
      <c r="CV34" s="707"/>
      <c r="CW34" s="686" t="s">
        <v>219</v>
      </c>
      <c r="CX34" s="710"/>
      <c r="CY34" s="707"/>
      <c r="CZ34" s="707"/>
      <c r="DA34" s="686" t="s">
        <v>219</v>
      </c>
      <c r="DB34" s="895"/>
      <c r="DC34" s="707"/>
      <c r="DD34" s="707"/>
      <c r="DE34" s="686" t="s">
        <v>219</v>
      </c>
      <c r="DF34" s="895"/>
      <c r="DG34" s="707"/>
      <c r="DH34" s="707"/>
      <c r="DI34" s="686" t="s">
        <v>219</v>
      </c>
      <c r="DJ34" s="710"/>
      <c r="DK34" s="707"/>
      <c r="DL34" s="707"/>
      <c r="DM34" s="686" t="s">
        <v>219</v>
      </c>
      <c r="DN34" s="710"/>
      <c r="DO34" s="707"/>
      <c r="DP34" s="707"/>
      <c r="DQ34" s="686" t="s">
        <v>219</v>
      </c>
      <c r="DR34" s="710"/>
      <c r="DS34" s="707"/>
      <c r="DT34" s="707"/>
      <c r="DU34" s="686" t="s">
        <v>219</v>
      </c>
      <c r="DV34" s="710"/>
      <c r="DW34" s="707"/>
      <c r="DX34" s="707"/>
      <c r="DY34" s="686" t="s">
        <v>219</v>
      </c>
      <c r="DZ34" s="710">
        <f>'reception carburant'!I42</f>
        <v>12000</v>
      </c>
    </row>
    <row r="35" spans="1:138" x14ac:dyDescent="0.25">
      <c r="A35" s="1819"/>
      <c r="B35" s="720"/>
      <c r="C35" s="706"/>
      <c r="D35" s="707"/>
      <c r="E35" s="686" t="s">
        <v>338</v>
      </c>
      <c r="F35" s="710">
        <f>+F13+F14+F15+F16+F17+F18+F10+F11+F12</f>
        <v>2280</v>
      </c>
      <c r="I35" s="686" t="s">
        <v>338</v>
      </c>
      <c r="J35" s="710">
        <f>+J13+J14+J15+J16+J17+J18+J10+J11+J12</f>
        <v>2250</v>
      </c>
      <c r="K35" s="707"/>
      <c r="L35" s="707"/>
      <c r="M35" s="686" t="s">
        <v>338</v>
      </c>
      <c r="N35" s="710">
        <f>+N13+N14+N15+N16+N17+N18+N10+N11+N12</f>
        <v>2707</v>
      </c>
      <c r="O35" s="707"/>
      <c r="P35" s="707"/>
      <c r="Q35" s="686" t="s">
        <v>338</v>
      </c>
      <c r="R35" s="710">
        <f>+R13+R14+R15+R16+R17+R18+R10+R11+R12</f>
        <v>2524</v>
      </c>
      <c r="S35" s="707"/>
      <c r="T35" s="707"/>
      <c r="U35" s="686" t="s">
        <v>338</v>
      </c>
      <c r="V35" s="710">
        <f>+V13+V14+V15+V16+V17+V18+V10+V11+V12</f>
        <v>2951</v>
      </c>
      <c r="W35" s="707"/>
      <c r="X35" s="707"/>
      <c r="Y35" s="686" t="s">
        <v>338</v>
      </c>
      <c r="Z35" s="710">
        <f>+Z13+Z14+Z15+Z16+Z17+Z18+Z10+Z11+Z12</f>
        <v>3043</v>
      </c>
      <c r="AA35" s="707"/>
      <c r="AB35" s="707"/>
      <c r="AC35" s="686" t="s">
        <v>338</v>
      </c>
      <c r="AD35" s="710">
        <f>+AD13+AD14+AD15+AD16+AD17+AD18+AD10+AD11+AD12</f>
        <v>2827</v>
      </c>
      <c r="AE35" s="707"/>
      <c r="AF35" s="707"/>
      <c r="AG35" s="686" t="s">
        <v>338</v>
      </c>
      <c r="AH35" s="710">
        <f>+AH13+AH14+AH15+AH16+AH17+AH18+AH10+AH11+AH12</f>
        <v>2717</v>
      </c>
      <c r="AI35" s="707"/>
      <c r="AJ35" s="707"/>
      <c r="AK35" s="686" t="s">
        <v>338</v>
      </c>
      <c r="AL35" s="710">
        <f>+AL13+AL14+AL15+AL16+AL17+AL18+AL10+AL11+AL12</f>
        <v>-40253</v>
      </c>
      <c r="AM35" s="707"/>
      <c r="AN35" s="707"/>
      <c r="AO35" s="686" t="s">
        <v>338</v>
      </c>
      <c r="AP35" s="710">
        <f>+AP13+AP14+AP15+AP16+AP17+AP18+AP10+AP11+AP12</f>
        <v>0</v>
      </c>
      <c r="AQ35" s="707"/>
      <c r="AR35" s="707"/>
      <c r="AS35" s="686" t="s">
        <v>338</v>
      </c>
      <c r="AT35" s="710">
        <f>+AT13+AT14+AT15+AT16+AT17+AT18+AT10+AT11+AT12</f>
        <v>40253</v>
      </c>
      <c r="AU35" s="707"/>
      <c r="AV35" s="707"/>
      <c r="AW35" s="686" t="s">
        <v>338</v>
      </c>
      <c r="AX35" s="710">
        <f>+AX13+AX14+AX15+AX16+AX17+AX18+AX10+AX11+AX12</f>
        <v>0</v>
      </c>
      <c r="AY35" s="707"/>
      <c r="AZ35" s="707"/>
      <c r="BA35" s="686" t="s">
        <v>338</v>
      </c>
      <c r="BB35" s="710">
        <f>+BB13+BB14+BB15+BB16+BB17+BB18+BB10+BB11+BB12</f>
        <v>0</v>
      </c>
      <c r="BC35" s="707"/>
      <c r="BD35" s="707"/>
      <c r="BE35" s="686" t="s">
        <v>338</v>
      </c>
      <c r="BF35" s="710">
        <f>+BF13+BF14+BF15+BF16+BF17+BF18+BF10+BF11+BF12</f>
        <v>0</v>
      </c>
      <c r="BG35" s="707"/>
      <c r="BH35" s="707"/>
      <c r="BI35" s="686" t="s">
        <v>338</v>
      </c>
      <c r="BJ35" s="710">
        <f>+BJ13+BJ14+BJ15+BJ16+BJ17+BJ18+BJ10+BJ11+BJ12</f>
        <v>0</v>
      </c>
      <c r="BK35" s="707"/>
      <c r="BL35" s="707"/>
      <c r="BM35" s="686" t="s">
        <v>338</v>
      </c>
      <c r="BN35" s="710">
        <f>+BN13+BN14+BN15+BN16+BN17+BN18+BN10+BN11+BN12</f>
        <v>0</v>
      </c>
      <c r="BO35" s="707"/>
      <c r="BP35" s="707"/>
      <c r="BQ35" s="686" t="s">
        <v>338</v>
      </c>
      <c r="BR35" s="710">
        <f>+BR13+BR14+BR15+BR16+BR17+BR18+BR10+BR11+BR12</f>
        <v>0</v>
      </c>
      <c r="BS35" s="707"/>
      <c r="BT35" s="707"/>
      <c r="BU35" s="686" t="s">
        <v>338</v>
      </c>
      <c r="BV35" s="710">
        <f>+BV13+BV14+BV15+BV16+BV17+BV18+BV10+BV11+BV12</f>
        <v>0</v>
      </c>
      <c r="BW35" s="707"/>
      <c r="BX35" s="707"/>
      <c r="BY35" s="686" t="s">
        <v>338</v>
      </c>
      <c r="BZ35" s="710">
        <f>+BZ13+BZ14+BZ15+BZ16+BZ17+BZ18+BZ10+BZ11+BZ12</f>
        <v>0</v>
      </c>
      <c r="CA35" s="707"/>
      <c r="CB35" s="707"/>
      <c r="CC35" s="686" t="s">
        <v>338</v>
      </c>
      <c r="CD35" s="710">
        <f>+CD13+CD14+CD15+CD16+CD17+CD18+CD10+CD11+CD12</f>
        <v>0</v>
      </c>
      <c r="CE35" s="707"/>
      <c r="CF35" s="707"/>
      <c r="CG35" s="686" t="s">
        <v>338</v>
      </c>
      <c r="CH35" s="710">
        <f>+CH13+CH14+CH15+CH16+CH17+CH18+CH10+CH11+CH12</f>
        <v>0</v>
      </c>
      <c r="CI35" s="707"/>
      <c r="CJ35" s="707"/>
      <c r="CK35" s="686" t="s">
        <v>338</v>
      </c>
      <c r="CL35" s="710">
        <f>+CL13+CL14+CL15+CL16+CL17+CL18+CL10+CL11+CL12</f>
        <v>0</v>
      </c>
      <c r="CM35" s="707"/>
      <c r="CN35" s="707"/>
      <c r="CO35" s="686" t="s">
        <v>338</v>
      </c>
      <c r="CP35" s="710">
        <f>+CP13+CP14+CP15+CP16+CP17+CP18+CP10+CP11+CP12</f>
        <v>0</v>
      </c>
      <c r="CQ35" s="707"/>
      <c r="CR35" s="707"/>
      <c r="CS35" s="686" t="s">
        <v>338</v>
      </c>
      <c r="CT35" s="710">
        <f>+CT13+CT14+CT15+CT16+CT17+CT18+CT10+CT11+CT12</f>
        <v>0</v>
      </c>
      <c r="CU35" s="707"/>
      <c r="CV35" s="707"/>
      <c r="CW35" s="686" t="s">
        <v>338</v>
      </c>
      <c r="CX35" s="710">
        <f>+CX13+CX14+CX15+CX16+CX17+CX18+CX10+CX11+CX12</f>
        <v>0</v>
      </c>
      <c r="CY35" s="707"/>
      <c r="CZ35" s="707"/>
      <c r="DA35" s="686" t="s">
        <v>338</v>
      </c>
      <c r="DB35" s="710">
        <f>+DB13+DB14+DB15+DB16+DB17+DB18+DB10+DB11+DB12</f>
        <v>0</v>
      </c>
      <c r="DC35" s="707"/>
      <c r="DD35" s="707"/>
      <c r="DE35" s="686" t="s">
        <v>338</v>
      </c>
      <c r="DF35" s="710">
        <f>+DF13+DF14+DF15+DF16+DF17+DF18+DF10+DF11+DF12</f>
        <v>0</v>
      </c>
      <c r="DG35" s="707"/>
      <c r="DH35" s="707"/>
      <c r="DI35" s="686" t="s">
        <v>338</v>
      </c>
      <c r="DJ35" s="710">
        <f>+DJ13+DJ14+DJ15+DJ16+DJ17+DJ18+DJ10+DJ11+DJ12</f>
        <v>0</v>
      </c>
      <c r="DK35" s="707"/>
      <c r="DL35" s="707"/>
      <c r="DM35" s="686" t="s">
        <v>338</v>
      </c>
      <c r="DN35" s="710">
        <f>+DN13+DN14+DN15+DN16+DN17+DN18+DN10+DN11+DN12</f>
        <v>0</v>
      </c>
      <c r="DO35" s="707"/>
      <c r="DP35" s="707"/>
      <c r="DQ35" s="686" t="s">
        <v>338</v>
      </c>
      <c r="DR35" s="710">
        <f>+DR13+DR14+DR15+DR16+DR17+DR18+DR10+DR11+DR12</f>
        <v>0</v>
      </c>
      <c r="DS35" s="707"/>
      <c r="DT35" s="707"/>
      <c r="DU35" s="686" t="s">
        <v>338</v>
      </c>
      <c r="DV35" s="710">
        <f>+DV13+DV14+DV15+DV16+DV17+DV18+DV10+DV11+DV12</f>
        <v>0</v>
      </c>
      <c r="DW35" s="707"/>
      <c r="DX35" s="707"/>
      <c r="DY35" s="686" t="s">
        <v>338</v>
      </c>
      <c r="DZ35" s="710">
        <f>+DZ13+DZ14+DZ15+DZ16+DZ17+DZ18+DZ10+DZ11+DZ12</f>
        <v>-1920688</v>
      </c>
    </row>
    <row r="36" spans="1:138" x14ac:dyDescent="0.25">
      <c r="A36" s="1819"/>
      <c r="B36" s="720"/>
      <c r="C36" s="706"/>
      <c r="D36" s="707"/>
      <c r="E36" s="686" t="s">
        <v>339</v>
      </c>
      <c r="F36" s="710">
        <f>+F33+F34-F35</f>
        <v>14172</v>
      </c>
      <c r="I36" s="686" t="s">
        <v>339</v>
      </c>
      <c r="J36" s="710">
        <f>+J33+J34-J35</f>
        <v>11890</v>
      </c>
      <c r="K36" s="707"/>
      <c r="L36" s="707"/>
      <c r="M36" s="686" t="s">
        <v>339</v>
      </c>
      <c r="N36" s="710">
        <f>+N33+N34-N35</f>
        <v>14202</v>
      </c>
      <c r="O36" s="707"/>
      <c r="P36" s="707"/>
      <c r="Q36" s="686" t="s">
        <v>339</v>
      </c>
      <c r="R36" s="710">
        <f>+R33+R34-R35</f>
        <v>15661</v>
      </c>
      <c r="S36" s="707"/>
      <c r="T36" s="707"/>
      <c r="U36" s="686" t="s">
        <v>339</v>
      </c>
      <c r="V36" s="710">
        <f>+V33+V34-V35</f>
        <v>12706</v>
      </c>
      <c r="W36" s="707"/>
      <c r="X36" s="707"/>
      <c r="Y36" s="686" t="s">
        <v>339</v>
      </c>
      <c r="Z36" s="710">
        <f>+Z33+Z34-Z35</f>
        <v>14684</v>
      </c>
      <c r="AA36" s="707"/>
      <c r="AB36" s="707"/>
      <c r="AC36" s="686" t="s">
        <v>339</v>
      </c>
      <c r="AD36" s="710">
        <f>+AD33+AD34-AD35</f>
        <v>11842</v>
      </c>
      <c r="AE36" s="707"/>
      <c r="AF36" s="707"/>
      <c r="AG36" s="686" t="s">
        <v>339</v>
      </c>
      <c r="AH36" s="710">
        <f>+AH33+AH34-AH35</f>
        <v>9116</v>
      </c>
      <c r="AI36" s="707"/>
      <c r="AJ36" s="707"/>
      <c r="AK36" s="686" t="s">
        <v>339</v>
      </c>
      <c r="AL36" s="710">
        <f>+AL33+AL34-AL35</f>
        <v>49365</v>
      </c>
      <c r="AM36" s="707"/>
      <c r="AN36" s="707"/>
      <c r="AO36" s="686" t="s">
        <v>339</v>
      </c>
      <c r="AP36" s="710">
        <f>+AP33+AP34-AP35</f>
        <v>4943</v>
      </c>
      <c r="AQ36" s="707"/>
      <c r="AR36" s="707"/>
      <c r="AS36" s="686" t="s">
        <v>339</v>
      </c>
      <c r="AT36" s="710">
        <f>+AT33+AT34-AT35</f>
        <v>-37418</v>
      </c>
      <c r="AU36" s="707"/>
      <c r="AV36" s="707"/>
      <c r="AW36" s="686" t="s">
        <v>339</v>
      </c>
      <c r="AX36" s="710">
        <f>+AX33+AX34-AX35</f>
        <v>1064</v>
      </c>
      <c r="AY36" s="707"/>
      <c r="AZ36" s="707"/>
      <c r="BA36" s="686" t="s">
        <v>339</v>
      </c>
      <c r="BB36" s="710">
        <f>+BB33+BB34-BB35</f>
        <v>6077</v>
      </c>
      <c r="BC36" s="707"/>
      <c r="BD36" s="707"/>
      <c r="BE36" s="686" t="s">
        <v>339</v>
      </c>
      <c r="BF36" s="710">
        <f>+BF33+BF34-BF35</f>
        <v>3315</v>
      </c>
      <c r="BG36" s="707"/>
      <c r="BH36" s="707"/>
      <c r="BI36" s="686" t="s">
        <v>339</v>
      </c>
      <c r="BJ36" s="710">
        <f>+BJ33+BJ34-BJ35</f>
        <v>7083</v>
      </c>
      <c r="BK36" s="707"/>
      <c r="BL36" s="707"/>
      <c r="BM36" s="686" t="s">
        <v>339</v>
      </c>
      <c r="BN36" s="710">
        <f>+BN33+BN34-BN35</f>
        <v>9600</v>
      </c>
      <c r="BO36" s="707"/>
      <c r="BP36" s="707"/>
      <c r="BQ36" s="686" t="s">
        <v>339</v>
      </c>
      <c r="BR36" s="710">
        <f>+BR33+BR34-BR35</f>
        <v>6582</v>
      </c>
      <c r="BS36" s="707"/>
      <c r="BT36" s="707"/>
      <c r="BU36" s="686" t="s">
        <v>339</v>
      </c>
      <c r="BV36" s="710">
        <f>+BV33+BV34-BV35</f>
        <v>4137</v>
      </c>
      <c r="BW36" s="707"/>
      <c r="BX36" s="707"/>
      <c r="BY36" s="686" t="s">
        <v>339</v>
      </c>
      <c r="BZ36" s="710">
        <f>+BZ33+BZ34-BZ35</f>
        <v>7141</v>
      </c>
      <c r="CA36" s="707"/>
      <c r="CB36" s="707"/>
      <c r="CC36" s="686" t="s">
        <v>339</v>
      </c>
      <c r="CD36" s="710">
        <f>+CD33+CD34-CD35</f>
        <v>5065</v>
      </c>
      <c r="CE36" s="707"/>
      <c r="CF36" s="707"/>
      <c r="CG36" s="686" t="s">
        <v>339</v>
      </c>
      <c r="CH36" s="710">
        <f>+CH33+CH34-CH35</f>
        <v>3281</v>
      </c>
      <c r="CI36" s="707"/>
      <c r="CJ36" s="707"/>
      <c r="CK36" s="686" t="s">
        <v>339</v>
      </c>
      <c r="CL36" s="710">
        <f>+CL33+CL34-CL35</f>
        <v>8084</v>
      </c>
      <c r="CM36" s="707"/>
      <c r="CN36" s="707"/>
      <c r="CO36" s="686" t="s">
        <v>339</v>
      </c>
      <c r="CP36" s="710">
        <f>+CP33+CP34-CP35</f>
        <v>7298</v>
      </c>
      <c r="CQ36" s="707"/>
      <c r="CR36" s="707"/>
      <c r="CS36" s="686" t="s">
        <v>339</v>
      </c>
      <c r="CT36" s="710">
        <f>+CT33+CT34-CT35</f>
        <v>4218</v>
      </c>
      <c r="CU36" s="707"/>
      <c r="CV36" s="707"/>
      <c r="CW36" s="686" t="s">
        <v>339</v>
      </c>
      <c r="CX36" s="710">
        <f>+CX33+CX34-CX35</f>
        <v>1268</v>
      </c>
      <c r="CY36" s="707"/>
      <c r="CZ36" s="707"/>
      <c r="DA36" s="686" t="s">
        <v>339</v>
      </c>
      <c r="DB36" s="710">
        <f>+DB33+DB34-DB35</f>
        <v>10478</v>
      </c>
      <c r="DC36" s="707"/>
      <c r="DD36" s="707"/>
      <c r="DE36" s="686" t="s">
        <v>339</v>
      </c>
      <c r="DF36" s="710">
        <f>+DF33+DF34-DF35</f>
        <v>5514</v>
      </c>
      <c r="DG36" s="707"/>
      <c r="DH36" s="707"/>
      <c r="DI36" s="686" t="s">
        <v>339</v>
      </c>
      <c r="DJ36" s="710">
        <f>+DJ33+DJ34-DJ35</f>
        <v>2980</v>
      </c>
      <c r="DK36" s="707"/>
      <c r="DL36" s="707"/>
      <c r="DM36" s="686" t="s">
        <v>339</v>
      </c>
      <c r="DN36" s="710">
        <f>+DN33+DN34-DN35</f>
        <v>11447</v>
      </c>
      <c r="DO36" s="707"/>
      <c r="DP36" s="707"/>
      <c r="DQ36" s="686" t="s">
        <v>339</v>
      </c>
      <c r="DR36" s="710">
        <f>+DR33+DR34-DR35</f>
        <v>9171</v>
      </c>
      <c r="DS36" s="707"/>
      <c r="DT36" s="707"/>
      <c r="DU36" s="686" t="s">
        <v>339</v>
      </c>
      <c r="DV36" s="710">
        <f>+DV33+DV34-DV35</f>
        <v>5776</v>
      </c>
      <c r="DW36" s="707"/>
      <c r="DX36" s="707"/>
      <c r="DY36" s="686" t="s">
        <v>339</v>
      </c>
      <c r="DZ36" s="710">
        <f>+DZ33+DZ34-DZ35</f>
        <v>1941229</v>
      </c>
    </row>
    <row r="37" spans="1:138" x14ac:dyDescent="0.25">
      <c r="A37" s="1819"/>
      <c r="B37" s="720"/>
      <c r="C37" s="706"/>
      <c r="D37" s="707"/>
      <c r="E37" s="686" t="s">
        <v>340</v>
      </c>
      <c r="F37" s="710">
        <v>14140</v>
      </c>
      <c r="I37" s="686" t="s">
        <v>340</v>
      </c>
      <c r="J37" s="710">
        <v>11909</v>
      </c>
      <c r="K37" s="707"/>
      <c r="L37" s="707"/>
      <c r="M37" s="686" t="s">
        <v>340</v>
      </c>
      <c r="N37" s="710">
        <v>14185</v>
      </c>
      <c r="O37" s="707"/>
      <c r="P37" s="707"/>
      <c r="Q37" s="686" t="s">
        <v>340</v>
      </c>
      <c r="R37" s="710">
        <v>15657</v>
      </c>
      <c r="S37" s="707"/>
      <c r="T37" s="707"/>
      <c r="U37" s="686" t="s">
        <v>340</v>
      </c>
      <c r="V37" s="710">
        <v>12727</v>
      </c>
      <c r="W37" s="707"/>
      <c r="X37" s="707"/>
      <c r="Y37" s="686" t="s">
        <v>340</v>
      </c>
      <c r="Z37" s="710">
        <v>14669</v>
      </c>
      <c r="AA37" s="707"/>
      <c r="AB37" s="707"/>
      <c r="AC37" s="686" t="s">
        <v>340</v>
      </c>
      <c r="AD37" s="710">
        <v>11833</v>
      </c>
      <c r="AE37" s="707"/>
      <c r="AF37" s="707"/>
      <c r="AG37" s="686" t="s">
        <v>340</v>
      </c>
      <c r="AH37" s="710">
        <v>9112</v>
      </c>
      <c r="AI37" s="707"/>
      <c r="AJ37" s="707"/>
      <c r="AK37" s="686" t="s">
        <v>340</v>
      </c>
      <c r="AL37" s="710">
        <v>4943</v>
      </c>
      <c r="AM37" s="707"/>
      <c r="AN37" s="707"/>
      <c r="AO37" s="686" t="s">
        <v>340</v>
      </c>
      <c r="AP37" s="710">
        <v>2835</v>
      </c>
      <c r="AQ37" s="707"/>
      <c r="AR37" s="707"/>
      <c r="AS37" s="686" t="s">
        <v>340</v>
      </c>
      <c r="AT37" s="710">
        <v>1064</v>
      </c>
      <c r="AU37" s="707"/>
      <c r="AV37" s="707"/>
      <c r="AW37" s="686" t="s">
        <v>340</v>
      </c>
      <c r="AX37" s="710">
        <v>6077</v>
      </c>
      <c r="AY37" s="707"/>
      <c r="AZ37" s="707"/>
      <c r="BA37" s="686" t="s">
        <v>340</v>
      </c>
      <c r="BB37" s="710">
        <v>3315</v>
      </c>
      <c r="BC37" s="707"/>
      <c r="BD37" s="707"/>
      <c r="BE37" s="686" t="s">
        <v>340</v>
      </c>
      <c r="BF37" s="710">
        <v>7083</v>
      </c>
      <c r="BG37" s="707"/>
      <c r="BH37" s="707"/>
      <c r="BI37" s="686" t="s">
        <v>340</v>
      </c>
      <c r="BJ37" s="710">
        <v>9600</v>
      </c>
      <c r="BK37" s="707"/>
      <c r="BL37" s="707"/>
      <c r="BM37" s="686" t="s">
        <v>340</v>
      </c>
      <c r="BN37" s="710">
        <v>6582</v>
      </c>
      <c r="BO37" s="707"/>
      <c r="BP37" s="707"/>
      <c r="BQ37" s="686" t="s">
        <v>340</v>
      </c>
      <c r="BR37" s="710">
        <v>4137</v>
      </c>
      <c r="BS37" s="707"/>
      <c r="BT37" s="707"/>
      <c r="BU37" s="686" t="s">
        <v>340</v>
      </c>
      <c r="BV37" s="710">
        <v>7141</v>
      </c>
      <c r="BW37" s="707"/>
      <c r="BX37" s="707"/>
      <c r="BY37" s="686" t="s">
        <v>340</v>
      </c>
      <c r="BZ37" s="710">
        <v>5065</v>
      </c>
      <c r="CA37" s="707"/>
      <c r="CB37" s="707"/>
      <c r="CC37" s="686" t="s">
        <v>340</v>
      </c>
      <c r="CD37" s="710">
        <v>3281</v>
      </c>
      <c r="CE37" s="707"/>
      <c r="CF37" s="707"/>
      <c r="CG37" s="686" t="s">
        <v>340</v>
      </c>
      <c r="CH37" s="710">
        <v>8084</v>
      </c>
      <c r="CI37" s="707"/>
      <c r="CJ37" s="707"/>
      <c r="CK37" s="686" t="s">
        <v>340</v>
      </c>
      <c r="CL37" s="710">
        <v>7298</v>
      </c>
      <c r="CM37" s="707"/>
      <c r="CN37" s="707"/>
      <c r="CO37" s="686" t="s">
        <v>340</v>
      </c>
      <c r="CP37" s="710">
        <v>4218</v>
      </c>
      <c r="CQ37" s="707"/>
      <c r="CR37" s="707"/>
      <c r="CS37" s="686" t="s">
        <v>340</v>
      </c>
      <c r="CT37" s="710">
        <v>1268</v>
      </c>
      <c r="CU37" s="707"/>
      <c r="CV37" s="707"/>
      <c r="CW37" s="686" t="s">
        <v>340</v>
      </c>
      <c r="CX37" s="710">
        <v>10478</v>
      </c>
      <c r="CY37" s="707"/>
      <c r="CZ37" s="707"/>
      <c r="DA37" s="686" t="s">
        <v>340</v>
      </c>
      <c r="DB37" s="710">
        <v>5514</v>
      </c>
      <c r="DC37" s="707"/>
      <c r="DD37" s="707"/>
      <c r="DE37" s="686" t="s">
        <v>340</v>
      </c>
      <c r="DF37" s="710">
        <v>2980</v>
      </c>
      <c r="DG37" s="707"/>
      <c r="DH37" s="707"/>
      <c r="DI37" s="686" t="s">
        <v>340</v>
      </c>
      <c r="DJ37" s="710">
        <v>11447</v>
      </c>
      <c r="DK37" s="707"/>
      <c r="DL37" s="707"/>
      <c r="DM37" s="686" t="s">
        <v>340</v>
      </c>
      <c r="DN37" s="710">
        <v>9171</v>
      </c>
      <c r="DO37" s="707"/>
      <c r="DP37" s="707"/>
      <c r="DQ37" s="686" t="s">
        <v>340</v>
      </c>
      <c r="DR37" s="710">
        <v>5776</v>
      </c>
      <c r="DS37" s="707"/>
      <c r="DT37" s="707"/>
      <c r="DU37" s="686" t="s">
        <v>340</v>
      </c>
      <c r="DV37" s="710">
        <v>3445</v>
      </c>
      <c r="DW37" s="707"/>
      <c r="DX37" s="707"/>
      <c r="DY37" s="686" t="s">
        <v>340</v>
      </c>
      <c r="DZ37" s="710">
        <v>3445</v>
      </c>
    </row>
    <row r="38" spans="1:138" x14ac:dyDescent="0.25">
      <c r="A38" s="1819"/>
      <c r="B38" s="720"/>
      <c r="C38" s="706"/>
      <c r="D38" s="707"/>
      <c r="E38" s="683" t="s">
        <v>456</v>
      </c>
      <c r="F38" s="719">
        <f>F37-F36</f>
        <v>-32</v>
      </c>
      <c r="I38" s="683" t="s">
        <v>456</v>
      </c>
      <c r="J38" s="719">
        <f>+J37-J36</f>
        <v>19</v>
      </c>
      <c r="K38" s="707"/>
      <c r="L38" s="707"/>
      <c r="M38" s="683" t="s">
        <v>456</v>
      </c>
      <c r="N38" s="719">
        <f>+N37-N36</f>
        <v>-17</v>
      </c>
      <c r="O38" s="707"/>
      <c r="P38" s="707"/>
      <c r="Q38" s="683" t="s">
        <v>456</v>
      </c>
      <c r="R38" s="719">
        <f>+R37-R36</f>
        <v>-4</v>
      </c>
      <c r="S38" s="707"/>
      <c r="T38" s="707"/>
      <c r="U38" s="683" t="s">
        <v>456</v>
      </c>
      <c r="V38" s="719">
        <f>+V37-V36</f>
        <v>21</v>
      </c>
      <c r="W38" s="707"/>
      <c r="X38" s="707"/>
      <c r="Y38" s="683" t="s">
        <v>456</v>
      </c>
      <c r="Z38" s="719">
        <f>+Z37-Z36</f>
        <v>-15</v>
      </c>
      <c r="AA38" s="707"/>
      <c r="AB38" s="707"/>
      <c r="AC38" s="683" t="s">
        <v>456</v>
      </c>
      <c r="AD38" s="719">
        <f>+AD37-AD36</f>
        <v>-9</v>
      </c>
      <c r="AE38" s="707"/>
      <c r="AF38" s="707"/>
      <c r="AG38" s="683" t="s">
        <v>456</v>
      </c>
      <c r="AH38" s="719">
        <f>+AH37-AH36</f>
        <v>-4</v>
      </c>
      <c r="AI38" s="707"/>
      <c r="AJ38" s="707"/>
      <c r="AK38" s="683" t="s">
        <v>456</v>
      </c>
      <c r="AL38" s="719">
        <f>+AL37-AL36</f>
        <v>-44422</v>
      </c>
      <c r="AM38" s="707"/>
      <c r="AN38" s="707"/>
      <c r="AO38" s="683" t="s">
        <v>456</v>
      </c>
      <c r="AP38" s="719">
        <f>+AP37-AP36</f>
        <v>-2108</v>
      </c>
      <c r="AQ38" s="707"/>
      <c r="AR38" s="707"/>
      <c r="AS38" s="683" t="s">
        <v>456</v>
      </c>
      <c r="AT38" s="719">
        <f>+AT37-AT36</f>
        <v>38482</v>
      </c>
      <c r="AU38" s="707"/>
      <c r="AV38" s="707"/>
      <c r="AW38" s="683" t="s">
        <v>456</v>
      </c>
      <c r="AX38" s="719">
        <f>+AX37-AX36</f>
        <v>5013</v>
      </c>
      <c r="AY38" s="707"/>
      <c r="AZ38" s="707"/>
      <c r="BA38" s="683" t="s">
        <v>456</v>
      </c>
      <c r="BB38" s="719">
        <f>+BB37-BB36</f>
        <v>-2762</v>
      </c>
      <c r="BC38" s="707"/>
      <c r="BD38" s="707"/>
      <c r="BE38" s="683" t="s">
        <v>456</v>
      </c>
      <c r="BF38" s="719">
        <f>BF37-BF36</f>
        <v>3768</v>
      </c>
      <c r="BG38" s="707"/>
      <c r="BH38" s="707"/>
      <c r="BI38" s="683" t="s">
        <v>456</v>
      </c>
      <c r="BJ38" s="719">
        <f>+BJ37-BJ36</f>
        <v>2517</v>
      </c>
      <c r="BK38" s="707"/>
      <c r="BL38" s="707"/>
      <c r="BM38" s="683" t="s">
        <v>456</v>
      </c>
      <c r="BN38" s="719">
        <f>+BN37-BN36</f>
        <v>-3018</v>
      </c>
      <c r="BO38" s="707"/>
      <c r="BP38" s="707"/>
      <c r="BQ38" s="683" t="s">
        <v>456</v>
      </c>
      <c r="BR38" s="719">
        <f>+BR37-BR36</f>
        <v>-2445</v>
      </c>
      <c r="BS38" s="707"/>
      <c r="BT38" s="707"/>
      <c r="BU38" s="683" t="s">
        <v>456</v>
      </c>
      <c r="BV38" s="719">
        <f>+BV37-BV36</f>
        <v>3004</v>
      </c>
      <c r="BW38" s="707"/>
      <c r="BX38" s="707"/>
      <c r="BY38" s="683" t="s">
        <v>456</v>
      </c>
      <c r="BZ38" s="719">
        <f>+BZ37-BZ36</f>
        <v>-2076</v>
      </c>
      <c r="CA38" s="707"/>
      <c r="CB38" s="707"/>
      <c r="CC38" s="683" t="s">
        <v>456</v>
      </c>
      <c r="CD38" s="719">
        <f>+CD37-CD36</f>
        <v>-1784</v>
      </c>
      <c r="CE38" s="707"/>
      <c r="CF38" s="707"/>
      <c r="CG38" s="683" t="s">
        <v>456</v>
      </c>
      <c r="CH38" s="719">
        <f>+CH37-CH36</f>
        <v>4803</v>
      </c>
      <c r="CI38" s="707"/>
      <c r="CJ38" s="707"/>
      <c r="CK38" s="683" t="s">
        <v>456</v>
      </c>
      <c r="CL38" s="719">
        <f>+CL37-CL36</f>
        <v>-786</v>
      </c>
      <c r="CM38" s="707"/>
      <c r="CN38" s="707"/>
      <c r="CO38" s="683" t="s">
        <v>456</v>
      </c>
      <c r="CP38" s="719">
        <f>+CP37-CP36</f>
        <v>-3080</v>
      </c>
      <c r="CQ38" s="707"/>
      <c r="CR38" s="707"/>
      <c r="CS38" s="683" t="s">
        <v>456</v>
      </c>
      <c r="CT38" s="719">
        <f>+CT37-CT36</f>
        <v>-2950</v>
      </c>
      <c r="CU38" s="707"/>
      <c r="CV38" s="707"/>
      <c r="CW38" s="683" t="s">
        <v>456</v>
      </c>
      <c r="CX38" s="719">
        <f>+CX37-CX36</f>
        <v>9210</v>
      </c>
      <c r="CY38" s="707"/>
      <c r="CZ38" s="707"/>
      <c r="DA38" s="683" t="s">
        <v>456</v>
      </c>
      <c r="DB38" s="719">
        <f>+DB37-DB36</f>
        <v>-4964</v>
      </c>
      <c r="DC38" s="707"/>
      <c r="DD38" s="707"/>
      <c r="DE38" s="683" t="s">
        <v>456</v>
      </c>
      <c r="DF38" s="719">
        <f>+DF37-DF36</f>
        <v>-2534</v>
      </c>
      <c r="DG38" s="707"/>
      <c r="DH38" s="707"/>
      <c r="DI38" s="683" t="s">
        <v>456</v>
      </c>
      <c r="DJ38" s="719">
        <f>+DJ37-DJ36</f>
        <v>8467</v>
      </c>
      <c r="DK38" s="707"/>
      <c r="DL38" s="707"/>
      <c r="DM38" s="683" t="s">
        <v>456</v>
      </c>
      <c r="DN38" s="719">
        <f>+DN37-DN36</f>
        <v>-2276</v>
      </c>
      <c r="DO38" s="707"/>
      <c r="DP38" s="707"/>
      <c r="DQ38" s="683" t="s">
        <v>456</v>
      </c>
      <c r="DR38" s="719">
        <f>+DR37-DR36</f>
        <v>-3395</v>
      </c>
      <c r="DS38" s="707"/>
      <c r="DT38" s="707"/>
      <c r="DU38" s="683" t="s">
        <v>456</v>
      </c>
      <c r="DV38" s="719">
        <f>+DV37-DV36</f>
        <v>-2331</v>
      </c>
      <c r="DW38" s="707"/>
      <c r="DX38" s="707"/>
      <c r="DY38" s="683" t="s">
        <v>456</v>
      </c>
      <c r="DZ38" s="719">
        <f>+DZ37-DZ36</f>
        <v>-1937784</v>
      </c>
    </row>
    <row r="39" spans="1:138" x14ac:dyDescent="0.25">
      <c r="A39" s="1819"/>
      <c r="B39" s="720"/>
      <c r="C39" s="706"/>
      <c r="D39" s="707"/>
      <c r="E39" s="722"/>
      <c r="F39" s="710"/>
      <c r="I39" s="722"/>
      <c r="J39" s="710"/>
      <c r="K39" s="707"/>
      <c r="L39" s="707"/>
      <c r="M39" s="722"/>
      <c r="N39" s="710"/>
      <c r="O39" s="707"/>
      <c r="P39" s="707"/>
      <c r="Q39" s="722"/>
      <c r="R39" s="710"/>
      <c r="S39" s="707"/>
      <c r="T39" s="707"/>
      <c r="U39" s="722"/>
      <c r="V39" s="710"/>
      <c r="W39" s="707"/>
      <c r="X39" s="707"/>
      <c r="Y39" s="722"/>
      <c r="Z39" s="710"/>
      <c r="AA39" s="707"/>
      <c r="AB39" s="707"/>
      <c r="AC39" s="722"/>
      <c r="AD39" s="710"/>
      <c r="AE39" s="707"/>
      <c r="AF39" s="707"/>
      <c r="AG39" s="722"/>
      <c r="AH39" s="710"/>
      <c r="AI39" s="707"/>
      <c r="AJ39" s="707"/>
      <c r="AK39" s="722"/>
      <c r="AL39" s="710"/>
      <c r="AM39" s="707"/>
      <c r="AN39" s="707"/>
      <c r="AO39" s="722"/>
      <c r="AP39" s="710"/>
      <c r="AQ39" s="707"/>
      <c r="AR39" s="707"/>
      <c r="AS39" s="722"/>
      <c r="AT39" s="710"/>
      <c r="AU39" s="707"/>
      <c r="AV39" s="707"/>
      <c r="AW39" s="722"/>
      <c r="AX39" s="710"/>
      <c r="AY39" s="707"/>
      <c r="AZ39" s="707"/>
      <c r="BA39" s="722"/>
      <c r="BB39" s="710"/>
      <c r="BC39" s="707"/>
      <c r="BD39" s="707"/>
      <c r="BE39" s="722"/>
      <c r="BF39" s="710"/>
      <c r="BG39" s="707"/>
      <c r="BH39" s="707"/>
      <c r="BI39" s="722"/>
      <c r="BJ39" s="710"/>
      <c r="BK39" s="707"/>
      <c r="BL39" s="707"/>
      <c r="BM39" s="722"/>
      <c r="BN39" s="710"/>
      <c r="BO39" s="707"/>
      <c r="BP39" s="707"/>
      <c r="BQ39" s="722"/>
      <c r="BR39" s="710"/>
      <c r="BS39" s="707"/>
      <c r="BT39" s="707"/>
      <c r="BU39" s="722"/>
      <c r="BV39" s="710"/>
      <c r="BW39" s="707"/>
      <c r="BX39" s="707"/>
      <c r="BY39" s="722"/>
      <c r="BZ39" s="710"/>
      <c r="CA39" s="707"/>
      <c r="CB39" s="707"/>
      <c r="CC39" s="722"/>
      <c r="CD39" s="710"/>
      <c r="CE39" s="707"/>
      <c r="CF39" s="707"/>
      <c r="CG39" s="722"/>
      <c r="CH39" s="710"/>
      <c r="CI39" s="707"/>
      <c r="CJ39" s="707"/>
      <c r="CK39" s="722"/>
      <c r="CL39" s="710"/>
      <c r="CM39" s="707"/>
      <c r="CN39" s="707"/>
      <c r="CO39" s="722"/>
      <c r="CP39" s="710"/>
      <c r="CQ39" s="707"/>
      <c r="CR39" s="707"/>
      <c r="CS39" s="722"/>
      <c r="CT39" s="710"/>
      <c r="CU39" s="707"/>
      <c r="CV39" s="707"/>
      <c r="CW39" s="722"/>
      <c r="CX39" s="710"/>
      <c r="CY39" s="707"/>
      <c r="CZ39" s="707"/>
      <c r="DA39" s="722"/>
      <c r="DB39" s="710"/>
      <c r="DC39" s="707"/>
      <c r="DD39" s="707"/>
      <c r="DE39" s="722"/>
      <c r="DF39" s="710"/>
      <c r="DG39" s="707"/>
      <c r="DH39" s="707"/>
      <c r="DI39" s="722"/>
      <c r="DJ39" s="710"/>
      <c r="DK39" s="707"/>
      <c r="DL39" s="707"/>
      <c r="DM39" s="722"/>
      <c r="DN39" s="710"/>
      <c r="DO39" s="707"/>
      <c r="DP39" s="707"/>
      <c r="DQ39" s="722"/>
      <c r="DR39" s="710"/>
      <c r="DS39" s="707"/>
      <c r="DT39" s="707"/>
      <c r="DU39" s="722"/>
      <c r="DV39" s="710"/>
      <c r="DW39" s="707"/>
      <c r="DX39" s="707"/>
      <c r="DY39" s="722"/>
      <c r="DZ39" s="710"/>
    </row>
    <row r="40" spans="1:138" x14ac:dyDescent="0.25">
      <c r="A40" s="1819"/>
      <c r="B40" s="720"/>
      <c r="C40" s="706"/>
      <c r="D40" s="707"/>
      <c r="E40" s="683" t="s">
        <v>341</v>
      </c>
      <c r="F40" s="894">
        <v>7000</v>
      </c>
      <c r="I40" s="683" t="s">
        <v>341</v>
      </c>
      <c r="J40" s="894">
        <v>7000</v>
      </c>
      <c r="K40" s="707"/>
      <c r="L40" s="707"/>
      <c r="M40" s="683" t="s">
        <v>341</v>
      </c>
      <c r="N40" s="894">
        <v>7000</v>
      </c>
      <c r="O40" s="707"/>
      <c r="P40" s="707"/>
      <c r="Q40" s="683" t="s">
        <v>341</v>
      </c>
      <c r="R40" s="894">
        <v>7000</v>
      </c>
      <c r="S40" s="707"/>
      <c r="T40" s="707"/>
      <c r="U40" s="683" t="s">
        <v>341</v>
      </c>
      <c r="V40" s="894">
        <v>7000</v>
      </c>
      <c r="W40" s="707"/>
      <c r="X40" s="707"/>
      <c r="Y40" s="683" t="s">
        <v>341</v>
      </c>
      <c r="Z40" s="894">
        <v>7000</v>
      </c>
      <c r="AA40" s="707"/>
      <c r="AB40" s="707"/>
      <c r="AC40" s="683" t="s">
        <v>341</v>
      </c>
      <c r="AD40" s="894">
        <v>7000</v>
      </c>
      <c r="AE40" s="707"/>
      <c r="AF40" s="707"/>
      <c r="AG40" s="683" t="s">
        <v>341</v>
      </c>
      <c r="AH40" s="894">
        <v>7000</v>
      </c>
      <c r="AI40" s="707"/>
      <c r="AJ40" s="707"/>
      <c r="AK40" s="683" t="s">
        <v>341</v>
      </c>
      <c r="AL40" s="894">
        <v>7000</v>
      </c>
      <c r="AM40" s="707"/>
      <c r="AN40" s="707"/>
      <c r="AO40" s="683" t="s">
        <v>341</v>
      </c>
      <c r="AP40" s="894">
        <v>7000</v>
      </c>
      <c r="AQ40" s="707"/>
      <c r="AR40" s="707"/>
      <c r="AS40" s="683" t="s">
        <v>341</v>
      </c>
      <c r="AT40" s="710">
        <v>7000</v>
      </c>
      <c r="AU40" s="707"/>
      <c r="AV40" s="707"/>
      <c r="AW40" s="683" t="s">
        <v>341</v>
      </c>
      <c r="AX40" s="894">
        <v>7000</v>
      </c>
      <c r="AY40" s="707"/>
      <c r="AZ40" s="707"/>
      <c r="BA40" s="683" t="s">
        <v>341</v>
      </c>
      <c r="BB40" s="894">
        <v>7000</v>
      </c>
      <c r="BC40" s="707"/>
      <c r="BD40" s="707"/>
      <c r="BE40" s="683" t="s">
        <v>341</v>
      </c>
      <c r="BF40" s="894">
        <v>7000</v>
      </c>
      <c r="BG40" s="707"/>
      <c r="BH40" s="707"/>
      <c r="BI40" s="683" t="s">
        <v>341</v>
      </c>
      <c r="BJ40" s="894">
        <v>7000</v>
      </c>
      <c r="BK40" s="707"/>
      <c r="BL40" s="707"/>
      <c r="BM40" s="683" t="s">
        <v>341</v>
      </c>
      <c r="BN40" s="894">
        <v>7000</v>
      </c>
      <c r="BO40" s="707"/>
      <c r="BP40" s="707"/>
      <c r="BQ40" s="683" t="s">
        <v>341</v>
      </c>
      <c r="BR40" s="894">
        <v>7000</v>
      </c>
      <c r="BS40" s="707"/>
      <c r="BT40" s="707"/>
      <c r="BU40" s="683" t="s">
        <v>341</v>
      </c>
      <c r="BV40" s="894">
        <v>7000</v>
      </c>
      <c r="BW40" s="707"/>
      <c r="BX40" s="707"/>
      <c r="BY40" s="683" t="s">
        <v>341</v>
      </c>
      <c r="BZ40" s="894">
        <v>7000</v>
      </c>
      <c r="CA40" s="707"/>
      <c r="CB40" s="707"/>
      <c r="CC40" s="683" t="s">
        <v>341</v>
      </c>
      <c r="CD40" s="894">
        <v>7000</v>
      </c>
      <c r="CE40" s="707"/>
      <c r="CF40" s="707"/>
      <c r="CG40" s="683" t="s">
        <v>341</v>
      </c>
      <c r="CH40" s="894">
        <v>7000</v>
      </c>
      <c r="CI40" s="707"/>
      <c r="CJ40" s="707"/>
      <c r="CK40" s="683" t="s">
        <v>341</v>
      </c>
      <c r="CL40" s="894">
        <v>7000</v>
      </c>
      <c r="CM40" s="707"/>
      <c r="CN40" s="707"/>
      <c r="CO40" s="683" t="s">
        <v>341</v>
      </c>
      <c r="CP40" s="894">
        <v>7000</v>
      </c>
      <c r="CQ40" s="707"/>
      <c r="CR40" s="707"/>
      <c r="CS40" s="683" t="s">
        <v>341</v>
      </c>
      <c r="CT40" s="894">
        <v>7000</v>
      </c>
      <c r="CU40" s="707"/>
      <c r="CV40" s="707"/>
      <c r="CW40" s="683" t="s">
        <v>341</v>
      </c>
      <c r="CX40" s="894">
        <v>7000</v>
      </c>
      <c r="CY40" s="707"/>
      <c r="CZ40" s="707"/>
      <c r="DA40" s="683" t="s">
        <v>341</v>
      </c>
      <c r="DB40" s="894">
        <v>7000</v>
      </c>
      <c r="DC40" s="707"/>
      <c r="DD40" s="707"/>
      <c r="DE40" s="683" t="s">
        <v>341</v>
      </c>
      <c r="DF40" s="894">
        <v>7000</v>
      </c>
      <c r="DG40" s="707"/>
      <c r="DH40" s="707"/>
      <c r="DI40" s="683" t="s">
        <v>341</v>
      </c>
      <c r="DJ40" s="894">
        <v>7000</v>
      </c>
      <c r="DK40" s="707"/>
      <c r="DL40" s="707"/>
      <c r="DM40" s="683" t="s">
        <v>341</v>
      </c>
      <c r="DN40" s="894">
        <v>7000</v>
      </c>
      <c r="DO40" s="707"/>
      <c r="DP40" s="707"/>
      <c r="DQ40" s="683" t="s">
        <v>341</v>
      </c>
      <c r="DR40" s="894">
        <v>7000</v>
      </c>
      <c r="DS40" s="707"/>
      <c r="DT40" s="707"/>
      <c r="DU40" s="683" t="s">
        <v>341</v>
      </c>
      <c r="DV40" s="894">
        <v>7000</v>
      </c>
      <c r="DW40" s="707"/>
      <c r="DX40" s="707"/>
      <c r="DY40" s="683" t="s">
        <v>341</v>
      </c>
      <c r="DZ40" s="894">
        <v>7000</v>
      </c>
    </row>
    <row r="41" spans="1:138" x14ac:dyDescent="0.25">
      <c r="A41" s="1819"/>
      <c r="B41" s="720"/>
      <c r="C41" s="706"/>
      <c r="D41" s="707"/>
      <c r="E41" s="686" t="s">
        <v>336</v>
      </c>
      <c r="F41" s="710">
        <v>625</v>
      </c>
      <c r="I41" s="686" t="s">
        <v>336</v>
      </c>
      <c r="J41" s="710">
        <f>+F45</f>
        <v>625</v>
      </c>
      <c r="K41" s="707"/>
      <c r="L41" s="707"/>
      <c r="M41" s="686" t="s">
        <v>336</v>
      </c>
      <c r="N41" s="710">
        <f>+J45</f>
        <v>625</v>
      </c>
      <c r="O41" s="707"/>
      <c r="P41" s="707"/>
      <c r="Q41" s="686" t="s">
        <v>336</v>
      </c>
      <c r="R41" s="710">
        <f>+N45</f>
        <v>625</v>
      </c>
      <c r="S41" s="707"/>
      <c r="T41" s="707"/>
      <c r="U41" s="686" t="s">
        <v>336</v>
      </c>
      <c r="V41" s="710">
        <f>+R45</f>
        <v>625</v>
      </c>
      <c r="W41" s="707"/>
      <c r="X41" s="707"/>
      <c r="Y41" s="686" t="s">
        <v>336</v>
      </c>
      <c r="Z41" s="710">
        <f>+V45</f>
        <v>625</v>
      </c>
      <c r="AA41" s="707"/>
      <c r="AB41" s="707"/>
      <c r="AC41" s="686" t="s">
        <v>336</v>
      </c>
      <c r="AD41" s="710">
        <f>+Z45</f>
        <v>625</v>
      </c>
      <c r="AE41" s="707"/>
      <c r="AF41" s="707"/>
      <c r="AG41" s="686" t="s">
        <v>336</v>
      </c>
      <c r="AH41" s="710">
        <f>+AD45</f>
        <v>625</v>
      </c>
      <c r="AI41" s="707"/>
      <c r="AJ41" s="707"/>
      <c r="AK41" s="686" t="s">
        <v>336</v>
      </c>
      <c r="AL41" s="710">
        <f>+AH45</f>
        <v>625</v>
      </c>
      <c r="AM41" s="707"/>
      <c r="AN41" s="707"/>
      <c r="AO41" s="686" t="s">
        <v>336</v>
      </c>
      <c r="AP41" s="710">
        <f>+AL45</f>
        <v>625</v>
      </c>
      <c r="AQ41" s="707"/>
      <c r="AR41" s="707"/>
      <c r="AS41" s="686" t="s">
        <v>336</v>
      </c>
      <c r="AT41" s="710">
        <f>+AP45</f>
        <v>625</v>
      </c>
      <c r="AU41" s="707"/>
      <c r="AV41" s="707"/>
      <c r="AW41" s="686" t="s">
        <v>336</v>
      </c>
      <c r="AX41" s="710">
        <f>+AT45</f>
        <v>625</v>
      </c>
      <c r="AY41" s="707"/>
      <c r="AZ41" s="707"/>
      <c r="BA41" s="686" t="s">
        <v>336</v>
      </c>
      <c r="BB41" s="710">
        <f>+AX45</f>
        <v>625</v>
      </c>
      <c r="BC41" s="707"/>
      <c r="BD41" s="707"/>
      <c r="BE41" s="686" t="s">
        <v>336</v>
      </c>
      <c r="BF41" s="710">
        <f>+BB45</f>
        <v>625</v>
      </c>
      <c r="BG41" s="707"/>
      <c r="BH41" s="707"/>
      <c r="BI41" s="686" t="s">
        <v>336</v>
      </c>
      <c r="BJ41" s="710">
        <f>+BF45</f>
        <v>625</v>
      </c>
      <c r="BK41" s="707"/>
      <c r="BL41" s="707"/>
      <c r="BM41" s="686" t="s">
        <v>336</v>
      </c>
      <c r="BN41" s="710">
        <f>+BJ45</f>
        <v>625</v>
      </c>
      <c r="BO41" s="707"/>
      <c r="BP41" s="707"/>
      <c r="BQ41" s="686" t="s">
        <v>336</v>
      </c>
      <c r="BR41" s="710">
        <f>+BN45</f>
        <v>625</v>
      </c>
      <c r="BS41" s="707"/>
      <c r="BT41" s="707"/>
      <c r="BU41" s="686" t="s">
        <v>336</v>
      </c>
      <c r="BV41" s="710">
        <f>+BR45</f>
        <v>625</v>
      </c>
      <c r="BW41" s="707"/>
      <c r="BX41" s="707"/>
      <c r="BY41" s="686" t="s">
        <v>336</v>
      </c>
      <c r="BZ41" s="710">
        <f>+BV45</f>
        <v>625</v>
      </c>
      <c r="CA41" s="707"/>
      <c r="CB41" s="707"/>
      <c r="CC41" s="686" t="s">
        <v>336</v>
      </c>
      <c r="CD41" s="710">
        <f>BZ45</f>
        <v>625</v>
      </c>
      <c r="CE41" s="707"/>
      <c r="CF41" s="707"/>
      <c r="CG41" s="686" t="s">
        <v>336</v>
      </c>
      <c r="CH41" s="710">
        <f>CD45</f>
        <v>625</v>
      </c>
      <c r="CI41" s="707"/>
      <c r="CJ41" s="707"/>
      <c r="CK41" s="686" t="s">
        <v>336</v>
      </c>
      <c r="CL41" s="710">
        <f>CH45</f>
        <v>625</v>
      </c>
      <c r="CM41" s="707"/>
      <c r="CN41" s="707"/>
      <c r="CO41" s="686" t="s">
        <v>336</v>
      </c>
      <c r="CP41" s="710">
        <f>CL45</f>
        <v>625</v>
      </c>
      <c r="CQ41" s="707"/>
      <c r="CR41" s="707"/>
      <c r="CS41" s="686" t="s">
        <v>336</v>
      </c>
      <c r="CT41" s="710">
        <f>CP45</f>
        <v>625</v>
      </c>
      <c r="CU41" s="707"/>
      <c r="CV41" s="707"/>
      <c r="CW41" s="686" t="s">
        <v>336</v>
      </c>
      <c r="CX41" s="710">
        <f>CT45</f>
        <v>625</v>
      </c>
      <c r="CY41" s="707"/>
      <c r="CZ41" s="707"/>
      <c r="DA41" s="686" t="s">
        <v>336</v>
      </c>
      <c r="DB41" s="710">
        <f>CX45</f>
        <v>625</v>
      </c>
      <c r="DC41" s="707"/>
      <c r="DD41" s="707"/>
      <c r="DE41" s="686" t="s">
        <v>336</v>
      </c>
      <c r="DF41" s="710">
        <f>DB45</f>
        <v>625</v>
      </c>
      <c r="DG41" s="707"/>
      <c r="DH41" s="707"/>
      <c r="DI41" s="686" t="s">
        <v>336</v>
      </c>
      <c r="DJ41" s="710">
        <f>DF45</f>
        <v>625</v>
      </c>
      <c r="DK41" s="707"/>
      <c r="DL41" s="707"/>
      <c r="DM41" s="686" t="s">
        <v>336</v>
      </c>
      <c r="DN41" s="710">
        <f>DJ45</f>
        <v>625</v>
      </c>
      <c r="DO41" s="707"/>
      <c r="DP41" s="707"/>
      <c r="DQ41" s="686" t="s">
        <v>336</v>
      </c>
      <c r="DR41" s="710">
        <f>DN45</f>
        <v>625</v>
      </c>
      <c r="DS41" s="707"/>
      <c r="DT41" s="707"/>
      <c r="DU41" s="686" t="s">
        <v>336</v>
      </c>
      <c r="DV41" s="710">
        <f>DR45</f>
        <v>625</v>
      </c>
      <c r="DW41" s="707"/>
      <c r="DX41" s="707"/>
      <c r="DY41" s="686" t="s">
        <v>336</v>
      </c>
      <c r="DZ41" s="710">
        <v>625</v>
      </c>
    </row>
    <row r="42" spans="1:138" x14ac:dyDescent="0.25">
      <c r="A42" s="1819"/>
      <c r="B42" s="720"/>
      <c r="C42" s="706"/>
      <c r="D42" s="707"/>
      <c r="E42" s="686" t="s">
        <v>219</v>
      </c>
      <c r="F42" s="710"/>
      <c r="I42" s="686" t="s">
        <v>219</v>
      </c>
      <c r="J42" s="710"/>
      <c r="K42" s="707"/>
      <c r="L42" s="707"/>
      <c r="M42" s="686" t="s">
        <v>219</v>
      </c>
      <c r="N42" s="710"/>
      <c r="O42" s="707"/>
      <c r="P42" s="707"/>
      <c r="Q42" s="686" t="s">
        <v>219</v>
      </c>
      <c r="R42" s="710"/>
      <c r="S42" s="707"/>
      <c r="T42" s="707"/>
      <c r="U42" s="686" t="s">
        <v>219</v>
      </c>
      <c r="V42" s="710"/>
      <c r="W42" s="707"/>
      <c r="X42" s="707"/>
      <c r="Y42" s="686" t="s">
        <v>219</v>
      </c>
      <c r="Z42" s="710"/>
      <c r="AA42" s="707"/>
      <c r="AB42" s="707"/>
      <c r="AC42" s="686" t="s">
        <v>219</v>
      </c>
      <c r="AD42" s="710"/>
      <c r="AE42" s="707"/>
      <c r="AF42" s="707"/>
      <c r="AG42" s="686" t="s">
        <v>219</v>
      </c>
      <c r="AH42" s="710"/>
      <c r="AI42" s="707"/>
      <c r="AJ42" s="707"/>
      <c r="AK42" s="686" t="s">
        <v>219</v>
      </c>
      <c r="AL42" s="710"/>
      <c r="AM42" s="707"/>
      <c r="AN42" s="707"/>
      <c r="AO42" s="686" t="s">
        <v>219</v>
      </c>
      <c r="AP42" s="710"/>
      <c r="AQ42" s="707"/>
      <c r="AR42" s="707"/>
      <c r="AS42" s="686" t="s">
        <v>219</v>
      </c>
      <c r="AT42" s="710"/>
      <c r="AU42" s="707"/>
      <c r="AV42" s="707"/>
      <c r="AW42" s="686" t="s">
        <v>219</v>
      </c>
      <c r="AX42" s="710"/>
      <c r="AY42" s="707"/>
      <c r="AZ42" s="707"/>
      <c r="BA42" s="686" t="s">
        <v>219</v>
      </c>
      <c r="BB42" s="710"/>
      <c r="BC42" s="707"/>
      <c r="BD42" s="707"/>
      <c r="BE42" s="686" t="s">
        <v>219</v>
      </c>
      <c r="BF42" s="710"/>
      <c r="BG42" s="707"/>
      <c r="BH42" s="707"/>
      <c r="BI42" s="686" t="s">
        <v>219</v>
      </c>
      <c r="BJ42" s="710"/>
      <c r="BK42" s="707"/>
      <c r="BL42" s="707"/>
      <c r="BM42" s="686" t="s">
        <v>219</v>
      </c>
      <c r="BN42" s="710"/>
      <c r="BO42" s="707"/>
      <c r="BP42" s="707"/>
      <c r="BQ42" s="686" t="s">
        <v>219</v>
      </c>
      <c r="BR42" s="710"/>
      <c r="BS42" s="707"/>
      <c r="BT42" s="707"/>
      <c r="BU42" s="686" t="s">
        <v>219</v>
      </c>
      <c r="BV42" s="710"/>
      <c r="BW42" s="707"/>
      <c r="BX42" s="707"/>
      <c r="BY42" s="686" t="s">
        <v>219</v>
      </c>
      <c r="BZ42" s="710"/>
      <c r="CA42" s="707"/>
      <c r="CB42" s="707"/>
      <c r="CC42" s="686" t="s">
        <v>219</v>
      </c>
      <c r="CD42" s="710"/>
      <c r="CE42" s="707"/>
      <c r="CF42" s="707"/>
      <c r="CG42" s="686" t="s">
        <v>219</v>
      </c>
      <c r="CH42" s="710"/>
      <c r="CI42" s="707"/>
      <c r="CJ42" s="707"/>
      <c r="CK42" s="686" t="s">
        <v>219</v>
      </c>
      <c r="CL42" s="710"/>
      <c r="CM42" s="707"/>
      <c r="CN42" s="707"/>
      <c r="CO42" s="686" t="s">
        <v>219</v>
      </c>
      <c r="CP42" s="710"/>
      <c r="CQ42" s="707"/>
      <c r="CR42" s="707"/>
      <c r="CS42" s="686" t="s">
        <v>219</v>
      </c>
      <c r="CT42" s="710"/>
      <c r="CU42" s="707"/>
      <c r="CV42" s="707"/>
      <c r="CW42" s="686" t="s">
        <v>219</v>
      </c>
      <c r="CX42" s="710"/>
      <c r="CY42" s="707"/>
      <c r="CZ42" s="707"/>
      <c r="DA42" s="686" t="s">
        <v>219</v>
      </c>
      <c r="DB42" s="710"/>
      <c r="DC42" s="707"/>
      <c r="DD42" s="707"/>
      <c r="DE42" s="686" t="s">
        <v>219</v>
      </c>
      <c r="DF42" s="710"/>
      <c r="DG42" s="707"/>
      <c r="DH42" s="707"/>
      <c r="DI42" s="686" t="s">
        <v>219</v>
      </c>
      <c r="DJ42" s="710"/>
      <c r="DK42" s="707"/>
      <c r="DL42" s="707"/>
      <c r="DM42" s="686" t="s">
        <v>219</v>
      </c>
      <c r="DN42" s="710"/>
      <c r="DO42" s="707"/>
      <c r="DP42" s="707"/>
      <c r="DQ42" s="686" t="s">
        <v>219</v>
      </c>
      <c r="DR42" s="710"/>
      <c r="DS42" s="707"/>
      <c r="DT42" s="707"/>
      <c r="DU42" s="686" t="s">
        <v>219</v>
      </c>
      <c r="DV42" s="710"/>
      <c r="DW42" s="707"/>
      <c r="DX42" s="707"/>
      <c r="DY42" s="686" t="s">
        <v>219</v>
      </c>
      <c r="DZ42" s="710"/>
    </row>
    <row r="43" spans="1:138" x14ac:dyDescent="0.25">
      <c r="A43" s="1819"/>
      <c r="B43" s="720"/>
      <c r="C43" s="706"/>
      <c r="D43" s="707"/>
      <c r="E43" s="686" t="s">
        <v>338</v>
      </c>
      <c r="F43" s="710">
        <f>+F19+F20</f>
        <v>0</v>
      </c>
      <c r="I43" s="686" t="s">
        <v>338</v>
      </c>
      <c r="J43" s="710">
        <f>+J19+J20</f>
        <v>0</v>
      </c>
      <c r="K43" s="707"/>
      <c r="L43" s="707"/>
      <c r="M43" s="686" t="s">
        <v>338</v>
      </c>
      <c r="N43" s="710">
        <f>+N19+N20</f>
        <v>0</v>
      </c>
      <c r="O43" s="707"/>
      <c r="P43" s="707"/>
      <c r="Q43" s="686" t="s">
        <v>338</v>
      </c>
      <c r="R43" s="710">
        <f>+R19+R20</f>
        <v>0</v>
      </c>
      <c r="S43" s="707"/>
      <c r="T43" s="707"/>
      <c r="U43" s="686" t="s">
        <v>338</v>
      </c>
      <c r="V43" s="710">
        <f>+V19+V20</f>
        <v>0</v>
      </c>
      <c r="W43" s="707"/>
      <c r="X43" s="707"/>
      <c r="Y43" s="686" t="s">
        <v>338</v>
      </c>
      <c r="Z43" s="710">
        <f>+Z19+Z20</f>
        <v>0</v>
      </c>
      <c r="AA43" s="707"/>
      <c r="AB43" s="707"/>
      <c r="AC43" s="686" t="s">
        <v>338</v>
      </c>
      <c r="AD43" s="710">
        <f>+AD19+AD20</f>
        <v>0</v>
      </c>
      <c r="AE43" s="707"/>
      <c r="AF43" s="707"/>
      <c r="AG43" s="686" t="s">
        <v>338</v>
      </c>
      <c r="AH43" s="710">
        <f>+AH19+AH20</f>
        <v>0</v>
      </c>
      <c r="AI43" s="707"/>
      <c r="AJ43" s="707"/>
      <c r="AK43" s="686" t="s">
        <v>338</v>
      </c>
      <c r="AL43" s="710">
        <f>+AL19+AL20</f>
        <v>0</v>
      </c>
      <c r="AM43" s="707"/>
      <c r="AN43" s="707"/>
      <c r="AO43" s="686" t="s">
        <v>338</v>
      </c>
      <c r="AP43" s="710">
        <f>+AP19+AP20</f>
        <v>0</v>
      </c>
      <c r="AQ43" s="707"/>
      <c r="AR43" s="707"/>
      <c r="AS43" s="686" t="s">
        <v>338</v>
      </c>
      <c r="AT43" s="710">
        <f>+AT19+AT20</f>
        <v>0</v>
      </c>
      <c r="AU43" s="707"/>
      <c r="AV43" s="707"/>
      <c r="AW43" s="686" t="s">
        <v>338</v>
      </c>
      <c r="AX43" s="710">
        <f>+AX19+AX20</f>
        <v>0</v>
      </c>
      <c r="AY43" s="707"/>
      <c r="AZ43" s="707"/>
      <c r="BA43" s="686" t="s">
        <v>338</v>
      </c>
      <c r="BB43" s="710">
        <f>+BB19+BB20</f>
        <v>0</v>
      </c>
      <c r="BC43" s="707"/>
      <c r="BD43" s="707"/>
      <c r="BE43" s="686" t="s">
        <v>338</v>
      </c>
      <c r="BF43" s="710">
        <f>+BF19+BF20</f>
        <v>0</v>
      </c>
      <c r="BG43" s="707"/>
      <c r="BH43" s="707"/>
      <c r="BI43" s="686" t="s">
        <v>338</v>
      </c>
      <c r="BJ43" s="710">
        <f>+BJ19+BJ20</f>
        <v>0</v>
      </c>
      <c r="BK43" s="707"/>
      <c r="BL43" s="707"/>
      <c r="BM43" s="686" t="s">
        <v>338</v>
      </c>
      <c r="BN43" s="710">
        <f>+BN19+BN20</f>
        <v>0</v>
      </c>
      <c r="BO43" s="707"/>
      <c r="BP43" s="707"/>
      <c r="BQ43" s="686" t="s">
        <v>338</v>
      </c>
      <c r="BR43" s="710">
        <f>+BR19+BR20</f>
        <v>0</v>
      </c>
      <c r="BS43" s="707"/>
      <c r="BT43" s="707"/>
      <c r="BU43" s="686" t="s">
        <v>338</v>
      </c>
      <c r="BV43" s="710">
        <f>+BV19+BV20</f>
        <v>0</v>
      </c>
      <c r="BW43" s="707"/>
      <c r="BX43" s="707"/>
      <c r="BY43" s="686" t="s">
        <v>338</v>
      </c>
      <c r="BZ43" s="710">
        <f>+BZ19+BZ20</f>
        <v>0</v>
      </c>
      <c r="CA43" s="707"/>
      <c r="CB43" s="707"/>
      <c r="CC43" s="686" t="s">
        <v>338</v>
      </c>
      <c r="CD43" s="710">
        <f>+CD19+CD20</f>
        <v>0</v>
      </c>
      <c r="CE43" s="707"/>
      <c r="CF43" s="707"/>
      <c r="CG43" s="686" t="s">
        <v>338</v>
      </c>
      <c r="CH43" s="710">
        <f>+CH19+CH20</f>
        <v>0</v>
      </c>
      <c r="CI43" s="707"/>
      <c r="CJ43" s="707"/>
      <c r="CK43" s="686" t="s">
        <v>338</v>
      </c>
      <c r="CL43" s="710">
        <f>+CL19+CL20</f>
        <v>0</v>
      </c>
      <c r="CM43" s="707"/>
      <c r="CN43" s="707"/>
      <c r="CO43" s="686" t="s">
        <v>338</v>
      </c>
      <c r="CP43" s="710">
        <f>+CP19+CP20</f>
        <v>0</v>
      </c>
      <c r="CQ43" s="707"/>
      <c r="CR43" s="707"/>
      <c r="CS43" s="686" t="s">
        <v>338</v>
      </c>
      <c r="CT43" s="710">
        <f>+CT19+CT20</f>
        <v>0</v>
      </c>
      <c r="CU43" s="707"/>
      <c r="CV43" s="707"/>
      <c r="CW43" s="686" t="s">
        <v>338</v>
      </c>
      <c r="CX43" s="710">
        <f>+CX19+CX20</f>
        <v>0</v>
      </c>
      <c r="CY43" s="707"/>
      <c r="CZ43" s="707"/>
      <c r="DA43" s="686" t="s">
        <v>338</v>
      </c>
      <c r="DB43" s="710">
        <f>+DB19+DB20</f>
        <v>0</v>
      </c>
      <c r="DC43" s="707"/>
      <c r="DD43" s="707"/>
      <c r="DE43" s="686" t="s">
        <v>338</v>
      </c>
      <c r="DF43" s="710">
        <f>+DF19+DF20</f>
        <v>0</v>
      </c>
      <c r="DG43" s="707"/>
      <c r="DH43" s="707"/>
      <c r="DI43" s="686" t="s">
        <v>338</v>
      </c>
      <c r="DJ43" s="710">
        <f>+DJ19+DJ20</f>
        <v>0</v>
      </c>
      <c r="DK43" s="707"/>
      <c r="DL43" s="707"/>
      <c r="DM43" s="686" t="s">
        <v>338</v>
      </c>
      <c r="DN43" s="710">
        <f>+DN19+DN20</f>
        <v>0</v>
      </c>
      <c r="DO43" s="707"/>
      <c r="DP43" s="707"/>
      <c r="DQ43" s="686" t="s">
        <v>338</v>
      </c>
      <c r="DR43" s="710">
        <f>+DR19+DR20</f>
        <v>0</v>
      </c>
      <c r="DS43" s="707"/>
      <c r="DT43" s="707"/>
      <c r="DU43" s="686" t="s">
        <v>338</v>
      </c>
      <c r="DV43" s="710">
        <f>+DV19+DV20</f>
        <v>0</v>
      </c>
      <c r="DW43" s="707"/>
      <c r="DX43" s="707"/>
      <c r="DY43" s="686" t="s">
        <v>338</v>
      </c>
      <c r="DZ43" s="710">
        <f>+DZ19+DZ20</f>
        <v>0</v>
      </c>
    </row>
    <row r="44" spans="1:138" x14ac:dyDescent="0.25">
      <c r="A44" s="1819"/>
      <c r="B44" s="720"/>
      <c r="C44" s="706"/>
      <c r="D44" s="707"/>
      <c r="E44" s="686" t="s">
        <v>339</v>
      </c>
      <c r="F44" s="710">
        <v>625</v>
      </c>
      <c r="I44" s="686" t="s">
        <v>339</v>
      </c>
      <c r="J44" s="710">
        <f>+J41+J42-J43</f>
        <v>625</v>
      </c>
      <c r="K44" s="707"/>
      <c r="L44" s="707"/>
      <c r="M44" s="686" t="s">
        <v>339</v>
      </c>
      <c r="N44" s="710">
        <f>+N41+N42-N43</f>
        <v>625</v>
      </c>
      <c r="O44" s="707"/>
      <c r="P44" s="707"/>
      <c r="Q44" s="686" t="s">
        <v>339</v>
      </c>
      <c r="R44" s="710">
        <f>+R41+R42-R43</f>
        <v>625</v>
      </c>
      <c r="S44" s="707"/>
      <c r="T44" s="707"/>
      <c r="U44" s="686" t="s">
        <v>339</v>
      </c>
      <c r="V44" s="710">
        <f>+V41+V42-V43</f>
        <v>625</v>
      </c>
      <c r="W44" s="707"/>
      <c r="X44" s="707"/>
      <c r="Y44" s="686" t="s">
        <v>339</v>
      </c>
      <c r="Z44" s="710">
        <f>+Z41+Z42-Z43</f>
        <v>625</v>
      </c>
      <c r="AA44" s="707"/>
      <c r="AB44" s="707"/>
      <c r="AC44" s="686" t="s">
        <v>339</v>
      </c>
      <c r="AD44" s="710">
        <f>+AD41+AD42-AD43</f>
        <v>625</v>
      </c>
      <c r="AE44" s="707"/>
      <c r="AF44" s="707"/>
      <c r="AG44" s="686" t="s">
        <v>339</v>
      </c>
      <c r="AH44" s="710">
        <f>+AH41+AH42-AH43</f>
        <v>625</v>
      </c>
      <c r="AI44" s="707"/>
      <c r="AJ44" s="707"/>
      <c r="AK44" s="686" t="s">
        <v>339</v>
      </c>
      <c r="AL44" s="710">
        <f>+AL41+AL42-AL43</f>
        <v>625</v>
      </c>
      <c r="AM44" s="707"/>
      <c r="AN44" s="707"/>
      <c r="AO44" s="686" t="s">
        <v>339</v>
      </c>
      <c r="AP44" s="710">
        <f>+AP41+AP42-AP43</f>
        <v>625</v>
      </c>
      <c r="AQ44" s="707"/>
      <c r="AR44" s="707"/>
      <c r="AS44" s="686" t="s">
        <v>339</v>
      </c>
      <c r="AT44" s="710">
        <f>+AT41+AT42-AT43</f>
        <v>625</v>
      </c>
      <c r="AU44" s="707"/>
      <c r="AV44" s="707"/>
      <c r="AW44" s="686" t="s">
        <v>339</v>
      </c>
      <c r="AX44" s="710">
        <f>+AX41+AX42-AX43</f>
        <v>625</v>
      </c>
      <c r="AY44" s="707"/>
      <c r="AZ44" s="707"/>
      <c r="BA44" s="686" t="s">
        <v>339</v>
      </c>
      <c r="BB44" s="710">
        <f>+BB41+BB42-BB43</f>
        <v>625</v>
      </c>
      <c r="BC44" s="707"/>
      <c r="BD44" s="707"/>
      <c r="BE44" s="686" t="s">
        <v>339</v>
      </c>
      <c r="BF44" s="710">
        <f>+BF41+BF42-BF43</f>
        <v>625</v>
      </c>
      <c r="BG44" s="707"/>
      <c r="BH44" s="707"/>
      <c r="BI44" s="686" t="s">
        <v>339</v>
      </c>
      <c r="BJ44" s="710">
        <f>+BJ41+BJ42-BJ43</f>
        <v>625</v>
      </c>
      <c r="BK44" s="707"/>
      <c r="BL44" s="707"/>
      <c r="BM44" s="686" t="s">
        <v>339</v>
      </c>
      <c r="BN44" s="710">
        <f>+BN41+BN42-BN43</f>
        <v>625</v>
      </c>
      <c r="BO44" s="707"/>
      <c r="BP44" s="707"/>
      <c r="BQ44" s="686" t="s">
        <v>339</v>
      </c>
      <c r="BR44" s="710">
        <f>+BR41+BR42-BR43</f>
        <v>625</v>
      </c>
      <c r="BS44" s="707"/>
      <c r="BT44" s="707"/>
      <c r="BU44" s="686" t="s">
        <v>339</v>
      </c>
      <c r="BV44" s="710">
        <f>+BV41+BV42-BV43</f>
        <v>625</v>
      </c>
      <c r="BW44" s="707"/>
      <c r="BX44" s="707"/>
      <c r="BY44" s="686" t="s">
        <v>339</v>
      </c>
      <c r="BZ44" s="710">
        <f>+BZ41+BZ42-BZ43</f>
        <v>625</v>
      </c>
      <c r="CA44" s="707"/>
      <c r="CB44" s="707"/>
      <c r="CC44" s="686" t="s">
        <v>339</v>
      </c>
      <c r="CD44" s="710">
        <f>+CD41+CD42-CD43</f>
        <v>625</v>
      </c>
      <c r="CE44" s="707"/>
      <c r="CF44" s="707"/>
      <c r="CG44" s="686" t="s">
        <v>339</v>
      </c>
      <c r="CH44" s="710">
        <f>+CH41+CH42-CH43</f>
        <v>625</v>
      </c>
      <c r="CI44" s="707"/>
      <c r="CJ44" s="707"/>
      <c r="CK44" s="686" t="s">
        <v>339</v>
      </c>
      <c r="CL44" s="710">
        <f>+CL41+CL42-CL43</f>
        <v>625</v>
      </c>
      <c r="CM44" s="707"/>
      <c r="CN44" s="707"/>
      <c r="CO44" s="686" t="s">
        <v>339</v>
      </c>
      <c r="CP44" s="710">
        <f>+CP41+CP42-CP43</f>
        <v>625</v>
      </c>
      <c r="CQ44" s="707"/>
      <c r="CR44" s="707"/>
      <c r="CS44" s="686" t="s">
        <v>339</v>
      </c>
      <c r="CT44" s="710">
        <f>+CT41+CT42-CT43</f>
        <v>625</v>
      </c>
      <c r="CU44" s="707"/>
      <c r="CV44" s="707"/>
      <c r="CW44" s="686" t="s">
        <v>339</v>
      </c>
      <c r="CX44" s="710">
        <f>CX41+CX42-CX43</f>
        <v>625</v>
      </c>
      <c r="CY44" s="707"/>
      <c r="CZ44" s="707"/>
      <c r="DA44" s="686" t="s">
        <v>339</v>
      </c>
      <c r="DB44" s="710">
        <f>+DB41+DB42-DB43</f>
        <v>625</v>
      </c>
      <c r="DC44" s="707"/>
      <c r="DD44" s="707"/>
      <c r="DE44" s="686" t="s">
        <v>339</v>
      </c>
      <c r="DF44" s="710">
        <f>+DF41+DF42-DF43</f>
        <v>625</v>
      </c>
      <c r="DG44" s="707"/>
      <c r="DH44" s="707"/>
      <c r="DI44" s="686" t="s">
        <v>339</v>
      </c>
      <c r="DJ44" s="710">
        <f>+DJ41+DJ42-DJ43</f>
        <v>625</v>
      </c>
      <c r="DK44" s="707"/>
      <c r="DL44" s="707"/>
      <c r="DM44" s="686" t="s">
        <v>339</v>
      </c>
      <c r="DN44" s="710">
        <f>+DN41+DN42-DN43</f>
        <v>625</v>
      </c>
      <c r="DO44" s="707"/>
      <c r="DP44" s="707"/>
      <c r="DQ44" s="686" t="s">
        <v>339</v>
      </c>
      <c r="DR44" s="710">
        <f>+DR41+DR42-DR43</f>
        <v>625</v>
      </c>
      <c r="DS44" s="707"/>
      <c r="DT44" s="707"/>
      <c r="DU44" s="686" t="s">
        <v>339</v>
      </c>
      <c r="DV44" s="710">
        <f>+DV41+DV42-DV43</f>
        <v>625</v>
      </c>
      <c r="DW44" s="707"/>
      <c r="DX44" s="707"/>
      <c r="DY44" s="686" t="s">
        <v>339</v>
      </c>
      <c r="DZ44" s="710">
        <f>+DZ41+DZ42-DZ43</f>
        <v>625</v>
      </c>
    </row>
    <row r="45" spans="1:138" x14ac:dyDescent="0.25">
      <c r="A45" s="1819"/>
      <c r="B45" s="720"/>
      <c r="C45" s="706"/>
      <c r="D45" s="707"/>
      <c r="E45" s="686" t="s">
        <v>340</v>
      </c>
      <c r="F45" s="710">
        <v>625</v>
      </c>
      <c r="I45" s="686" t="s">
        <v>340</v>
      </c>
      <c r="J45" s="710">
        <v>625</v>
      </c>
      <c r="K45" s="707"/>
      <c r="L45" s="707"/>
      <c r="M45" s="686" t="s">
        <v>340</v>
      </c>
      <c r="N45" s="710">
        <v>625</v>
      </c>
      <c r="O45" s="707"/>
      <c r="P45" s="707"/>
      <c r="Q45" s="686" t="s">
        <v>340</v>
      </c>
      <c r="R45" s="710">
        <v>625</v>
      </c>
      <c r="S45" s="707"/>
      <c r="T45" s="707"/>
      <c r="U45" s="686" t="s">
        <v>340</v>
      </c>
      <c r="V45" s="710">
        <v>625</v>
      </c>
      <c r="W45" s="707"/>
      <c r="X45" s="707"/>
      <c r="Y45" s="686" t="s">
        <v>340</v>
      </c>
      <c r="Z45" s="710">
        <v>625</v>
      </c>
      <c r="AA45" s="707"/>
      <c r="AB45" s="707"/>
      <c r="AC45" s="686" t="s">
        <v>340</v>
      </c>
      <c r="AD45" s="710">
        <v>625</v>
      </c>
      <c r="AE45" s="707"/>
      <c r="AF45" s="707"/>
      <c r="AG45" s="686" t="s">
        <v>340</v>
      </c>
      <c r="AH45" s="710">
        <v>625</v>
      </c>
      <c r="AI45" s="707"/>
      <c r="AJ45" s="707"/>
      <c r="AK45" s="686" t="s">
        <v>340</v>
      </c>
      <c r="AL45" s="710">
        <v>625</v>
      </c>
      <c r="AM45" s="707"/>
      <c r="AN45" s="707"/>
      <c r="AO45" s="686" t="s">
        <v>340</v>
      </c>
      <c r="AP45" s="710">
        <v>625</v>
      </c>
      <c r="AQ45" s="707"/>
      <c r="AR45" s="707"/>
      <c r="AS45" s="686" t="s">
        <v>340</v>
      </c>
      <c r="AT45" s="710">
        <v>625</v>
      </c>
      <c r="AU45" s="707"/>
      <c r="AV45" s="707"/>
      <c r="AW45" s="686" t="s">
        <v>340</v>
      </c>
      <c r="AX45" s="710">
        <v>625</v>
      </c>
      <c r="AY45" s="707"/>
      <c r="AZ45" s="707"/>
      <c r="BA45" s="686" t="s">
        <v>340</v>
      </c>
      <c r="BB45" s="710">
        <v>625</v>
      </c>
      <c r="BC45" s="707"/>
      <c r="BD45" s="707"/>
      <c r="BE45" s="686" t="s">
        <v>340</v>
      </c>
      <c r="BF45" s="710">
        <v>625</v>
      </c>
      <c r="BG45" s="707"/>
      <c r="BH45" s="707"/>
      <c r="BI45" s="686" t="s">
        <v>340</v>
      </c>
      <c r="BJ45" s="710">
        <v>625</v>
      </c>
      <c r="BK45" s="707"/>
      <c r="BL45" s="707"/>
      <c r="BM45" s="686" t="s">
        <v>340</v>
      </c>
      <c r="BN45" s="710">
        <v>625</v>
      </c>
      <c r="BO45" s="707"/>
      <c r="BP45" s="707"/>
      <c r="BQ45" s="686" t="s">
        <v>340</v>
      </c>
      <c r="BR45" s="710">
        <v>625</v>
      </c>
      <c r="BS45" s="707"/>
      <c r="BT45" s="707"/>
      <c r="BU45" s="686" t="s">
        <v>340</v>
      </c>
      <c r="BV45" s="710">
        <v>625</v>
      </c>
      <c r="BW45" s="707"/>
      <c r="BX45" s="707"/>
      <c r="BY45" s="686" t="s">
        <v>340</v>
      </c>
      <c r="BZ45" s="710">
        <v>625</v>
      </c>
      <c r="CA45" s="707"/>
      <c r="CB45" s="707"/>
      <c r="CC45" s="686" t="s">
        <v>340</v>
      </c>
      <c r="CD45" s="710">
        <v>625</v>
      </c>
      <c r="CE45" s="707"/>
      <c r="CF45" s="707"/>
      <c r="CG45" s="686" t="s">
        <v>340</v>
      </c>
      <c r="CH45" s="710">
        <v>625</v>
      </c>
      <c r="CI45" s="707"/>
      <c r="CJ45" s="707"/>
      <c r="CK45" s="686" t="s">
        <v>340</v>
      </c>
      <c r="CL45" s="710">
        <v>625</v>
      </c>
      <c r="CM45" s="707"/>
      <c r="CN45" s="707"/>
      <c r="CO45" s="686" t="s">
        <v>340</v>
      </c>
      <c r="CP45" s="710">
        <v>625</v>
      </c>
      <c r="CQ45" s="707"/>
      <c r="CR45" s="707"/>
      <c r="CS45" s="686" t="s">
        <v>340</v>
      </c>
      <c r="CT45" s="710">
        <v>625</v>
      </c>
      <c r="CU45" s="707"/>
      <c r="CV45" s="707"/>
      <c r="CW45" s="686" t="s">
        <v>340</v>
      </c>
      <c r="CX45" s="710">
        <v>625</v>
      </c>
      <c r="CY45" s="707"/>
      <c r="CZ45" s="707"/>
      <c r="DA45" s="686" t="s">
        <v>340</v>
      </c>
      <c r="DB45" s="710">
        <v>625</v>
      </c>
      <c r="DC45" s="707"/>
      <c r="DD45" s="707"/>
      <c r="DE45" s="686" t="s">
        <v>340</v>
      </c>
      <c r="DF45" s="710">
        <v>625</v>
      </c>
      <c r="DG45" s="707"/>
      <c r="DH45" s="707"/>
      <c r="DI45" s="686" t="s">
        <v>340</v>
      </c>
      <c r="DJ45" s="710">
        <v>625</v>
      </c>
      <c r="DK45" s="707"/>
      <c r="DL45" s="707"/>
      <c r="DM45" s="686" t="s">
        <v>340</v>
      </c>
      <c r="DN45" s="710">
        <v>625</v>
      </c>
      <c r="DO45" s="707"/>
      <c r="DP45" s="707"/>
      <c r="DQ45" s="686" t="s">
        <v>340</v>
      </c>
      <c r="DR45" s="710">
        <v>625</v>
      </c>
      <c r="DS45" s="707"/>
      <c r="DT45" s="707"/>
      <c r="DU45" s="686" t="s">
        <v>340</v>
      </c>
      <c r="DV45" s="710">
        <v>625</v>
      </c>
      <c r="DW45" s="707"/>
      <c r="DX45" s="707"/>
      <c r="DY45" s="686" t="s">
        <v>340</v>
      </c>
      <c r="DZ45" s="710">
        <v>625</v>
      </c>
    </row>
    <row r="46" spans="1:138" x14ac:dyDescent="0.25">
      <c r="A46" s="1819"/>
      <c r="B46" s="720"/>
      <c r="C46" s="706"/>
      <c r="D46" s="707"/>
      <c r="E46" s="683" t="s">
        <v>456</v>
      </c>
      <c r="F46" s="719">
        <f>+F45-F44</f>
        <v>0</v>
      </c>
      <c r="I46" s="683" t="s">
        <v>456</v>
      </c>
      <c r="J46" s="719">
        <f>+J45-J44</f>
        <v>0</v>
      </c>
      <c r="K46" s="707"/>
      <c r="L46" s="707"/>
      <c r="M46" s="683" t="s">
        <v>456</v>
      </c>
      <c r="N46" s="719">
        <f>+N45-N44</f>
        <v>0</v>
      </c>
      <c r="O46" s="707"/>
      <c r="P46" s="707"/>
      <c r="Q46" s="683" t="s">
        <v>456</v>
      </c>
      <c r="R46" s="719">
        <f>+R45-R44</f>
        <v>0</v>
      </c>
      <c r="S46" s="707"/>
      <c r="T46" s="707"/>
      <c r="U46" s="683" t="s">
        <v>456</v>
      </c>
      <c r="V46" s="719">
        <f>+V45-V44</f>
        <v>0</v>
      </c>
      <c r="W46" s="707"/>
      <c r="X46" s="707"/>
      <c r="Y46" s="683" t="s">
        <v>456</v>
      </c>
      <c r="Z46" s="719">
        <f>+Z45-Z44</f>
        <v>0</v>
      </c>
      <c r="AA46" s="707"/>
      <c r="AB46" s="707"/>
      <c r="AC46" s="683" t="s">
        <v>456</v>
      </c>
      <c r="AD46" s="719">
        <f>+AD45-AD44</f>
        <v>0</v>
      </c>
      <c r="AE46" s="707"/>
      <c r="AF46" s="707"/>
      <c r="AG46" s="683" t="s">
        <v>456</v>
      </c>
      <c r="AH46" s="719">
        <f>+AH45-AH44</f>
        <v>0</v>
      </c>
      <c r="AI46" s="707"/>
      <c r="AJ46" s="707"/>
      <c r="AK46" s="683" t="s">
        <v>456</v>
      </c>
      <c r="AL46" s="719">
        <f>+AL45-AL44</f>
        <v>0</v>
      </c>
      <c r="AM46" s="707"/>
      <c r="AN46" s="707"/>
      <c r="AO46" s="683" t="s">
        <v>456</v>
      </c>
      <c r="AP46" s="719">
        <f>+AP45-AP44</f>
        <v>0</v>
      </c>
      <c r="AQ46" s="707"/>
      <c r="AR46" s="707"/>
      <c r="AS46" s="683" t="s">
        <v>456</v>
      </c>
      <c r="AT46" s="719">
        <f>+AT45-AT44</f>
        <v>0</v>
      </c>
      <c r="AU46" s="707"/>
      <c r="AV46" s="707"/>
      <c r="AW46" s="683" t="s">
        <v>456</v>
      </c>
      <c r="AX46" s="719">
        <f>+AX45-AX44</f>
        <v>0</v>
      </c>
      <c r="AY46" s="707"/>
      <c r="AZ46" s="707"/>
      <c r="BA46" s="683" t="s">
        <v>456</v>
      </c>
      <c r="BB46" s="719">
        <f>+BB45-BB44</f>
        <v>0</v>
      </c>
      <c r="BC46" s="707"/>
      <c r="BD46" s="707"/>
      <c r="BE46" s="683" t="s">
        <v>456</v>
      </c>
      <c r="BF46" s="719">
        <f>+BF45-BF44</f>
        <v>0</v>
      </c>
      <c r="BG46" s="707"/>
      <c r="BH46" s="707"/>
      <c r="BI46" s="683" t="s">
        <v>456</v>
      </c>
      <c r="BJ46" s="719">
        <f>+BJ45-BJ44</f>
        <v>0</v>
      </c>
      <c r="BK46" s="707"/>
      <c r="BL46" s="707"/>
      <c r="BM46" s="683" t="s">
        <v>456</v>
      </c>
      <c r="BN46" s="719">
        <f>+BN45-BN44</f>
        <v>0</v>
      </c>
      <c r="BO46" s="707"/>
      <c r="BP46" s="707"/>
      <c r="BQ46" s="683" t="s">
        <v>456</v>
      </c>
      <c r="BR46" s="719">
        <f>+BR45-BR44</f>
        <v>0</v>
      </c>
      <c r="BS46" s="707"/>
      <c r="BT46" s="707"/>
      <c r="BU46" s="683" t="s">
        <v>456</v>
      </c>
      <c r="BV46" s="719">
        <f>+BV45-BV44</f>
        <v>0</v>
      </c>
      <c r="BW46" s="707"/>
      <c r="BX46" s="707"/>
      <c r="BY46" s="683" t="s">
        <v>456</v>
      </c>
      <c r="BZ46" s="719">
        <f>+BZ45-BZ44</f>
        <v>0</v>
      </c>
      <c r="CA46" s="707"/>
      <c r="CB46" s="707"/>
      <c r="CC46" s="683" t="s">
        <v>456</v>
      </c>
      <c r="CD46" s="719">
        <f>+CD45-CD44</f>
        <v>0</v>
      </c>
      <c r="CE46" s="707"/>
      <c r="CF46" s="707"/>
      <c r="CG46" s="683" t="s">
        <v>456</v>
      </c>
      <c r="CH46" s="719">
        <f>+CH45-CH44</f>
        <v>0</v>
      </c>
      <c r="CI46" s="707"/>
      <c r="CJ46" s="707"/>
      <c r="CK46" s="683" t="s">
        <v>456</v>
      </c>
      <c r="CL46" s="719">
        <f>+CL45-CL44</f>
        <v>0</v>
      </c>
      <c r="CM46" s="707"/>
      <c r="CN46" s="707"/>
      <c r="CO46" s="683" t="s">
        <v>456</v>
      </c>
      <c r="CP46" s="719">
        <f>+CP45-CP44</f>
        <v>0</v>
      </c>
      <c r="CQ46" s="707"/>
      <c r="CR46" s="707"/>
      <c r="CS46" s="683" t="s">
        <v>456</v>
      </c>
      <c r="CT46" s="719">
        <f>+CT45-CT44</f>
        <v>0</v>
      </c>
      <c r="CU46" s="707"/>
      <c r="CV46" s="707"/>
      <c r="CW46" s="683" t="s">
        <v>456</v>
      </c>
      <c r="CX46" s="719">
        <f>+CX45-CX44</f>
        <v>0</v>
      </c>
      <c r="CY46" s="707"/>
      <c r="CZ46" s="707"/>
      <c r="DA46" s="683" t="s">
        <v>456</v>
      </c>
      <c r="DB46" s="719">
        <f>+DB45-DB44</f>
        <v>0</v>
      </c>
      <c r="DC46" s="707"/>
      <c r="DD46" s="707"/>
      <c r="DE46" s="683" t="s">
        <v>456</v>
      </c>
      <c r="DF46" s="719">
        <f>+DF45-DF44</f>
        <v>0</v>
      </c>
      <c r="DG46" s="707"/>
      <c r="DH46" s="707"/>
      <c r="DI46" s="683" t="s">
        <v>456</v>
      </c>
      <c r="DJ46" s="719">
        <f>+DJ45-DJ44</f>
        <v>0</v>
      </c>
      <c r="DK46" s="707"/>
      <c r="DL46" s="707"/>
      <c r="DM46" s="683" t="s">
        <v>456</v>
      </c>
      <c r="DN46" s="719">
        <f>+DN45-DN44</f>
        <v>0</v>
      </c>
      <c r="DO46" s="707"/>
      <c r="DP46" s="707"/>
      <c r="DQ46" s="683" t="s">
        <v>456</v>
      </c>
      <c r="DR46" s="719">
        <f>+DR45-DR44</f>
        <v>0</v>
      </c>
      <c r="DS46" s="707"/>
      <c r="DT46" s="707"/>
      <c r="DU46" s="683" t="s">
        <v>456</v>
      </c>
      <c r="DV46" s="719">
        <f>+DV45-DV44</f>
        <v>0</v>
      </c>
      <c r="DW46" s="707"/>
      <c r="DX46" s="707"/>
      <c r="DY46" s="683" t="s">
        <v>456</v>
      </c>
      <c r="DZ46" s="719">
        <f>+DZ45-DZ44</f>
        <v>0</v>
      </c>
    </row>
    <row r="47" spans="1:138" x14ac:dyDescent="0.25">
      <c r="A47" s="1820"/>
      <c r="B47" s="680"/>
      <c r="C47" s="713"/>
      <c r="D47" s="713"/>
      <c r="E47" s="713"/>
      <c r="F47" s="714"/>
      <c r="G47" s="723"/>
      <c r="H47" s="724"/>
      <c r="I47" s="713"/>
      <c r="J47" s="714"/>
      <c r="K47" s="713"/>
      <c r="L47" s="713"/>
      <c r="M47" s="713"/>
      <c r="N47" s="714"/>
      <c r="O47" s="723"/>
      <c r="P47" s="713"/>
      <c r="Q47" s="713"/>
      <c r="R47" s="714"/>
      <c r="S47" s="723"/>
      <c r="T47" s="713"/>
      <c r="U47" s="713"/>
      <c r="V47" s="714"/>
      <c r="W47" s="684"/>
      <c r="X47" s="713"/>
      <c r="Y47" s="713"/>
      <c r="Z47" s="714"/>
      <c r="AA47" s="684"/>
      <c r="AB47" s="713"/>
      <c r="AC47" s="713"/>
      <c r="AD47" s="714"/>
      <c r="AE47" s="713"/>
      <c r="AF47" s="713"/>
      <c r="AG47" s="713"/>
      <c r="AH47" s="714"/>
      <c r="AI47" s="684"/>
      <c r="AJ47" s="713"/>
      <c r="AK47" s="713"/>
      <c r="AL47" s="714"/>
      <c r="AM47" s="713"/>
      <c r="AN47" s="713"/>
      <c r="AO47" s="713"/>
      <c r="AP47" s="714"/>
      <c r="AQ47" s="713"/>
      <c r="AR47" s="713"/>
      <c r="AS47" s="713"/>
      <c r="AT47" s="714"/>
      <c r="AU47" s="684"/>
      <c r="AV47" s="713"/>
      <c r="AW47" s="713"/>
      <c r="AX47" s="714"/>
      <c r="AY47" s="684"/>
      <c r="AZ47" s="713"/>
      <c r="BA47" s="713"/>
      <c r="BB47" s="714"/>
      <c r="BC47" s="713"/>
      <c r="BD47" s="713"/>
      <c r="BE47" s="713"/>
      <c r="BF47" s="714"/>
      <c r="BG47" s="684"/>
      <c r="BH47" s="713"/>
      <c r="BI47" s="713"/>
      <c r="BJ47" s="714"/>
      <c r="BK47" s="684"/>
      <c r="BL47" s="713"/>
      <c r="BM47" s="713"/>
      <c r="BN47" s="714"/>
      <c r="BO47" s="713"/>
      <c r="BP47" s="713"/>
      <c r="BQ47" s="713"/>
      <c r="BR47" s="714"/>
      <c r="BS47" s="684"/>
      <c r="BT47" s="713"/>
      <c r="BU47" s="713"/>
      <c r="BV47" s="714"/>
      <c r="BW47" s="684"/>
      <c r="BX47" s="713"/>
      <c r="BY47" s="713"/>
      <c r="BZ47" s="714"/>
      <c r="CA47" s="684"/>
      <c r="CB47" s="713"/>
      <c r="CC47" s="713"/>
      <c r="CD47" s="714"/>
      <c r="CE47" s="684"/>
      <c r="CF47" s="713"/>
      <c r="CG47" s="713"/>
      <c r="CH47" s="714"/>
      <c r="CI47" s="684"/>
      <c r="CJ47" s="713"/>
      <c r="CK47" s="713"/>
      <c r="CL47" s="714"/>
      <c r="CM47" s="684"/>
      <c r="CN47" s="713"/>
      <c r="CO47" s="713"/>
      <c r="CP47" s="714"/>
      <c r="CQ47" s="684"/>
      <c r="CR47" s="713"/>
      <c r="CS47" s="713"/>
      <c r="CT47" s="714"/>
      <c r="CU47" s="684"/>
      <c r="CV47" s="713"/>
      <c r="CW47" s="713"/>
      <c r="CX47" s="714"/>
      <c r="CY47" s="684"/>
      <c r="CZ47" s="713"/>
      <c r="DA47" s="713"/>
      <c r="DB47" s="714"/>
      <c r="DC47" s="684"/>
      <c r="DD47" s="713"/>
      <c r="DE47" s="713"/>
      <c r="DF47" s="714"/>
      <c r="DG47" s="684"/>
      <c r="DH47" s="713"/>
      <c r="DI47" s="713"/>
      <c r="DJ47" s="714"/>
      <c r="DK47" s="713"/>
      <c r="DL47" s="713"/>
      <c r="DM47" s="713"/>
      <c r="DN47" s="714"/>
      <c r="DO47" s="713"/>
      <c r="DP47" s="713"/>
      <c r="DQ47" s="713"/>
      <c r="DR47" s="714"/>
      <c r="DS47" s="713"/>
      <c r="DT47" s="713"/>
      <c r="DU47" s="713"/>
      <c r="DV47" s="714"/>
      <c r="DW47" s="713"/>
      <c r="DX47" s="684"/>
      <c r="DY47" s="713"/>
      <c r="DZ47" s="714"/>
    </row>
    <row r="48" spans="1:138" x14ac:dyDescent="0.25">
      <c r="A48" s="691" t="s">
        <v>2</v>
      </c>
      <c r="B48" s="698" t="s">
        <v>342</v>
      </c>
      <c r="C48" s="690"/>
      <c r="D48" s="690"/>
      <c r="E48" s="690"/>
      <c r="F48" s="725"/>
      <c r="G48" s="690"/>
      <c r="H48" s="690"/>
      <c r="I48" s="690"/>
      <c r="J48" s="726"/>
      <c r="K48" s="690"/>
      <c r="L48" s="690"/>
      <c r="M48" s="690"/>
      <c r="N48" s="725"/>
      <c r="O48" s="690"/>
      <c r="P48" s="690"/>
      <c r="Q48" s="690"/>
      <c r="R48" s="725"/>
      <c r="S48" s="690"/>
      <c r="T48" s="690"/>
      <c r="U48" s="690"/>
      <c r="V48" s="726"/>
      <c r="W48" s="690"/>
      <c r="X48" s="690"/>
      <c r="Y48" s="690"/>
      <c r="Z48" s="726"/>
      <c r="AA48" s="690"/>
      <c r="AB48" s="690"/>
      <c r="AC48" s="690"/>
      <c r="AD48" s="726"/>
      <c r="AE48" s="690"/>
      <c r="AF48" s="690"/>
      <c r="AG48" s="690"/>
      <c r="AH48" s="726"/>
      <c r="AI48" s="690"/>
      <c r="AJ48" s="690"/>
      <c r="AK48" s="690"/>
      <c r="AL48" s="726"/>
      <c r="AM48" s="690"/>
      <c r="AN48" s="690"/>
      <c r="AO48" s="690"/>
      <c r="AP48" s="726"/>
      <c r="AQ48" s="690"/>
      <c r="AR48" s="690"/>
      <c r="AS48" s="690"/>
      <c r="AT48" s="726"/>
      <c r="AU48" s="690"/>
      <c r="AV48" s="690"/>
      <c r="AW48" s="690"/>
      <c r="AX48" s="726"/>
      <c r="AY48" s="690"/>
      <c r="AZ48" s="690"/>
      <c r="BA48" s="690"/>
      <c r="BB48" s="726"/>
      <c r="BC48" s="690"/>
      <c r="BD48" s="690"/>
      <c r="BE48" s="690"/>
      <c r="BF48" s="726"/>
      <c r="BG48" s="690"/>
      <c r="BH48" s="690"/>
      <c r="BI48" s="690"/>
      <c r="BJ48" s="726"/>
      <c r="BK48" s="690"/>
      <c r="BL48" s="690"/>
      <c r="BM48" s="690"/>
      <c r="BN48" s="726"/>
      <c r="BO48" s="690"/>
      <c r="BP48" s="690"/>
      <c r="BQ48" s="690"/>
      <c r="BR48" s="726"/>
      <c r="BS48" s="690"/>
      <c r="BT48" s="690"/>
      <c r="BU48" s="690"/>
      <c r="BV48" s="726"/>
      <c r="BW48" s="690"/>
      <c r="BX48" s="690"/>
      <c r="BY48" s="690"/>
      <c r="BZ48" s="726"/>
      <c r="CA48" s="690"/>
      <c r="CB48" s="690"/>
      <c r="CC48" s="690"/>
      <c r="CD48" s="726"/>
      <c r="CE48" s="690"/>
      <c r="CF48" s="690"/>
      <c r="CG48" s="690"/>
      <c r="CH48" s="726"/>
      <c r="CI48" s="690"/>
      <c r="CJ48" s="690"/>
      <c r="CK48" s="690"/>
      <c r="CL48" s="726"/>
      <c r="CM48" s="690"/>
      <c r="CN48" s="690"/>
      <c r="CO48" s="690"/>
      <c r="CP48" s="726"/>
      <c r="CQ48" s="690"/>
      <c r="CR48" s="690"/>
      <c r="CS48" s="690"/>
      <c r="CT48" s="726"/>
      <c r="CU48" s="690"/>
      <c r="CV48" s="690"/>
      <c r="CW48" s="690"/>
      <c r="CX48" s="726"/>
      <c r="CY48" s="690"/>
      <c r="CZ48" s="690"/>
      <c r="DA48" s="690"/>
      <c r="DB48" s="726"/>
      <c r="DC48" s="690"/>
      <c r="DD48" s="690"/>
      <c r="DE48" s="690"/>
      <c r="DF48" s="726"/>
      <c r="DG48" s="690"/>
      <c r="DH48" s="690"/>
      <c r="DI48" s="690"/>
      <c r="DJ48" s="726"/>
      <c r="DK48" s="690"/>
      <c r="DL48" s="690"/>
      <c r="DM48" s="690"/>
      <c r="DN48" s="726"/>
      <c r="DO48" s="690"/>
      <c r="DP48" s="690"/>
      <c r="DQ48" s="690"/>
      <c r="DR48" s="726"/>
      <c r="DS48" s="690"/>
      <c r="DT48" s="690"/>
      <c r="DU48" s="690"/>
      <c r="DV48" s="726"/>
      <c r="DW48" s="690"/>
      <c r="DX48" s="690"/>
      <c r="DY48" s="690"/>
      <c r="DZ48" s="726"/>
      <c r="EA48" s="716"/>
      <c r="EB48" s="689"/>
      <c r="EC48" s="689"/>
      <c r="ED48" s="689"/>
      <c r="EE48" s="689"/>
      <c r="EF48" s="689"/>
      <c r="EG48" s="689"/>
      <c r="EH48" s="689"/>
    </row>
    <row r="49" spans="1:130" x14ac:dyDescent="0.25">
      <c r="A49" s="691">
        <f>SUM(F4,J4,N4,R4,V4,Z4,AD4,AH4,AL4,AP4,AT4,AX4,BB4,BF4,BJ4,BN4,BR4,BV4,BZ4,CD4,CH4,CL4,CP4,CT4,CX4,DB4,DF4,DJ4,DN4,DR4,DV4)</f>
        <v>3969</v>
      </c>
      <c r="B49" s="691" t="str">
        <f>B4</f>
        <v>S1</v>
      </c>
      <c r="C49" s="690"/>
      <c r="D49" s="690"/>
      <c r="E49" s="690"/>
      <c r="F49" s="690"/>
      <c r="G49" s="690"/>
      <c r="H49" s="690"/>
      <c r="I49" s="690"/>
      <c r="J49" s="690"/>
      <c r="K49" s="690"/>
      <c r="L49" s="690"/>
      <c r="M49" s="690"/>
      <c r="N49" s="690"/>
      <c r="O49" s="697"/>
      <c r="P49" s="690"/>
      <c r="Q49" s="690"/>
      <c r="R49" s="690"/>
      <c r="S49" s="690"/>
      <c r="T49" s="690"/>
      <c r="U49" s="690"/>
      <c r="V49" s="690"/>
      <c r="W49" s="690"/>
      <c r="X49" s="690"/>
      <c r="Y49" s="690"/>
      <c r="Z49" s="690"/>
      <c r="AA49" s="690"/>
      <c r="AB49" s="690"/>
      <c r="AC49" s="690"/>
      <c r="AD49" s="690"/>
      <c r="AE49" s="690"/>
      <c r="AF49" s="690"/>
      <c r="AG49" s="690"/>
      <c r="AH49" s="690"/>
      <c r="AI49" s="690"/>
      <c r="AJ49" s="690"/>
      <c r="AK49" s="690"/>
      <c r="AL49" s="690"/>
      <c r="AM49" s="690"/>
      <c r="AN49" s="690"/>
      <c r="AO49" s="690"/>
      <c r="AP49" s="690"/>
      <c r="AQ49" s="690"/>
      <c r="AR49" s="690"/>
      <c r="AS49" s="690"/>
      <c r="AT49" s="690"/>
      <c r="AU49" s="690"/>
      <c r="AV49" s="690"/>
      <c r="AW49" s="690"/>
      <c r="AX49" s="690"/>
      <c r="AY49" s="690"/>
      <c r="AZ49" s="690"/>
      <c r="BA49" s="690"/>
      <c r="BB49" s="690"/>
      <c r="BC49" s="690"/>
      <c r="BD49" s="690"/>
      <c r="BE49" s="690"/>
      <c r="BF49" s="690"/>
      <c r="BG49" s="690"/>
      <c r="BH49" s="690"/>
      <c r="BI49" s="690"/>
      <c r="BJ49" s="690"/>
      <c r="BK49" s="690"/>
      <c r="BL49" s="690"/>
      <c r="BM49" s="690"/>
      <c r="BN49" s="690"/>
      <c r="BO49" s="690"/>
      <c r="BP49" s="690"/>
      <c r="BQ49" s="690"/>
      <c r="BR49" s="690"/>
      <c r="BS49" s="690"/>
      <c r="BT49" s="690"/>
      <c r="BU49" s="690"/>
      <c r="BV49" s="690"/>
      <c r="BW49" s="690"/>
      <c r="BX49" s="690"/>
      <c r="BY49" s="690"/>
      <c r="BZ49" s="690"/>
      <c r="CA49" s="690"/>
      <c r="CB49" s="690"/>
      <c r="CC49" s="690"/>
      <c r="CD49" s="690"/>
      <c r="CE49" s="690"/>
      <c r="CF49" s="690"/>
      <c r="CG49" s="690"/>
      <c r="CH49" s="690"/>
      <c r="CI49" s="690"/>
      <c r="CJ49" s="690"/>
      <c r="CK49" s="690"/>
      <c r="CL49" s="690"/>
      <c r="CM49" s="690"/>
      <c r="CN49" s="690"/>
      <c r="CO49" s="690"/>
      <c r="CP49" s="690"/>
      <c r="CQ49" s="690"/>
      <c r="CR49" s="690"/>
      <c r="CS49" s="690"/>
      <c r="CT49" s="690"/>
      <c r="CU49" s="690"/>
      <c r="CV49" s="690"/>
      <c r="CW49" s="690"/>
      <c r="CX49" s="690"/>
      <c r="CY49" s="690"/>
      <c r="CZ49" s="690"/>
      <c r="DA49" s="690"/>
      <c r="DB49" s="690"/>
      <c r="DC49" s="690"/>
      <c r="DD49" s="690"/>
      <c r="DE49" s="690"/>
      <c r="DF49" s="690"/>
      <c r="DG49" s="690"/>
      <c r="DH49" s="690"/>
      <c r="DI49" s="690"/>
      <c r="DJ49" s="690"/>
      <c r="DK49" s="690"/>
      <c r="DL49" s="690"/>
      <c r="DM49" s="690"/>
      <c r="DN49" s="690"/>
      <c r="DO49" s="690"/>
      <c r="DP49" s="690"/>
      <c r="DQ49" s="690"/>
      <c r="DR49" s="690"/>
      <c r="DS49" s="690"/>
      <c r="DT49" s="690"/>
      <c r="DU49" s="690"/>
      <c r="DV49" s="690"/>
      <c r="DW49" s="690"/>
      <c r="DX49" s="690"/>
      <c r="DY49" s="690"/>
      <c r="DZ49" s="690"/>
    </row>
    <row r="50" spans="1:130" x14ac:dyDescent="0.25">
      <c r="A50" s="691">
        <f t="shared" ref="A50:A65" si="64">SUM(F5,J5,N5,R5,V5,Z5,AD5,AH5,AL5,AP5,AT5,AX5,BB5,BF5,BJ5,BN5,BR5,BV5,BZ5,CD5,CH5,CL5,CP5,CT5,CX5,DB5,DF5,DJ5,DN5,DR5,DV5)</f>
        <v>11204</v>
      </c>
      <c r="B50" s="691" t="str">
        <f t="shared" ref="B50:B61" si="65">B5</f>
        <v>S2</v>
      </c>
      <c r="C50" s="690"/>
      <c r="D50" s="690"/>
      <c r="E50" s="690"/>
      <c r="F50" s="690"/>
      <c r="G50" s="690"/>
      <c r="H50" s="690"/>
      <c r="I50" s="690"/>
      <c r="J50" s="690"/>
      <c r="K50" s="690"/>
      <c r="L50" s="690"/>
      <c r="M50" s="690"/>
      <c r="N50" s="690"/>
      <c r="O50" s="690"/>
      <c r="P50" s="690"/>
      <c r="Q50" s="690"/>
      <c r="R50" s="690"/>
      <c r="S50" s="690"/>
      <c r="T50" s="690"/>
      <c r="U50" s="690"/>
      <c r="V50" s="690"/>
      <c r="W50" s="690"/>
      <c r="X50" s="690"/>
      <c r="Y50" s="690"/>
      <c r="Z50" s="690"/>
      <c r="AA50" s="690"/>
      <c r="AB50" s="690"/>
      <c r="AC50" s="690"/>
      <c r="AD50" s="690"/>
      <c r="AE50" s="690"/>
      <c r="AF50" s="690"/>
      <c r="AG50" s="690"/>
      <c r="AH50" s="690"/>
      <c r="AI50" s="690"/>
      <c r="AJ50" s="690"/>
      <c r="AK50" s="690"/>
      <c r="AL50" s="690"/>
      <c r="AM50" s="690"/>
      <c r="AN50" s="690"/>
      <c r="AO50" s="690"/>
      <c r="AP50" s="690"/>
      <c r="AQ50" s="690"/>
      <c r="AR50" s="690"/>
      <c r="AS50" s="690"/>
      <c r="AT50" s="690"/>
      <c r="AU50" s="690"/>
      <c r="AV50" s="690"/>
      <c r="AW50" s="690"/>
      <c r="AX50" s="690"/>
      <c r="AY50" s="690"/>
      <c r="AZ50" s="690"/>
      <c r="BA50" s="690"/>
      <c r="BB50" s="690"/>
      <c r="BC50" s="690"/>
      <c r="BD50" s="690"/>
      <c r="BE50" s="690"/>
      <c r="BF50" s="690"/>
      <c r="BG50" s="690"/>
      <c r="BH50" s="690"/>
      <c r="BI50" s="690"/>
      <c r="BJ50" s="690"/>
      <c r="BK50" s="690"/>
      <c r="BL50" s="690"/>
      <c r="BM50" s="690"/>
      <c r="BN50" s="690"/>
      <c r="BO50" s="690"/>
      <c r="BP50" s="690"/>
      <c r="BQ50" s="690"/>
      <c r="BR50" s="690"/>
      <c r="BS50" s="690"/>
      <c r="BT50" s="690"/>
      <c r="BU50" s="690"/>
      <c r="BV50" s="690"/>
      <c r="BW50" s="690"/>
      <c r="BX50" s="690"/>
      <c r="BY50" s="690"/>
      <c r="BZ50" s="690"/>
      <c r="CA50" s="690"/>
      <c r="CB50" s="690"/>
      <c r="CC50" s="690"/>
      <c r="CD50" s="690"/>
      <c r="CE50" s="690"/>
      <c r="CF50" s="690"/>
      <c r="CG50" s="690"/>
      <c r="CH50" s="690"/>
      <c r="CI50" s="690"/>
      <c r="CJ50" s="690"/>
      <c r="CK50" s="690"/>
      <c r="CL50" s="690"/>
      <c r="CM50" s="690"/>
      <c r="CN50" s="690"/>
      <c r="CO50" s="690"/>
      <c r="CP50" s="690"/>
      <c r="CQ50" s="690"/>
      <c r="CR50" s="690"/>
      <c r="CS50" s="690"/>
      <c r="CT50" s="690"/>
      <c r="CU50" s="690"/>
      <c r="CV50" s="690"/>
      <c r="CW50" s="690"/>
      <c r="CX50" s="690"/>
      <c r="CY50" s="690"/>
      <c r="CZ50" s="690"/>
      <c r="DA50" s="690"/>
      <c r="DB50" s="690"/>
      <c r="DC50" s="690"/>
      <c r="DD50" s="690"/>
      <c r="DE50" s="690"/>
      <c r="DF50" s="690"/>
      <c r="DG50" s="690"/>
      <c r="DH50" s="690"/>
      <c r="DI50" s="690"/>
      <c r="DJ50" s="690"/>
      <c r="DK50" s="690"/>
      <c r="DL50" s="690"/>
      <c r="DM50" s="690"/>
      <c r="DN50" s="690"/>
      <c r="DO50" s="690"/>
      <c r="DP50" s="690"/>
      <c r="DQ50" s="690"/>
      <c r="DR50" s="690"/>
      <c r="DS50" s="690"/>
      <c r="DT50" s="690"/>
      <c r="DU50" s="690"/>
      <c r="DV50" s="690"/>
      <c r="DW50" s="690"/>
      <c r="DX50" s="690"/>
      <c r="DY50" s="690"/>
      <c r="DZ50" s="690"/>
    </row>
    <row r="51" spans="1:130" x14ac:dyDescent="0.25">
      <c r="A51" s="691">
        <f t="shared" si="64"/>
        <v>2956</v>
      </c>
      <c r="B51" s="691" t="str">
        <f t="shared" si="65"/>
        <v>S3</v>
      </c>
      <c r="C51" s="1823" t="s">
        <v>343</v>
      </c>
      <c r="D51" s="1823"/>
      <c r="E51" s="1823"/>
      <c r="F51" s="896">
        <f>+F22+J22+N22+R22+V22+Z22+AD22+AH22+AL22+AP22+AT22+AX22+BB22+BF22+BJ22+BN22+BR22+BV22+BZ22+CD22+CH22+CL22+CP22+CT22+CX22+DB22+DF22+DJ22+DN22+DR22+DV22</f>
        <v>45933</v>
      </c>
      <c r="G51" s="700"/>
      <c r="H51" s="1814" t="s">
        <v>344</v>
      </c>
      <c r="I51" s="1814"/>
      <c r="J51" s="1814"/>
      <c r="K51" s="701">
        <f>+F23+F32+F40</f>
        <v>160000</v>
      </c>
      <c r="L51" s="1824" t="str">
        <f>IF(F51&gt;K51, "Objectif atteint", "Objectif non atteint")</f>
        <v>Objectif non atteint</v>
      </c>
      <c r="M51" s="1825"/>
      <c r="N51" s="1825"/>
      <c r="O51" s="690"/>
      <c r="P51" s="690"/>
      <c r="Q51" s="690"/>
      <c r="R51" s="690"/>
      <c r="S51" s="690"/>
      <c r="T51" s="690"/>
      <c r="U51" s="690"/>
      <c r="V51" s="690"/>
      <c r="W51" s="690"/>
      <c r="X51" s="690"/>
      <c r="Y51" s="690"/>
      <c r="Z51" s="690"/>
      <c r="AA51" s="690"/>
      <c r="AB51" s="690"/>
      <c r="AC51" s="690"/>
      <c r="AD51" s="690"/>
      <c r="AE51" s="690"/>
      <c r="AF51" s="690"/>
      <c r="AG51" s="690"/>
      <c r="AH51" s="690"/>
      <c r="AI51" s="690"/>
      <c r="AJ51" s="690"/>
      <c r="AK51" s="690"/>
      <c r="AL51" s="690"/>
      <c r="AM51" s="690"/>
      <c r="AN51" s="690"/>
      <c r="AO51" s="690"/>
      <c r="AP51" s="690"/>
      <c r="AQ51" s="690"/>
      <c r="AR51" s="690"/>
      <c r="AS51" s="690"/>
      <c r="AT51" s="690"/>
      <c r="AU51" s="690"/>
      <c r="AV51" s="690"/>
      <c r="AW51" s="690"/>
      <c r="AX51" s="690"/>
      <c r="AY51" s="690"/>
      <c r="AZ51" s="690"/>
      <c r="BA51" s="690"/>
      <c r="BB51" s="690"/>
      <c r="BC51" s="690"/>
      <c r="BD51" s="690"/>
      <c r="BE51" s="690"/>
      <c r="BF51" s="690"/>
      <c r="BG51" s="690"/>
      <c r="BH51" s="690"/>
      <c r="BI51" s="690"/>
      <c r="BJ51" s="690"/>
      <c r="BK51" s="690"/>
      <c r="BL51" s="690"/>
      <c r="BM51" s="690"/>
      <c r="BN51" s="690"/>
      <c r="BO51" s="690"/>
      <c r="BP51" s="690"/>
      <c r="BQ51" s="690"/>
      <c r="BR51" s="690"/>
      <c r="BS51" s="690"/>
      <c r="BT51" s="690"/>
      <c r="BU51" s="690"/>
      <c r="BV51" s="690"/>
      <c r="BW51" s="690"/>
      <c r="BX51" s="690"/>
      <c r="BY51" s="690"/>
      <c r="BZ51" s="690"/>
      <c r="CA51" s="690"/>
      <c r="CB51" s="690"/>
      <c r="CC51" s="690"/>
      <c r="CD51" s="690"/>
      <c r="CE51" s="690"/>
      <c r="CF51" s="690"/>
      <c r="CG51" s="690"/>
      <c r="CH51" s="690"/>
      <c r="CI51" s="690"/>
      <c r="CJ51" s="690"/>
      <c r="CK51" s="690"/>
      <c r="CL51" s="690"/>
      <c r="CM51" s="690"/>
      <c r="CN51" s="690"/>
      <c r="CO51" s="690"/>
      <c r="CP51" s="690"/>
      <c r="CQ51" s="690"/>
      <c r="CR51" s="690"/>
      <c r="CS51" s="690"/>
      <c r="CT51" s="690"/>
      <c r="CU51" s="690"/>
      <c r="CV51" s="690"/>
      <c r="CW51" s="690"/>
      <c r="CX51" s="690"/>
      <c r="CY51" s="690"/>
      <c r="CZ51" s="690"/>
      <c r="DA51" s="690"/>
      <c r="DB51" s="690"/>
      <c r="DC51" s="690"/>
      <c r="DD51" s="690"/>
      <c r="DE51" s="690"/>
      <c r="DF51" s="690"/>
      <c r="DG51" s="690"/>
      <c r="DH51" s="690"/>
      <c r="DI51" s="690"/>
      <c r="DJ51" s="690"/>
      <c r="DK51" s="690"/>
      <c r="DL51" s="690"/>
      <c r="DM51" s="690"/>
      <c r="DN51" s="690"/>
      <c r="DO51" s="690"/>
      <c r="DP51" s="690"/>
      <c r="DQ51" s="690"/>
      <c r="DR51" s="690"/>
      <c r="DS51" s="690"/>
      <c r="DT51" s="690"/>
      <c r="DU51" s="690"/>
      <c r="DV51" s="690"/>
      <c r="DW51" s="690"/>
      <c r="DX51" s="690"/>
      <c r="DY51" s="690"/>
      <c r="DZ51" s="690"/>
    </row>
    <row r="52" spans="1:130" x14ac:dyDescent="0.25">
      <c r="A52" s="691">
        <f t="shared" si="64"/>
        <v>6505</v>
      </c>
      <c r="B52" s="691" t="str">
        <f t="shared" si="65"/>
        <v>S4</v>
      </c>
      <c r="C52" s="690"/>
      <c r="D52" s="690"/>
      <c r="E52" s="690"/>
      <c r="F52" s="691"/>
      <c r="G52" s="690"/>
      <c r="H52" s="690"/>
      <c r="I52" s="690"/>
      <c r="J52" s="690"/>
      <c r="K52" s="690"/>
      <c r="L52" s="690"/>
      <c r="M52" s="690"/>
      <c r="N52" s="690"/>
      <c r="O52" s="690"/>
      <c r="P52" s="690"/>
      <c r="Q52" s="690"/>
      <c r="R52" s="690"/>
      <c r="S52" s="690"/>
      <c r="T52" s="690"/>
      <c r="U52" s="690"/>
      <c r="V52" s="690"/>
      <c r="W52" s="690"/>
      <c r="X52" s="690"/>
      <c r="Y52" s="690"/>
      <c r="Z52" s="690"/>
      <c r="AA52" s="690"/>
      <c r="AB52" s="690"/>
      <c r="AC52" s="690"/>
      <c r="AD52" s="690"/>
      <c r="AE52" s="690"/>
      <c r="AF52" s="690"/>
      <c r="AG52" s="690"/>
      <c r="AH52" s="690"/>
      <c r="AI52" s="690"/>
      <c r="AJ52" s="690"/>
      <c r="AK52" s="690"/>
      <c r="AL52" s="690"/>
      <c r="AM52" s="690"/>
      <c r="AN52" s="690"/>
      <c r="AO52" s="690"/>
      <c r="AP52" s="690"/>
      <c r="AQ52" s="690"/>
      <c r="AR52" s="690"/>
      <c r="AS52" s="690"/>
      <c r="AT52" s="690"/>
      <c r="AU52" s="690"/>
      <c r="AV52" s="690"/>
      <c r="AW52" s="690"/>
      <c r="AX52" s="690"/>
      <c r="AY52" s="690"/>
      <c r="AZ52" s="690"/>
      <c r="BA52" s="690"/>
      <c r="BB52" s="690"/>
      <c r="BC52" s="690"/>
      <c r="BD52" s="690"/>
      <c r="BE52" s="690"/>
      <c r="BF52" s="690"/>
      <c r="BG52" s="690"/>
      <c r="BH52" s="690"/>
      <c r="BI52" s="690"/>
      <c r="BJ52" s="690"/>
      <c r="BK52" s="690"/>
      <c r="BL52" s="690"/>
      <c r="BM52" s="690"/>
      <c r="BN52" s="690"/>
      <c r="BO52" s="690"/>
      <c r="BP52" s="690"/>
      <c r="BQ52" s="690"/>
      <c r="BR52" s="690"/>
      <c r="BS52" s="690"/>
      <c r="BT52" s="690"/>
      <c r="BU52" s="690"/>
      <c r="BV52" s="690"/>
      <c r="BW52" s="690"/>
      <c r="BX52" s="690"/>
      <c r="BY52" s="690"/>
      <c r="BZ52" s="690"/>
      <c r="CA52" s="690"/>
      <c r="CB52" s="690"/>
      <c r="CC52" s="690"/>
      <c r="CD52" s="690"/>
      <c r="CE52" s="690"/>
      <c r="CF52" s="690"/>
      <c r="CG52" s="690"/>
      <c r="CH52" s="690"/>
      <c r="CI52" s="690"/>
      <c r="CJ52" s="690"/>
      <c r="CK52" s="690"/>
      <c r="CL52" s="690"/>
      <c r="CM52" s="690"/>
      <c r="CN52" s="690"/>
      <c r="CO52" s="690"/>
      <c r="CP52" s="690"/>
      <c r="CQ52" s="690"/>
      <c r="CR52" s="690"/>
      <c r="CS52" s="690"/>
      <c r="CT52" s="690"/>
      <c r="CU52" s="690"/>
      <c r="CV52" s="690"/>
      <c r="CW52" s="690"/>
      <c r="CX52" s="690"/>
      <c r="CY52" s="690"/>
      <c r="CZ52" s="690"/>
      <c r="DA52" s="690"/>
      <c r="DB52" s="690"/>
      <c r="DC52" s="690"/>
      <c r="DD52" s="690"/>
      <c r="DE52" s="690"/>
      <c r="DF52" s="690"/>
      <c r="DG52" s="690"/>
      <c r="DH52" s="690"/>
      <c r="DI52" s="690"/>
      <c r="DJ52" s="690"/>
      <c r="DK52" s="690"/>
      <c r="DL52" s="690"/>
      <c r="DM52" s="690"/>
      <c r="DN52" s="690"/>
      <c r="DO52" s="690"/>
      <c r="DP52" s="690"/>
      <c r="DQ52" s="690"/>
      <c r="DR52" s="690"/>
      <c r="DS52" s="690"/>
      <c r="DT52" s="690"/>
      <c r="DU52" s="690"/>
      <c r="DV52" s="690"/>
      <c r="DW52" s="690"/>
      <c r="DX52" s="690"/>
      <c r="DY52" s="690"/>
      <c r="DZ52" s="690"/>
    </row>
    <row r="53" spans="1:130" x14ac:dyDescent="0.25">
      <c r="A53" s="691">
        <f t="shared" si="64"/>
        <v>0</v>
      </c>
      <c r="B53" s="691" t="str">
        <f t="shared" si="65"/>
        <v>S5</v>
      </c>
      <c r="C53" s="1823" t="s">
        <v>345</v>
      </c>
      <c r="D53" s="1823"/>
      <c r="E53" s="1823"/>
      <c r="F53" s="872">
        <f>F51/2</f>
        <v>22966.5</v>
      </c>
      <c r="G53" s="690"/>
      <c r="H53" s="690"/>
      <c r="I53" s="690"/>
      <c r="J53" s="690"/>
      <c r="K53" s="690"/>
      <c r="L53" s="690"/>
      <c r="M53" s="690"/>
      <c r="N53" s="690"/>
      <c r="O53" s="690"/>
      <c r="P53" s="690"/>
      <c r="Q53" s="690"/>
      <c r="R53" s="690"/>
      <c r="S53" s="690"/>
      <c r="T53" s="690"/>
      <c r="U53" s="690"/>
      <c r="V53" s="690"/>
      <c r="W53" s="690"/>
      <c r="X53" s="690"/>
      <c r="Y53" s="690"/>
      <c r="Z53" s="690"/>
      <c r="AA53" s="690"/>
      <c r="AB53" s="690"/>
      <c r="AC53" s="690"/>
      <c r="AD53" s="690"/>
      <c r="AE53" s="690"/>
      <c r="AF53" s="690"/>
      <c r="AG53" s="690"/>
      <c r="AH53" s="690"/>
      <c r="AI53" s="690"/>
      <c r="AJ53" s="690"/>
      <c r="AK53" s="690"/>
      <c r="AL53" s="690"/>
      <c r="AM53" s="690"/>
      <c r="AN53" s="690"/>
      <c r="AO53" s="690"/>
      <c r="AP53" s="690"/>
      <c r="AQ53" s="690"/>
      <c r="AR53" s="690"/>
      <c r="AS53" s="690"/>
      <c r="AT53" s="690"/>
      <c r="AU53" s="690"/>
      <c r="AV53" s="690"/>
      <c r="AW53" s="690"/>
      <c r="AX53" s="690"/>
      <c r="AY53" s="690"/>
      <c r="AZ53" s="690"/>
      <c r="BA53" s="690"/>
      <c r="BB53" s="690"/>
      <c r="BC53" s="690"/>
      <c r="BD53" s="690"/>
      <c r="BE53" s="690"/>
      <c r="BF53" s="690"/>
      <c r="BG53" s="690"/>
      <c r="BH53" s="690"/>
      <c r="BI53" s="690"/>
      <c r="BJ53" s="690"/>
      <c r="BK53" s="690"/>
      <c r="BL53" s="690"/>
      <c r="BM53" s="690"/>
      <c r="BN53" s="690"/>
      <c r="BO53" s="690"/>
      <c r="BP53" s="690"/>
      <c r="BQ53" s="690"/>
      <c r="BR53" s="690"/>
      <c r="BS53" s="690"/>
      <c r="BT53" s="690"/>
      <c r="BU53" s="690"/>
      <c r="BV53" s="690"/>
      <c r="BW53" s="690"/>
      <c r="BX53" s="690"/>
      <c r="BY53" s="690"/>
      <c r="BZ53" s="690"/>
      <c r="CA53" s="690"/>
      <c r="CB53" s="690"/>
      <c r="CC53" s="690"/>
      <c r="CD53" s="690"/>
      <c r="CE53" s="690"/>
      <c r="CF53" s="690"/>
      <c r="CG53" s="690"/>
      <c r="CH53" s="690"/>
      <c r="CI53" s="690"/>
      <c r="CJ53" s="690"/>
      <c r="CK53" s="690"/>
      <c r="CL53" s="690"/>
      <c r="CM53" s="690"/>
      <c r="CN53" s="690"/>
      <c r="CO53" s="690"/>
      <c r="CP53" s="690"/>
      <c r="CQ53" s="690"/>
      <c r="CR53" s="690"/>
      <c r="CS53" s="690"/>
      <c r="CT53" s="690"/>
      <c r="CU53" s="690"/>
      <c r="CV53" s="690"/>
      <c r="CW53" s="690"/>
      <c r="CX53" s="690"/>
      <c r="CY53" s="690"/>
      <c r="CZ53" s="690"/>
      <c r="DA53" s="690"/>
      <c r="DB53" s="690"/>
      <c r="DC53" s="690"/>
      <c r="DD53" s="690"/>
      <c r="DE53" s="690"/>
      <c r="DF53" s="690"/>
      <c r="DG53" s="690"/>
      <c r="DH53" s="690"/>
      <c r="DI53" s="690"/>
      <c r="DJ53" s="690"/>
      <c r="DK53" s="690"/>
      <c r="DL53" s="690"/>
      <c r="DM53" s="690"/>
      <c r="DN53" s="690"/>
      <c r="DO53" s="690"/>
      <c r="DP53" s="690"/>
      <c r="DQ53" s="690"/>
      <c r="DR53" s="690"/>
      <c r="DS53" s="690"/>
      <c r="DT53" s="690"/>
      <c r="DU53" s="690"/>
      <c r="DV53" s="690"/>
      <c r="DW53" s="690"/>
      <c r="DX53" s="690"/>
      <c r="DY53" s="690"/>
      <c r="DZ53" s="690"/>
    </row>
    <row r="54" spans="1:130" x14ac:dyDescent="0.25">
      <c r="A54" s="691">
        <f t="shared" si="64"/>
        <v>0</v>
      </c>
      <c r="B54" s="691" t="str">
        <f t="shared" si="65"/>
        <v>S6</v>
      </c>
      <c r="C54" s="690"/>
      <c r="D54" s="690"/>
      <c r="E54" s="690"/>
      <c r="F54" s="691"/>
      <c r="G54" s="690"/>
      <c r="H54" s="690"/>
      <c r="I54" s="690"/>
      <c r="J54" s="690"/>
      <c r="K54" s="690"/>
      <c r="L54" s="690"/>
      <c r="M54" s="690"/>
      <c r="N54" s="690"/>
      <c r="O54" s="690"/>
      <c r="P54" s="690"/>
      <c r="Q54" s="690"/>
      <c r="R54" s="690"/>
      <c r="S54" s="690"/>
      <c r="T54" s="690"/>
      <c r="U54" s="690"/>
      <c r="V54" s="690"/>
      <c r="W54" s="690"/>
      <c r="X54" s="690"/>
      <c r="Y54" s="690"/>
      <c r="Z54" s="690"/>
      <c r="AA54" s="690"/>
      <c r="AB54" s="690"/>
      <c r="AC54" s="690"/>
      <c r="AD54" s="690"/>
      <c r="AE54" s="690"/>
      <c r="AF54" s="690"/>
      <c r="AG54" s="690"/>
      <c r="AH54" s="690"/>
      <c r="AI54" s="690"/>
      <c r="AJ54" s="690"/>
      <c r="AK54" s="690"/>
      <c r="AL54" s="690"/>
      <c r="AM54" s="690"/>
      <c r="AN54" s="690"/>
      <c r="AO54" s="690"/>
      <c r="AP54" s="690"/>
      <c r="AQ54" s="690"/>
      <c r="AR54" s="690"/>
      <c r="AS54" s="690"/>
      <c r="AT54" s="690"/>
      <c r="AU54" s="690"/>
      <c r="AV54" s="690"/>
      <c r="AW54" s="690"/>
      <c r="AX54" s="690"/>
      <c r="AY54" s="690"/>
      <c r="AZ54" s="690"/>
      <c r="BA54" s="690"/>
      <c r="BB54" s="690"/>
      <c r="BC54" s="690"/>
      <c r="BD54" s="690"/>
      <c r="BE54" s="690"/>
      <c r="BF54" s="690"/>
      <c r="BG54" s="690"/>
      <c r="BH54" s="690"/>
      <c r="BI54" s="690"/>
      <c r="BJ54" s="690"/>
      <c r="BK54" s="690"/>
      <c r="BL54" s="690"/>
      <c r="BM54" s="690"/>
      <c r="BN54" s="690"/>
      <c r="BO54" s="690"/>
      <c r="BP54" s="690"/>
      <c r="BQ54" s="690"/>
      <c r="BR54" s="690"/>
      <c r="BS54" s="690"/>
      <c r="BT54" s="690"/>
      <c r="BU54" s="690"/>
      <c r="BV54" s="690"/>
      <c r="BW54" s="690"/>
      <c r="BX54" s="690"/>
      <c r="BY54" s="690"/>
      <c r="BZ54" s="690"/>
      <c r="CA54" s="690"/>
      <c r="CB54" s="690"/>
      <c r="CC54" s="690"/>
      <c r="CD54" s="690"/>
      <c r="CE54" s="690"/>
      <c r="CF54" s="690"/>
      <c r="CG54" s="690"/>
      <c r="CH54" s="690"/>
      <c r="CI54" s="690"/>
      <c r="CJ54" s="690"/>
      <c r="CK54" s="690"/>
      <c r="CL54" s="690"/>
      <c r="CM54" s="690"/>
      <c r="CN54" s="690"/>
      <c r="CO54" s="690"/>
      <c r="CP54" s="690"/>
      <c r="CQ54" s="690"/>
      <c r="CR54" s="690"/>
      <c r="CS54" s="690"/>
      <c r="CT54" s="690"/>
      <c r="CU54" s="690"/>
      <c r="CV54" s="690"/>
      <c r="CW54" s="690"/>
      <c r="CX54" s="690"/>
      <c r="CY54" s="690"/>
      <c r="CZ54" s="690"/>
      <c r="DA54" s="690"/>
      <c r="DB54" s="690"/>
      <c r="DC54" s="690"/>
      <c r="DD54" s="690"/>
      <c r="DE54" s="690"/>
      <c r="DF54" s="690"/>
      <c r="DG54" s="690"/>
      <c r="DH54" s="690"/>
      <c r="DI54" s="690"/>
      <c r="DJ54" s="690"/>
      <c r="DK54" s="690"/>
      <c r="DL54" s="690"/>
      <c r="DM54" s="690"/>
      <c r="DN54" s="690"/>
      <c r="DO54" s="690"/>
      <c r="DP54" s="690"/>
      <c r="DQ54" s="690"/>
      <c r="DR54" s="690"/>
      <c r="DS54" s="690"/>
      <c r="DT54" s="690"/>
      <c r="DU54" s="690"/>
      <c r="DV54" s="690"/>
      <c r="DW54" s="690"/>
      <c r="DX54" s="690"/>
      <c r="DY54" s="690"/>
      <c r="DZ54" s="690"/>
    </row>
    <row r="55" spans="1:130" x14ac:dyDescent="0.25">
      <c r="A55" s="691">
        <f t="shared" si="64"/>
        <v>10826</v>
      </c>
      <c r="B55" s="691" t="str">
        <f t="shared" si="65"/>
        <v>G1</v>
      </c>
      <c r="C55" s="690"/>
      <c r="D55" s="690"/>
      <c r="E55" s="690"/>
      <c r="F55" s="691"/>
      <c r="G55" s="690"/>
      <c r="H55" s="690"/>
      <c r="I55" s="690"/>
      <c r="J55" s="690"/>
      <c r="K55" s="690"/>
      <c r="L55" s="690"/>
      <c r="M55" s="690"/>
      <c r="N55" s="690"/>
      <c r="O55" s="690"/>
      <c r="P55" s="690"/>
      <c r="Q55" s="690"/>
      <c r="R55" s="690"/>
      <c r="S55" s="690"/>
      <c r="T55" s="690"/>
      <c r="U55" s="690"/>
      <c r="V55" s="690"/>
      <c r="W55" s="690"/>
      <c r="X55" s="690"/>
      <c r="Y55" s="690"/>
      <c r="Z55" s="690"/>
      <c r="AA55" s="690"/>
      <c r="AB55" s="690"/>
      <c r="AC55" s="690"/>
      <c r="AD55" s="690"/>
      <c r="AE55" s="690"/>
      <c r="AF55" s="690"/>
      <c r="AG55" s="690"/>
      <c r="AH55" s="690"/>
      <c r="AI55" s="690"/>
      <c r="AJ55" s="690"/>
      <c r="AK55" s="690"/>
      <c r="AL55" s="690"/>
      <c r="AM55" s="690"/>
      <c r="AN55" s="690"/>
      <c r="AO55" s="690"/>
      <c r="AP55" s="690"/>
      <c r="AQ55" s="690"/>
      <c r="AR55" s="690"/>
      <c r="AS55" s="690"/>
      <c r="AT55" s="690"/>
      <c r="AU55" s="690"/>
      <c r="AV55" s="690"/>
      <c r="AW55" s="690"/>
      <c r="AX55" s="690"/>
      <c r="AY55" s="690"/>
      <c r="AZ55" s="690"/>
      <c r="BA55" s="690"/>
      <c r="BB55" s="690"/>
      <c r="BC55" s="690"/>
      <c r="BD55" s="690"/>
      <c r="BE55" s="690"/>
      <c r="BF55" s="690"/>
      <c r="BG55" s="690"/>
      <c r="BH55" s="690"/>
      <c r="BI55" s="690"/>
      <c r="BJ55" s="690"/>
      <c r="BK55" s="690"/>
      <c r="BL55" s="690"/>
      <c r="BM55" s="690"/>
      <c r="BN55" s="690"/>
      <c r="BO55" s="690"/>
      <c r="BP55" s="690"/>
      <c r="BQ55" s="690"/>
      <c r="BR55" s="690"/>
      <c r="BS55" s="690"/>
      <c r="BT55" s="690"/>
      <c r="BU55" s="690"/>
      <c r="BV55" s="690"/>
      <c r="BW55" s="690"/>
      <c r="BX55" s="690"/>
      <c r="BY55" s="690"/>
      <c r="BZ55" s="690"/>
      <c r="CA55" s="690"/>
      <c r="CB55" s="690"/>
      <c r="CC55" s="690"/>
      <c r="CD55" s="690"/>
      <c r="CE55" s="690"/>
      <c r="CF55" s="690"/>
      <c r="CG55" s="690"/>
      <c r="CH55" s="690"/>
      <c r="CI55" s="690"/>
      <c r="CJ55" s="690"/>
      <c r="CK55" s="690"/>
      <c r="CL55" s="690"/>
      <c r="CM55" s="690"/>
      <c r="CN55" s="690"/>
      <c r="CO55" s="690"/>
      <c r="CP55" s="690"/>
      <c r="CQ55" s="690"/>
      <c r="CR55" s="690"/>
      <c r="CS55" s="690"/>
      <c r="CT55" s="690"/>
      <c r="CU55" s="690"/>
      <c r="CV55" s="690"/>
      <c r="CW55" s="690"/>
      <c r="CX55" s="690"/>
      <c r="CY55" s="690"/>
      <c r="CZ55" s="690"/>
      <c r="DA55" s="690"/>
      <c r="DB55" s="690"/>
      <c r="DC55" s="690"/>
      <c r="DD55" s="690"/>
      <c r="DE55" s="690"/>
      <c r="DF55" s="690"/>
      <c r="DG55" s="690"/>
      <c r="DH55" s="690"/>
      <c r="DI55" s="690"/>
      <c r="DJ55" s="690"/>
      <c r="DK55" s="690"/>
      <c r="DL55" s="690"/>
      <c r="DM55" s="690"/>
      <c r="DN55" s="690"/>
      <c r="DO55" s="690"/>
      <c r="DP55" s="690"/>
      <c r="DQ55" s="690"/>
      <c r="DR55" s="690"/>
      <c r="DS55" s="690"/>
      <c r="DT55" s="690"/>
      <c r="DU55" s="690"/>
      <c r="DV55" s="690"/>
      <c r="DW55" s="690"/>
      <c r="DX55" s="690"/>
      <c r="DY55" s="690"/>
      <c r="DZ55" s="690"/>
    </row>
    <row r="56" spans="1:130" x14ac:dyDescent="0.25">
      <c r="A56" s="691">
        <f t="shared" si="64"/>
        <v>5147</v>
      </c>
      <c r="B56" s="691" t="str">
        <f t="shared" si="65"/>
        <v>G2</v>
      </c>
      <c r="C56" s="1814" t="s">
        <v>0</v>
      </c>
      <c r="D56" s="1814"/>
      <c r="E56" s="1814"/>
      <c r="F56" s="896">
        <f>+A49+A50+A51+A52+A53+A54</f>
        <v>24634</v>
      </c>
      <c r="G56" s="690"/>
      <c r="H56" s="690"/>
      <c r="I56" s="690"/>
      <c r="J56" s="690"/>
      <c r="K56" s="690"/>
      <c r="L56" s="690"/>
      <c r="M56" s="690"/>
      <c r="N56" s="690"/>
      <c r="O56" s="690"/>
      <c r="P56" s="690"/>
      <c r="Q56" s="690"/>
      <c r="R56" s="690"/>
      <c r="S56" s="690"/>
      <c r="T56" s="690"/>
      <c r="U56" s="690"/>
      <c r="V56" s="690"/>
      <c r="W56" s="690"/>
      <c r="X56" s="690"/>
      <c r="Y56" s="690"/>
      <c r="Z56" s="690"/>
      <c r="AA56" s="690"/>
      <c r="AB56" s="690"/>
      <c r="AC56" s="690"/>
      <c r="AD56" s="690"/>
      <c r="AE56" s="690"/>
      <c r="AF56" s="690"/>
      <c r="AG56" s="690"/>
      <c r="AH56" s="690"/>
      <c r="AI56" s="690"/>
      <c r="AJ56" s="690"/>
      <c r="AK56" s="690"/>
      <c r="AL56" s="690"/>
      <c r="AM56" s="690"/>
      <c r="AN56" s="690"/>
      <c r="AO56" s="690"/>
      <c r="AP56" s="690"/>
      <c r="AQ56" s="690"/>
      <c r="AR56" s="690"/>
      <c r="AS56" s="690"/>
      <c r="AT56" s="690"/>
      <c r="AU56" s="690"/>
      <c r="AV56" s="690"/>
      <c r="AW56" s="690"/>
      <c r="AX56" s="690"/>
      <c r="AY56" s="690"/>
      <c r="AZ56" s="690"/>
      <c r="BA56" s="690"/>
      <c r="BB56" s="690"/>
      <c r="BC56" s="690"/>
      <c r="BD56" s="690"/>
      <c r="BE56" s="690"/>
      <c r="BF56" s="690"/>
      <c r="BG56" s="690"/>
      <c r="BH56" s="690"/>
      <c r="BI56" s="690"/>
      <c r="BJ56" s="690"/>
      <c r="BK56" s="690"/>
      <c r="BL56" s="690"/>
      <c r="BM56" s="690"/>
      <c r="BN56" s="690"/>
      <c r="BO56" s="690"/>
      <c r="BP56" s="690"/>
      <c r="BQ56" s="690"/>
      <c r="BR56" s="690"/>
      <c r="BS56" s="690"/>
      <c r="BT56" s="690"/>
      <c r="BU56" s="690"/>
      <c r="BV56" s="690"/>
      <c r="BW56" s="690"/>
      <c r="BX56" s="690"/>
      <c r="BY56" s="690"/>
      <c r="BZ56" s="690"/>
      <c r="CA56" s="690"/>
      <c r="CB56" s="690"/>
      <c r="CC56" s="690"/>
      <c r="CD56" s="690"/>
      <c r="CE56" s="690"/>
      <c r="CF56" s="690"/>
      <c r="CG56" s="690"/>
      <c r="CH56" s="690"/>
      <c r="CI56" s="690"/>
      <c r="CJ56" s="690"/>
      <c r="CK56" s="690"/>
      <c r="CL56" s="690"/>
      <c r="CM56" s="690"/>
      <c r="CN56" s="690"/>
      <c r="CO56" s="690"/>
      <c r="CP56" s="690"/>
      <c r="CQ56" s="690"/>
      <c r="CR56" s="690"/>
      <c r="CS56" s="690"/>
      <c r="CT56" s="690"/>
      <c r="CU56" s="690"/>
      <c r="CV56" s="690"/>
      <c r="CW56" s="690"/>
      <c r="CX56" s="690"/>
      <c r="CY56" s="690"/>
      <c r="CZ56" s="690"/>
      <c r="DA56" s="690"/>
      <c r="DB56" s="690"/>
      <c r="DC56" s="690"/>
      <c r="DD56" s="690"/>
      <c r="DE56" s="690"/>
      <c r="DF56" s="690"/>
      <c r="DG56" s="690"/>
      <c r="DH56" s="690"/>
      <c r="DI56" s="690"/>
      <c r="DJ56" s="690"/>
      <c r="DK56" s="690"/>
      <c r="DL56" s="690"/>
      <c r="DM56" s="690"/>
      <c r="DN56" s="690"/>
      <c r="DO56" s="690"/>
      <c r="DP56" s="690"/>
      <c r="DQ56" s="690"/>
      <c r="DR56" s="690"/>
      <c r="DS56" s="690"/>
      <c r="DT56" s="690"/>
      <c r="DU56" s="690"/>
      <c r="DV56" s="690"/>
      <c r="DW56" s="690"/>
      <c r="DX56" s="690"/>
      <c r="DY56" s="690"/>
      <c r="DZ56" s="690"/>
    </row>
    <row r="57" spans="1:130" x14ac:dyDescent="0.25">
      <c r="A57" s="691">
        <f t="shared" si="64"/>
        <v>2659</v>
      </c>
      <c r="B57" s="691" t="str">
        <f t="shared" si="65"/>
        <v>G3</v>
      </c>
      <c r="C57" s="690"/>
      <c r="D57" s="690"/>
      <c r="E57" s="690"/>
      <c r="F57" s="691"/>
      <c r="G57" s="690"/>
      <c r="H57" s="690"/>
      <c r="I57" s="690"/>
      <c r="J57" s="690"/>
      <c r="K57" s="690"/>
      <c r="L57" s="690"/>
      <c r="M57" s="690"/>
      <c r="N57" s="690"/>
      <c r="O57" s="690"/>
      <c r="P57" s="690"/>
      <c r="Q57" s="690"/>
      <c r="R57" s="690"/>
      <c r="S57" s="690"/>
      <c r="T57" s="690"/>
      <c r="U57" s="690"/>
      <c r="V57" s="690"/>
      <c r="W57" s="690"/>
      <c r="X57" s="690"/>
      <c r="Y57" s="690"/>
      <c r="Z57" s="690"/>
      <c r="AA57" s="690"/>
      <c r="AB57" s="690"/>
      <c r="AC57" s="690"/>
      <c r="AD57" s="690"/>
      <c r="AE57" s="690"/>
      <c r="AF57" s="690"/>
      <c r="AG57" s="690"/>
      <c r="AH57" s="690"/>
      <c r="AI57" s="690"/>
      <c r="AJ57" s="690"/>
      <c r="AK57" s="690"/>
      <c r="AL57" s="690"/>
      <c r="AM57" s="690"/>
      <c r="AN57" s="690"/>
      <c r="AO57" s="690"/>
      <c r="AP57" s="690"/>
      <c r="AQ57" s="690"/>
      <c r="AR57" s="690"/>
      <c r="AS57" s="690"/>
      <c r="AT57" s="690"/>
      <c r="AU57" s="690"/>
      <c r="AV57" s="690"/>
      <c r="AW57" s="690"/>
      <c r="AX57" s="690"/>
      <c r="AY57" s="690"/>
      <c r="AZ57" s="690"/>
      <c r="BA57" s="690"/>
      <c r="BB57" s="690"/>
      <c r="BC57" s="690"/>
      <c r="BD57" s="690"/>
      <c r="BE57" s="690"/>
      <c r="BF57" s="690"/>
      <c r="BG57" s="690"/>
      <c r="BH57" s="690"/>
      <c r="BI57" s="690"/>
      <c r="BJ57" s="690"/>
      <c r="BK57" s="690"/>
      <c r="BL57" s="690"/>
      <c r="BM57" s="690"/>
      <c r="BN57" s="690"/>
      <c r="BO57" s="690"/>
      <c r="BP57" s="690"/>
      <c r="BQ57" s="690"/>
      <c r="BR57" s="690"/>
      <c r="BS57" s="690"/>
      <c r="BT57" s="690"/>
      <c r="BU57" s="690"/>
      <c r="BV57" s="690"/>
      <c r="BW57" s="690"/>
      <c r="BX57" s="690"/>
      <c r="BY57" s="690"/>
      <c r="BZ57" s="690"/>
      <c r="CA57" s="690"/>
      <c r="CB57" s="690"/>
      <c r="CC57" s="690"/>
      <c r="CD57" s="690"/>
      <c r="CE57" s="690"/>
      <c r="CF57" s="690"/>
      <c r="CG57" s="690"/>
      <c r="CH57" s="690"/>
      <c r="CI57" s="690"/>
      <c r="CJ57" s="690"/>
      <c r="CK57" s="690"/>
      <c r="CL57" s="690"/>
      <c r="CM57" s="690"/>
      <c r="CN57" s="690"/>
      <c r="CO57" s="690"/>
      <c r="CP57" s="690"/>
      <c r="CQ57" s="690"/>
      <c r="CR57" s="690"/>
      <c r="CS57" s="690"/>
      <c r="CT57" s="690"/>
      <c r="CU57" s="690"/>
      <c r="CV57" s="690"/>
      <c r="CW57" s="690"/>
      <c r="CX57" s="690"/>
      <c r="CY57" s="690"/>
      <c r="CZ57" s="690"/>
      <c r="DA57" s="690"/>
      <c r="DB57" s="690"/>
      <c r="DC57" s="690"/>
      <c r="DD57" s="690"/>
      <c r="DE57" s="690"/>
      <c r="DF57" s="690"/>
      <c r="DG57" s="690"/>
      <c r="DH57" s="690"/>
      <c r="DI57" s="690"/>
      <c r="DJ57" s="690"/>
      <c r="DK57" s="690"/>
      <c r="DL57" s="690"/>
      <c r="DM57" s="690"/>
      <c r="DN57" s="690"/>
      <c r="DO57" s="690"/>
      <c r="DP57" s="690"/>
      <c r="DQ57" s="690"/>
      <c r="DR57" s="690"/>
      <c r="DS57" s="690"/>
      <c r="DT57" s="690"/>
      <c r="DU57" s="690"/>
      <c r="DV57" s="690"/>
      <c r="DW57" s="690"/>
      <c r="DX57" s="690"/>
      <c r="DY57" s="690"/>
      <c r="DZ57" s="690"/>
    </row>
    <row r="58" spans="1:130" x14ac:dyDescent="0.25">
      <c r="A58" s="691">
        <f t="shared" si="64"/>
        <v>2667</v>
      </c>
      <c r="B58" s="691" t="str">
        <f>B13</f>
        <v>G4</v>
      </c>
      <c r="C58" s="690"/>
      <c r="D58" s="690"/>
      <c r="E58" s="690"/>
      <c r="F58" s="691"/>
      <c r="G58" s="690"/>
      <c r="H58" s="690"/>
      <c r="I58" s="690"/>
      <c r="J58" s="690"/>
      <c r="K58" s="690"/>
      <c r="L58" s="690"/>
      <c r="M58" s="690"/>
      <c r="N58" s="690"/>
      <c r="O58" s="690"/>
      <c r="P58" s="690"/>
      <c r="Q58" s="690"/>
      <c r="R58" s="690"/>
      <c r="S58" s="690"/>
      <c r="T58" s="690"/>
      <c r="U58" s="690"/>
      <c r="V58" s="690"/>
      <c r="W58" s="690"/>
      <c r="X58" s="690"/>
      <c r="Y58" s="690"/>
      <c r="Z58" s="690"/>
      <c r="AA58" s="690"/>
      <c r="AB58" s="690"/>
      <c r="AC58" s="690"/>
      <c r="AD58" s="690"/>
      <c r="AE58" s="690"/>
      <c r="AF58" s="690"/>
      <c r="AG58" s="690"/>
      <c r="AH58" s="690"/>
      <c r="AI58" s="690"/>
      <c r="AJ58" s="690"/>
      <c r="AK58" s="690"/>
      <c r="AL58" s="690"/>
      <c r="AM58" s="690"/>
      <c r="AN58" s="690"/>
      <c r="AO58" s="690"/>
      <c r="AP58" s="690"/>
      <c r="AQ58" s="690"/>
      <c r="AR58" s="690"/>
      <c r="AS58" s="690"/>
      <c r="AT58" s="690"/>
      <c r="AU58" s="690"/>
      <c r="AV58" s="690"/>
      <c r="AW58" s="690"/>
      <c r="AX58" s="690"/>
      <c r="AY58" s="690"/>
      <c r="AZ58" s="690"/>
      <c r="BA58" s="690"/>
      <c r="BB58" s="690"/>
      <c r="BC58" s="690"/>
      <c r="BD58" s="690"/>
      <c r="BE58" s="690"/>
      <c r="BF58" s="690"/>
      <c r="BG58" s="690"/>
      <c r="BH58" s="690"/>
      <c r="BI58" s="690"/>
      <c r="BJ58" s="690"/>
      <c r="BK58" s="690"/>
      <c r="BL58" s="690"/>
      <c r="BM58" s="690"/>
      <c r="BN58" s="690"/>
      <c r="BO58" s="690"/>
      <c r="BP58" s="690"/>
      <c r="BQ58" s="690"/>
      <c r="BR58" s="690"/>
      <c r="BS58" s="690"/>
      <c r="BT58" s="690"/>
      <c r="BU58" s="690"/>
      <c r="BV58" s="690"/>
      <c r="BW58" s="690"/>
      <c r="BX58" s="690"/>
      <c r="BY58" s="690"/>
      <c r="BZ58" s="690"/>
      <c r="CA58" s="690"/>
      <c r="CB58" s="690"/>
      <c r="CC58" s="690"/>
      <c r="CD58" s="690"/>
      <c r="CE58" s="690"/>
      <c r="CF58" s="690"/>
      <c r="CG58" s="690"/>
      <c r="CH58" s="690"/>
      <c r="CI58" s="690"/>
      <c r="CJ58" s="690"/>
      <c r="CK58" s="690"/>
      <c r="CL58" s="690"/>
      <c r="CM58" s="690"/>
      <c r="CN58" s="690"/>
      <c r="CO58" s="690"/>
      <c r="CP58" s="690"/>
      <c r="CQ58" s="690"/>
      <c r="CR58" s="690"/>
      <c r="CS58" s="690"/>
      <c r="CT58" s="690"/>
      <c r="CU58" s="690"/>
      <c r="CV58" s="690"/>
      <c r="CW58" s="690"/>
      <c r="CX58" s="690"/>
      <c r="CY58" s="690"/>
      <c r="CZ58" s="690"/>
      <c r="DA58" s="690"/>
      <c r="DB58" s="690"/>
      <c r="DC58" s="690"/>
      <c r="DD58" s="690"/>
      <c r="DE58" s="690"/>
      <c r="DF58" s="690"/>
      <c r="DG58" s="690"/>
      <c r="DH58" s="690"/>
      <c r="DI58" s="690"/>
      <c r="DJ58" s="690"/>
      <c r="DK58" s="690"/>
      <c r="DL58" s="690"/>
      <c r="DM58" s="690"/>
      <c r="DN58" s="690"/>
      <c r="DO58" s="690"/>
      <c r="DP58" s="690"/>
      <c r="DQ58" s="690"/>
      <c r="DR58" s="690"/>
      <c r="DS58" s="690"/>
      <c r="DT58" s="690"/>
      <c r="DU58" s="690"/>
      <c r="DV58" s="690"/>
      <c r="DW58" s="690"/>
      <c r="DX58" s="690"/>
      <c r="DY58" s="690"/>
      <c r="DZ58" s="690"/>
    </row>
    <row r="59" spans="1:130" x14ac:dyDescent="0.25">
      <c r="A59" s="691">
        <f t="shared" si="64"/>
        <v>0</v>
      </c>
      <c r="B59" s="691" t="str">
        <f t="shared" si="65"/>
        <v>G5</v>
      </c>
      <c r="C59" s="1814" t="s">
        <v>3</v>
      </c>
      <c r="D59" s="1814"/>
      <c r="E59" s="1814"/>
      <c r="F59" s="896">
        <f>+A55+A56+A57+A58+Tableau794524[[#This Row],[TOTAL]]+A60+A61+A62+A63</f>
        <v>21299</v>
      </c>
      <c r="G59" s="690"/>
      <c r="H59" s="690"/>
      <c r="I59" s="690"/>
      <c r="J59" s="690"/>
      <c r="K59" s="690"/>
      <c r="L59" s="690"/>
      <c r="M59" s="690"/>
      <c r="N59" s="690"/>
      <c r="O59" s="690"/>
      <c r="P59" s="690"/>
      <c r="Q59" s="690"/>
      <c r="R59" s="690"/>
      <c r="S59" s="690"/>
      <c r="T59" s="690"/>
      <c r="U59" s="690"/>
      <c r="V59" s="690"/>
      <c r="W59" s="690"/>
      <c r="X59" s="690"/>
      <c r="Y59" s="690"/>
      <c r="Z59" s="690"/>
      <c r="AA59" s="690"/>
      <c r="AB59" s="690"/>
      <c r="AC59" s="690"/>
      <c r="AD59" s="690"/>
      <c r="AE59" s="690"/>
      <c r="AF59" s="690"/>
      <c r="AG59" s="690"/>
      <c r="AH59" s="690"/>
      <c r="AI59" s="690"/>
      <c r="AJ59" s="690"/>
      <c r="AK59" s="690"/>
      <c r="AL59" s="690"/>
      <c r="AM59" s="690"/>
      <c r="AN59" s="690"/>
      <c r="AO59" s="690"/>
      <c r="AP59" s="690"/>
      <c r="AQ59" s="690"/>
      <c r="AR59" s="690"/>
      <c r="AS59" s="690"/>
      <c r="AT59" s="690"/>
      <c r="AU59" s="690"/>
      <c r="AV59" s="690"/>
      <c r="AW59" s="690"/>
      <c r="AX59" s="690"/>
      <c r="AY59" s="690"/>
      <c r="AZ59" s="690"/>
      <c r="BA59" s="690"/>
      <c r="BB59" s="690"/>
      <c r="BC59" s="690"/>
      <c r="BD59" s="690"/>
      <c r="BE59" s="690"/>
      <c r="BF59" s="690"/>
      <c r="BG59" s="690"/>
      <c r="BH59" s="690"/>
      <c r="BI59" s="690"/>
      <c r="BJ59" s="690"/>
      <c r="BK59" s="690"/>
      <c r="BL59" s="690"/>
      <c r="BM59" s="690"/>
      <c r="BN59" s="690"/>
      <c r="BO59" s="690"/>
      <c r="BP59" s="690"/>
      <c r="BQ59" s="690"/>
      <c r="BR59" s="690"/>
      <c r="BS59" s="690"/>
      <c r="BT59" s="690"/>
      <c r="BU59" s="690"/>
      <c r="BV59" s="690"/>
      <c r="BW59" s="690"/>
      <c r="BX59" s="690"/>
      <c r="BY59" s="690"/>
      <c r="BZ59" s="690"/>
      <c r="CA59" s="690"/>
      <c r="CB59" s="690"/>
      <c r="CC59" s="690"/>
      <c r="CD59" s="690"/>
      <c r="CE59" s="690"/>
      <c r="CF59" s="690"/>
      <c r="CG59" s="690"/>
      <c r="CH59" s="690"/>
      <c r="CI59" s="690"/>
      <c r="CJ59" s="690"/>
      <c r="CK59" s="690"/>
      <c r="CL59" s="690"/>
      <c r="CM59" s="690"/>
      <c r="CN59" s="690"/>
      <c r="CO59" s="690"/>
      <c r="CP59" s="690"/>
      <c r="CQ59" s="690"/>
      <c r="CR59" s="690"/>
      <c r="CS59" s="690"/>
      <c r="CT59" s="690"/>
      <c r="CU59" s="690"/>
      <c r="CV59" s="690"/>
      <c r="CW59" s="690"/>
      <c r="CX59" s="690"/>
      <c r="CY59" s="690"/>
      <c r="CZ59" s="690"/>
      <c r="DA59" s="690"/>
      <c r="DB59" s="690"/>
      <c r="DC59" s="690"/>
      <c r="DD59" s="690"/>
      <c r="DE59" s="690"/>
      <c r="DF59" s="690"/>
      <c r="DG59" s="690"/>
      <c r="DH59" s="690"/>
      <c r="DI59" s="690"/>
      <c r="DJ59" s="690"/>
      <c r="DK59" s="690"/>
      <c r="DL59" s="690"/>
      <c r="DM59" s="690"/>
      <c r="DN59" s="690"/>
      <c r="DO59" s="690"/>
      <c r="DP59" s="690"/>
      <c r="DQ59" s="690"/>
      <c r="DR59" s="690"/>
      <c r="DS59" s="690"/>
      <c r="DT59" s="690"/>
      <c r="DU59" s="690"/>
      <c r="DV59" s="690"/>
      <c r="DW59" s="690"/>
      <c r="DX59" s="690"/>
      <c r="DY59" s="690"/>
      <c r="DZ59" s="690"/>
    </row>
    <row r="60" spans="1:130" x14ac:dyDescent="0.25">
      <c r="A60" s="691">
        <f t="shared" si="64"/>
        <v>0</v>
      </c>
      <c r="B60" s="691" t="str">
        <f t="shared" si="65"/>
        <v>G6</v>
      </c>
      <c r="C60" s="690"/>
      <c r="D60" s="690"/>
      <c r="E60" s="690"/>
      <c r="F60" s="691"/>
      <c r="G60" s="690"/>
      <c r="H60" s="690"/>
      <c r="I60" s="690"/>
      <c r="J60" s="690"/>
      <c r="K60" s="690"/>
      <c r="L60" s="690"/>
      <c r="M60" s="690"/>
      <c r="N60" s="690"/>
      <c r="O60" s="690"/>
      <c r="P60" s="690"/>
      <c r="Q60" s="690"/>
      <c r="R60" s="690"/>
      <c r="S60" s="690"/>
      <c r="T60" s="690"/>
      <c r="U60" s="690"/>
      <c r="V60" s="690"/>
      <c r="W60" s="690"/>
      <c r="X60" s="690"/>
      <c r="Y60" s="690"/>
      <c r="Z60" s="690"/>
      <c r="AA60" s="690"/>
      <c r="AB60" s="690"/>
      <c r="AC60" s="690"/>
      <c r="AD60" s="690"/>
      <c r="AE60" s="690"/>
      <c r="AF60" s="690"/>
      <c r="AG60" s="690"/>
      <c r="AH60" s="690"/>
      <c r="AI60" s="690"/>
      <c r="AJ60" s="690"/>
      <c r="AK60" s="690"/>
      <c r="AL60" s="690"/>
      <c r="AM60" s="690"/>
      <c r="AN60" s="690"/>
      <c r="AO60" s="690"/>
      <c r="AP60" s="690"/>
      <c r="AQ60" s="690"/>
      <c r="AR60" s="690"/>
      <c r="AS60" s="690"/>
      <c r="AT60" s="690"/>
      <c r="AU60" s="690"/>
      <c r="AV60" s="690"/>
      <c r="AW60" s="690"/>
      <c r="AX60" s="690"/>
      <c r="AY60" s="690"/>
      <c r="AZ60" s="690"/>
      <c r="BA60" s="690"/>
      <c r="BB60" s="690"/>
      <c r="BC60" s="690"/>
      <c r="BD60" s="690"/>
      <c r="BE60" s="690"/>
      <c r="BF60" s="690"/>
      <c r="BG60" s="690"/>
      <c r="BH60" s="690"/>
      <c r="BI60" s="690"/>
      <c r="BJ60" s="690"/>
      <c r="BK60" s="690"/>
      <c r="BL60" s="690"/>
      <c r="BM60" s="690"/>
      <c r="BN60" s="690"/>
      <c r="BO60" s="690"/>
      <c r="BP60" s="690"/>
      <c r="BQ60" s="690"/>
      <c r="BR60" s="690"/>
      <c r="BS60" s="690"/>
      <c r="BT60" s="690"/>
      <c r="BU60" s="690"/>
      <c r="BV60" s="690"/>
      <c r="BW60" s="690"/>
      <c r="BX60" s="690"/>
      <c r="BY60" s="690"/>
      <c r="BZ60" s="690"/>
      <c r="CA60" s="690"/>
      <c r="CB60" s="690"/>
      <c r="CC60" s="690"/>
      <c r="CD60" s="690"/>
      <c r="CE60" s="690"/>
      <c r="CF60" s="690"/>
      <c r="CG60" s="690"/>
      <c r="CH60" s="690"/>
      <c r="CI60" s="690"/>
      <c r="CJ60" s="690"/>
      <c r="CK60" s="690"/>
      <c r="CL60" s="690"/>
      <c r="CM60" s="690"/>
      <c r="CN60" s="690"/>
      <c r="CO60" s="690"/>
      <c r="CP60" s="690"/>
      <c r="CQ60" s="690"/>
      <c r="CR60" s="690"/>
      <c r="CS60" s="690"/>
      <c r="CT60" s="690"/>
      <c r="CU60" s="690"/>
      <c r="CV60" s="690"/>
      <c r="CW60" s="690"/>
      <c r="CX60" s="690"/>
      <c r="CY60" s="690"/>
      <c r="CZ60" s="690"/>
      <c r="DA60" s="690"/>
      <c r="DB60" s="690"/>
      <c r="DC60" s="690"/>
      <c r="DD60" s="690"/>
      <c r="DE60" s="690"/>
      <c r="DF60" s="690"/>
      <c r="DG60" s="690"/>
      <c r="DH60" s="690"/>
      <c r="DI60" s="690"/>
      <c r="DJ60" s="690"/>
      <c r="DK60" s="690"/>
      <c r="DL60" s="690"/>
      <c r="DM60" s="690"/>
      <c r="DN60" s="690"/>
      <c r="DO60" s="690"/>
      <c r="DP60" s="690"/>
      <c r="DQ60" s="690"/>
      <c r="DR60" s="690"/>
      <c r="DS60" s="690"/>
      <c r="DT60" s="690"/>
      <c r="DU60" s="690"/>
      <c r="DV60" s="690"/>
      <c r="DW60" s="690"/>
      <c r="DX60" s="690"/>
      <c r="DY60" s="690"/>
      <c r="DZ60" s="690"/>
    </row>
    <row r="61" spans="1:130" ht="14.25" customHeight="1" x14ac:dyDescent="0.25">
      <c r="A61" s="691">
        <f t="shared" si="64"/>
        <v>0</v>
      </c>
      <c r="B61" s="691" t="str">
        <f t="shared" si="65"/>
        <v>G7</v>
      </c>
      <c r="C61" s="690"/>
      <c r="D61" s="690"/>
      <c r="E61" s="690"/>
      <c r="F61" s="691"/>
      <c r="G61" s="690"/>
      <c r="H61" s="690"/>
      <c r="I61" s="690"/>
      <c r="J61" s="690"/>
      <c r="K61" s="690"/>
      <c r="L61" s="690"/>
      <c r="M61" s="690"/>
      <c r="N61" s="690"/>
      <c r="O61" s="690"/>
      <c r="P61" s="690"/>
      <c r="Q61" s="690"/>
      <c r="R61" s="690"/>
      <c r="S61" s="690"/>
      <c r="T61" s="690"/>
      <c r="U61" s="690"/>
      <c r="V61" s="690"/>
      <c r="W61" s="690"/>
      <c r="X61" s="690"/>
      <c r="Y61" s="690"/>
      <c r="Z61" s="690"/>
      <c r="AA61" s="690"/>
      <c r="AB61" s="690"/>
      <c r="AC61" s="690"/>
      <c r="AD61" s="690"/>
      <c r="AE61" s="690"/>
      <c r="AF61" s="690"/>
      <c r="AG61" s="690"/>
      <c r="AH61" s="690"/>
      <c r="AI61" s="690"/>
      <c r="AJ61" s="690"/>
      <c r="AK61" s="690"/>
      <c r="AL61" s="690"/>
      <c r="AM61" s="690"/>
      <c r="AN61" s="690"/>
      <c r="AO61" s="690"/>
      <c r="AP61" s="690"/>
      <c r="AQ61" s="690"/>
      <c r="AR61" s="690"/>
      <c r="AS61" s="690"/>
      <c r="AT61" s="690"/>
      <c r="AU61" s="690"/>
      <c r="AV61" s="690"/>
      <c r="AW61" s="690"/>
      <c r="AX61" s="690"/>
      <c r="AY61" s="690"/>
      <c r="AZ61" s="690"/>
      <c r="BA61" s="690"/>
      <c r="BB61" s="690"/>
      <c r="BC61" s="690"/>
      <c r="BD61" s="690"/>
      <c r="BE61" s="690"/>
      <c r="BF61" s="690"/>
      <c r="BG61" s="690"/>
      <c r="BH61" s="690"/>
      <c r="BI61" s="690"/>
      <c r="BJ61" s="690"/>
      <c r="BK61" s="690"/>
      <c r="BL61" s="690"/>
      <c r="BM61" s="690"/>
      <c r="BN61" s="690"/>
      <c r="BO61" s="690"/>
      <c r="BP61" s="690"/>
      <c r="BQ61" s="690"/>
      <c r="BR61" s="690"/>
      <c r="BS61" s="690"/>
      <c r="BT61" s="690"/>
      <c r="BU61" s="690"/>
      <c r="BV61" s="690"/>
      <c r="BW61" s="690"/>
      <c r="BX61" s="690"/>
      <c r="BY61" s="690"/>
      <c r="BZ61" s="690"/>
      <c r="CA61" s="690"/>
      <c r="CB61" s="690"/>
      <c r="CC61" s="690"/>
      <c r="CD61" s="690"/>
      <c r="CE61" s="690"/>
      <c r="CF61" s="690"/>
      <c r="CG61" s="690"/>
      <c r="CH61" s="690"/>
      <c r="CI61" s="690"/>
      <c r="CJ61" s="690"/>
      <c r="CK61" s="690"/>
      <c r="CL61" s="690"/>
      <c r="CM61" s="690"/>
      <c r="CN61" s="690"/>
      <c r="CO61" s="690"/>
      <c r="CP61" s="690"/>
      <c r="CQ61" s="690"/>
      <c r="CR61" s="690"/>
      <c r="CS61" s="690"/>
      <c r="CT61" s="690"/>
      <c r="CU61" s="690"/>
      <c r="CV61" s="690"/>
      <c r="CW61" s="690"/>
      <c r="CX61" s="690"/>
      <c r="CY61" s="690"/>
      <c r="CZ61" s="690"/>
      <c r="DA61" s="690"/>
      <c r="DB61" s="690"/>
      <c r="DC61" s="690"/>
      <c r="DD61" s="690"/>
      <c r="DE61" s="690"/>
      <c r="DF61" s="690"/>
      <c r="DG61" s="690"/>
      <c r="DH61" s="690"/>
      <c r="DI61" s="690"/>
      <c r="DJ61" s="690"/>
      <c r="DK61" s="690"/>
      <c r="DL61" s="690"/>
      <c r="DM61" s="690"/>
      <c r="DN61" s="690"/>
      <c r="DO61" s="690"/>
      <c r="DP61" s="690"/>
      <c r="DQ61" s="690"/>
      <c r="DR61" s="690"/>
      <c r="DS61" s="690"/>
      <c r="DT61" s="690"/>
      <c r="DU61" s="690"/>
      <c r="DV61" s="690"/>
      <c r="DW61" s="690"/>
      <c r="DX61" s="690"/>
      <c r="DY61" s="690"/>
      <c r="DZ61" s="690"/>
    </row>
    <row r="62" spans="1:130" x14ac:dyDescent="0.25">
      <c r="A62" s="702">
        <f t="shared" si="64"/>
        <v>0</v>
      </c>
      <c r="B62" s="702" t="str">
        <f>B17</f>
        <v>G8</v>
      </c>
      <c r="C62" s="1814" t="s">
        <v>1</v>
      </c>
      <c r="D62" s="1814"/>
      <c r="E62" s="1814"/>
      <c r="F62" s="896">
        <f>+A64+A65</f>
        <v>0</v>
      </c>
      <c r="G62" s="690"/>
      <c r="H62" s="690"/>
      <c r="I62" s="690"/>
      <c r="J62" s="690"/>
      <c r="K62" s="690"/>
      <c r="L62" s="690"/>
      <c r="M62" s="690"/>
      <c r="N62" s="690"/>
      <c r="O62" s="690"/>
      <c r="P62" s="690"/>
      <c r="Q62" s="690"/>
      <c r="R62" s="690"/>
      <c r="S62" s="690"/>
      <c r="T62" s="690"/>
      <c r="U62" s="690"/>
      <c r="V62" s="690"/>
      <c r="W62" s="690"/>
      <c r="X62" s="690"/>
      <c r="Y62" s="690"/>
      <c r="Z62" s="690"/>
      <c r="AA62" s="690"/>
      <c r="AB62" s="690"/>
      <c r="AC62" s="690"/>
      <c r="AD62" s="690"/>
      <c r="AE62" s="690"/>
      <c r="AF62" s="690"/>
      <c r="AG62" s="690"/>
      <c r="AH62" s="690"/>
      <c r="AI62" s="690"/>
      <c r="AJ62" s="690"/>
      <c r="AK62" s="690"/>
      <c r="AL62" s="690"/>
      <c r="AM62" s="690"/>
      <c r="AN62" s="690"/>
      <c r="AO62" s="690"/>
      <c r="AP62" s="690"/>
      <c r="AQ62" s="690"/>
      <c r="AR62" s="690"/>
      <c r="AS62" s="690"/>
      <c r="AT62" s="690"/>
      <c r="AU62" s="690"/>
      <c r="AV62" s="690"/>
      <c r="AW62" s="690"/>
      <c r="AX62" s="690"/>
      <c r="AY62" s="690"/>
      <c r="AZ62" s="690"/>
      <c r="BA62" s="690"/>
      <c r="BB62" s="690"/>
      <c r="BC62" s="690"/>
      <c r="BD62" s="690"/>
      <c r="BE62" s="690"/>
      <c r="BF62" s="690"/>
      <c r="BG62" s="690"/>
      <c r="BH62" s="690"/>
      <c r="BI62" s="690"/>
      <c r="BJ62" s="690"/>
      <c r="BK62" s="690"/>
      <c r="BL62" s="690"/>
      <c r="BM62" s="690"/>
      <c r="BN62" s="690"/>
      <c r="BO62" s="690"/>
      <c r="BP62" s="690"/>
      <c r="BQ62" s="690"/>
      <c r="BR62" s="690"/>
      <c r="BS62" s="690"/>
      <c r="BT62" s="690"/>
      <c r="BU62" s="690"/>
      <c r="BV62" s="690"/>
      <c r="BW62" s="690"/>
      <c r="BX62" s="690"/>
      <c r="BY62" s="690"/>
      <c r="BZ62" s="690"/>
      <c r="CA62" s="690"/>
      <c r="CB62" s="690"/>
      <c r="CC62" s="690"/>
      <c r="CD62" s="690"/>
      <c r="CE62" s="690"/>
      <c r="CF62" s="690"/>
      <c r="CG62" s="690"/>
      <c r="CH62" s="690"/>
      <c r="CI62" s="690"/>
      <c r="CJ62" s="690"/>
      <c r="CK62" s="690"/>
      <c r="CL62" s="690"/>
      <c r="CM62" s="690"/>
      <c r="CN62" s="690"/>
      <c r="CO62" s="690"/>
      <c r="CP62" s="690"/>
      <c r="CQ62" s="690"/>
      <c r="CR62" s="690"/>
      <c r="CS62" s="690"/>
      <c r="CT62" s="690"/>
      <c r="CU62" s="690"/>
      <c r="CV62" s="690"/>
      <c r="CW62" s="690"/>
      <c r="CX62" s="690"/>
      <c r="CY62" s="690"/>
      <c r="CZ62" s="690"/>
      <c r="DA62" s="690"/>
      <c r="DB62" s="690"/>
      <c r="DC62" s="690"/>
      <c r="DD62" s="690"/>
      <c r="DE62" s="690"/>
      <c r="DF62" s="690"/>
      <c r="DG62" s="690"/>
      <c r="DH62" s="690"/>
      <c r="DI62" s="690"/>
      <c r="DJ62" s="690"/>
      <c r="DK62" s="690"/>
      <c r="DL62" s="690"/>
      <c r="DM62" s="690"/>
      <c r="DN62" s="690"/>
      <c r="DO62" s="690"/>
      <c r="DP62" s="690"/>
      <c r="DQ62" s="690"/>
      <c r="DR62" s="690"/>
      <c r="DS62" s="690"/>
      <c r="DT62" s="690"/>
      <c r="DU62" s="690"/>
      <c r="DV62" s="690"/>
      <c r="DW62" s="690"/>
      <c r="DX62" s="690"/>
      <c r="DY62" s="690"/>
      <c r="DZ62" s="690"/>
    </row>
    <row r="63" spans="1:130" x14ac:dyDescent="0.25">
      <c r="A63" s="702">
        <f t="shared" si="64"/>
        <v>0</v>
      </c>
      <c r="B63" s="702" t="str">
        <f>B18</f>
        <v>G9</v>
      </c>
      <c r="C63" s="690"/>
      <c r="D63" s="690"/>
      <c r="E63" s="690"/>
      <c r="F63" s="690"/>
      <c r="G63" s="690"/>
      <c r="H63" s="690"/>
      <c r="I63" s="690"/>
      <c r="J63" s="690"/>
      <c r="K63" s="690"/>
      <c r="L63" s="690"/>
      <c r="M63" s="690"/>
      <c r="N63" s="690"/>
      <c r="O63" s="690"/>
      <c r="P63" s="690"/>
      <c r="Q63" s="690"/>
      <c r="R63" s="690"/>
      <c r="S63" s="690"/>
      <c r="T63" s="690"/>
      <c r="U63" s="690"/>
      <c r="V63" s="690"/>
      <c r="W63" s="690"/>
      <c r="X63" s="690"/>
      <c r="Y63" s="690"/>
      <c r="Z63" s="690"/>
      <c r="AA63" s="690"/>
      <c r="AB63" s="690"/>
      <c r="AC63" s="690"/>
      <c r="AD63" s="690"/>
      <c r="AE63" s="690"/>
      <c r="AF63" s="690"/>
      <c r="AG63" s="690"/>
      <c r="AH63" s="690"/>
      <c r="AI63" s="690"/>
      <c r="AJ63" s="690"/>
      <c r="AK63" s="690"/>
      <c r="AL63" s="690"/>
      <c r="AM63" s="690"/>
      <c r="AN63" s="690"/>
      <c r="AO63" s="690"/>
      <c r="AP63" s="690"/>
      <c r="AQ63" s="690"/>
      <c r="AR63" s="690"/>
      <c r="AS63" s="690"/>
      <c r="AT63" s="690"/>
      <c r="AU63" s="690"/>
      <c r="AV63" s="690"/>
      <c r="AW63" s="690"/>
      <c r="AX63" s="690"/>
      <c r="AY63" s="690"/>
      <c r="AZ63" s="690"/>
      <c r="BA63" s="690"/>
      <c r="BB63" s="690"/>
      <c r="BC63" s="690"/>
      <c r="BD63" s="690"/>
      <c r="BE63" s="690"/>
      <c r="BF63" s="690"/>
      <c r="BG63" s="690"/>
      <c r="BH63" s="690"/>
      <c r="BI63" s="690"/>
      <c r="BJ63" s="690"/>
      <c r="BK63" s="690"/>
      <c r="BL63" s="690"/>
      <c r="BM63" s="690"/>
      <c r="BN63" s="690"/>
      <c r="BO63" s="690"/>
      <c r="BP63" s="690"/>
      <c r="BQ63" s="690"/>
      <c r="BR63" s="690"/>
      <c r="BS63" s="690"/>
      <c r="BT63" s="690"/>
      <c r="BU63" s="690"/>
      <c r="BV63" s="690"/>
      <c r="BW63" s="690"/>
      <c r="BX63" s="690"/>
      <c r="BY63" s="690"/>
      <c r="BZ63" s="690"/>
      <c r="CA63" s="690"/>
      <c r="CB63" s="690"/>
      <c r="CC63" s="690"/>
      <c r="CD63" s="690"/>
      <c r="CE63" s="690"/>
      <c r="CF63" s="690"/>
      <c r="CG63" s="690"/>
      <c r="CH63" s="690"/>
      <c r="CI63" s="690"/>
      <c r="CJ63" s="690"/>
      <c r="CK63" s="690"/>
      <c r="CL63" s="690"/>
      <c r="CM63" s="690"/>
      <c r="CN63" s="690"/>
      <c r="CO63" s="690"/>
      <c r="CP63" s="690"/>
      <c r="CQ63" s="690"/>
      <c r="CR63" s="690"/>
      <c r="CS63" s="690"/>
      <c r="CT63" s="690"/>
      <c r="CU63" s="690"/>
      <c r="CV63" s="690"/>
      <c r="CW63" s="690"/>
      <c r="CX63" s="690"/>
      <c r="CY63" s="690"/>
      <c r="CZ63" s="690"/>
      <c r="DA63" s="690"/>
      <c r="DB63" s="690"/>
      <c r="DC63" s="690"/>
      <c r="DD63" s="690"/>
      <c r="DE63" s="690"/>
      <c r="DF63" s="690"/>
      <c r="DG63" s="690"/>
      <c r="DH63" s="690"/>
      <c r="DI63" s="690"/>
      <c r="DJ63" s="690"/>
      <c r="DK63" s="690"/>
      <c r="DL63" s="690"/>
      <c r="DM63" s="690"/>
      <c r="DN63" s="690"/>
      <c r="DO63" s="690"/>
      <c r="DP63" s="690"/>
      <c r="DQ63" s="690"/>
      <c r="DR63" s="690"/>
      <c r="DS63" s="690"/>
      <c r="DT63" s="690"/>
      <c r="DU63" s="690"/>
      <c r="DV63" s="690"/>
      <c r="DW63" s="690"/>
      <c r="DX63" s="690"/>
      <c r="DY63" s="690"/>
      <c r="DZ63" s="690"/>
    </row>
    <row r="64" spans="1:130" x14ac:dyDescent="0.25">
      <c r="A64" s="702">
        <f t="shared" si="64"/>
        <v>0</v>
      </c>
      <c r="B64" s="702" t="str">
        <f>B19</f>
        <v>P1</v>
      </c>
      <c r="C64" s="690"/>
      <c r="D64" s="1814" t="s">
        <v>346</v>
      </c>
      <c r="E64" s="1814"/>
      <c r="F64" s="1814"/>
      <c r="G64" s="690"/>
      <c r="H64" s="1814" t="s">
        <v>346</v>
      </c>
      <c r="I64" s="1814"/>
      <c r="J64" s="1814"/>
      <c r="K64" s="690"/>
      <c r="L64" s="1814" t="s">
        <v>346</v>
      </c>
      <c r="M64" s="1814"/>
      <c r="N64" s="1814"/>
      <c r="O64" s="690"/>
      <c r="P64" s="1814" t="s">
        <v>346</v>
      </c>
      <c r="Q64" s="1814"/>
      <c r="R64" s="1814"/>
      <c r="S64" s="690"/>
      <c r="T64" s="1814" t="s">
        <v>346</v>
      </c>
      <c r="U64" s="1814"/>
      <c r="V64" s="1814"/>
      <c r="W64" s="690"/>
      <c r="X64" s="1814" t="s">
        <v>346</v>
      </c>
      <c r="Y64" s="1814"/>
      <c r="Z64" s="1814"/>
      <c r="AA64" s="690"/>
      <c r="AB64" s="1814" t="s">
        <v>346</v>
      </c>
      <c r="AC64" s="1814"/>
      <c r="AD64" s="1814"/>
      <c r="AE64" s="690"/>
      <c r="AF64" s="1814" t="s">
        <v>346</v>
      </c>
      <c r="AG64" s="1814"/>
      <c r="AH64" s="1814"/>
      <c r="AI64" s="690"/>
      <c r="AJ64" s="1814" t="s">
        <v>346</v>
      </c>
      <c r="AK64" s="1814"/>
      <c r="AL64" s="1814"/>
      <c r="AM64" s="690"/>
      <c r="AN64" s="1814" t="s">
        <v>346</v>
      </c>
      <c r="AO64" s="1814"/>
      <c r="AP64" s="1814"/>
      <c r="AQ64" s="690"/>
      <c r="AR64" s="1814" t="s">
        <v>346</v>
      </c>
      <c r="AS64" s="1814"/>
      <c r="AT64" s="1814"/>
      <c r="AU64" s="690"/>
      <c r="AV64" s="1814" t="s">
        <v>346</v>
      </c>
      <c r="AW64" s="1814"/>
      <c r="AX64" s="1814"/>
      <c r="AY64" s="690"/>
      <c r="AZ64" s="896" t="s">
        <v>347</v>
      </c>
      <c r="BA64" s="896"/>
      <c r="BB64" s="896"/>
      <c r="BC64" s="690"/>
      <c r="BD64" s="896" t="s">
        <v>347</v>
      </c>
      <c r="BE64" s="896"/>
      <c r="BF64" s="896"/>
      <c r="BG64" s="690"/>
      <c r="BH64" s="896" t="s">
        <v>347</v>
      </c>
      <c r="BI64" s="896"/>
      <c r="BJ64" s="896"/>
      <c r="BK64" s="690"/>
      <c r="BL64" s="896" t="s">
        <v>347</v>
      </c>
      <c r="BM64" s="896"/>
      <c r="BN64" s="896"/>
      <c r="BO64" s="690"/>
      <c r="BP64" s="896" t="s">
        <v>347</v>
      </c>
      <c r="BQ64" s="896"/>
      <c r="BR64" s="896"/>
      <c r="BS64" s="690"/>
      <c r="BT64" s="896" t="s">
        <v>347</v>
      </c>
      <c r="BU64" s="896"/>
      <c r="BV64" s="896"/>
      <c r="BW64" s="690"/>
      <c r="BX64" s="896" t="s">
        <v>347</v>
      </c>
      <c r="BY64" s="896"/>
      <c r="BZ64" s="896"/>
      <c r="CA64" s="690"/>
      <c r="CB64" s="896" t="s">
        <v>347</v>
      </c>
      <c r="CC64" s="896"/>
      <c r="CD64" s="896"/>
      <c r="CE64" s="690"/>
      <c r="CF64" s="896" t="s">
        <v>347</v>
      </c>
      <c r="CG64" s="896"/>
      <c r="CH64" s="896"/>
      <c r="CI64" s="690"/>
      <c r="CJ64" s="896" t="s">
        <v>347</v>
      </c>
      <c r="CK64" s="896"/>
      <c r="CL64" s="896"/>
      <c r="CM64" s="690"/>
      <c r="CN64" s="1814" t="s">
        <v>346</v>
      </c>
      <c r="CO64" s="1814"/>
      <c r="CP64" s="1814"/>
      <c r="CQ64" s="690"/>
      <c r="CR64" s="1814" t="s">
        <v>346</v>
      </c>
      <c r="CS64" s="1814"/>
      <c r="CT64" s="1814"/>
      <c r="CU64" s="690"/>
      <c r="CV64" s="1814" t="s">
        <v>346</v>
      </c>
      <c r="CW64" s="1814"/>
      <c r="CX64" s="1814"/>
      <c r="CY64" s="690"/>
      <c r="CZ64" s="1814" t="s">
        <v>346</v>
      </c>
      <c r="DA64" s="1814"/>
      <c r="DB64" s="1814"/>
      <c r="DC64" s="690"/>
      <c r="DD64" s="1814" t="s">
        <v>346</v>
      </c>
      <c r="DE64" s="1814"/>
      <c r="DF64" s="1814"/>
      <c r="DG64" s="690"/>
      <c r="DH64" s="1814" t="s">
        <v>346</v>
      </c>
      <c r="DI64" s="1814"/>
      <c r="DJ64" s="1814"/>
      <c r="DK64" s="690"/>
      <c r="DL64" s="1814" t="s">
        <v>346</v>
      </c>
      <c r="DM64" s="1814"/>
      <c r="DN64" s="1814"/>
      <c r="DO64" s="690"/>
      <c r="DP64" s="1814" t="s">
        <v>346</v>
      </c>
      <c r="DQ64" s="1814"/>
      <c r="DR64" s="1814"/>
      <c r="DS64" s="690"/>
      <c r="DT64" s="1814" t="s">
        <v>346</v>
      </c>
      <c r="DU64" s="1814"/>
      <c r="DV64" s="1814"/>
      <c r="DW64" s="690"/>
      <c r="DX64" s="1815" t="s">
        <v>348</v>
      </c>
      <c r="DY64" s="1815"/>
      <c r="DZ64" s="1815"/>
    </row>
    <row r="65" spans="1:130" x14ac:dyDescent="0.25">
      <c r="A65" s="702">
        <f t="shared" si="64"/>
        <v>0</v>
      </c>
      <c r="B65" s="702" t="str">
        <f>B20</f>
        <v>P2</v>
      </c>
      <c r="C65" s="690" t="s">
        <v>349</v>
      </c>
      <c r="D65" s="703" t="s">
        <v>350</v>
      </c>
      <c r="E65" s="690"/>
      <c r="F65" s="690">
        <f>+F10+F11</f>
        <v>1614</v>
      </c>
      <c r="G65" s="690"/>
      <c r="H65" s="703" t="s">
        <v>350</v>
      </c>
      <c r="I65" s="690"/>
      <c r="J65" s="690">
        <f>+J10+J11</f>
        <v>1910</v>
      </c>
      <c r="K65" s="690"/>
      <c r="L65" s="703" t="s">
        <v>350</v>
      </c>
      <c r="M65" s="690"/>
      <c r="N65" s="690">
        <f>+N10+N11</f>
        <v>2086</v>
      </c>
      <c r="O65" s="690"/>
      <c r="P65" s="703" t="s">
        <v>350</v>
      </c>
      <c r="Q65" s="690"/>
      <c r="R65" s="690">
        <f>+R10+R11</f>
        <v>1781</v>
      </c>
      <c r="S65" s="690"/>
      <c r="T65" s="703" t="s">
        <v>350</v>
      </c>
      <c r="U65" s="690"/>
      <c r="V65" s="690">
        <f>+V10+V11</f>
        <v>2230</v>
      </c>
      <c r="W65" s="690"/>
      <c r="X65" s="703" t="s">
        <v>350</v>
      </c>
      <c r="Y65" s="690"/>
      <c r="Z65" s="690">
        <f>+Z10+Z11</f>
        <v>2117</v>
      </c>
      <c r="AA65" s="690"/>
      <c r="AB65" s="703" t="s">
        <v>350</v>
      </c>
      <c r="AC65" s="690"/>
      <c r="AD65" s="690">
        <f>+AD10+AD11</f>
        <v>1965</v>
      </c>
      <c r="AE65" s="690"/>
      <c r="AF65" s="703" t="s">
        <v>350</v>
      </c>
      <c r="AG65" s="690"/>
      <c r="AH65" s="690">
        <f>+AH10+AH11</f>
        <v>2270</v>
      </c>
      <c r="AI65" s="690"/>
      <c r="AJ65" s="703" t="s">
        <v>350</v>
      </c>
      <c r="AK65" s="690"/>
      <c r="AL65" s="690">
        <f>+AL10+AL11</f>
        <v>0</v>
      </c>
      <c r="AM65" s="690"/>
      <c r="AN65" s="703" t="s">
        <v>350</v>
      </c>
      <c r="AO65" s="690"/>
      <c r="AP65" s="690">
        <f>+AP10+AP11</f>
        <v>0</v>
      </c>
      <c r="AQ65" s="690"/>
      <c r="AR65" s="703" t="s">
        <v>350</v>
      </c>
      <c r="AS65" s="690"/>
      <c r="AT65" s="690">
        <f>+AT10+AT11</f>
        <v>0</v>
      </c>
      <c r="AU65" s="690"/>
      <c r="AV65" s="703" t="s">
        <v>350</v>
      </c>
      <c r="AW65" s="690"/>
      <c r="AX65" s="690">
        <f>+AX10+AX11</f>
        <v>0</v>
      </c>
      <c r="AY65" s="690"/>
      <c r="AZ65" s="703" t="s">
        <v>350</v>
      </c>
      <c r="BA65" s="690"/>
      <c r="BB65" s="690">
        <f>+BB10+BB11</f>
        <v>0</v>
      </c>
      <c r="BC65" s="690"/>
      <c r="BD65" s="703" t="s">
        <v>350</v>
      </c>
      <c r="BE65" s="690"/>
      <c r="BF65" s="690">
        <f>+BF10+BF11</f>
        <v>0</v>
      </c>
      <c r="BG65" s="690"/>
      <c r="BH65" s="703" t="s">
        <v>350</v>
      </c>
      <c r="BI65" s="690"/>
      <c r="BJ65" s="690">
        <f>+BJ10+BJ11</f>
        <v>0</v>
      </c>
      <c r="BK65" s="690"/>
      <c r="BL65" s="703" t="s">
        <v>350</v>
      </c>
      <c r="BM65" s="690"/>
      <c r="BN65" s="690">
        <f>+BN10+BN11</f>
        <v>0</v>
      </c>
      <c r="BO65" s="690"/>
      <c r="BP65" s="703" t="s">
        <v>350</v>
      </c>
      <c r="BQ65" s="690"/>
      <c r="BR65" s="690">
        <f>+BR10+BR11</f>
        <v>0</v>
      </c>
      <c r="BS65" s="690"/>
      <c r="BT65" s="703" t="s">
        <v>350</v>
      </c>
      <c r="BU65" s="690"/>
      <c r="BV65" s="690">
        <f>+BV10+BV11</f>
        <v>0</v>
      </c>
      <c r="BW65" s="690"/>
      <c r="BX65" s="703" t="s">
        <v>350</v>
      </c>
      <c r="BY65" s="690"/>
      <c r="BZ65" s="690">
        <f>+BZ10+BZ11</f>
        <v>0</v>
      </c>
      <c r="CA65" s="690"/>
      <c r="CB65" s="703" t="s">
        <v>350</v>
      </c>
      <c r="CC65" s="690"/>
      <c r="CD65" s="690">
        <f>+CD10+CD11</f>
        <v>0</v>
      </c>
      <c r="CE65" s="690"/>
      <c r="CF65" s="703" t="s">
        <v>350</v>
      </c>
      <c r="CG65" s="690"/>
      <c r="CH65" s="690">
        <f>+CH10+CH11</f>
        <v>0</v>
      </c>
      <c r="CI65" s="690"/>
      <c r="CJ65" s="703" t="s">
        <v>350</v>
      </c>
      <c r="CK65" s="690"/>
      <c r="CL65" s="690">
        <f>+CL10+CL11</f>
        <v>0</v>
      </c>
      <c r="CM65" s="690"/>
      <c r="CN65" s="703" t="s">
        <v>350</v>
      </c>
      <c r="CO65" s="690"/>
      <c r="CP65" s="690">
        <f>+CP10+CP11</f>
        <v>0</v>
      </c>
      <c r="CQ65" s="690"/>
      <c r="CR65" s="703" t="s">
        <v>350</v>
      </c>
      <c r="CS65" s="690"/>
      <c r="CT65" s="690">
        <f>+CT10+CT11</f>
        <v>0</v>
      </c>
      <c r="CU65" s="690"/>
      <c r="CV65" s="703" t="s">
        <v>350</v>
      </c>
      <c r="CW65" s="690"/>
      <c r="CX65" s="690">
        <f>+CX10+CX11</f>
        <v>0</v>
      </c>
      <c r="CY65" s="690"/>
      <c r="CZ65" s="703" t="s">
        <v>350</v>
      </c>
      <c r="DA65" s="690"/>
      <c r="DB65" s="690">
        <f>+DB10+DB11</f>
        <v>0</v>
      </c>
      <c r="DC65" s="690"/>
      <c r="DD65" s="703" t="s">
        <v>350</v>
      </c>
      <c r="DE65" s="690"/>
      <c r="DF65" s="690">
        <f>+DF10+DF11</f>
        <v>0</v>
      </c>
      <c r="DG65" s="690"/>
      <c r="DH65" s="703" t="s">
        <v>350</v>
      </c>
      <c r="DI65" s="690"/>
      <c r="DJ65" s="690">
        <f>+DJ10+DJ11</f>
        <v>0</v>
      </c>
      <c r="DK65" s="690"/>
      <c r="DL65" s="703" t="s">
        <v>350</v>
      </c>
      <c r="DM65" s="690"/>
      <c r="DN65" s="690">
        <f>+DN10+DN11</f>
        <v>0</v>
      </c>
      <c r="DO65" s="690"/>
      <c r="DP65" s="703" t="s">
        <v>350</v>
      </c>
      <c r="DQ65" s="690"/>
      <c r="DR65" s="690">
        <f>+DR10+DR11</f>
        <v>0</v>
      </c>
      <c r="DS65" s="690"/>
      <c r="DT65" s="703" t="s">
        <v>350</v>
      </c>
      <c r="DU65" s="690"/>
      <c r="DV65" s="690">
        <f>+DV10+DV11</f>
        <v>0</v>
      </c>
      <c r="DW65" s="690"/>
      <c r="DX65" s="703" t="s">
        <v>350</v>
      </c>
      <c r="DY65" s="690"/>
      <c r="DZ65" s="690">
        <f>+DZ10+DZ11</f>
        <v>-934900</v>
      </c>
    </row>
    <row r="66" spans="1:130" x14ac:dyDescent="0.25">
      <c r="A66" s="690"/>
      <c r="B66" s="690"/>
      <c r="C66" s="690" t="s">
        <v>351</v>
      </c>
      <c r="D66" s="703" t="s">
        <v>352</v>
      </c>
      <c r="E66" s="690"/>
      <c r="F66" s="690">
        <f>+F4+F5+F12+F13</f>
        <v>2506</v>
      </c>
      <c r="G66" s="690"/>
      <c r="H66" s="703" t="s">
        <v>352</v>
      </c>
      <c r="I66" s="690"/>
      <c r="J66" s="690">
        <f>+J4+J5+J12+J13</f>
        <v>2108</v>
      </c>
      <c r="K66" s="690"/>
      <c r="L66" s="703" t="s">
        <v>352</v>
      </c>
      <c r="M66" s="690"/>
      <c r="N66" s="690">
        <f>+N4+N5+N12+N13</f>
        <v>2264</v>
      </c>
      <c r="O66" s="690"/>
      <c r="P66" s="703" t="s">
        <v>352</v>
      </c>
      <c r="Q66" s="690"/>
      <c r="R66" s="690">
        <f>+R4+R5+R12+R13</f>
        <v>2065</v>
      </c>
      <c r="S66" s="690"/>
      <c r="T66" s="703" t="s">
        <v>352</v>
      </c>
      <c r="U66" s="690"/>
      <c r="V66" s="690">
        <f>+V4+V5+V12+V13</f>
        <v>2433</v>
      </c>
      <c r="W66" s="690"/>
      <c r="X66" s="703" t="s">
        <v>352</v>
      </c>
      <c r="Y66" s="690"/>
      <c r="Z66" s="690">
        <f>+Z4+Z5+Z12+Z13</f>
        <v>3472</v>
      </c>
      <c r="AA66" s="690"/>
      <c r="AB66" s="703" t="s">
        <v>352</v>
      </c>
      <c r="AC66" s="690"/>
      <c r="AD66" s="690">
        <f>+AD4+AD5+AD12+AD13</f>
        <v>3902</v>
      </c>
      <c r="AE66" s="690"/>
      <c r="AF66" s="703" t="s">
        <v>352</v>
      </c>
      <c r="AG66" s="690"/>
      <c r="AH66" s="690">
        <f>+AH4+AH5+AH12+AH13</f>
        <v>1749</v>
      </c>
      <c r="AI66" s="690"/>
      <c r="AJ66" s="703" t="s">
        <v>352</v>
      </c>
      <c r="AK66" s="690"/>
      <c r="AL66" s="690">
        <f>+AL4+AL5+AL12+AL13</f>
        <v>0</v>
      </c>
      <c r="AM66" s="690"/>
      <c r="AN66" s="703" t="s">
        <v>352</v>
      </c>
      <c r="AO66" s="690"/>
      <c r="AP66" s="690">
        <f>+AP4+AP5+AP12+AP13</f>
        <v>0</v>
      </c>
      <c r="AQ66" s="690"/>
      <c r="AR66" s="703" t="s">
        <v>352</v>
      </c>
      <c r="AS66" s="690"/>
      <c r="AT66" s="690">
        <f>+AT4+AT5+AT12+AT13</f>
        <v>0</v>
      </c>
      <c r="AU66" s="690"/>
      <c r="AV66" s="703" t="s">
        <v>352</v>
      </c>
      <c r="AW66" s="690"/>
      <c r="AX66" s="690">
        <f>+AX4+AX5+AX12+AX13</f>
        <v>0</v>
      </c>
      <c r="AY66" s="690"/>
      <c r="AZ66" s="703" t="s">
        <v>352</v>
      </c>
      <c r="BA66" s="690"/>
      <c r="BB66" s="690">
        <f>+BB4+BB5+BB12+BB13</f>
        <v>0</v>
      </c>
      <c r="BC66" s="690"/>
      <c r="BD66" s="703" t="s">
        <v>352</v>
      </c>
      <c r="BE66" s="690"/>
      <c r="BF66" s="690">
        <f>+BF4+BF5+BF12+BF13</f>
        <v>0</v>
      </c>
      <c r="BG66" s="690"/>
      <c r="BH66" s="703" t="s">
        <v>352</v>
      </c>
      <c r="BI66" s="690"/>
      <c r="BJ66" s="690">
        <f>+BJ4+BJ5+BJ12+BJ13</f>
        <v>0</v>
      </c>
      <c r="BK66" s="690"/>
      <c r="BL66" s="703" t="s">
        <v>352</v>
      </c>
      <c r="BM66" s="690"/>
      <c r="BN66" s="690">
        <f>+BN4+BN5+BN12+BN13</f>
        <v>0</v>
      </c>
      <c r="BO66" s="690"/>
      <c r="BP66" s="703" t="s">
        <v>352</v>
      </c>
      <c r="BQ66" s="690"/>
      <c r="BR66" s="690">
        <f>+BR4+BR5+BR12+BR13</f>
        <v>0</v>
      </c>
      <c r="BS66" s="690"/>
      <c r="BT66" s="703" t="s">
        <v>352</v>
      </c>
      <c r="BU66" s="690"/>
      <c r="BV66" s="690">
        <f>+BV4+BV5+BV12+BV13</f>
        <v>0</v>
      </c>
      <c r="BW66" s="690"/>
      <c r="BX66" s="703" t="s">
        <v>352</v>
      </c>
      <c r="BY66" s="690"/>
      <c r="BZ66" s="690">
        <f>+BZ4+BZ5+BZ12+BZ13</f>
        <v>0</v>
      </c>
      <c r="CA66" s="690"/>
      <c r="CB66" s="703" t="s">
        <v>352</v>
      </c>
      <c r="CC66" s="690"/>
      <c r="CD66" s="690">
        <f>+CD4+CD5+CD12+CD13</f>
        <v>0</v>
      </c>
      <c r="CE66" s="690"/>
      <c r="CF66" s="703" t="s">
        <v>352</v>
      </c>
      <c r="CG66" s="690"/>
      <c r="CH66" s="690">
        <f>+CH4+CH5+CH12+CH13</f>
        <v>0</v>
      </c>
      <c r="CI66" s="690"/>
      <c r="CJ66" s="703" t="s">
        <v>352</v>
      </c>
      <c r="CK66" s="690"/>
      <c r="CL66" s="690">
        <f>+CL4+CL5+CL12+CL13</f>
        <v>0</v>
      </c>
      <c r="CM66" s="690"/>
      <c r="CN66" s="703" t="s">
        <v>352</v>
      </c>
      <c r="CO66" s="690"/>
      <c r="CP66" s="690">
        <f>+CP4+CP5+CP12+CP13</f>
        <v>0</v>
      </c>
      <c r="CQ66" s="690"/>
      <c r="CR66" s="703" t="s">
        <v>352</v>
      </c>
      <c r="CS66" s="690"/>
      <c r="CT66" s="690">
        <f>+CT4+CT5+CT12+CT13</f>
        <v>0</v>
      </c>
      <c r="CU66" s="690"/>
      <c r="CV66" s="703" t="s">
        <v>352</v>
      </c>
      <c r="CW66" s="690"/>
      <c r="CX66" s="690">
        <f>+CX4+CX5+CX12+CX13</f>
        <v>0</v>
      </c>
      <c r="CY66" s="690"/>
      <c r="CZ66" s="703" t="s">
        <v>352</v>
      </c>
      <c r="DA66" s="690"/>
      <c r="DB66" s="690">
        <f>+DB4+DB5+DB12+DB13</f>
        <v>0</v>
      </c>
      <c r="DC66" s="690"/>
      <c r="DD66" s="703" t="s">
        <v>352</v>
      </c>
      <c r="DE66" s="690"/>
      <c r="DF66" s="690">
        <f>+DF4+DF5+DF12+DF13</f>
        <v>0</v>
      </c>
      <c r="DG66" s="690"/>
      <c r="DH66" s="703" t="s">
        <v>352</v>
      </c>
      <c r="DI66" s="690"/>
      <c r="DJ66" s="690">
        <f>+DJ4+DJ5+DJ12+DJ13</f>
        <v>0</v>
      </c>
      <c r="DK66" s="690"/>
      <c r="DL66" s="703" t="s">
        <v>352</v>
      </c>
      <c r="DM66" s="690"/>
      <c r="DN66" s="690">
        <f>+DN4+DN5+DN12+DN13</f>
        <v>0</v>
      </c>
      <c r="DO66" s="690"/>
      <c r="DP66" s="703" t="s">
        <v>352</v>
      </c>
      <c r="DQ66" s="690"/>
      <c r="DR66" s="690">
        <f>+DR4+DR5+DR12+DR13</f>
        <v>0</v>
      </c>
      <c r="DS66" s="690"/>
      <c r="DT66" s="703" t="s">
        <v>352</v>
      </c>
      <c r="DU66" s="690"/>
      <c r="DV66" s="690">
        <f>+DV4+DV5+DV12+DV13</f>
        <v>0</v>
      </c>
      <c r="DW66" s="690"/>
      <c r="DX66" s="703" t="s">
        <v>352</v>
      </c>
      <c r="DY66" s="690"/>
      <c r="DZ66" s="690">
        <f>+DZ4+DZ5+DZ12+DZ13</f>
        <v>-1875598</v>
      </c>
    </row>
    <row r="67" spans="1:130" x14ac:dyDescent="0.25">
      <c r="A67" s="690"/>
      <c r="B67" s="690"/>
      <c r="C67" s="690" t="s">
        <v>351</v>
      </c>
      <c r="D67" s="703" t="s">
        <v>353</v>
      </c>
      <c r="E67" s="690"/>
      <c r="F67" s="690">
        <f>+F6+F7+F14+F15</f>
        <v>967</v>
      </c>
      <c r="G67" s="690"/>
      <c r="H67" s="703" t="s">
        <v>353</v>
      </c>
      <c r="I67" s="690"/>
      <c r="J67" s="690">
        <f>+J6+J7+J14+J15</f>
        <v>732</v>
      </c>
      <c r="K67" s="690"/>
      <c r="L67" s="703" t="s">
        <v>353</v>
      </c>
      <c r="M67" s="690"/>
      <c r="N67" s="690">
        <f>+N6+N7+N14+N15</f>
        <v>843</v>
      </c>
      <c r="O67" s="690"/>
      <c r="P67" s="703" t="s">
        <v>353</v>
      </c>
      <c r="Q67" s="690"/>
      <c r="R67" s="690">
        <f>+R6+R7+R14+R15</f>
        <v>802</v>
      </c>
      <c r="S67" s="690"/>
      <c r="T67" s="703" t="s">
        <v>353</v>
      </c>
      <c r="U67" s="690"/>
      <c r="V67" s="690">
        <f>+V6+V7+V14+V15</f>
        <v>1009</v>
      </c>
      <c r="W67" s="690"/>
      <c r="X67" s="703" t="s">
        <v>353</v>
      </c>
      <c r="Y67" s="690"/>
      <c r="Z67" s="690">
        <f>+Z6+Z7+Z14+Z15</f>
        <v>2158</v>
      </c>
      <c r="AA67" s="690"/>
      <c r="AB67" s="703" t="s">
        <v>353</v>
      </c>
      <c r="AC67" s="690"/>
      <c r="AD67" s="690">
        <f>+AD6+AD7+AD14+AD15</f>
        <v>2148</v>
      </c>
      <c r="AE67" s="690"/>
      <c r="AF67" s="703" t="s">
        <v>353</v>
      </c>
      <c r="AG67" s="690"/>
      <c r="AH67" s="690">
        <f>+AH6+AH7+AH14+AH15</f>
        <v>802</v>
      </c>
      <c r="AI67" s="690"/>
      <c r="AJ67" s="703" t="s">
        <v>353</v>
      </c>
      <c r="AK67" s="690"/>
      <c r="AL67" s="690">
        <f>+AL6+AL7+AL14+AL15</f>
        <v>-40253</v>
      </c>
      <c r="AM67" s="690"/>
      <c r="AN67" s="703" t="s">
        <v>353</v>
      </c>
      <c r="AO67" s="690"/>
      <c r="AP67" s="690">
        <f>+AP6+AP7+AP14+AP15</f>
        <v>0</v>
      </c>
      <c r="AQ67" s="690"/>
      <c r="AR67" s="703" t="s">
        <v>353</v>
      </c>
      <c r="AS67" s="690"/>
      <c r="AT67" s="690">
        <f>+AT6+AT7+AT14+AT15</f>
        <v>40253</v>
      </c>
      <c r="AU67" s="690"/>
      <c r="AV67" s="703" t="s">
        <v>353</v>
      </c>
      <c r="AW67" s="690"/>
      <c r="AX67" s="690">
        <f>+AX6+AX7+AX14+AX15</f>
        <v>0</v>
      </c>
      <c r="AY67" s="690"/>
      <c r="AZ67" s="703" t="s">
        <v>353</v>
      </c>
      <c r="BA67" s="690"/>
      <c r="BB67" s="690">
        <f>+BB6+BB7+BB14+BB15</f>
        <v>0</v>
      </c>
      <c r="BC67" s="690"/>
      <c r="BD67" s="703" t="s">
        <v>353</v>
      </c>
      <c r="BE67" s="690"/>
      <c r="BF67" s="690">
        <f>+BF6+BF7+BF14+BF15</f>
        <v>0</v>
      </c>
      <c r="BG67" s="690"/>
      <c r="BH67" s="703" t="s">
        <v>353</v>
      </c>
      <c r="BI67" s="690"/>
      <c r="BJ67" s="690">
        <f>+BJ6+BJ7+BJ14+BJ15</f>
        <v>0</v>
      </c>
      <c r="BK67" s="690"/>
      <c r="BL67" s="703" t="s">
        <v>353</v>
      </c>
      <c r="BM67" s="690"/>
      <c r="BN67" s="690">
        <f>+BN6+BN7+BN14+BN15</f>
        <v>0</v>
      </c>
      <c r="BO67" s="690"/>
      <c r="BP67" s="703" t="s">
        <v>353</v>
      </c>
      <c r="BQ67" s="690"/>
      <c r="BR67" s="690">
        <f>+BR6+BR7+BR14+BR15</f>
        <v>0</v>
      </c>
      <c r="BS67" s="690"/>
      <c r="BT67" s="703" t="s">
        <v>353</v>
      </c>
      <c r="BU67" s="690"/>
      <c r="BV67" s="690">
        <f>+BV6+BV7+BV14+BV15</f>
        <v>0</v>
      </c>
      <c r="BW67" s="690"/>
      <c r="BX67" s="703" t="s">
        <v>353</v>
      </c>
      <c r="BY67" s="690"/>
      <c r="BZ67" s="690">
        <f>+BZ6+BZ7+BZ14+BZ15</f>
        <v>0</v>
      </c>
      <c r="CA67" s="690"/>
      <c r="CB67" s="703" t="s">
        <v>353</v>
      </c>
      <c r="CC67" s="690"/>
      <c r="CD67" s="690">
        <f>+CD6+CD7+CD14+CD15</f>
        <v>0</v>
      </c>
      <c r="CE67" s="690"/>
      <c r="CF67" s="703" t="s">
        <v>353</v>
      </c>
      <c r="CG67" s="690"/>
      <c r="CH67" s="690">
        <f>+CH6+CH7+CH14+CH15</f>
        <v>0</v>
      </c>
      <c r="CI67" s="690"/>
      <c r="CJ67" s="703" t="s">
        <v>353</v>
      </c>
      <c r="CK67" s="690"/>
      <c r="CL67" s="690">
        <f>+CL6+CL7+CL14+CL15</f>
        <v>0</v>
      </c>
      <c r="CM67" s="690"/>
      <c r="CN67" s="703" t="s">
        <v>353</v>
      </c>
      <c r="CO67" s="690"/>
      <c r="CP67" s="690">
        <f>+CP6+CP7+CP14+CP15</f>
        <v>0</v>
      </c>
      <c r="CQ67" s="690"/>
      <c r="CR67" s="703" t="s">
        <v>353</v>
      </c>
      <c r="CS67" s="690"/>
      <c r="CT67" s="690">
        <f>+CT6+CT7+CT14+CT15</f>
        <v>0</v>
      </c>
      <c r="CU67" s="690"/>
      <c r="CV67" s="703" t="s">
        <v>353</v>
      </c>
      <c r="CW67" s="690"/>
      <c r="CX67" s="690">
        <f>+CX6+CX7+CX14+CX15</f>
        <v>0</v>
      </c>
      <c r="CY67" s="690"/>
      <c r="CZ67" s="703" t="s">
        <v>353</v>
      </c>
      <c r="DA67" s="690"/>
      <c r="DB67" s="690">
        <f>+DB6+DB7+DB14+DB15</f>
        <v>0</v>
      </c>
      <c r="DC67" s="690"/>
      <c r="DD67" s="703" t="s">
        <v>353</v>
      </c>
      <c r="DE67" s="690"/>
      <c r="DF67" s="690">
        <f>+DF6+DF7+DF14+DF15</f>
        <v>0</v>
      </c>
      <c r="DG67" s="690"/>
      <c r="DH67" s="703" t="s">
        <v>353</v>
      </c>
      <c r="DI67" s="690"/>
      <c r="DJ67" s="690">
        <f>+DJ6+DJ7+DJ14+DJ15</f>
        <v>0</v>
      </c>
      <c r="DK67" s="690"/>
      <c r="DL67" s="703" t="s">
        <v>353</v>
      </c>
      <c r="DM67" s="690"/>
      <c r="DN67" s="690">
        <f>+DN6+DN7+DN14+DN15</f>
        <v>0</v>
      </c>
      <c r="DO67" s="690"/>
      <c r="DP67" s="703" t="s">
        <v>353</v>
      </c>
      <c r="DQ67" s="690"/>
      <c r="DR67" s="690">
        <f>+DR6+DR7+DR14+DR15</f>
        <v>0</v>
      </c>
      <c r="DS67" s="690"/>
      <c r="DT67" s="703" t="s">
        <v>353</v>
      </c>
      <c r="DU67" s="690"/>
      <c r="DV67" s="690">
        <f>+DV6+DV7+DV14+DV15</f>
        <v>0</v>
      </c>
      <c r="DW67" s="690"/>
      <c r="DX67" s="703" t="s">
        <v>353</v>
      </c>
      <c r="DY67" s="690"/>
      <c r="DZ67" s="690">
        <f>+DZ6+DZ7+DZ14+DZ15</f>
        <v>-1063747</v>
      </c>
    </row>
    <row r="68" spans="1:130" x14ac:dyDescent="0.25">
      <c r="A68" s="690"/>
      <c r="B68" s="690"/>
      <c r="C68" s="690" t="s">
        <v>351</v>
      </c>
      <c r="D68" s="703" t="s">
        <v>354</v>
      </c>
      <c r="E68" s="690"/>
      <c r="F68" s="690">
        <f>+F8+F9+F16+F17</f>
        <v>0</v>
      </c>
      <c r="G68" s="690"/>
      <c r="H68" s="703" t="s">
        <v>354</v>
      </c>
      <c r="I68" s="690"/>
      <c r="J68" s="690">
        <f>+J8+J9+J16+J17</f>
        <v>0</v>
      </c>
      <c r="K68" s="690"/>
      <c r="L68" s="703" t="s">
        <v>354</v>
      </c>
      <c r="M68" s="690"/>
      <c r="N68" s="690">
        <f>+N8+N9+N16+N17</f>
        <v>0</v>
      </c>
      <c r="O68" s="690"/>
      <c r="P68" s="703" t="s">
        <v>354</v>
      </c>
      <c r="Q68" s="690"/>
      <c r="R68" s="690">
        <f>+R8+R9+R16+R17</f>
        <v>0</v>
      </c>
      <c r="S68" s="690"/>
      <c r="T68" s="703" t="s">
        <v>354</v>
      </c>
      <c r="U68" s="690"/>
      <c r="V68" s="690">
        <f>+V8+V9+V16+V17</f>
        <v>0</v>
      </c>
      <c r="W68" s="690"/>
      <c r="X68" s="703" t="s">
        <v>354</v>
      </c>
      <c r="Y68" s="690"/>
      <c r="Z68" s="690">
        <f>+Z8+Z9+Z16+Z17</f>
        <v>0</v>
      </c>
      <c r="AA68" s="690"/>
      <c r="AB68" s="703" t="s">
        <v>354</v>
      </c>
      <c r="AC68" s="690"/>
      <c r="AD68" s="690">
        <f>+AD8+AD9+AD16+AD17</f>
        <v>0</v>
      </c>
      <c r="AE68" s="690"/>
      <c r="AF68" s="703" t="s">
        <v>354</v>
      </c>
      <c r="AG68" s="690"/>
      <c r="AH68" s="690">
        <f>+AH8+AH9+AH16+AH17</f>
        <v>0</v>
      </c>
      <c r="AI68" s="690"/>
      <c r="AJ68" s="703" t="s">
        <v>354</v>
      </c>
      <c r="AK68" s="690"/>
      <c r="AL68" s="690">
        <f>+AL8+AL9+AL16+AL17</f>
        <v>0</v>
      </c>
      <c r="AM68" s="690"/>
      <c r="AN68" s="703" t="s">
        <v>354</v>
      </c>
      <c r="AO68" s="690"/>
      <c r="AP68" s="690">
        <f>+AP8+AP9+AP16+AP17</f>
        <v>0</v>
      </c>
      <c r="AQ68" s="690"/>
      <c r="AR68" s="703" t="s">
        <v>354</v>
      </c>
      <c r="AS68" s="690"/>
      <c r="AT68" s="690">
        <f>+AT8+AT9+AT16+AT17</f>
        <v>0</v>
      </c>
      <c r="AU68" s="690"/>
      <c r="AV68" s="703" t="s">
        <v>354</v>
      </c>
      <c r="AW68" s="690"/>
      <c r="AX68" s="690">
        <f>+AX8+AX9+AX16+AX17</f>
        <v>0</v>
      </c>
      <c r="AY68" s="690"/>
      <c r="AZ68" s="703" t="s">
        <v>354</v>
      </c>
      <c r="BA68" s="690"/>
      <c r="BB68" s="690">
        <f>+BB8+BB9+BB16+BB17</f>
        <v>0</v>
      </c>
      <c r="BC68" s="690"/>
      <c r="BD68" s="703" t="s">
        <v>354</v>
      </c>
      <c r="BE68" s="690"/>
      <c r="BF68" s="690">
        <f>+BF8+BF9+BF16+BF17</f>
        <v>0</v>
      </c>
      <c r="BG68" s="690"/>
      <c r="BH68" s="703" t="s">
        <v>354</v>
      </c>
      <c r="BI68" s="690"/>
      <c r="BJ68" s="690">
        <f>+BJ8+BJ9+BJ16+BJ17</f>
        <v>0</v>
      </c>
      <c r="BK68" s="690"/>
      <c r="BL68" s="703" t="s">
        <v>354</v>
      </c>
      <c r="BM68" s="690"/>
      <c r="BN68" s="690">
        <f>+BN8+BN9+BN16+BN17</f>
        <v>0</v>
      </c>
      <c r="BO68" s="690"/>
      <c r="BP68" s="703" t="s">
        <v>354</v>
      </c>
      <c r="BQ68" s="690"/>
      <c r="BR68" s="690">
        <f>+BR8+BR9+BR16+BR17</f>
        <v>0</v>
      </c>
      <c r="BS68" s="690"/>
      <c r="BT68" s="703" t="s">
        <v>354</v>
      </c>
      <c r="BU68" s="690"/>
      <c r="BV68" s="690">
        <f>+BV8+BV9+BV16+BV17</f>
        <v>0</v>
      </c>
      <c r="BW68" s="690"/>
      <c r="BX68" s="703" t="s">
        <v>354</v>
      </c>
      <c r="BY68" s="690"/>
      <c r="BZ68" s="690">
        <f>+BZ8+BZ9+BZ16+BZ17</f>
        <v>0</v>
      </c>
      <c r="CA68" s="690"/>
      <c r="CB68" s="703" t="s">
        <v>354</v>
      </c>
      <c r="CC68" s="690"/>
      <c r="CD68" s="690">
        <f>+CD8+CD9+CD16+CD17</f>
        <v>0</v>
      </c>
      <c r="CE68" s="690"/>
      <c r="CF68" s="703" t="s">
        <v>354</v>
      </c>
      <c r="CG68" s="690"/>
      <c r="CH68" s="690">
        <f>+CH8+CH9+CH16+CH17</f>
        <v>0</v>
      </c>
      <c r="CI68" s="690"/>
      <c r="CJ68" s="703" t="s">
        <v>354</v>
      </c>
      <c r="CK68" s="690"/>
      <c r="CL68" s="690">
        <f>+CL8+CL9+CL16+CL17</f>
        <v>0</v>
      </c>
      <c r="CM68" s="690"/>
      <c r="CN68" s="703" t="s">
        <v>354</v>
      </c>
      <c r="CO68" s="690"/>
      <c r="CP68" s="690">
        <f>+CP8+CP9+CP16+CP17</f>
        <v>0</v>
      </c>
      <c r="CQ68" s="690"/>
      <c r="CR68" s="703" t="s">
        <v>354</v>
      </c>
      <c r="CS68" s="690"/>
      <c r="CT68" s="690">
        <f>+CT8+CT9+CT16+CT17</f>
        <v>0</v>
      </c>
      <c r="CU68" s="690"/>
      <c r="CV68" s="703" t="s">
        <v>354</v>
      </c>
      <c r="CW68" s="690"/>
      <c r="CX68" s="690">
        <f>+CX8+CX9+CX16+CX17</f>
        <v>0</v>
      </c>
      <c r="CY68" s="690"/>
      <c r="CZ68" s="703" t="s">
        <v>354</v>
      </c>
      <c r="DA68" s="690"/>
      <c r="DB68" s="690">
        <f>+DB8+DB9+DB16+DB17</f>
        <v>0</v>
      </c>
      <c r="DC68" s="690"/>
      <c r="DD68" s="703" t="s">
        <v>354</v>
      </c>
      <c r="DE68" s="690"/>
      <c r="DF68" s="690">
        <f>+DF8+DF9+DF16+DF17</f>
        <v>0</v>
      </c>
      <c r="DG68" s="690"/>
      <c r="DH68" s="703" t="s">
        <v>354</v>
      </c>
      <c r="DI68" s="690"/>
      <c r="DJ68" s="690">
        <f>+DJ8+DJ9+DJ16+DJ17</f>
        <v>0</v>
      </c>
      <c r="DK68" s="690"/>
      <c r="DL68" s="703" t="s">
        <v>354</v>
      </c>
      <c r="DM68" s="690"/>
      <c r="DN68" s="690">
        <f>+DN8+DN9+DN16+DN17</f>
        <v>0</v>
      </c>
      <c r="DO68" s="690"/>
      <c r="DP68" s="703" t="s">
        <v>354</v>
      </c>
      <c r="DQ68" s="690"/>
      <c r="DR68" s="690">
        <f>+DR8+DR9+DR16+DR17</f>
        <v>0</v>
      </c>
      <c r="DS68" s="690"/>
      <c r="DT68" s="703" t="s">
        <v>354</v>
      </c>
      <c r="DU68" s="690"/>
      <c r="DV68" s="690">
        <f>+DV8+DV9+DV16+DV17</f>
        <v>0</v>
      </c>
      <c r="DW68" s="690"/>
      <c r="DX68" s="703" t="s">
        <v>354</v>
      </c>
      <c r="DY68" s="690"/>
      <c r="DZ68" s="690">
        <f>+DZ8+DZ9+DZ16+DZ17</f>
        <v>0</v>
      </c>
    </row>
    <row r="69" spans="1:130" x14ac:dyDescent="0.25">
      <c r="A69" s="690"/>
      <c r="B69" s="690"/>
      <c r="C69" s="690" t="s">
        <v>355</v>
      </c>
      <c r="D69" s="703" t="s">
        <v>356</v>
      </c>
      <c r="E69" s="690"/>
      <c r="F69" s="690">
        <f>+F20</f>
        <v>0</v>
      </c>
      <c r="G69" s="690"/>
      <c r="H69" s="703" t="s">
        <v>356</v>
      </c>
      <c r="I69" s="690"/>
      <c r="J69" s="690">
        <f>+J20</f>
        <v>0</v>
      </c>
      <c r="K69" s="690"/>
      <c r="L69" s="703" t="s">
        <v>356</v>
      </c>
      <c r="M69" s="690"/>
      <c r="N69" s="690">
        <f>+N20</f>
        <v>0</v>
      </c>
      <c r="O69" s="690"/>
      <c r="P69" s="703" t="s">
        <v>356</v>
      </c>
      <c r="Q69" s="690"/>
      <c r="R69" s="690">
        <f>+R20</f>
        <v>0</v>
      </c>
      <c r="S69" s="690"/>
      <c r="T69" s="703" t="s">
        <v>356</v>
      </c>
      <c r="U69" s="690"/>
      <c r="V69" s="690">
        <f>+V20</f>
        <v>0</v>
      </c>
      <c r="W69" s="690"/>
      <c r="X69" s="703" t="s">
        <v>356</v>
      </c>
      <c r="Y69" s="690"/>
      <c r="Z69" s="690">
        <f>+Z20</f>
        <v>0</v>
      </c>
      <c r="AA69" s="690"/>
      <c r="AB69" s="703" t="s">
        <v>356</v>
      </c>
      <c r="AC69" s="690"/>
      <c r="AD69" s="690">
        <f>+AD20</f>
        <v>0</v>
      </c>
      <c r="AE69" s="690"/>
      <c r="AF69" s="703" t="s">
        <v>356</v>
      </c>
      <c r="AG69" s="690"/>
      <c r="AH69" s="690">
        <f>+AH20</f>
        <v>0</v>
      </c>
      <c r="AI69" s="690"/>
      <c r="AJ69" s="703" t="s">
        <v>356</v>
      </c>
      <c r="AK69" s="690"/>
      <c r="AL69" s="690">
        <f>+AL20</f>
        <v>0</v>
      </c>
      <c r="AM69" s="690"/>
      <c r="AN69" s="703" t="s">
        <v>356</v>
      </c>
      <c r="AO69" s="690"/>
      <c r="AP69" s="690">
        <f>+AP20</f>
        <v>0</v>
      </c>
      <c r="AQ69" s="690"/>
      <c r="AR69" s="703" t="s">
        <v>356</v>
      </c>
      <c r="AS69" s="690"/>
      <c r="AT69" s="690">
        <f>+AT20</f>
        <v>0</v>
      </c>
      <c r="AU69" s="690"/>
      <c r="AV69" s="703" t="s">
        <v>356</v>
      </c>
      <c r="AW69" s="690"/>
      <c r="AX69" s="690">
        <f>+AX20</f>
        <v>0</v>
      </c>
      <c r="AY69" s="690"/>
      <c r="AZ69" s="703" t="s">
        <v>356</v>
      </c>
      <c r="BA69" s="690"/>
      <c r="BB69" s="690">
        <f>+BB20</f>
        <v>0</v>
      </c>
      <c r="BC69" s="690"/>
      <c r="BD69" s="703" t="s">
        <v>356</v>
      </c>
      <c r="BE69" s="690"/>
      <c r="BF69" s="690">
        <f>+BF20</f>
        <v>0</v>
      </c>
      <c r="BG69" s="690"/>
      <c r="BH69" s="703" t="s">
        <v>356</v>
      </c>
      <c r="BI69" s="690"/>
      <c r="BJ69" s="690">
        <f>+BJ20</f>
        <v>0</v>
      </c>
      <c r="BK69" s="690"/>
      <c r="BL69" s="703" t="s">
        <v>356</v>
      </c>
      <c r="BM69" s="690"/>
      <c r="BN69" s="690">
        <f>+BN20</f>
        <v>0</v>
      </c>
      <c r="BO69" s="690"/>
      <c r="BP69" s="703" t="s">
        <v>356</v>
      </c>
      <c r="BQ69" s="690"/>
      <c r="BR69" s="690">
        <f>+BR20</f>
        <v>0</v>
      </c>
      <c r="BS69" s="690"/>
      <c r="BT69" s="703" t="s">
        <v>356</v>
      </c>
      <c r="BU69" s="690"/>
      <c r="BV69" s="690">
        <f>+BV20</f>
        <v>0</v>
      </c>
      <c r="BW69" s="690"/>
      <c r="BX69" s="703" t="s">
        <v>356</v>
      </c>
      <c r="BY69" s="690"/>
      <c r="BZ69" s="690">
        <f>+BZ20</f>
        <v>0</v>
      </c>
      <c r="CA69" s="690"/>
      <c r="CB69" s="703" t="s">
        <v>356</v>
      </c>
      <c r="CC69" s="690"/>
      <c r="CD69" s="690">
        <f>+CD20</f>
        <v>0</v>
      </c>
      <c r="CE69" s="690"/>
      <c r="CF69" s="703" t="s">
        <v>356</v>
      </c>
      <c r="CG69" s="690"/>
      <c r="CH69" s="690">
        <f>+CH20</f>
        <v>0</v>
      </c>
      <c r="CI69" s="690"/>
      <c r="CJ69" s="703" t="s">
        <v>356</v>
      </c>
      <c r="CK69" s="690"/>
      <c r="CL69" s="690">
        <f>+CL20</f>
        <v>0</v>
      </c>
      <c r="CM69" s="690"/>
      <c r="CN69" s="703" t="s">
        <v>356</v>
      </c>
      <c r="CO69" s="690"/>
      <c r="CP69" s="690">
        <f>+CP20</f>
        <v>0</v>
      </c>
      <c r="CQ69" s="690"/>
      <c r="CR69" s="703" t="s">
        <v>356</v>
      </c>
      <c r="CS69" s="690"/>
      <c r="CT69" s="690">
        <f>+CT20</f>
        <v>0</v>
      </c>
      <c r="CU69" s="690"/>
      <c r="CV69" s="703" t="s">
        <v>356</v>
      </c>
      <c r="CW69" s="690"/>
      <c r="CX69" s="690">
        <f>+CX20</f>
        <v>0</v>
      </c>
      <c r="CY69" s="690"/>
      <c r="CZ69" s="703" t="s">
        <v>356</v>
      </c>
      <c r="DA69" s="690"/>
      <c r="DB69" s="690">
        <f>+DB20</f>
        <v>0</v>
      </c>
      <c r="DC69" s="690"/>
      <c r="DD69" s="703" t="s">
        <v>356</v>
      </c>
      <c r="DE69" s="690"/>
      <c r="DF69" s="690">
        <f>+DF20</f>
        <v>0</v>
      </c>
      <c r="DG69" s="690"/>
      <c r="DH69" s="703" t="s">
        <v>356</v>
      </c>
      <c r="DI69" s="690"/>
      <c r="DJ69" s="690">
        <f>+DJ20</f>
        <v>0</v>
      </c>
      <c r="DK69" s="690"/>
      <c r="DL69" s="703" t="s">
        <v>356</v>
      </c>
      <c r="DM69" s="690"/>
      <c r="DN69" s="690">
        <f>+DN20</f>
        <v>0</v>
      </c>
      <c r="DO69" s="690"/>
      <c r="DP69" s="703" t="s">
        <v>356</v>
      </c>
      <c r="DQ69" s="690"/>
      <c r="DR69" s="690">
        <f>+DR20</f>
        <v>0</v>
      </c>
      <c r="DS69" s="690"/>
      <c r="DT69" s="703" t="s">
        <v>356</v>
      </c>
      <c r="DU69" s="690"/>
      <c r="DV69" s="690">
        <f>+DV20</f>
        <v>0</v>
      </c>
      <c r="DW69" s="690"/>
      <c r="DX69" s="703" t="s">
        <v>356</v>
      </c>
      <c r="DY69" s="690"/>
      <c r="DZ69" s="690">
        <f>+DZ20</f>
        <v>0</v>
      </c>
    </row>
    <row r="70" spans="1:130" x14ac:dyDescent="0.25">
      <c r="A70" s="690"/>
      <c r="B70" s="690"/>
      <c r="C70" s="690"/>
      <c r="D70" s="703"/>
      <c r="E70" s="690"/>
      <c r="F70" s="690"/>
      <c r="G70" s="690"/>
      <c r="H70" s="703"/>
      <c r="I70" s="690"/>
      <c r="J70" s="690"/>
      <c r="K70" s="690"/>
      <c r="L70" s="703"/>
      <c r="M70" s="690"/>
      <c r="N70" s="690"/>
      <c r="O70" s="690"/>
      <c r="P70" s="703"/>
      <c r="Q70" s="690"/>
      <c r="R70" s="690"/>
      <c r="S70" s="690"/>
      <c r="T70" s="703"/>
      <c r="U70" s="690"/>
      <c r="V70" s="690"/>
      <c r="W70" s="690"/>
      <c r="X70" s="703"/>
      <c r="Y70" s="690"/>
      <c r="Z70" s="690"/>
      <c r="AA70" s="690"/>
      <c r="AB70" s="703"/>
      <c r="AC70" s="690"/>
      <c r="AD70" s="690"/>
      <c r="AE70" s="690"/>
      <c r="AF70" s="703"/>
      <c r="AG70" s="690"/>
      <c r="AH70" s="690"/>
      <c r="AI70" s="690"/>
      <c r="AJ70" s="703"/>
      <c r="AK70" s="690"/>
      <c r="AL70" s="690"/>
      <c r="AM70" s="690"/>
      <c r="AN70" s="703"/>
      <c r="AO70" s="690"/>
      <c r="AP70" s="690"/>
      <c r="AQ70" s="690"/>
      <c r="AR70" s="703"/>
      <c r="AS70" s="690"/>
      <c r="AT70" s="690"/>
      <c r="AU70" s="690"/>
      <c r="AV70" s="703"/>
      <c r="AW70" s="690"/>
      <c r="AX70" s="690"/>
      <c r="AY70" s="690"/>
      <c r="AZ70" s="703"/>
      <c r="BA70" s="690"/>
      <c r="BB70" s="690"/>
      <c r="BC70" s="690"/>
      <c r="BD70" s="703"/>
      <c r="BE70" s="690"/>
      <c r="BF70" s="690"/>
      <c r="BG70" s="690"/>
      <c r="BH70" s="703"/>
      <c r="BI70" s="690"/>
      <c r="BJ70" s="690"/>
      <c r="BK70" s="690"/>
      <c r="BL70" s="703"/>
      <c r="BM70" s="690"/>
      <c r="BN70" s="690"/>
      <c r="BO70" s="690"/>
      <c r="BP70" s="703"/>
      <c r="BQ70" s="690"/>
      <c r="BR70" s="690"/>
      <c r="BS70" s="690"/>
      <c r="BT70" s="703"/>
      <c r="BU70" s="690"/>
      <c r="BV70" s="690"/>
      <c r="BW70" s="690"/>
      <c r="BX70" s="703"/>
      <c r="BY70" s="690"/>
      <c r="BZ70" s="690"/>
      <c r="CA70" s="690"/>
      <c r="CB70" s="703"/>
      <c r="CC70" s="690"/>
      <c r="CD70" s="690"/>
      <c r="CE70" s="690"/>
      <c r="CF70" s="703"/>
      <c r="CG70" s="690"/>
      <c r="CH70" s="690"/>
      <c r="CI70" s="690"/>
      <c r="CJ70" s="703"/>
      <c r="CK70" s="690"/>
      <c r="CL70" s="690"/>
      <c r="CM70" s="690"/>
      <c r="CN70" s="703"/>
      <c r="CO70" s="690"/>
      <c r="CP70" s="690"/>
      <c r="CQ70" s="690"/>
      <c r="CR70" s="703"/>
      <c r="CS70" s="690"/>
      <c r="CT70" s="690"/>
      <c r="CU70" s="690"/>
      <c r="CV70" s="703"/>
      <c r="CW70" s="690"/>
      <c r="CX70" s="690"/>
      <c r="CY70" s="690"/>
      <c r="CZ70" s="703"/>
      <c r="DA70" s="690"/>
      <c r="DB70" s="690"/>
      <c r="DC70" s="690"/>
      <c r="DD70" s="703"/>
      <c r="DE70" s="690"/>
      <c r="DF70" s="690"/>
      <c r="DG70" s="690"/>
      <c r="DH70" s="703"/>
      <c r="DI70" s="690"/>
      <c r="DJ70" s="690"/>
      <c r="DK70" s="690"/>
      <c r="DL70" s="703"/>
      <c r="DM70" s="690"/>
      <c r="DN70" s="690"/>
      <c r="DO70" s="690"/>
      <c r="DP70" s="703"/>
      <c r="DQ70" s="690"/>
      <c r="DR70" s="690"/>
      <c r="DS70" s="690"/>
      <c r="DT70" s="703"/>
      <c r="DU70" s="690"/>
      <c r="DV70" s="690"/>
      <c r="DW70" s="690"/>
      <c r="DX70" s="703"/>
      <c r="DY70" s="690"/>
      <c r="DZ70" s="690"/>
    </row>
    <row r="71" spans="1:130" x14ac:dyDescent="0.25">
      <c r="A71" s="690"/>
      <c r="B71" s="690"/>
      <c r="C71" s="690"/>
      <c r="D71" s="690"/>
      <c r="E71" s="690"/>
      <c r="F71" s="690"/>
      <c r="G71" s="690"/>
      <c r="H71" s="690"/>
      <c r="I71" s="690"/>
      <c r="J71" s="690"/>
      <c r="K71" s="690"/>
      <c r="L71" s="690"/>
      <c r="M71" s="690"/>
      <c r="N71" s="690"/>
      <c r="O71" s="690"/>
      <c r="P71" s="690"/>
      <c r="Q71" s="690"/>
      <c r="R71" s="690"/>
      <c r="S71" s="690"/>
      <c r="T71" s="690"/>
      <c r="U71" s="690"/>
      <c r="V71" s="690"/>
      <c r="W71" s="690"/>
      <c r="X71" s="690"/>
      <c r="Y71" s="690"/>
      <c r="Z71" s="690"/>
      <c r="AA71" s="690"/>
      <c r="AB71" s="690"/>
      <c r="AC71" s="690"/>
      <c r="AD71" s="690"/>
      <c r="AE71" s="690"/>
      <c r="AF71" s="690"/>
      <c r="AG71" s="690"/>
      <c r="AH71" s="690"/>
      <c r="AI71" s="690"/>
      <c r="AJ71" s="690"/>
      <c r="AK71" s="690"/>
      <c r="AL71" s="690"/>
      <c r="AM71" s="690"/>
      <c r="AN71" s="690"/>
      <c r="AO71" s="690"/>
      <c r="AP71" s="690"/>
      <c r="AQ71" s="690"/>
      <c r="AR71" s="690"/>
      <c r="AS71" s="690"/>
      <c r="AT71" s="690"/>
      <c r="AU71" s="690"/>
      <c r="AV71" s="690"/>
      <c r="AW71" s="690"/>
      <c r="AX71" s="690"/>
      <c r="AY71" s="690"/>
      <c r="AZ71" s="690"/>
      <c r="BA71" s="690"/>
      <c r="BB71" s="690"/>
      <c r="BC71" s="690"/>
      <c r="BD71" s="690"/>
      <c r="BE71" s="690"/>
      <c r="BF71" s="690"/>
      <c r="BG71" s="690"/>
      <c r="BH71" s="690"/>
      <c r="BI71" s="690"/>
      <c r="BJ71" s="690"/>
      <c r="BK71" s="690"/>
      <c r="BL71" s="690"/>
      <c r="BM71" s="690"/>
      <c r="BN71" s="690"/>
      <c r="BO71" s="690"/>
      <c r="BP71" s="690"/>
      <c r="BQ71" s="690"/>
      <c r="BR71" s="690"/>
      <c r="BS71" s="690"/>
      <c r="BT71" s="690"/>
      <c r="BU71" s="690"/>
      <c r="BV71" s="690"/>
      <c r="BW71" s="690"/>
      <c r="BX71" s="690"/>
      <c r="BY71" s="690"/>
      <c r="BZ71" s="690"/>
      <c r="CA71" s="690"/>
      <c r="CB71" s="690"/>
      <c r="CC71" s="690"/>
      <c r="CD71" s="690"/>
      <c r="CE71" s="690"/>
      <c r="CF71" s="690"/>
      <c r="CG71" s="690"/>
      <c r="CH71" s="690"/>
      <c r="CI71" s="690"/>
      <c r="CJ71" s="690"/>
      <c r="CK71" s="690"/>
      <c r="CL71" s="690"/>
      <c r="CM71" s="690"/>
      <c r="CN71" s="690"/>
      <c r="CO71" s="690"/>
      <c r="CP71" s="690"/>
      <c r="CQ71" s="690"/>
      <c r="CR71" s="690"/>
      <c r="CS71" s="690"/>
      <c r="CT71" s="690"/>
      <c r="CU71" s="690"/>
      <c r="CV71" s="690"/>
      <c r="CW71" s="690"/>
      <c r="CX71" s="690"/>
      <c r="CY71" s="690"/>
      <c r="CZ71" s="690"/>
      <c r="DA71" s="690"/>
      <c r="DB71" s="690"/>
      <c r="DC71" s="690"/>
      <c r="DD71" s="690"/>
      <c r="DE71" s="690"/>
      <c r="DF71" s="690"/>
      <c r="DG71" s="690"/>
      <c r="DH71" s="690"/>
      <c r="DI71" s="690"/>
      <c r="DJ71" s="690"/>
      <c r="DK71" s="690"/>
      <c r="DL71" s="690"/>
      <c r="DM71" s="690"/>
      <c r="DN71" s="690"/>
      <c r="DO71" s="690"/>
      <c r="DP71" s="690"/>
      <c r="DQ71" s="690"/>
      <c r="DR71" s="690"/>
      <c r="DS71" s="690"/>
      <c r="DT71" s="690"/>
      <c r="DU71" s="690"/>
      <c r="DV71" s="690"/>
      <c r="DW71" s="690"/>
      <c r="DX71" s="690"/>
      <c r="DY71" s="690"/>
      <c r="DZ71" s="690"/>
    </row>
    <row r="72" spans="1:130" x14ac:dyDescent="0.25">
      <c r="A72" s="690"/>
      <c r="B72" s="690"/>
      <c r="C72" s="690"/>
      <c r="D72" s="690"/>
      <c r="E72" s="690"/>
      <c r="F72" s="690"/>
      <c r="G72" s="690"/>
      <c r="H72" s="690"/>
      <c r="I72" s="690"/>
      <c r="J72" s="690"/>
      <c r="K72" s="690"/>
      <c r="L72" s="690"/>
      <c r="M72" s="690"/>
      <c r="N72" s="690">
        <f>N65+N66+N67+N68+N69+N70</f>
        <v>5193</v>
      </c>
      <c r="O72" s="690"/>
      <c r="P72" s="690"/>
      <c r="Q72" s="690"/>
      <c r="R72" s="690">
        <f>R65+R66+R67+R68+R69+R70</f>
        <v>4648</v>
      </c>
      <c r="S72" s="690"/>
      <c r="T72" s="690"/>
      <c r="U72" s="690"/>
      <c r="V72" s="690">
        <f>V65+V66+V67+V68+V69+V70</f>
        <v>5672</v>
      </c>
      <c r="W72" s="690"/>
      <c r="X72" s="690"/>
      <c r="Y72" s="690"/>
      <c r="Z72" s="690">
        <f>Z65+Z66+Z67+Z68+Z69+Z70</f>
        <v>7747</v>
      </c>
      <c r="AA72" s="690"/>
      <c r="AB72" s="690"/>
      <c r="AC72" s="690"/>
      <c r="AD72" s="690">
        <f>AD65+AD66+AD67+AD68+AD69+AD70</f>
        <v>8015</v>
      </c>
      <c r="AE72" s="690"/>
      <c r="AF72" s="690"/>
      <c r="AG72" s="690"/>
      <c r="AH72" s="690">
        <f>AH65+AH66+AH67+AH68+AH69+AH70</f>
        <v>4821</v>
      </c>
      <c r="AI72" s="690"/>
      <c r="AJ72" s="690"/>
      <c r="AK72" s="690"/>
      <c r="AL72" s="690">
        <f>AL65+AL66+AL67+AL68+AL69+AL70</f>
        <v>-40253</v>
      </c>
      <c r="AM72" s="690"/>
      <c r="AN72" s="690"/>
      <c r="AO72" s="690"/>
      <c r="AP72" s="690">
        <f>AP65+AP66+AP67+AP68+AP69+AP70</f>
        <v>0</v>
      </c>
      <c r="AQ72" s="690"/>
      <c r="AR72" s="690"/>
      <c r="AS72" s="690"/>
      <c r="AT72" s="690">
        <f>AT65+AT66+AT67+AT68+AT69+AT70</f>
        <v>40253</v>
      </c>
      <c r="AU72" s="690"/>
      <c r="AV72" s="690"/>
      <c r="AW72" s="690"/>
      <c r="AX72" s="690">
        <f>AX65+AX66+AX67+AX68+AX69+AX70</f>
        <v>0</v>
      </c>
      <c r="AY72" s="690"/>
      <c r="AZ72" s="690"/>
      <c r="BA72" s="690"/>
      <c r="BB72" s="690">
        <f>BB65+BB66+BB67+BB68+BB69+BB70</f>
        <v>0</v>
      </c>
      <c r="BC72" s="690"/>
      <c r="BD72" s="690"/>
      <c r="BE72" s="690"/>
      <c r="BF72" s="690">
        <f>BF65+BF66+BF67+BF68+BF69+BF70</f>
        <v>0</v>
      </c>
      <c r="BG72" s="690"/>
      <c r="BH72" s="690"/>
      <c r="BI72" s="690"/>
      <c r="BJ72" s="690">
        <f>BJ65+BJ66+BJ67+BJ68+BJ69+BJ70</f>
        <v>0</v>
      </c>
      <c r="BK72" s="690"/>
      <c r="BL72" s="690"/>
      <c r="BM72" s="690"/>
      <c r="BN72" s="690">
        <f>BN65+BN66+BN67+BN68+BN69+BN70</f>
        <v>0</v>
      </c>
      <c r="BO72" s="690"/>
      <c r="BP72" s="690"/>
      <c r="BQ72" s="690"/>
      <c r="BR72" s="690">
        <f>BR65+BR66+BR67+BR68+BR69+BR70</f>
        <v>0</v>
      </c>
      <c r="BS72" s="690"/>
      <c r="BT72" s="690"/>
      <c r="BU72" s="690"/>
      <c r="BV72" s="690">
        <f>BV65+BV66+BV67+BV68+BV69+BV70</f>
        <v>0</v>
      </c>
      <c r="BW72" s="690"/>
      <c r="BX72" s="690"/>
      <c r="BY72" s="690"/>
      <c r="BZ72" s="690">
        <f>BZ65+BZ66+BZ67+BZ68+BZ69+BZ70</f>
        <v>0</v>
      </c>
      <c r="CA72" s="690"/>
      <c r="CB72" s="690"/>
      <c r="CC72" s="690"/>
      <c r="CD72" s="690">
        <f>CD65+CD66+CD67+CD68+CD69+CD70</f>
        <v>0</v>
      </c>
      <c r="CE72" s="690"/>
      <c r="CF72" s="690"/>
      <c r="CG72" s="690"/>
      <c r="CH72" s="690">
        <f>CH65+CH66+CH67+CH68+CH69+CH70</f>
        <v>0</v>
      </c>
      <c r="CI72" s="690"/>
      <c r="CJ72" s="690"/>
      <c r="CK72" s="690"/>
      <c r="CL72" s="690">
        <f>CL65+CL66+CL67+CL68+CL69+CL70</f>
        <v>0</v>
      </c>
      <c r="CM72" s="690"/>
      <c r="CN72" s="690"/>
      <c r="CO72" s="690"/>
      <c r="CP72" s="690">
        <f>CP65+CP66+CP67+CP68+CP69+CP70</f>
        <v>0</v>
      </c>
      <c r="CQ72" s="690"/>
      <c r="CR72" s="690"/>
      <c r="CS72" s="690"/>
      <c r="CT72" s="690">
        <f>CT65+CT66+CT67+CT68+CT69+CT70</f>
        <v>0</v>
      </c>
      <c r="CU72" s="690"/>
      <c r="CV72" s="690"/>
      <c r="CW72" s="690"/>
      <c r="CX72" s="690">
        <f>CX65+CX66+CX67+CX68+CX69+CX70</f>
        <v>0</v>
      </c>
      <c r="CY72" s="690"/>
      <c r="CZ72" s="690"/>
      <c r="DA72" s="690"/>
      <c r="DB72" s="690">
        <f>DB65+DB66+DB67+DB68+DB69+DB70</f>
        <v>0</v>
      </c>
      <c r="DC72" s="690"/>
      <c r="DD72" s="690"/>
      <c r="DE72" s="690"/>
      <c r="DF72" s="690">
        <f>DF65+DF66+DF67+DF68+DF69+DF70</f>
        <v>0</v>
      </c>
      <c r="DG72" s="690"/>
      <c r="DH72" s="690"/>
      <c r="DI72" s="690"/>
      <c r="DJ72" s="690">
        <f>DJ65+DJ66+DJ67+DJ68+DJ69+DJ70</f>
        <v>0</v>
      </c>
      <c r="DK72" s="690"/>
      <c r="DL72" s="690"/>
      <c r="DM72" s="690"/>
      <c r="DN72" s="690">
        <f>DN65+DN66+DN67+DN68+DN69+DN70</f>
        <v>0</v>
      </c>
      <c r="DO72" s="690"/>
      <c r="DP72" s="690"/>
      <c r="DQ72" s="690"/>
      <c r="DR72" s="690">
        <f>DR65+DR66+DR67+DR68+DR69+DR70</f>
        <v>0</v>
      </c>
      <c r="DS72" s="690"/>
      <c r="DT72" s="690"/>
      <c r="DU72" s="690"/>
      <c r="DV72" s="690">
        <f>DV65+DV66+DV67+DV68+DV69+DV70</f>
        <v>0</v>
      </c>
      <c r="DW72" s="690"/>
      <c r="DX72" s="690"/>
      <c r="DY72" s="690"/>
      <c r="DZ72" s="690">
        <f>DZ65+DZ66+DZ67+DZ68+DZ69+DZ70</f>
        <v>-3874245</v>
      </c>
    </row>
    <row r="73" spans="1:130" x14ac:dyDescent="0.25">
      <c r="A73" s="690"/>
      <c r="B73" s="690"/>
      <c r="C73" s="690"/>
      <c r="D73" s="1814" t="s">
        <v>111</v>
      </c>
      <c r="E73" s="1814"/>
      <c r="F73" s="1814"/>
      <c r="G73" s="690"/>
      <c r="H73" s="1814" t="s">
        <v>111</v>
      </c>
      <c r="I73" s="1814"/>
      <c r="J73" s="1814"/>
      <c r="K73" s="690"/>
      <c r="L73" s="1814" t="s">
        <v>111</v>
      </c>
      <c r="M73" s="1814"/>
      <c r="N73" s="1814"/>
      <c r="O73" s="690"/>
      <c r="P73" s="1814" t="s">
        <v>111</v>
      </c>
      <c r="Q73" s="1814"/>
      <c r="R73" s="1814"/>
      <c r="S73" s="690"/>
      <c r="T73" s="1814" t="s">
        <v>111</v>
      </c>
      <c r="U73" s="1814"/>
      <c r="V73" s="1814"/>
      <c r="W73" s="690"/>
      <c r="X73" s="1814" t="s">
        <v>111</v>
      </c>
      <c r="Y73" s="1814"/>
      <c r="Z73" s="1814"/>
      <c r="AA73" s="690"/>
      <c r="AB73" s="1814" t="s">
        <v>111</v>
      </c>
      <c r="AC73" s="1814"/>
      <c r="AD73" s="1814"/>
      <c r="AE73" s="690"/>
      <c r="AF73" s="1814" t="s">
        <v>111</v>
      </c>
      <c r="AG73" s="1814"/>
      <c r="AH73" s="1814"/>
      <c r="AI73" s="690"/>
      <c r="AJ73" s="1814" t="s">
        <v>111</v>
      </c>
      <c r="AK73" s="1814"/>
      <c r="AL73" s="1814"/>
      <c r="AM73" s="690"/>
      <c r="AN73" s="1814" t="s">
        <v>111</v>
      </c>
      <c r="AO73" s="1814"/>
      <c r="AP73" s="1814"/>
      <c r="AQ73" s="690"/>
      <c r="AR73" s="1814" t="s">
        <v>111</v>
      </c>
      <c r="AS73" s="1814"/>
      <c r="AT73" s="1814"/>
      <c r="AU73" s="690"/>
      <c r="AV73" s="1814" t="s">
        <v>111</v>
      </c>
      <c r="AW73" s="1814"/>
      <c r="AX73" s="1814"/>
      <c r="AY73" s="690"/>
      <c r="AZ73" s="1814" t="s">
        <v>111</v>
      </c>
      <c r="BA73" s="1814"/>
      <c r="BB73" s="1814"/>
      <c r="BC73" s="690"/>
      <c r="BD73" s="1814" t="s">
        <v>111</v>
      </c>
      <c r="BE73" s="1814"/>
      <c r="BF73" s="1814"/>
      <c r="BG73" s="690"/>
      <c r="BH73" s="1814" t="s">
        <v>111</v>
      </c>
      <c r="BI73" s="1814"/>
      <c r="BJ73" s="1814"/>
      <c r="BK73" s="690"/>
      <c r="BL73" s="1814" t="s">
        <v>111</v>
      </c>
      <c r="BM73" s="1814"/>
      <c r="BN73" s="1814"/>
      <c r="BO73" s="690"/>
      <c r="BP73" s="1814" t="s">
        <v>111</v>
      </c>
      <c r="BQ73" s="1814"/>
      <c r="BR73" s="1814"/>
      <c r="BS73" s="690"/>
      <c r="BT73" s="1814" t="s">
        <v>111</v>
      </c>
      <c r="BU73" s="1814"/>
      <c r="BV73" s="1814"/>
      <c r="BW73" s="690"/>
      <c r="BX73" s="1814" t="s">
        <v>111</v>
      </c>
      <c r="BY73" s="1814"/>
      <c r="BZ73" s="1814"/>
      <c r="CA73" s="690"/>
      <c r="CB73" s="1814" t="s">
        <v>111</v>
      </c>
      <c r="CC73" s="1814"/>
      <c r="CD73" s="1814"/>
      <c r="CE73" s="690"/>
      <c r="CF73" s="1814" t="s">
        <v>111</v>
      </c>
      <c r="CG73" s="1814"/>
      <c r="CH73" s="1814"/>
      <c r="CI73" s="690"/>
      <c r="CJ73" s="1814" t="s">
        <v>111</v>
      </c>
      <c r="CK73" s="1814"/>
      <c r="CL73" s="1814"/>
      <c r="CM73" s="690"/>
      <c r="CN73" s="1814" t="s">
        <v>111</v>
      </c>
      <c r="CO73" s="1814"/>
      <c r="CP73" s="1814"/>
      <c r="CQ73" s="690"/>
      <c r="CR73" s="1814" t="s">
        <v>111</v>
      </c>
      <c r="CS73" s="1814"/>
      <c r="CT73" s="1814"/>
      <c r="CU73" s="690"/>
      <c r="CV73" s="1814" t="s">
        <v>111</v>
      </c>
      <c r="CW73" s="1814"/>
      <c r="CX73" s="1814"/>
      <c r="CY73" s="690"/>
      <c r="CZ73" s="1814" t="s">
        <v>111</v>
      </c>
      <c r="DA73" s="1814"/>
      <c r="DB73" s="1814"/>
      <c r="DC73" s="690"/>
      <c r="DD73" s="1814" t="s">
        <v>111</v>
      </c>
      <c r="DE73" s="1814"/>
      <c r="DF73" s="1814"/>
      <c r="DG73" s="690"/>
      <c r="DH73" s="1814" t="s">
        <v>111</v>
      </c>
      <c r="DI73" s="1814"/>
      <c r="DJ73" s="1814"/>
      <c r="DK73" s="690"/>
      <c r="DL73" s="1814" t="s">
        <v>111</v>
      </c>
      <c r="DM73" s="1814"/>
      <c r="DN73" s="1814"/>
      <c r="DO73" s="690"/>
      <c r="DP73" s="1814" t="s">
        <v>111</v>
      </c>
      <c r="DQ73" s="1814"/>
      <c r="DR73" s="1814"/>
      <c r="DS73" s="690"/>
      <c r="DT73" s="1814" t="s">
        <v>111</v>
      </c>
      <c r="DU73" s="1814"/>
      <c r="DV73" s="1814"/>
      <c r="DW73" s="690"/>
      <c r="DX73" s="1814" t="s">
        <v>357</v>
      </c>
      <c r="DY73" s="1814"/>
      <c r="DZ73" s="1814"/>
    </row>
    <row r="74" spans="1:130" x14ac:dyDescent="0.25">
      <c r="A74" s="704" t="s">
        <v>485</v>
      </c>
      <c r="B74" s="690"/>
      <c r="C74" s="690"/>
      <c r="D74" s="704" t="s">
        <v>486</v>
      </c>
      <c r="E74" s="690"/>
      <c r="F74" s="690"/>
      <c r="G74" s="690"/>
      <c r="H74" s="704" t="str">
        <f>+D74</f>
        <v>Freinte</v>
      </c>
      <c r="I74" s="690"/>
      <c r="J74" s="690"/>
      <c r="K74" s="690"/>
      <c r="L74" s="704" t="str">
        <f>+D74</f>
        <v>Freinte</v>
      </c>
      <c r="M74" s="690"/>
      <c r="N74" s="690"/>
      <c r="O74" s="690"/>
      <c r="P74" s="704" t="str">
        <f>+L74</f>
        <v>Freinte</v>
      </c>
      <c r="Q74" s="690"/>
      <c r="R74" s="690"/>
      <c r="S74" s="690"/>
      <c r="T74" s="704" t="str">
        <f>+H74</f>
        <v>Freinte</v>
      </c>
      <c r="U74" s="690"/>
      <c r="V74" s="690"/>
      <c r="W74" s="690"/>
      <c r="X74" s="704" t="str">
        <f>+H74</f>
        <v>Freinte</v>
      </c>
      <c r="Y74" s="690"/>
      <c r="Z74" s="690"/>
      <c r="AA74" s="690"/>
      <c r="AB74" s="704" t="str">
        <f>+X74</f>
        <v>Freinte</v>
      </c>
      <c r="AC74" s="690"/>
      <c r="AD74" s="690"/>
      <c r="AE74" s="690"/>
      <c r="AF74" s="704" t="str">
        <f>+AB74</f>
        <v>Freinte</v>
      </c>
      <c r="AG74" s="690"/>
      <c r="AH74" s="690"/>
      <c r="AI74" s="690"/>
      <c r="AJ74" s="704" t="str">
        <f>+AF74</f>
        <v>Freinte</v>
      </c>
      <c r="AK74" s="690"/>
      <c r="AL74" s="690"/>
      <c r="AM74" s="690"/>
      <c r="AN74" s="704" t="str">
        <f>+AJ74</f>
        <v>Freinte</v>
      </c>
      <c r="AO74" s="690"/>
      <c r="AP74" s="690"/>
      <c r="AQ74" s="690"/>
      <c r="AR74" s="704" t="str">
        <f>+AN74</f>
        <v>Freinte</v>
      </c>
      <c r="AS74" s="690"/>
      <c r="AT74" s="690"/>
      <c r="AU74" s="690"/>
      <c r="AV74" s="704" t="str">
        <f>+AR74</f>
        <v>Freinte</v>
      </c>
      <c r="AW74" s="690"/>
      <c r="AX74" s="690"/>
      <c r="AY74" s="690"/>
      <c r="AZ74" s="704" t="str">
        <f>+AV74</f>
        <v>Freinte</v>
      </c>
      <c r="BA74" s="690"/>
      <c r="BB74" s="690"/>
      <c r="BC74" s="690"/>
      <c r="BD74" s="704" t="str">
        <f>+AZ74</f>
        <v>Freinte</v>
      </c>
      <c r="BE74" s="690"/>
      <c r="BF74" s="690"/>
      <c r="BG74" s="690"/>
      <c r="BH74" s="704" t="str">
        <f>+BD74</f>
        <v>Freinte</v>
      </c>
      <c r="BI74" s="690"/>
      <c r="BJ74" s="690"/>
      <c r="BK74" s="690"/>
      <c r="BL74" s="704" t="str">
        <f>+BH74</f>
        <v>Freinte</v>
      </c>
      <c r="BM74" s="690"/>
      <c r="BN74" s="690"/>
      <c r="BO74" s="690"/>
      <c r="BP74" s="704" t="str">
        <f>+BL74</f>
        <v>Freinte</v>
      </c>
      <c r="BQ74" s="690"/>
      <c r="BR74" s="690"/>
      <c r="BS74" s="690"/>
      <c r="BT74" s="704" t="str">
        <f>+BP74</f>
        <v>Freinte</v>
      </c>
      <c r="BU74" s="690"/>
      <c r="BV74" s="690"/>
      <c r="BW74" s="690"/>
      <c r="BX74" s="704" t="str">
        <f>+BT74</f>
        <v>Freinte</v>
      </c>
      <c r="BY74" s="690"/>
      <c r="BZ74" s="690"/>
      <c r="CA74" s="690"/>
      <c r="CB74" s="704" t="str">
        <f>+BX74</f>
        <v>Freinte</v>
      </c>
      <c r="CC74" s="690"/>
      <c r="CD74" s="690"/>
      <c r="CE74" s="690"/>
      <c r="CF74" s="704" t="str">
        <f>+CB74</f>
        <v>Freinte</v>
      </c>
      <c r="CG74" s="690"/>
      <c r="CH74" s="690"/>
      <c r="CI74" s="690"/>
      <c r="CJ74" s="704" t="str">
        <f>+CF74</f>
        <v>Freinte</v>
      </c>
      <c r="CK74" s="690"/>
      <c r="CL74" s="690"/>
      <c r="CM74" s="690"/>
      <c r="CN74" s="704" t="str">
        <f>+CJ74</f>
        <v>Freinte</v>
      </c>
      <c r="CO74" s="690"/>
      <c r="CP74" s="690"/>
      <c r="CQ74" s="690"/>
      <c r="CR74" s="704" t="str">
        <f>+CN74</f>
        <v>Freinte</v>
      </c>
      <c r="CS74" s="690"/>
      <c r="CT74" s="690"/>
      <c r="CU74" s="690"/>
      <c r="CV74" s="704" t="str">
        <f>+CR74</f>
        <v>Freinte</v>
      </c>
      <c r="CW74" s="690"/>
      <c r="CX74" s="690"/>
      <c r="CY74" s="690"/>
      <c r="CZ74" s="704" t="str">
        <f>+CV74</f>
        <v>Freinte</v>
      </c>
      <c r="DA74" s="690"/>
      <c r="DB74" s="690"/>
      <c r="DC74" s="690"/>
      <c r="DD74" s="704" t="str">
        <f>+CZ74</f>
        <v>Freinte</v>
      </c>
      <c r="DE74" s="690"/>
      <c r="DF74" s="690"/>
      <c r="DG74" s="690"/>
      <c r="DH74" s="704" t="str">
        <f>+DD74</f>
        <v>Freinte</v>
      </c>
      <c r="DI74" s="690"/>
      <c r="DJ74" s="690"/>
      <c r="DK74" s="690"/>
      <c r="DL74" s="704" t="str">
        <f>+DH74</f>
        <v>Freinte</v>
      </c>
      <c r="DM74" s="690"/>
      <c r="DN74" s="690"/>
      <c r="DO74" s="690"/>
      <c r="DP74" s="704" t="str">
        <f>+DL74</f>
        <v>Freinte</v>
      </c>
      <c r="DQ74" s="690"/>
      <c r="DR74" s="690"/>
      <c r="DS74" s="690"/>
      <c r="DT74" s="704" t="str">
        <f>+DP74</f>
        <v>Freinte</v>
      </c>
      <c r="DU74" s="690"/>
      <c r="DV74" s="690"/>
      <c r="DW74" s="690"/>
      <c r="DX74" s="704" t="str">
        <f>+DT74</f>
        <v>Freinte</v>
      </c>
      <c r="DY74" s="690"/>
      <c r="DZ74" s="690"/>
    </row>
    <row r="75" spans="1:130" x14ac:dyDescent="0.25">
      <c r="A75" s="690"/>
      <c r="B75" s="705">
        <f>SUM(F75+J75+N75+R75+V75+Z75+AD75+AH75+AL75+AP75+AT75+AX75+BB75+BF75+BJ75+BN75+BR75+BV75+BZ75+CD75+CH75+CL75+CP75+CT75+CX75+DB75+DF75+DJ75+DN75+DR75+DV75)</f>
        <v>73.902000000000001</v>
      </c>
      <c r="C75" s="690"/>
      <c r="D75" s="690" t="s">
        <v>95</v>
      </c>
      <c r="E75" s="690"/>
      <c r="F75" s="897">
        <f>(F4+F5+F6+F7+F8+F9)*0.3%</f>
        <v>8.4209999999999994</v>
      </c>
      <c r="G75" s="690"/>
      <c r="H75" s="690" t="s">
        <v>95</v>
      </c>
      <c r="I75" s="690"/>
      <c r="J75" s="897">
        <f>(J4+J5+J6+J7+J8+J9)*0.3%</f>
        <v>7.5</v>
      </c>
      <c r="K75" s="690"/>
      <c r="L75" s="690" t="s">
        <v>95</v>
      </c>
      <c r="M75" s="690"/>
      <c r="N75" s="897">
        <f>(N4+N5+N6+N7+N8+N9)*0.3%</f>
        <v>7.4580000000000002</v>
      </c>
      <c r="O75" s="690"/>
      <c r="P75" s="690" t="s">
        <v>95</v>
      </c>
      <c r="Q75" s="690"/>
      <c r="R75" s="897">
        <f>(R4+R5+R6+R7+R8+R9)*0.3%</f>
        <v>6.3719999999999999</v>
      </c>
      <c r="S75" s="690"/>
      <c r="T75" s="690" t="s">
        <v>95</v>
      </c>
      <c r="U75" s="690"/>
      <c r="V75" s="897">
        <f>(V4+V5+V6+V7+V8+V9)*0.3%</f>
        <v>8.1630000000000003</v>
      </c>
      <c r="W75" s="690"/>
      <c r="X75" s="690" t="s">
        <v>95</v>
      </c>
      <c r="Y75" s="690"/>
      <c r="Z75" s="897">
        <f>(Z4+Z5+Z6+Z7+Z8+Z9)*0.3%</f>
        <v>14.112</v>
      </c>
      <c r="AA75" s="690"/>
      <c r="AB75" s="690" t="s">
        <v>95</v>
      </c>
      <c r="AC75" s="690"/>
      <c r="AD75" s="897">
        <f>(AD4+AD5+AD6+AD7+AD8+AD9)*0.3%</f>
        <v>15.564</v>
      </c>
      <c r="AE75" s="690"/>
      <c r="AF75" s="690" t="s">
        <v>95</v>
      </c>
      <c r="AG75" s="690"/>
      <c r="AH75" s="897">
        <f>(AH4+AH5+AH6+AH7+AH8+AH9)*0.3%</f>
        <v>6.3120000000000003</v>
      </c>
      <c r="AI75" s="690"/>
      <c r="AJ75" s="690" t="s">
        <v>95</v>
      </c>
      <c r="AK75" s="690"/>
      <c r="AL75" s="897">
        <f>(AL4+AL5+AL6+AL7+AL8+AL9)*0.3%</f>
        <v>0</v>
      </c>
      <c r="AM75" s="690"/>
      <c r="AN75" s="690" t="s">
        <v>95</v>
      </c>
      <c r="AO75" s="690"/>
      <c r="AP75" s="897">
        <f>(AP4+AP5+AP6+AP7+AP8+AP9)*0.3%</f>
        <v>0</v>
      </c>
      <c r="AQ75" s="690"/>
      <c r="AR75" s="690" t="s">
        <v>95</v>
      </c>
      <c r="AS75" s="690"/>
      <c r="AT75" s="897">
        <f>(AT4+AT5+AT6+AT7+AT8+AT9)*0.3%</f>
        <v>0</v>
      </c>
      <c r="AU75" s="690"/>
      <c r="AV75" s="690" t="s">
        <v>95</v>
      </c>
      <c r="AW75" s="690"/>
      <c r="AX75" s="897">
        <f>(AX4+AX5+AX6+AX7+AX8+AX9)*0.3%</f>
        <v>0</v>
      </c>
      <c r="AY75" s="690"/>
      <c r="AZ75" s="690" t="s">
        <v>95</v>
      </c>
      <c r="BA75" s="690"/>
      <c r="BB75" s="897">
        <f>(BB4+BB5+BB6+BB7+BB8+BB9)*0.3%</f>
        <v>0</v>
      </c>
      <c r="BC75" s="690"/>
      <c r="BD75" s="690" t="s">
        <v>95</v>
      </c>
      <c r="BE75" s="690"/>
      <c r="BF75" s="897">
        <f>(BF4+BF5+BF6+BF7+BF8+BF9)*0.3%</f>
        <v>0</v>
      </c>
      <c r="BG75" s="690"/>
      <c r="BH75" s="690" t="s">
        <v>95</v>
      </c>
      <c r="BI75" s="690"/>
      <c r="BJ75" s="897">
        <f>(BJ4+BJ5+BJ6+BJ7+BJ8+BJ9)*0.3%</f>
        <v>0</v>
      </c>
      <c r="BK75" s="690"/>
      <c r="BL75" s="690" t="s">
        <v>95</v>
      </c>
      <c r="BM75" s="690"/>
      <c r="BN75" s="897">
        <f>(BN4+BN5+BN6+BN7+BN8+BN9)*0.3%</f>
        <v>0</v>
      </c>
      <c r="BO75" s="690"/>
      <c r="BP75" s="690" t="s">
        <v>95</v>
      </c>
      <c r="BQ75" s="690"/>
      <c r="BR75" s="897">
        <f>(BR4+BR5+BR6+BR7+BR8+BR9)*0.3%</f>
        <v>0</v>
      </c>
      <c r="BS75" s="690"/>
      <c r="BT75" s="690" t="s">
        <v>95</v>
      </c>
      <c r="BU75" s="690"/>
      <c r="BV75" s="897">
        <f>(BV4+BV5+BV6+BV7+BV8+BV9)*0.3%</f>
        <v>0</v>
      </c>
      <c r="BW75" s="690"/>
      <c r="BX75" s="690" t="s">
        <v>95</v>
      </c>
      <c r="BY75" s="690"/>
      <c r="BZ75" s="897">
        <f>(BZ4+BZ5+BZ6+BZ7+BZ8+BZ9)*0.3%</f>
        <v>0</v>
      </c>
      <c r="CA75" s="690"/>
      <c r="CB75" s="690" t="s">
        <v>95</v>
      </c>
      <c r="CC75" s="690"/>
      <c r="CD75" s="897">
        <f>(CD4+CD5+CD6+CD7+CD8+CD9)*0.3%</f>
        <v>0</v>
      </c>
      <c r="CE75" s="690"/>
      <c r="CF75" s="690" t="s">
        <v>95</v>
      </c>
      <c r="CG75" s="690"/>
      <c r="CH75" s="897">
        <f>(CH4+CH5+CH6+CH7+CH8+CH9)*0.3%</f>
        <v>0</v>
      </c>
      <c r="CI75" s="690"/>
      <c r="CJ75" s="690" t="s">
        <v>95</v>
      </c>
      <c r="CK75" s="690"/>
      <c r="CL75" s="897">
        <f>(CL4+CL5+CL6+CL7+CL8+CL9)*0.3%</f>
        <v>0</v>
      </c>
      <c r="CM75" s="690"/>
      <c r="CN75" s="690" t="s">
        <v>95</v>
      </c>
      <c r="CO75" s="690"/>
      <c r="CP75" s="897">
        <f>(CP4+CP5+CP6+CP7+CP8+CP9)*0.3%</f>
        <v>0</v>
      </c>
      <c r="CQ75" s="690"/>
      <c r="CR75" s="690" t="s">
        <v>95</v>
      </c>
      <c r="CS75" s="690"/>
      <c r="CT75" s="897">
        <f>(CT4+CT5+CT6+CT7+CT8+CT9)*0.3%</f>
        <v>0</v>
      </c>
      <c r="CU75" s="690"/>
      <c r="CV75" s="690" t="s">
        <v>95</v>
      </c>
      <c r="CW75" s="690"/>
      <c r="CX75" s="897">
        <f>(CX4+CX5+CX6+CX7+CX8+CX9)*0.3%</f>
        <v>0</v>
      </c>
      <c r="CY75" s="690"/>
      <c r="CZ75" s="690" t="s">
        <v>95</v>
      </c>
      <c r="DA75" s="690"/>
      <c r="DB75" s="897">
        <f>(DB4+DB5+DB6+DB7+DB8+DB9)*0.3%</f>
        <v>0</v>
      </c>
      <c r="DC75" s="690"/>
      <c r="DD75" s="690" t="s">
        <v>95</v>
      </c>
      <c r="DE75" s="690"/>
      <c r="DF75" s="897">
        <f>(DF4+DF5+DF6+DF7+DF8+DF9)*0.3%</f>
        <v>0</v>
      </c>
      <c r="DG75" s="690"/>
      <c r="DH75" s="690" t="s">
        <v>95</v>
      </c>
      <c r="DI75" s="690"/>
      <c r="DJ75" s="897">
        <f>(DJ4+DJ5+DJ6+DJ7+DJ8+DJ9)*0.3%</f>
        <v>0</v>
      </c>
      <c r="DK75" s="690"/>
      <c r="DL75" s="690" t="s">
        <v>95</v>
      </c>
      <c r="DM75" s="690"/>
      <c r="DN75" s="897">
        <f>(DN4+DN5+DN6+DN7+DN8+DN9)*0.3%</f>
        <v>0</v>
      </c>
      <c r="DO75" s="690"/>
      <c r="DP75" s="690" t="s">
        <v>95</v>
      </c>
      <c r="DQ75" s="690"/>
      <c r="DR75" s="897">
        <f>(DR4+DR5+DR6+DR7+DR8+DR9)*0.3%</f>
        <v>0</v>
      </c>
      <c r="DS75" s="690"/>
      <c r="DT75" s="690" t="s">
        <v>95</v>
      </c>
      <c r="DU75" s="690"/>
      <c r="DV75" s="897">
        <f>(DV4+DV5+DV6+DV7+DV8+DV9)*0.3%</f>
        <v>0</v>
      </c>
      <c r="DW75" s="690"/>
      <c r="DX75" s="690" t="s">
        <v>95</v>
      </c>
      <c r="DY75" s="690"/>
      <c r="DZ75" s="897">
        <f>(DZ4+DZ5+DZ6+DZ7+DZ8+DZ9)*0.3%</f>
        <v>-5860.6710000000003</v>
      </c>
    </row>
    <row r="76" spans="1:130" x14ac:dyDescent="0.25">
      <c r="A76" s="690"/>
      <c r="B76" s="705">
        <f>SUM(F76+J76+N76+R76+V76+Z76+AD76+AH76+AL76+AP76+AT76+AX76+BB76+BF76+BJ76+BN76+BR76+BV76+BZ76+CD76+CH76+CL76+CP76+CT76+CX76+DB76+DF76+DJ76+DN76+DR76+DV76)</f>
        <v>63.896999999999991</v>
      </c>
      <c r="C76" s="690"/>
      <c r="D76" s="690" t="s">
        <v>96</v>
      </c>
      <c r="E76" s="690"/>
      <c r="F76" s="897">
        <f>(F11+F12+F13+F14+F15+F10+F16+F17+F18)*0.3%</f>
        <v>6.84</v>
      </c>
      <c r="G76" s="690"/>
      <c r="H76" s="690" t="s">
        <v>96</v>
      </c>
      <c r="I76" s="690"/>
      <c r="J76" s="897">
        <f>(J11+J12+J13+J14+J15+J10+J16+J17+J18)*0.3%</f>
        <v>6.75</v>
      </c>
      <c r="K76" s="690"/>
      <c r="L76" s="690" t="s">
        <v>96</v>
      </c>
      <c r="M76" s="690"/>
      <c r="N76" s="897">
        <f>(N11+N12+N13+N14+N15+N10+N16+N17+N18)*0.3%</f>
        <v>8.1210000000000004</v>
      </c>
      <c r="O76" s="690"/>
      <c r="P76" s="690" t="s">
        <v>96</v>
      </c>
      <c r="Q76" s="690"/>
      <c r="R76" s="897">
        <f>(R11+R12+R13+R14+R15+R10+R16+R17+R18)*0.3%</f>
        <v>7.5720000000000001</v>
      </c>
      <c r="S76" s="690"/>
      <c r="T76" s="690" t="s">
        <v>96</v>
      </c>
      <c r="U76" s="690"/>
      <c r="V76" s="897">
        <f>(V11+V12+V13+V14+V15+V10+V16+V17+V18)*0.3%</f>
        <v>8.8529999999999998</v>
      </c>
      <c r="W76" s="690"/>
      <c r="X76" s="690" t="s">
        <v>96</v>
      </c>
      <c r="Y76" s="690"/>
      <c r="Z76" s="897">
        <f>(Z11+Z12+Z13+Z14+Z15+Z10+Z16+Z17+Z18)*0.3%</f>
        <v>9.1289999999999996</v>
      </c>
      <c r="AA76" s="690"/>
      <c r="AB76" s="690" t="s">
        <v>96</v>
      </c>
      <c r="AC76" s="690"/>
      <c r="AD76" s="897">
        <f>(AD11+AD12+AD13+AD14+AD15+AD10+AD16+AD17+AD18)*0.3%</f>
        <v>8.4809999999999999</v>
      </c>
      <c r="AE76" s="690"/>
      <c r="AF76" s="690" t="s">
        <v>96</v>
      </c>
      <c r="AG76" s="690"/>
      <c r="AH76" s="897">
        <f>(AH11+AH12+AH13+AH14+AH15+AH10+AH16+AH17+AH18)*0.3%</f>
        <v>8.1509999999999998</v>
      </c>
      <c r="AI76" s="690"/>
      <c r="AJ76" s="690" t="s">
        <v>96</v>
      </c>
      <c r="AK76" s="690"/>
      <c r="AL76" s="897">
        <f>(AL11+AL12+AL13+AL14+AL15+AL10+AL16+AL17+AL18)*0.3%</f>
        <v>-120.759</v>
      </c>
      <c r="AM76" s="690"/>
      <c r="AN76" s="690" t="s">
        <v>96</v>
      </c>
      <c r="AO76" s="690"/>
      <c r="AP76" s="897">
        <f>(AP11+AP12+AP13+AP14+AP15+AP10+AP16+AP17+AP18)*0.3%</f>
        <v>0</v>
      </c>
      <c r="AQ76" s="690"/>
      <c r="AR76" s="690" t="s">
        <v>96</v>
      </c>
      <c r="AS76" s="690"/>
      <c r="AT76" s="897">
        <f>(AT11+AT12+AT13+AT14+AT15+AT10+AT16+AT17+AT18)*0.3%</f>
        <v>120.759</v>
      </c>
      <c r="AU76" s="690"/>
      <c r="AV76" s="690" t="s">
        <v>96</v>
      </c>
      <c r="AW76" s="690"/>
      <c r="AX76" s="897">
        <f>(AX11+AX12+AX13+AX14+AX15+AX10+AX16+AX17+AX18)*0.3%</f>
        <v>0</v>
      </c>
      <c r="AY76" s="690"/>
      <c r="AZ76" s="690" t="s">
        <v>96</v>
      </c>
      <c r="BA76" s="690"/>
      <c r="BB76" s="897">
        <f>(BB11+BB12+BB13+BB14+BB15+BB10+BB16+BB17+BB18)*0.3%</f>
        <v>0</v>
      </c>
      <c r="BC76" s="690"/>
      <c r="BD76" s="690" t="s">
        <v>96</v>
      </c>
      <c r="BE76" s="690"/>
      <c r="BF76" s="897">
        <f>(BF11+BF12+BF13+BF14+BF15+BF10+BF16+BF17+BF18)*0.3%</f>
        <v>0</v>
      </c>
      <c r="BG76" s="690"/>
      <c r="BH76" s="690" t="s">
        <v>96</v>
      </c>
      <c r="BI76" s="690"/>
      <c r="BJ76" s="897">
        <f>(BJ11+BJ12+BJ13+BJ14+BJ15+BJ10+BJ16+BJ17+BJ18)*0.3%</f>
        <v>0</v>
      </c>
      <c r="BK76" s="690"/>
      <c r="BL76" s="690" t="s">
        <v>96</v>
      </c>
      <c r="BM76" s="690"/>
      <c r="BN76" s="897">
        <f>(BN11+BN12+BN13+BN14+BN15+BN10+BN16+BN17+BN18)*0.3%</f>
        <v>0</v>
      </c>
      <c r="BO76" s="690"/>
      <c r="BP76" s="690" t="s">
        <v>96</v>
      </c>
      <c r="BQ76" s="690"/>
      <c r="BR76" s="897">
        <f>(BR11+BR12+BR13+BR14+BR15+BR10+BR16+BR17+BR18)*0.3%</f>
        <v>0</v>
      </c>
      <c r="BS76" s="690"/>
      <c r="BT76" s="690" t="s">
        <v>96</v>
      </c>
      <c r="BU76" s="690"/>
      <c r="BV76" s="897">
        <f>(BV11+BV12+BV13+BV14+BV15+BV10+BV16+BV17+BV18)*0.3%</f>
        <v>0</v>
      </c>
      <c r="BW76" s="690"/>
      <c r="BX76" s="690" t="s">
        <v>96</v>
      </c>
      <c r="BY76" s="690"/>
      <c r="BZ76" s="897">
        <f>(BZ11+BZ12+BZ13+BZ14+BZ15+BZ10+BZ16+BZ17+BZ18)*0.3%</f>
        <v>0</v>
      </c>
      <c r="CA76" s="690"/>
      <c r="CB76" s="690" t="s">
        <v>96</v>
      </c>
      <c r="CC76" s="690"/>
      <c r="CD76" s="897">
        <f>(CD11+CD12+CD13+CD14+CD15+CD10+CD16+CD17+CD18)*0.3%</f>
        <v>0</v>
      </c>
      <c r="CE76" s="690"/>
      <c r="CF76" s="690" t="s">
        <v>96</v>
      </c>
      <c r="CG76" s="690"/>
      <c r="CH76" s="897">
        <f>(CH11+CH12+CH13+CH14+CH15+CH10+CH16+CH17+CH18)*0.3%</f>
        <v>0</v>
      </c>
      <c r="CI76" s="690"/>
      <c r="CJ76" s="690" t="s">
        <v>96</v>
      </c>
      <c r="CK76" s="690"/>
      <c r="CL76" s="897">
        <f>(CL11+CL12+CL13+CL14+CL15+CL10+CL16+CL17+CL18)*0.3%</f>
        <v>0</v>
      </c>
      <c r="CM76" s="690"/>
      <c r="CN76" s="690" t="s">
        <v>96</v>
      </c>
      <c r="CO76" s="690"/>
      <c r="CP76" s="897">
        <f>(CP11+CP12+CP13+CP14+CP15+CP10+CP16+CP17+CP18)*0.3%</f>
        <v>0</v>
      </c>
      <c r="CQ76" s="690"/>
      <c r="CR76" s="690" t="s">
        <v>96</v>
      </c>
      <c r="CS76" s="690"/>
      <c r="CT76" s="897">
        <f>(CT11+CT12+CT13+CT14+CT15+CT10+CT16+CT17+CT18)*0.3%</f>
        <v>0</v>
      </c>
      <c r="CU76" s="690"/>
      <c r="CV76" s="690" t="s">
        <v>96</v>
      </c>
      <c r="CW76" s="690"/>
      <c r="CX76" s="897">
        <f>(CX11+CX12+CX13+CX14+CX15+CX10+CX16+CX17+CX18)*0.3%</f>
        <v>0</v>
      </c>
      <c r="CY76" s="690"/>
      <c r="CZ76" s="690" t="s">
        <v>96</v>
      </c>
      <c r="DA76" s="690"/>
      <c r="DB76" s="897">
        <f>(DB11+DB12+DB13+DB14+DB15+DB10+DB16+DB17+DB18)*0.3%</f>
        <v>0</v>
      </c>
      <c r="DC76" s="690"/>
      <c r="DD76" s="690" t="s">
        <v>96</v>
      </c>
      <c r="DE76" s="690"/>
      <c r="DF76" s="897">
        <f>(DF11+DF12+DF13+DF14+DF15+DF10+DF16+DF17+DF18)*0.3%</f>
        <v>0</v>
      </c>
      <c r="DG76" s="690"/>
      <c r="DH76" s="690" t="s">
        <v>96</v>
      </c>
      <c r="DI76" s="690"/>
      <c r="DJ76" s="897">
        <f>(DJ11+DJ12+DJ13+DJ14+DJ15+DJ10+DJ16+DJ17+DJ18)*0.3%</f>
        <v>0</v>
      </c>
      <c r="DK76" s="690"/>
      <c r="DL76" s="690" t="s">
        <v>96</v>
      </c>
      <c r="DM76" s="690"/>
      <c r="DN76" s="897">
        <f>(DN11+DN12+DN13+DN14+DN15+DN10+DN16+DN17+DN18)*0.3%</f>
        <v>0</v>
      </c>
      <c r="DO76" s="690"/>
      <c r="DP76" s="690" t="s">
        <v>96</v>
      </c>
      <c r="DQ76" s="690"/>
      <c r="DR76" s="897">
        <f>(DR11+DR12+DR13+DR14+DR15+DR10+DR16+DR17+DR18)*0.3%</f>
        <v>0</v>
      </c>
      <c r="DS76" s="690"/>
      <c r="DT76" s="690" t="s">
        <v>96</v>
      </c>
      <c r="DU76" s="690"/>
      <c r="DV76" s="897">
        <f>(DV11+DV12+DV13+DV14+DV15+DV10+DV16+DV17+DV18)*0.3%</f>
        <v>0</v>
      </c>
      <c r="DW76" s="690"/>
      <c r="DX76" s="690" t="s">
        <v>96</v>
      </c>
      <c r="DY76" s="690"/>
      <c r="DZ76" s="897">
        <f>(DZ11+DZ12+DZ13+DZ14+DZ15+DZ10+DZ16+DZ17+DZ18)*0.3%</f>
        <v>-5762.0640000000003</v>
      </c>
    </row>
    <row r="77" spans="1:130" x14ac:dyDescent="0.25">
      <c r="A77" s="690"/>
      <c r="B77" s="705">
        <f>SUM(F77+J77+N77+R77+V77+Z77+AD77+AH77+AL77+AP77+AT77+AX77+BB77+BF77+BJ77+BN77+BR77+BV77+BZ77+CD77+CH77+CL77+CP77+CT77+CX77+DB77+DF77+DJ77+DN77+DR77+DV77)</f>
        <v>0</v>
      </c>
      <c r="C77" s="690"/>
      <c r="D77" s="690" t="s">
        <v>341</v>
      </c>
      <c r="E77" s="690"/>
      <c r="F77" s="690">
        <f>(+F19+F20)*0.3%</f>
        <v>0</v>
      </c>
      <c r="G77" s="690"/>
      <c r="H77" s="690" t="s">
        <v>341</v>
      </c>
      <c r="I77" s="690"/>
      <c r="J77" s="690">
        <f>(+J19+J20)*0.3%</f>
        <v>0</v>
      </c>
      <c r="K77" s="690"/>
      <c r="L77" s="690" t="s">
        <v>341</v>
      </c>
      <c r="M77" s="690"/>
      <c r="N77" s="690">
        <f>(+N19+N20)*0.3%</f>
        <v>0</v>
      </c>
      <c r="O77" s="690"/>
      <c r="P77" s="690" t="s">
        <v>341</v>
      </c>
      <c r="Q77" s="690"/>
      <c r="R77" s="690">
        <f>(+R19+R20)*0.3%</f>
        <v>0</v>
      </c>
      <c r="S77" s="690"/>
      <c r="T77" s="690" t="s">
        <v>341</v>
      </c>
      <c r="U77" s="690"/>
      <c r="V77" s="690">
        <f>(+V19+V20)*0.3%</f>
        <v>0</v>
      </c>
      <c r="W77" s="690"/>
      <c r="X77" s="690" t="s">
        <v>341</v>
      </c>
      <c r="Y77" s="690"/>
      <c r="Z77" s="690">
        <f>(+Z19+Z20)*0.3%</f>
        <v>0</v>
      </c>
      <c r="AA77" s="690"/>
      <c r="AB77" s="690" t="s">
        <v>341</v>
      </c>
      <c r="AC77" s="690"/>
      <c r="AD77" s="690">
        <f>(+AD19+AD20)*0.3%</f>
        <v>0</v>
      </c>
      <c r="AE77" s="690"/>
      <c r="AF77" s="690" t="s">
        <v>341</v>
      </c>
      <c r="AG77" s="690"/>
      <c r="AH77" s="690">
        <f>(+AH19+AH20)*0.3%</f>
        <v>0</v>
      </c>
      <c r="AI77" s="690"/>
      <c r="AJ77" s="690" t="s">
        <v>341</v>
      </c>
      <c r="AK77" s="690"/>
      <c r="AL77" s="690">
        <f>(+AL19+AL20)*0.3%</f>
        <v>0</v>
      </c>
      <c r="AM77" s="690"/>
      <c r="AN77" s="690" t="s">
        <v>341</v>
      </c>
      <c r="AO77" s="690"/>
      <c r="AP77" s="690">
        <f>(+AP19+AP20)*0.3%</f>
        <v>0</v>
      </c>
      <c r="AQ77" s="690"/>
      <c r="AR77" s="690" t="s">
        <v>341</v>
      </c>
      <c r="AS77" s="690"/>
      <c r="AT77" s="690">
        <f>(+AT19+AT20)*0.3%</f>
        <v>0</v>
      </c>
      <c r="AU77" s="690"/>
      <c r="AV77" s="690" t="s">
        <v>341</v>
      </c>
      <c r="AW77" s="690"/>
      <c r="AX77" s="690">
        <f>(+AX19+AX20)*0.3%</f>
        <v>0</v>
      </c>
      <c r="AY77" s="690"/>
      <c r="AZ77" s="690" t="s">
        <v>341</v>
      </c>
      <c r="BA77" s="690"/>
      <c r="BB77" s="690">
        <f>(+BB19+BB20)*0.3%</f>
        <v>0</v>
      </c>
      <c r="BC77" s="690"/>
      <c r="BD77" s="690" t="s">
        <v>341</v>
      </c>
      <c r="BE77" s="690"/>
      <c r="BF77" s="690">
        <f>(+BF19+BF20)*0.3%</f>
        <v>0</v>
      </c>
      <c r="BG77" s="690"/>
      <c r="BH77" s="690" t="s">
        <v>341</v>
      </c>
      <c r="BI77" s="690"/>
      <c r="BJ77" s="690">
        <f>(+BJ19+BJ20)*0.3%</f>
        <v>0</v>
      </c>
      <c r="BK77" s="690"/>
      <c r="BL77" s="690" t="s">
        <v>341</v>
      </c>
      <c r="BM77" s="690"/>
      <c r="BN77" s="690">
        <f>(+BN19+BN20)*0.3%</f>
        <v>0</v>
      </c>
      <c r="BO77" s="690"/>
      <c r="BP77" s="690" t="s">
        <v>341</v>
      </c>
      <c r="BQ77" s="690"/>
      <c r="BR77" s="690">
        <f>(+BR19+BR20)*0.3%</f>
        <v>0</v>
      </c>
      <c r="BS77" s="690"/>
      <c r="BT77" s="690" t="s">
        <v>341</v>
      </c>
      <c r="BU77" s="690"/>
      <c r="BV77" s="690">
        <f>(+BV19+BV20)*0.3%</f>
        <v>0</v>
      </c>
      <c r="BW77" s="690"/>
      <c r="BX77" s="690" t="s">
        <v>341</v>
      </c>
      <c r="BY77" s="690"/>
      <c r="BZ77" s="690">
        <f>(+BZ19+BZ20)*0.3%</f>
        <v>0</v>
      </c>
      <c r="CA77" s="690"/>
      <c r="CB77" s="690" t="s">
        <v>341</v>
      </c>
      <c r="CC77" s="690"/>
      <c r="CD77" s="690">
        <f>(+CD19+CD20)*0.3%</f>
        <v>0</v>
      </c>
      <c r="CE77" s="690"/>
      <c r="CF77" s="690" t="s">
        <v>341</v>
      </c>
      <c r="CG77" s="690"/>
      <c r="CH77" s="690">
        <f>(+CH19+CH20)*0.3%</f>
        <v>0</v>
      </c>
      <c r="CI77" s="690"/>
      <c r="CJ77" s="690" t="s">
        <v>341</v>
      </c>
      <c r="CK77" s="690"/>
      <c r="CL77" s="690">
        <f>(+CL19+CL20)*0.3%</f>
        <v>0</v>
      </c>
      <c r="CM77" s="690"/>
      <c r="CN77" s="690" t="s">
        <v>341</v>
      </c>
      <c r="CO77" s="690"/>
      <c r="CP77" s="690">
        <f>(+CP19+CP20)*0.3%</f>
        <v>0</v>
      </c>
      <c r="CQ77" s="690"/>
      <c r="CR77" s="690" t="s">
        <v>341</v>
      </c>
      <c r="CS77" s="690"/>
      <c r="CT77" s="690">
        <f>(+CT19+CT20)*0.3%</f>
        <v>0</v>
      </c>
      <c r="CU77" s="690"/>
      <c r="CV77" s="690" t="s">
        <v>341</v>
      </c>
      <c r="CW77" s="690"/>
      <c r="CX77" s="690">
        <f>(+CX19+CX20)*0.3%</f>
        <v>0</v>
      </c>
      <c r="CY77" s="690"/>
      <c r="CZ77" s="690" t="s">
        <v>341</v>
      </c>
      <c r="DA77" s="690"/>
      <c r="DB77" s="690">
        <f>(+DB19+DB20)*0.3%</f>
        <v>0</v>
      </c>
      <c r="DC77" s="690"/>
      <c r="DD77" s="690" t="s">
        <v>341</v>
      </c>
      <c r="DE77" s="690"/>
      <c r="DF77" s="690">
        <f>(+DF19+DF20)*0.3%</f>
        <v>0</v>
      </c>
      <c r="DG77" s="690"/>
      <c r="DH77" s="690" t="s">
        <v>341</v>
      </c>
      <c r="DI77" s="690"/>
      <c r="DJ77" s="690">
        <f>(+DJ19+DJ20)*0.3%</f>
        <v>0</v>
      </c>
      <c r="DK77" s="690"/>
      <c r="DL77" s="690" t="s">
        <v>341</v>
      </c>
      <c r="DM77" s="690"/>
      <c r="DN77" s="690">
        <f>(+DN19+DN20)*0.3%</f>
        <v>0</v>
      </c>
      <c r="DO77" s="690"/>
      <c r="DP77" s="690" t="s">
        <v>341</v>
      </c>
      <c r="DQ77" s="690"/>
      <c r="DR77" s="690">
        <f>(+DR19+DR20)*0.3%</f>
        <v>0</v>
      </c>
      <c r="DS77" s="690"/>
      <c r="DT77" s="690" t="s">
        <v>341</v>
      </c>
      <c r="DU77" s="690"/>
      <c r="DV77" s="690">
        <f>(+DV19+DV20)*0.3%</f>
        <v>0</v>
      </c>
      <c r="DW77" s="690"/>
      <c r="DX77" s="690" t="s">
        <v>341</v>
      </c>
      <c r="DY77" s="690"/>
      <c r="DZ77" s="690">
        <f>(+DZ19+DZ20)*0.3%</f>
        <v>0</v>
      </c>
    </row>
    <row r="78" spans="1:130" x14ac:dyDescent="0.25">
      <c r="A78" s="704" t="s">
        <v>358</v>
      </c>
      <c r="B78" s="690"/>
      <c r="C78" s="690"/>
      <c r="D78" s="704" t="s">
        <v>359</v>
      </c>
      <c r="E78" s="690"/>
      <c r="F78" s="690"/>
      <c r="G78" s="690"/>
      <c r="H78" s="704" t="s">
        <v>359</v>
      </c>
      <c r="I78" s="690"/>
      <c r="J78" s="690"/>
      <c r="K78" s="690"/>
      <c r="L78" s="704" t="s">
        <v>359</v>
      </c>
      <c r="M78" s="690"/>
      <c r="N78" s="690"/>
      <c r="O78" s="690"/>
      <c r="P78" s="704" t="s">
        <v>359</v>
      </c>
      <c r="Q78" s="690"/>
      <c r="R78" s="690"/>
      <c r="S78" s="690"/>
      <c r="T78" s="704" t="s">
        <v>359</v>
      </c>
      <c r="U78" s="690"/>
      <c r="V78" s="690"/>
      <c r="W78" s="690"/>
      <c r="X78" s="704" t="s">
        <v>359</v>
      </c>
      <c r="Y78" s="690"/>
      <c r="Z78" s="690"/>
      <c r="AA78" s="690"/>
      <c r="AB78" s="704" t="s">
        <v>359</v>
      </c>
      <c r="AC78" s="690"/>
      <c r="AD78" s="690"/>
      <c r="AE78" s="690"/>
      <c r="AF78" s="704" t="s">
        <v>359</v>
      </c>
      <c r="AG78" s="690"/>
      <c r="AH78" s="690"/>
      <c r="AI78" s="690"/>
      <c r="AJ78" s="704" t="s">
        <v>359</v>
      </c>
      <c r="AK78" s="690"/>
      <c r="AL78" s="690"/>
      <c r="AM78" s="690"/>
      <c r="AN78" s="704" t="s">
        <v>359</v>
      </c>
      <c r="AO78" s="690"/>
      <c r="AP78" s="690"/>
      <c r="AQ78" s="690"/>
      <c r="AR78" s="704" t="s">
        <v>359</v>
      </c>
      <c r="AS78" s="690"/>
      <c r="AT78" s="690"/>
      <c r="AU78" s="690"/>
      <c r="AV78" s="704" t="s">
        <v>359</v>
      </c>
      <c r="AW78" s="690"/>
      <c r="AX78" s="690"/>
      <c r="AY78" s="690"/>
      <c r="AZ78" s="704" t="s">
        <v>359</v>
      </c>
      <c r="BA78" s="690"/>
      <c r="BB78" s="690"/>
      <c r="BC78" s="690"/>
      <c r="BD78" s="704" t="s">
        <v>359</v>
      </c>
      <c r="BE78" s="690"/>
      <c r="BF78" s="690"/>
      <c r="BG78" s="690"/>
      <c r="BH78" s="704" t="s">
        <v>359</v>
      </c>
      <c r="BI78" s="690"/>
      <c r="BJ78" s="690"/>
      <c r="BK78" s="690"/>
      <c r="BL78" s="704" t="s">
        <v>359</v>
      </c>
      <c r="BM78" s="690"/>
      <c r="BN78" s="690"/>
      <c r="BO78" s="690"/>
      <c r="BP78" s="704" t="s">
        <v>359</v>
      </c>
      <c r="BQ78" s="690"/>
      <c r="BR78" s="690"/>
      <c r="BS78" s="690"/>
      <c r="BT78" s="704" t="s">
        <v>359</v>
      </c>
      <c r="BU78" s="690"/>
      <c r="BV78" s="690"/>
      <c r="BW78" s="690"/>
      <c r="BX78" s="704" t="s">
        <v>359</v>
      </c>
      <c r="BY78" s="690"/>
      <c r="BZ78" s="690"/>
      <c r="CA78" s="690"/>
      <c r="CB78" s="704" t="s">
        <v>359</v>
      </c>
      <c r="CC78" s="690"/>
      <c r="CD78" s="690"/>
      <c r="CE78" s="690"/>
      <c r="CF78" s="704" t="s">
        <v>359</v>
      </c>
      <c r="CG78" s="690"/>
      <c r="CH78" s="690"/>
      <c r="CI78" s="690"/>
      <c r="CJ78" s="704" t="s">
        <v>359</v>
      </c>
      <c r="CK78" s="690"/>
      <c r="CL78" s="690"/>
      <c r="CM78" s="690"/>
      <c r="CN78" s="704" t="s">
        <v>359</v>
      </c>
      <c r="CO78" s="690"/>
      <c r="CP78" s="690"/>
      <c r="CQ78" s="690"/>
      <c r="CR78" s="704" t="s">
        <v>359</v>
      </c>
      <c r="CS78" s="690"/>
      <c r="CT78" s="690"/>
      <c r="CU78" s="690"/>
      <c r="CV78" s="704" t="s">
        <v>359</v>
      </c>
      <c r="CW78" s="690"/>
      <c r="CX78" s="690"/>
      <c r="CY78" s="690"/>
      <c r="CZ78" s="704" t="s">
        <v>359</v>
      </c>
      <c r="DA78" s="690"/>
      <c r="DB78" s="690"/>
      <c r="DC78" s="690"/>
      <c r="DD78" s="704" t="s">
        <v>359</v>
      </c>
      <c r="DE78" s="690"/>
      <c r="DF78" s="690"/>
      <c r="DG78" s="690"/>
      <c r="DH78" s="704" t="s">
        <v>359</v>
      </c>
      <c r="DI78" s="690"/>
      <c r="DJ78" s="690"/>
      <c r="DK78" s="690"/>
      <c r="DL78" s="704" t="s">
        <v>359</v>
      </c>
      <c r="DM78" s="690"/>
      <c r="DN78" s="690"/>
      <c r="DO78" s="690"/>
      <c r="DP78" s="704" t="s">
        <v>359</v>
      </c>
      <c r="DQ78" s="690"/>
      <c r="DR78" s="690"/>
      <c r="DS78" s="690"/>
      <c r="DT78" s="704" t="s">
        <v>359</v>
      </c>
      <c r="DU78" s="690"/>
      <c r="DV78" s="690"/>
      <c r="DW78" s="690"/>
      <c r="DX78" s="704" t="s">
        <v>359</v>
      </c>
      <c r="DY78" s="690"/>
      <c r="DZ78" s="690"/>
    </row>
    <row r="79" spans="1:130" x14ac:dyDescent="0.25">
      <c r="A79" s="690"/>
      <c r="B79" s="705">
        <f>SUM(F79+J79+N79+R79+V79+Z79+AD79+AH79+AL79+AP79+AT79+AX79+BB79+BF79+BJ79+BN79+BR79+BV79+BZ79+CD79+CH79+CL79+CP79+CT79+CX79+DB79+DF79+DJ79+DN79+DR79+DV79)</f>
        <v>3226</v>
      </c>
      <c r="C79" s="690"/>
      <c r="D79" s="690" t="s">
        <v>95</v>
      </c>
      <c r="E79" s="690"/>
      <c r="F79" s="690">
        <f>+F29</f>
        <v>-25</v>
      </c>
      <c r="G79" s="690"/>
      <c r="H79" s="690" t="s">
        <v>95</v>
      </c>
      <c r="I79" s="690"/>
      <c r="J79" s="690">
        <f>+J29</f>
        <v>14</v>
      </c>
      <c r="K79" s="690"/>
      <c r="L79" s="690" t="s">
        <v>95</v>
      </c>
      <c r="M79" s="690"/>
      <c r="N79" s="690">
        <f>+N29</f>
        <v>-51</v>
      </c>
      <c r="O79" s="690"/>
      <c r="P79" s="690" t="s">
        <v>95</v>
      </c>
      <c r="Q79" s="690"/>
      <c r="R79" s="690">
        <f>+R29</f>
        <v>20</v>
      </c>
      <c r="S79" s="690"/>
      <c r="T79" s="690" t="s">
        <v>95</v>
      </c>
      <c r="U79" s="690"/>
      <c r="V79" s="690">
        <f>+V29</f>
        <v>52</v>
      </c>
      <c r="W79" s="690"/>
      <c r="X79" s="690" t="s">
        <v>95</v>
      </c>
      <c r="Y79" s="690"/>
      <c r="Z79" s="690">
        <f>+Z29</f>
        <v>-20</v>
      </c>
      <c r="AA79" s="690"/>
      <c r="AB79" s="690" t="s">
        <v>95</v>
      </c>
      <c r="AC79" s="690"/>
      <c r="AD79" s="690">
        <f>+AD29</f>
        <v>-37</v>
      </c>
      <c r="AE79" s="690"/>
      <c r="AF79" s="690" t="s">
        <v>95</v>
      </c>
      <c r="AG79" s="690"/>
      <c r="AH79" s="690">
        <f>+AH29</f>
        <v>-22</v>
      </c>
      <c r="AI79" s="690"/>
      <c r="AJ79" s="690" t="s">
        <v>95</v>
      </c>
      <c r="AK79" s="690"/>
      <c r="AL79" s="690">
        <f>+AL29</f>
        <v>3488</v>
      </c>
      <c r="AM79" s="690"/>
      <c r="AN79" s="690" t="s">
        <v>95</v>
      </c>
      <c r="AO79" s="690"/>
      <c r="AP79" s="690">
        <f>+AP29</f>
        <v>-2500</v>
      </c>
      <c r="AQ79" s="690"/>
      <c r="AR79" s="690" t="s">
        <v>95</v>
      </c>
      <c r="AS79" s="690"/>
      <c r="AT79" s="690">
        <f>+AT29</f>
        <v>-2139</v>
      </c>
      <c r="AU79" s="690"/>
      <c r="AV79" s="690" t="s">
        <v>95</v>
      </c>
      <c r="AW79" s="690"/>
      <c r="AX79" s="690">
        <f>+AX29</f>
        <v>6315</v>
      </c>
      <c r="AY79" s="690"/>
      <c r="AZ79" s="690" t="s">
        <v>95</v>
      </c>
      <c r="BA79" s="690"/>
      <c r="BB79" s="690">
        <f>+BB29</f>
        <v>-1757</v>
      </c>
      <c r="BC79" s="690"/>
      <c r="BD79" s="690" t="s">
        <v>95</v>
      </c>
      <c r="BE79" s="690"/>
      <c r="BF79" s="690">
        <f>+BF29</f>
        <v>5935</v>
      </c>
      <c r="BG79" s="690"/>
      <c r="BH79" s="690" t="s">
        <v>95</v>
      </c>
      <c r="BI79" s="690"/>
      <c r="BJ79" s="690">
        <f>+BJ29</f>
        <v>-4576</v>
      </c>
      <c r="BK79" s="690"/>
      <c r="BL79" s="690" t="s">
        <v>95</v>
      </c>
      <c r="BM79" s="690"/>
      <c r="BN79" s="690">
        <f>+BN29</f>
        <v>-3947</v>
      </c>
      <c r="BO79" s="690"/>
      <c r="BP79" s="690" t="s">
        <v>95</v>
      </c>
      <c r="BQ79" s="690"/>
      <c r="BR79" s="690">
        <f>+BR29</f>
        <v>-966</v>
      </c>
      <c r="BS79" s="690"/>
      <c r="BT79" s="690" t="s">
        <v>95</v>
      </c>
      <c r="BU79" s="690"/>
      <c r="BV79" s="690">
        <f>+BV29</f>
        <v>8641</v>
      </c>
      <c r="BW79" s="690"/>
      <c r="BX79" s="690" t="s">
        <v>95</v>
      </c>
      <c r="BY79" s="690"/>
      <c r="BZ79" s="690">
        <f>+BZ29</f>
        <v>-2282</v>
      </c>
      <c r="CA79" s="690"/>
      <c r="CB79" s="690" t="s">
        <v>95</v>
      </c>
      <c r="CC79" s="690"/>
      <c r="CD79" s="690">
        <f>+CD29</f>
        <v>-2084</v>
      </c>
      <c r="CE79" s="690"/>
      <c r="CF79" s="690" t="s">
        <v>95</v>
      </c>
      <c r="CG79" s="690"/>
      <c r="CH79" s="690">
        <f>+CH29</f>
        <v>5382</v>
      </c>
      <c r="CI79" s="690"/>
      <c r="CJ79" s="690" t="s">
        <v>95</v>
      </c>
      <c r="CK79" s="690"/>
      <c r="CL79" s="690">
        <f>+CL29</f>
        <v>-1445</v>
      </c>
      <c r="CM79" s="690"/>
      <c r="CN79" s="690" t="s">
        <v>95</v>
      </c>
      <c r="CO79" s="690"/>
      <c r="CP79" s="690">
        <f>+CP29</f>
        <v>-4350</v>
      </c>
      <c r="CQ79" s="690"/>
      <c r="CR79" s="690" t="s">
        <v>95</v>
      </c>
      <c r="CS79" s="690"/>
      <c r="CT79" s="690">
        <f>+CT29</f>
        <v>-2583</v>
      </c>
      <c r="CU79" s="690"/>
      <c r="CV79" s="690" t="s">
        <v>95</v>
      </c>
      <c r="CW79" s="690"/>
      <c r="CX79" s="690">
        <f>+CX29</f>
        <v>5917</v>
      </c>
      <c r="CY79" s="690"/>
      <c r="CZ79" s="690" t="s">
        <v>95</v>
      </c>
      <c r="DA79" s="690"/>
      <c r="DB79" s="690">
        <f>+DB29</f>
        <v>2344</v>
      </c>
      <c r="DC79" s="690"/>
      <c r="DD79" s="690" t="s">
        <v>95</v>
      </c>
      <c r="DE79" s="690"/>
      <c r="DF79" s="690">
        <f>+DF29</f>
        <v>-2108</v>
      </c>
      <c r="DG79" s="690"/>
      <c r="DH79" s="690" t="s">
        <v>95</v>
      </c>
      <c r="DI79" s="690"/>
      <c r="DJ79" s="690">
        <f>+DJ29</f>
        <v>2935</v>
      </c>
      <c r="DK79" s="690"/>
      <c r="DL79" s="690" t="s">
        <v>95</v>
      </c>
      <c r="DM79" s="690"/>
      <c r="DN79" s="690">
        <f>+DN29</f>
        <v>-2345</v>
      </c>
      <c r="DO79" s="690"/>
      <c r="DP79" s="690" t="s">
        <v>95</v>
      </c>
      <c r="DQ79" s="690"/>
      <c r="DR79" s="690">
        <f>+DR29</f>
        <v>-2238</v>
      </c>
      <c r="DS79" s="690"/>
      <c r="DT79" s="690" t="s">
        <v>95</v>
      </c>
      <c r="DU79" s="690"/>
      <c r="DV79" s="690">
        <f>+DV29</f>
        <v>-2342</v>
      </c>
      <c r="DW79" s="690"/>
      <c r="DX79" s="690" t="s">
        <v>95</v>
      </c>
      <c r="DY79" s="690"/>
      <c r="DZ79" s="690">
        <f>+DZ29</f>
        <v>-1984870</v>
      </c>
    </row>
    <row r="80" spans="1:130" x14ac:dyDescent="0.25">
      <c r="A80" s="690"/>
      <c r="B80" s="705">
        <f>SUM(F80+J80+N80+R80+V80+Z80+AD80+AH80+AL80+AP80+AT80+AX80+BB80+BF80+BJ80+BN80+BR80+BV80+BZ80+CD80+CH80+CL80+CP80+CT80+CX80+DB80+DF80+DJ80+DN80+DR80+DV80)</f>
        <v>-5708</v>
      </c>
      <c r="C80" s="690"/>
      <c r="D80" s="690" t="s">
        <v>96</v>
      </c>
      <c r="E80" s="690"/>
      <c r="F80" s="690">
        <f>+F38</f>
        <v>-32</v>
      </c>
      <c r="G80" s="690"/>
      <c r="H80" s="690" t="s">
        <v>96</v>
      </c>
      <c r="I80" s="690"/>
      <c r="J80" s="690">
        <f>+J38</f>
        <v>19</v>
      </c>
      <c r="K80" s="690"/>
      <c r="L80" s="690" t="s">
        <v>96</v>
      </c>
      <c r="M80" s="690"/>
      <c r="N80" s="690">
        <f>+N38</f>
        <v>-17</v>
      </c>
      <c r="O80" s="690"/>
      <c r="P80" s="690" t="s">
        <v>96</v>
      </c>
      <c r="Q80" s="690"/>
      <c r="R80" s="690">
        <f>+R38</f>
        <v>-4</v>
      </c>
      <c r="S80" s="690"/>
      <c r="T80" s="690" t="s">
        <v>96</v>
      </c>
      <c r="U80" s="690"/>
      <c r="V80" s="690">
        <f>+V38</f>
        <v>21</v>
      </c>
      <c r="W80" s="690"/>
      <c r="X80" s="690" t="s">
        <v>96</v>
      </c>
      <c r="Y80" s="690"/>
      <c r="Z80" s="690">
        <f>+Z38</f>
        <v>-15</v>
      </c>
      <c r="AA80" s="690"/>
      <c r="AB80" s="690" t="s">
        <v>96</v>
      </c>
      <c r="AC80" s="690"/>
      <c r="AD80" s="690">
        <f>+AD38</f>
        <v>-9</v>
      </c>
      <c r="AE80" s="690"/>
      <c r="AF80" s="690" t="s">
        <v>96</v>
      </c>
      <c r="AG80" s="690"/>
      <c r="AH80" s="690">
        <f>+AH38</f>
        <v>-4</v>
      </c>
      <c r="AI80" s="690"/>
      <c r="AJ80" s="690" t="s">
        <v>96</v>
      </c>
      <c r="AK80" s="690"/>
      <c r="AL80" s="690">
        <f>+AL38</f>
        <v>-44422</v>
      </c>
      <c r="AM80" s="690"/>
      <c r="AN80" s="690" t="s">
        <v>96</v>
      </c>
      <c r="AO80" s="690"/>
      <c r="AP80" s="690">
        <f>+AP38</f>
        <v>-2108</v>
      </c>
      <c r="AQ80" s="690"/>
      <c r="AR80" s="690" t="s">
        <v>96</v>
      </c>
      <c r="AS80" s="690"/>
      <c r="AT80" s="690">
        <f>+AT38</f>
        <v>38482</v>
      </c>
      <c r="AU80" s="690"/>
      <c r="AV80" s="690" t="s">
        <v>96</v>
      </c>
      <c r="AW80" s="690"/>
      <c r="AX80" s="690">
        <f>+AX38</f>
        <v>5013</v>
      </c>
      <c r="AY80" s="690"/>
      <c r="AZ80" s="690" t="s">
        <v>96</v>
      </c>
      <c r="BA80" s="690"/>
      <c r="BB80" s="690">
        <f>+BB38</f>
        <v>-2762</v>
      </c>
      <c r="BC80" s="690"/>
      <c r="BD80" s="690" t="s">
        <v>96</v>
      </c>
      <c r="BE80" s="690"/>
      <c r="BF80" s="690">
        <f>+BF38</f>
        <v>3768</v>
      </c>
      <c r="BG80" s="690"/>
      <c r="BH80" s="690" t="s">
        <v>96</v>
      </c>
      <c r="BI80" s="690"/>
      <c r="BJ80" s="690">
        <f>+BJ38</f>
        <v>2517</v>
      </c>
      <c r="BK80" s="690"/>
      <c r="BL80" s="690" t="s">
        <v>96</v>
      </c>
      <c r="BM80" s="690"/>
      <c r="BN80" s="690">
        <f>+BN38</f>
        <v>-3018</v>
      </c>
      <c r="BO80" s="690"/>
      <c r="BP80" s="690" t="s">
        <v>96</v>
      </c>
      <c r="BQ80" s="690"/>
      <c r="BR80" s="690">
        <f>+BR38</f>
        <v>-2445</v>
      </c>
      <c r="BS80" s="690"/>
      <c r="BT80" s="690" t="s">
        <v>96</v>
      </c>
      <c r="BU80" s="690"/>
      <c r="BV80" s="690">
        <f>+BV38</f>
        <v>3004</v>
      </c>
      <c r="BW80" s="690"/>
      <c r="BX80" s="690" t="s">
        <v>96</v>
      </c>
      <c r="BY80" s="690"/>
      <c r="BZ80" s="690">
        <f>+BZ38</f>
        <v>-2076</v>
      </c>
      <c r="CA80" s="690"/>
      <c r="CB80" s="690" t="s">
        <v>96</v>
      </c>
      <c r="CC80" s="690"/>
      <c r="CD80" s="690">
        <f>+CD38</f>
        <v>-1784</v>
      </c>
      <c r="CE80" s="690"/>
      <c r="CF80" s="690" t="s">
        <v>96</v>
      </c>
      <c r="CG80" s="690"/>
      <c r="CH80" s="690">
        <f>+CH38</f>
        <v>4803</v>
      </c>
      <c r="CI80" s="690"/>
      <c r="CJ80" s="690" t="s">
        <v>96</v>
      </c>
      <c r="CK80" s="690"/>
      <c r="CL80" s="690">
        <f>+CL38</f>
        <v>-786</v>
      </c>
      <c r="CM80" s="690"/>
      <c r="CN80" s="690" t="s">
        <v>96</v>
      </c>
      <c r="CO80" s="690"/>
      <c r="CP80" s="690">
        <f>+CP38</f>
        <v>-3080</v>
      </c>
      <c r="CQ80" s="690"/>
      <c r="CR80" s="690" t="s">
        <v>96</v>
      </c>
      <c r="CS80" s="690"/>
      <c r="CT80" s="690">
        <f>+CT38</f>
        <v>-2950</v>
      </c>
      <c r="CU80" s="690"/>
      <c r="CV80" s="690" t="s">
        <v>96</v>
      </c>
      <c r="CW80" s="690"/>
      <c r="CX80" s="690">
        <f>+CX38</f>
        <v>9210</v>
      </c>
      <c r="CY80" s="690"/>
      <c r="CZ80" s="690" t="s">
        <v>96</v>
      </c>
      <c r="DA80" s="690"/>
      <c r="DB80" s="690">
        <f>+DB38</f>
        <v>-4964</v>
      </c>
      <c r="DC80" s="690"/>
      <c r="DD80" s="690" t="s">
        <v>96</v>
      </c>
      <c r="DE80" s="690"/>
      <c r="DF80" s="690">
        <f>+DF38</f>
        <v>-2534</v>
      </c>
      <c r="DG80" s="690"/>
      <c r="DH80" s="690" t="s">
        <v>96</v>
      </c>
      <c r="DI80" s="690"/>
      <c r="DJ80" s="690">
        <f>+DJ38</f>
        <v>8467</v>
      </c>
      <c r="DK80" s="690"/>
      <c r="DL80" s="690" t="s">
        <v>96</v>
      </c>
      <c r="DM80" s="690"/>
      <c r="DN80" s="690">
        <f>+DN38</f>
        <v>-2276</v>
      </c>
      <c r="DO80" s="690"/>
      <c r="DP80" s="690" t="s">
        <v>96</v>
      </c>
      <c r="DQ80" s="690"/>
      <c r="DR80" s="690">
        <f>+DR38</f>
        <v>-3395</v>
      </c>
      <c r="DS80" s="690"/>
      <c r="DT80" s="690" t="s">
        <v>96</v>
      </c>
      <c r="DU80" s="690"/>
      <c r="DV80" s="690">
        <f>+DV38</f>
        <v>-2331</v>
      </c>
      <c r="DW80" s="690"/>
      <c r="DX80" s="690" t="s">
        <v>96</v>
      </c>
      <c r="DY80" s="690"/>
      <c r="DZ80" s="690">
        <f>+DZ38</f>
        <v>-1937784</v>
      </c>
    </row>
    <row r="81" spans="1:130" x14ac:dyDescent="0.25">
      <c r="A81" s="690"/>
      <c r="B81" s="705">
        <f>SUM(F81+J81+N81+R81+V81+Z81+AD81+AH81+AL81+AP81+AT81+AX81+BB81+BF81+BJ81+BN81+BR81+BV81+BZ81+CD81+CH81+CL81+CP81+CT81+CX81+DB81+DF81+DJ81+DN81+DR81+DV81)</f>
        <v>0</v>
      </c>
      <c r="C81" s="690"/>
      <c r="D81" s="690" t="s">
        <v>341</v>
      </c>
      <c r="E81" s="690"/>
      <c r="F81" s="690">
        <f>+F46</f>
        <v>0</v>
      </c>
      <c r="G81" s="690"/>
      <c r="H81" s="690" t="s">
        <v>341</v>
      </c>
      <c r="I81" s="690"/>
      <c r="J81" s="690">
        <f>+J46</f>
        <v>0</v>
      </c>
      <c r="K81" s="690"/>
      <c r="L81" s="690" t="s">
        <v>341</v>
      </c>
      <c r="M81" s="690"/>
      <c r="N81" s="690">
        <f>+N46</f>
        <v>0</v>
      </c>
      <c r="O81" s="690"/>
      <c r="P81" s="690" t="s">
        <v>341</v>
      </c>
      <c r="Q81" s="690"/>
      <c r="R81" s="690">
        <f>+R46</f>
        <v>0</v>
      </c>
      <c r="S81" s="690"/>
      <c r="T81" s="690" t="s">
        <v>341</v>
      </c>
      <c r="U81" s="690"/>
      <c r="V81" s="690">
        <f>+V46</f>
        <v>0</v>
      </c>
      <c r="W81" s="690"/>
      <c r="X81" s="690" t="s">
        <v>341</v>
      </c>
      <c r="Y81" s="690"/>
      <c r="Z81" s="690">
        <f>+Z46</f>
        <v>0</v>
      </c>
      <c r="AA81" s="690"/>
      <c r="AB81" s="690" t="s">
        <v>341</v>
      </c>
      <c r="AC81" s="690"/>
      <c r="AD81" s="690">
        <f>+AD46</f>
        <v>0</v>
      </c>
      <c r="AE81" s="690"/>
      <c r="AF81" s="690" t="s">
        <v>341</v>
      </c>
      <c r="AG81" s="690"/>
      <c r="AH81" s="690">
        <f>+AH46</f>
        <v>0</v>
      </c>
      <c r="AI81" s="690"/>
      <c r="AJ81" s="690" t="s">
        <v>341</v>
      </c>
      <c r="AK81" s="690"/>
      <c r="AL81" s="690">
        <f>+AL46</f>
        <v>0</v>
      </c>
      <c r="AM81" s="690"/>
      <c r="AN81" s="690" t="s">
        <v>341</v>
      </c>
      <c r="AO81" s="690"/>
      <c r="AP81" s="690">
        <f>+AP46</f>
        <v>0</v>
      </c>
      <c r="AQ81" s="690"/>
      <c r="AR81" s="690" t="s">
        <v>341</v>
      </c>
      <c r="AS81" s="690"/>
      <c r="AT81" s="690">
        <f>+AT46</f>
        <v>0</v>
      </c>
      <c r="AU81" s="690"/>
      <c r="AV81" s="690" t="s">
        <v>341</v>
      </c>
      <c r="AW81" s="690"/>
      <c r="AX81" s="690">
        <f>+AX46</f>
        <v>0</v>
      </c>
      <c r="AY81" s="690"/>
      <c r="AZ81" s="690" t="s">
        <v>341</v>
      </c>
      <c r="BA81" s="690"/>
      <c r="BB81" s="690">
        <f>+BB46</f>
        <v>0</v>
      </c>
      <c r="BC81" s="690"/>
      <c r="BD81" s="690" t="s">
        <v>341</v>
      </c>
      <c r="BE81" s="690"/>
      <c r="BF81" s="690">
        <f>+BF46</f>
        <v>0</v>
      </c>
      <c r="BG81" s="690"/>
      <c r="BH81" s="690" t="s">
        <v>341</v>
      </c>
      <c r="BI81" s="690"/>
      <c r="BJ81" s="690">
        <f>+BJ46</f>
        <v>0</v>
      </c>
      <c r="BK81" s="690"/>
      <c r="BL81" s="690" t="s">
        <v>341</v>
      </c>
      <c r="BM81" s="690"/>
      <c r="BN81" s="690">
        <f>+BN46</f>
        <v>0</v>
      </c>
      <c r="BO81" s="690"/>
      <c r="BP81" s="690" t="s">
        <v>341</v>
      </c>
      <c r="BQ81" s="690"/>
      <c r="BR81" s="690">
        <f>+BR46</f>
        <v>0</v>
      </c>
      <c r="BS81" s="690"/>
      <c r="BT81" s="690" t="s">
        <v>341</v>
      </c>
      <c r="BU81" s="690"/>
      <c r="BV81" s="690">
        <f>+BV46</f>
        <v>0</v>
      </c>
      <c r="BW81" s="690"/>
      <c r="BX81" s="690" t="s">
        <v>341</v>
      </c>
      <c r="BY81" s="690"/>
      <c r="BZ81" s="690">
        <f>+BZ46</f>
        <v>0</v>
      </c>
      <c r="CA81" s="690"/>
      <c r="CB81" s="690" t="s">
        <v>341</v>
      </c>
      <c r="CC81" s="690"/>
      <c r="CD81" s="690">
        <f>+CD46</f>
        <v>0</v>
      </c>
      <c r="CE81" s="690"/>
      <c r="CF81" s="690" t="s">
        <v>341</v>
      </c>
      <c r="CG81" s="690"/>
      <c r="CH81" s="690">
        <f>+CH46</f>
        <v>0</v>
      </c>
      <c r="CI81" s="690"/>
      <c r="CJ81" s="690" t="s">
        <v>341</v>
      </c>
      <c r="CK81" s="690"/>
      <c r="CL81" s="690">
        <f>+CL46</f>
        <v>0</v>
      </c>
      <c r="CM81" s="690"/>
      <c r="CN81" s="690" t="s">
        <v>341</v>
      </c>
      <c r="CO81" s="690"/>
      <c r="CP81" s="690">
        <f>+CP46</f>
        <v>0</v>
      </c>
      <c r="CQ81" s="690"/>
      <c r="CR81" s="690" t="s">
        <v>341</v>
      </c>
      <c r="CS81" s="690"/>
      <c r="CT81" s="690">
        <f>+CT46</f>
        <v>0</v>
      </c>
      <c r="CU81" s="690"/>
      <c r="CV81" s="690" t="s">
        <v>341</v>
      </c>
      <c r="CW81" s="690"/>
      <c r="CX81" s="690">
        <f>+CX46</f>
        <v>0</v>
      </c>
      <c r="CY81" s="690"/>
      <c r="CZ81" s="690" t="s">
        <v>341</v>
      </c>
      <c r="DA81" s="690"/>
      <c r="DB81" s="690">
        <f>+DB46</f>
        <v>0</v>
      </c>
      <c r="DC81" s="690"/>
      <c r="DD81" s="690" t="s">
        <v>341</v>
      </c>
      <c r="DE81" s="690"/>
      <c r="DF81" s="690">
        <f>+DF46</f>
        <v>0</v>
      </c>
      <c r="DG81" s="690"/>
      <c r="DH81" s="690" t="s">
        <v>341</v>
      </c>
      <c r="DI81" s="690"/>
      <c r="DJ81" s="690">
        <f>+DJ46</f>
        <v>0</v>
      </c>
      <c r="DK81" s="690"/>
      <c r="DL81" s="690" t="s">
        <v>341</v>
      </c>
      <c r="DM81" s="690"/>
      <c r="DN81" s="690">
        <f>+DN46</f>
        <v>0</v>
      </c>
      <c r="DO81" s="690"/>
      <c r="DP81" s="690" t="s">
        <v>341</v>
      </c>
      <c r="DQ81" s="690"/>
      <c r="DR81" s="690">
        <f>+DR46</f>
        <v>0</v>
      </c>
      <c r="DS81" s="690"/>
      <c r="DT81" s="690" t="s">
        <v>341</v>
      </c>
      <c r="DU81" s="690"/>
      <c r="DV81" s="690">
        <f>+DV46</f>
        <v>0</v>
      </c>
      <c r="DW81" s="690"/>
      <c r="DX81" s="690" t="s">
        <v>341</v>
      </c>
      <c r="DY81" s="690"/>
      <c r="DZ81" s="690">
        <f>+DZ46</f>
        <v>0</v>
      </c>
    </row>
    <row r="82" spans="1:130" x14ac:dyDescent="0.25">
      <c r="A82" s="704" t="s">
        <v>360</v>
      </c>
      <c r="B82" s="690"/>
      <c r="C82" s="690"/>
      <c r="D82" s="704" t="s">
        <v>361</v>
      </c>
      <c r="E82" s="690"/>
      <c r="F82" s="690"/>
      <c r="G82" s="690"/>
      <c r="H82" s="704" t="s">
        <v>361</v>
      </c>
      <c r="I82" s="690"/>
      <c r="J82" s="690"/>
      <c r="K82" s="690"/>
      <c r="L82" s="704" t="s">
        <v>361</v>
      </c>
      <c r="M82" s="690"/>
      <c r="N82" s="690"/>
      <c r="O82" s="690"/>
      <c r="P82" s="704" t="s">
        <v>361</v>
      </c>
      <c r="Q82" s="690"/>
      <c r="R82" s="690"/>
      <c r="S82" s="690"/>
      <c r="T82" s="704" t="s">
        <v>361</v>
      </c>
      <c r="U82" s="690"/>
      <c r="V82" s="690"/>
      <c r="W82" s="690"/>
      <c r="X82" s="704" t="s">
        <v>361</v>
      </c>
      <c r="Y82" s="690"/>
      <c r="Z82" s="690"/>
      <c r="AA82" s="690"/>
      <c r="AB82" s="704" t="s">
        <v>361</v>
      </c>
      <c r="AC82" s="690"/>
      <c r="AD82" s="690"/>
      <c r="AE82" s="690"/>
      <c r="AF82" s="704" t="s">
        <v>361</v>
      </c>
      <c r="AG82" s="690"/>
      <c r="AH82" s="690"/>
      <c r="AI82" s="690"/>
      <c r="AJ82" s="704" t="s">
        <v>361</v>
      </c>
      <c r="AK82" s="690"/>
      <c r="AL82" s="690"/>
      <c r="AM82" s="690"/>
      <c r="AN82" s="704" t="s">
        <v>361</v>
      </c>
      <c r="AO82" s="690"/>
      <c r="AP82" s="690"/>
      <c r="AQ82" s="690"/>
      <c r="AR82" s="704" t="s">
        <v>361</v>
      </c>
      <c r="AS82" s="690"/>
      <c r="AT82" s="690"/>
      <c r="AU82" s="690"/>
      <c r="AV82" s="704" t="s">
        <v>361</v>
      </c>
      <c r="AW82" s="690"/>
      <c r="AX82" s="690"/>
      <c r="AY82" s="690"/>
      <c r="AZ82" s="704" t="s">
        <v>361</v>
      </c>
      <c r="BA82" s="690"/>
      <c r="BB82" s="690"/>
      <c r="BC82" s="690"/>
      <c r="BD82" s="704" t="s">
        <v>361</v>
      </c>
      <c r="BE82" s="690"/>
      <c r="BF82" s="690"/>
      <c r="BG82" s="690"/>
      <c r="BH82" s="704" t="s">
        <v>361</v>
      </c>
      <c r="BI82" s="690"/>
      <c r="BJ82" s="690"/>
      <c r="BK82" s="690"/>
      <c r="BL82" s="704" t="s">
        <v>361</v>
      </c>
      <c r="BM82" s="690"/>
      <c r="BN82" s="690"/>
      <c r="BO82" s="690"/>
      <c r="BP82" s="704" t="s">
        <v>361</v>
      </c>
      <c r="BQ82" s="690"/>
      <c r="BR82" s="690"/>
      <c r="BS82" s="690"/>
      <c r="BT82" s="704" t="s">
        <v>361</v>
      </c>
      <c r="BU82" s="690"/>
      <c r="BV82" s="690"/>
      <c r="BW82" s="690"/>
      <c r="BX82" s="704" t="s">
        <v>361</v>
      </c>
      <c r="BY82" s="690"/>
      <c r="BZ82" s="690"/>
      <c r="CA82" s="690"/>
      <c r="CB82" s="704" t="s">
        <v>361</v>
      </c>
      <c r="CC82" s="690"/>
      <c r="CD82" s="690"/>
      <c r="CE82" s="690"/>
      <c r="CF82" s="704" t="s">
        <v>361</v>
      </c>
      <c r="CG82" s="690"/>
      <c r="CH82" s="690"/>
      <c r="CI82" s="690"/>
      <c r="CJ82" s="704" t="s">
        <v>361</v>
      </c>
      <c r="CK82" s="690"/>
      <c r="CL82" s="690"/>
      <c r="CM82" s="690"/>
      <c r="CN82" s="704" t="s">
        <v>361</v>
      </c>
      <c r="CO82" s="690"/>
      <c r="CP82" s="690"/>
      <c r="CQ82" s="690"/>
      <c r="CR82" s="704" t="s">
        <v>361</v>
      </c>
      <c r="CS82" s="690"/>
      <c r="CT82" s="690"/>
      <c r="CU82" s="690"/>
      <c r="CV82" s="704" t="s">
        <v>361</v>
      </c>
      <c r="CW82" s="690"/>
      <c r="CX82" s="690"/>
      <c r="CY82" s="690"/>
      <c r="CZ82" s="704" t="s">
        <v>361</v>
      </c>
      <c r="DA82" s="690"/>
      <c r="DB82" s="690"/>
      <c r="DC82" s="690"/>
      <c r="DD82" s="704" t="s">
        <v>361</v>
      </c>
      <c r="DE82" s="690"/>
      <c r="DF82" s="690"/>
      <c r="DG82" s="690"/>
      <c r="DH82" s="704" t="s">
        <v>361</v>
      </c>
      <c r="DI82" s="690"/>
      <c r="DJ82" s="690"/>
      <c r="DK82" s="690"/>
      <c r="DL82" s="704" t="s">
        <v>361</v>
      </c>
      <c r="DM82" s="690"/>
      <c r="DN82" s="690"/>
      <c r="DO82" s="690"/>
      <c r="DP82" s="704" t="s">
        <v>361</v>
      </c>
      <c r="DQ82" s="690"/>
      <c r="DR82" s="690"/>
      <c r="DS82" s="690"/>
      <c r="DT82" s="704" t="s">
        <v>361</v>
      </c>
      <c r="DU82" s="690"/>
      <c r="DV82" s="690"/>
      <c r="DW82" s="690"/>
      <c r="DX82" s="704" t="s">
        <v>361</v>
      </c>
      <c r="DY82" s="690"/>
      <c r="DZ82" s="690"/>
    </row>
    <row r="83" spans="1:130" x14ac:dyDescent="0.25">
      <c r="A83" s="690"/>
      <c r="B83" s="705">
        <f>SUM(F83+J83+N83+R83+V83+Z83+AD83+AH83+AL83+AP83+AT83+AX83+BB83+BF83+BJ83+BN83+BR83+BV83+BZ83+CD83+CH83+CL83+CP83+CT83+CX83+DB83+DF83+DJ83+DN83+DR83+DV83)</f>
        <v>37765.133000000002</v>
      </c>
      <c r="C83" s="690"/>
      <c r="D83" s="690" t="s">
        <v>95</v>
      </c>
      <c r="E83" s="690"/>
      <c r="F83" s="898">
        <f>IF(-F79-F75&lt;0,,-F79-F75)</f>
        <v>16.579000000000001</v>
      </c>
      <c r="G83" s="690"/>
      <c r="H83" s="690" t="s">
        <v>95</v>
      </c>
      <c r="I83" s="690"/>
      <c r="J83" s="898">
        <f>IF(-J79-J75&lt;0,,-J79-J75)</f>
        <v>0</v>
      </c>
      <c r="K83" s="690"/>
      <c r="L83" s="690" t="s">
        <v>95</v>
      </c>
      <c r="M83" s="690"/>
      <c r="N83" s="898">
        <f>IF(-N79-N75&lt;0,,-N79-N75)</f>
        <v>43.542000000000002</v>
      </c>
      <c r="O83" s="690"/>
      <c r="P83" s="690" t="s">
        <v>95</v>
      </c>
      <c r="Q83" s="690"/>
      <c r="R83" s="898">
        <f>IF(-R79-R75&lt;0,,-R79-R75)</f>
        <v>0</v>
      </c>
      <c r="S83" s="690"/>
      <c r="T83" s="690" t="s">
        <v>95</v>
      </c>
      <c r="U83" s="690"/>
      <c r="V83" s="898">
        <f>IF(-V79-V75&lt;0,,-V79-V75)</f>
        <v>0</v>
      </c>
      <c r="W83" s="690"/>
      <c r="X83" s="690" t="s">
        <v>95</v>
      </c>
      <c r="Y83" s="690"/>
      <c r="Z83" s="898">
        <f>IF(-Z79-Z75&lt;0,,-Z79-Z75)</f>
        <v>5.8879999999999999</v>
      </c>
      <c r="AA83" s="690"/>
      <c r="AB83" s="690" t="s">
        <v>95</v>
      </c>
      <c r="AC83" s="690"/>
      <c r="AD83" s="898">
        <f>IF(-AD79-AD75&lt;0,,-AD79-AD75)</f>
        <v>21.436</v>
      </c>
      <c r="AE83" s="690"/>
      <c r="AF83" s="690" t="s">
        <v>95</v>
      </c>
      <c r="AG83" s="690"/>
      <c r="AH83" s="898">
        <f>IF(-AH79-AH75&lt;0,,-AH79-AH75)</f>
        <v>15.687999999999999</v>
      </c>
      <c r="AI83" s="690"/>
      <c r="AJ83" s="690" t="s">
        <v>95</v>
      </c>
      <c r="AK83" s="690"/>
      <c r="AL83" s="898">
        <f>IF(-AL79-AL75&lt;0,,-AL79-AL75)</f>
        <v>0</v>
      </c>
      <c r="AM83" s="690"/>
      <c r="AN83" s="690" t="s">
        <v>95</v>
      </c>
      <c r="AO83" s="690"/>
      <c r="AP83" s="898">
        <f>IF(-AP79-AP75&lt;0,,-AP79-AP75)</f>
        <v>2500</v>
      </c>
      <c r="AQ83" s="690"/>
      <c r="AR83" s="690" t="s">
        <v>95</v>
      </c>
      <c r="AS83" s="690"/>
      <c r="AT83" s="898">
        <f>IF(-AT79-AT75&lt;0,,-AT79-AT75)</f>
        <v>2139</v>
      </c>
      <c r="AU83" s="690"/>
      <c r="AV83" s="690" t="s">
        <v>95</v>
      </c>
      <c r="AW83" s="690"/>
      <c r="AX83" s="898">
        <f>IF(-AX79-AX75&lt;0,,-AX79-AX75)</f>
        <v>0</v>
      </c>
      <c r="AY83" s="690"/>
      <c r="AZ83" s="690" t="s">
        <v>95</v>
      </c>
      <c r="BA83" s="690"/>
      <c r="BB83" s="898">
        <f>IF(-BB79-BB75&lt;0,,-BB79-BB75)</f>
        <v>1757</v>
      </c>
      <c r="BC83" s="690"/>
      <c r="BD83" s="690" t="s">
        <v>95</v>
      </c>
      <c r="BE83" s="690"/>
      <c r="BF83" s="898">
        <f>IF(-BF79-BF75&lt;0,,-BF79-BF75)</f>
        <v>0</v>
      </c>
      <c r="BG83" s="690"/>
      <c r="BH83" s="690" t="s">
        <v>95</v>
      </c>
      <c r="BI83" s="690"/>
      <c r="BJ83" s="898">
        <f>IF(-BJ79-BJ75&lt;0,,-BJ79-BJ75)</f>
        <v>4576</v>
      </c>
      <c r="BK83" s="690"/>
      <c r="BL83" s="690" t="s">
        <v>95</v>
      </c>
      <c r="BM83" s="690"/>
      <c r="BN83" s="898">
        <f>IF(-BN79-BN75&lt;0,,-BN79-BN75)</f>
        <v>3947</v>
      </c>
      <c r="BO83" s="690"/>
      <c r="BP83" s="690" t="s">
        <v>95</v>
      </c>
      <c r="BQ83" s="690"/>
      <c r="BR83" s="898">
        <f>IF(-BR79-BR75&lt;0,,-BR79-BR75)</f>
        <v>966</v>
      </c>
      <c r="BS83" s="690"/>
      <c r="BT83" s="690" t="s">
        <v>95</v>
      </c>
      <c r="BU83" s="690"/>
      <c r="BV83" s="898">
        <f>IF(-BV79-BV75&lt;0,,-BV79-BV75)</f>
        <v>0</v>
      </c>
      <c r="BW83" s="690"/>
      <c r="BX83" s="690" t="s">
        <v>95</v>
      </c>
      <c r="BY83" s="690"/>
      <c r="BZ83" s="898">
        <f>IF(-BZ79-BZ75&lt;0,,-BZ79-BZ75)</f>
        <v>2282</v>
      </c>
      <c r="CA83" s="690"/>
      <c r="CB83" s="690" t="s">
        <v>95</v>
      </c>
      <c r="CC83" s="690"/>
      <c r="CD83" s="898">
        <f>IF(-CD79-CD75&lt;0,,-CD79-CD75)</f>
        <v>2084</v>
      </c>
      <c r="CE83" s="690"/>
      <c r="CF83" s="690" t="s">
        <v>95</v>
      </c>
      <c r="CG83" s="690"/>
      <c r="CH83" s="898">
        <f>IF(-CH79-CH75&lt;0,,-CH79-CH75)</f>
        <v>0</v>
      </c>
      <c r="CI83" s="690"/>
      <c r="CJ83" s="690" t="s">
        <v>95</v>
      </c>
      <c r="CK83" s="690"/>
      <c r="CL83" s="898">
        <f>IF(-CL79-CL75&lt;0,,-CL79-CL75)</f>
        <v>1445</v>
      </c>
      <c r="CM83" s="690"/>
      <c r="CN83" s="690" t="s">
        <v>95</v>
      </c>
      <c r="CO83" s="690"/>
      <c r="CP83" s="898">
        <f>IF(-CP79-CP75&lt;0,,-CP79-CP75)</f>
        <v>4350</v>
      </c>
      <c r="CQ83" s="690"/>
      <c r="CR83" s="690" t="s">
        <v>95</v>
      </c>
      <c r="CS83" s="690"/>
      <c r="CT83" s="898">
        <f>IF(-CT79-CT75&lt;0,,-CT79-CT75)</f>
        <v>2583</v>
      </c>
      <c r="CU83" s="690"/>
      <c r="CV83" s="690" t="s">
        <v>95</v>
      </c>
      <c r="CW83" s="690"/>
      <c r="CX83" s="898">
        <f>IF(-CX79-CX75&lt;0,,-CX79-CX75)</f>
        <v>0</v>
      </c>
      <c r="CY83" s="690"/>
      <c r="CZ83" s="690" t="s">
        <v>95</v>
      </c>
      <c r="DA83" s="690"/>
      <c r="DB83" s="898">
        <f>IF(-DB79-DB75&lt;0,,-DB79-DB75)</f>
        <v>0</v>
      </c>
      <c r="DC83" s="690"/>
      <c r="DD83" s="690" t="s">
        <v>95</v>
      </c>
      <c r="DE83" s="690"/>
      <c r="DF83" s="898">
        <f>IF(-DF79-DF75&lt;0,,-DF79-DF75)</f>
        <v>2108</v>
      </c>
      <c r="DG83" s="690"/>
      <c r="DH83" s="690" t="s">
        <v>95</v>
      </c>
      <c r="DI83" s="690"/>
      <c r="DJ83" s="898">
        <f>IF(-DJ79-DJ75&lt;0,,-DJ79-DJ75)</f>
        <v>0</v>
      </c>
      <c r="DK83" s="690"/>
      <c r="DL83" s="690" t="s">
        <v>95</v>
      </c>
      <c r="DM83" s="690"/>
      <c r="DN83" s="898">
        <f>IF(-DN79-DN75&lt;0,,-DN79-DN75)</f>
        <v>2345</v>
      </c>
      <c r="DO83" s="690"/>
      <c r="DP83" s="690" t="s">
        <v>95</v>
      </c>
      <c r="DQ83" s="690"/>
      <c r="DR83" s="898">
        <f>IF(-DR79-DR75&lt;0,,-DR79-DR75)</f>
        <v>2238</v>
      </c>
      <c r="DS83" s="690"/>
      <c r="DT83" s="690" t="s">
        <v>95</v>
      </c>
      <c r="DU83" s="690"/>
      <c r="DV83" s="898">
        <f>IF(-DV79-DV75&lt;0,,-DV79-DV75)</f>
        <v>2342</v>
      </c>
      <c r="DW83" s="690"/>
      <c r="DX83" s="690" t="s">
        <v>95</v>
      </c>
      <c r="DY83" s="690"/>
      <c r="DZ83" s="898">
        <f>IF(-DZ79-DZ75&lt;0,,-DZ79-DZ75)</f>
        <v>1990730.6710000001</v>
      </c>
    </row>
    <row r="84" spans="1:130" x14ac:dyDescent="0.25">
      <c r="A84" s="690"/>
      <c r="B84" s="705">
        <f>SUM(F84+J84+N84+R84+V84+Z84+AD84+AH84+AL84+AP84+AT84+AX84+BB84+BF84+BJ84+BN84+BR84+BV84+BZ84+CD84+CH84+CL84+CP84+CT84+CX84+DB84+DF84+DJ84+DN84+DR84+DV84)</f>
        <v>81092.187999999995</v>
      </c>
      <c r="C84" s="690"/>
      <c r="D84" s="690" t="s">
        <v>96</v>
      </c>
      <c r="E84" s="690"/>
      <c r="F84" s="898">
        <f>IF(-F80-F76&lt;0,,-F80-F76)</f>
        <v>25.16</v>
      </c>
      <c r="G84" s="690"/>
      <c r="H84" s="690" t="s">
        <v>96</v>
      </c>
      <c r="I84" s="690"/>
      <c r="J84" s="898">
        <f>IF(-J80-J76&lt;0,,-J80-J76)</f>
        <v>0</v>
      </c>
      <c r="K84" s="690"/>
      <c r="L84" s="690" t="s">
        <v>96</v>
      </c>
      <c r="M84" s="690"/>
      <c r="N84" s="898">
        <f>IF(-N80-N76&lt;0,,-N80-N76)</f>
        <v>8.8789999999999996</v>
      </c>
      <c r="O84" s="690"/>
      <c r="P84" s="690" t="s">
        <v>96</v>
      </c>
      <c r="Q84" s="690"/>
      <c r="R84" s="898">
        <f>IF(-R80-R76&lt;0,,-R80-R76)</f>
        <v>0</v>
      </c>
      <c r="S84" s="690"/>
      <c r="T84" s="690" t="s">
        <v>96</v>
      </c>
      <c r="U84" s="690"/>
      <c r="V84" s="898">
        <f>IF(-V80-V76&lt;0,,-V80-V76)</f>
        <v>0</v>
      </c>
      <c r="W84" s="690"/>
      <c r="X84" s="690" t="s">
        <v>96</v>
      </c>
      <c r="Y84" s="690"/>
      <c r="Z84" s="898">
        <f>IF(-Z80-Z76&lt;0,,-Z80-Z76)</f>
        <v>5.8710000000000004</v>
      </c>
      <c r="AA84" s="690"/>
      <c r="AB84" s="690" t="s">
        <v>96</v>
      </c>
      <c r="AC84" s="690"/>
      <c r="AD84" s="898">
        <f>IF(-AD80-AD76&lt;0,,-AD80-AD76)</f>
        <v>0.51900000000000013</v>
      </c>
      <c r="AE84" s="690"/>
      <c r="AF84" s="690" t="s">
        <v>96</v>
      </c>
      <c r="AG84" s="690"/>
      <c r="AH84" s="898">
        <f>IF(-AH80-AH76&lt;0,,-AH80-AH76)</f>
        <v>0</v>
      </c>
      <c r="AI84" s="690"/>
      <c r="AJ84" s="690" t="s">
        <v>96</v>
      </c>
      <c r="AK84" s="690"/>
      <c r="AL84" s="898">
        <f>IF(-AL80-AL76&lt;0,,-AL80-AL76)</f>
        <v>44542.758999999998</v>
      </c>
      <c r="AM84" s="690"/>
      <c r="AN84" s="690" t="s">
        <v>96</v>
      </c>
      <c r="AO84" s="690"/>
      <c r="AP84" s="898">
        <f>IF(-AP80-AP76&lt;0,,-AP80-AP76)</f>
        <v>2108</v>
      </c>
      <c r="AQ84" s="690"/>
      <c r="AR84" s="690" t="s">
        <v>96</v>
      </c>
      <c r="AS84" s="690"/>
      <c r="AT84" s="898">
        <f>IF(-AT80-AT76&lt;0,,-AT80-AT76)</f>
        <v>0</v>
      </c>
      <c r="AU84" s="690"/>
      <c r="AV84" s="690" t="s">
        <v>96</v>
      </c>
      <c r="AW84" s="690"/>
      <c r="AX84" s="898">
        <f>IF(-AX80-AX76&lt;0,,-AX80-AX76)</f>
        <v>0</v>
      </c>
      <c r="AY84" s="690"/>
      <c r="AZ84" s="690" t="s">
        <v>96</v>
      </c>
      <c r="BA84" s="690"/>
      <c r="BB84" s="898">
        <f>IF(-BB80-BB76&lt;0,,-BB80-BB76)</f>
        <v>2762</v>
      </c>
      <c r="BC84" s="690"/>
      <c r="BD84" s="690" t="s">
        <v>96</v>
      </c>
      <c r="BE84" s="690"/>
      <c r="BF84" s="898">
        <f>IF(-BF80-BF76&lt;0,,-BF80-BF76)</f>
        <v>0</v>
      </c>
      <c r="BG84" s="690"/>
      <c r="BH84" s="690" t="s">
        <v>96</v>
      </c>
      <c r="BI84" s="690"/>
      <c r="BJ84" s="898">
        <f>IF(-BJ80-BJ76&lt;0,,-BJ80-BJ76)</f>
        <v>0</v>
      </c>
      <c r="BK84" s="690"/>
      <c r="BL84" s="690" t="s">
        <v>96</v>
      </c>
      <c r="BM84" s="690"/>
      <c r="BN84" s="898">
        <f>IF(-BN80-BN76&lt;0,,-BN80-BN76)</f>
        <v>3018</v>
      </c>
      <c r="BO84" s="690"/>
      <c r="BP84" s="690" t="s">
        <v>96</v>
      </c>
      <c r="BQ84" s="690"/>
      <c r="BR84" s="898">
        <f>IF(-BR80-BR76&lt;0,,-BR80-BR76)</f>
        <v>2445</v>
      </c>
      <c r="BS84" s="690"/>
      <c r="BT84" s="690" t="s">
        <v>96</v>
      </c>
      <c r="BU84" s="690"/>
      <c r="BV84" s="898">
        <f>IF(-BV80-BV76&lt;0,,-BV80-BV76)</f>
        <v>0</v>
      </c>
      <c r="BW84" s="690"/>
      <c r="BX84" s="690" t="s">
        <v>96</v>
      </c>
      <c r="BY84" s="690"/>
      <c r="BZ84" s="898">
        <f>IF(-BZ80-BZ76&lt;0,,-BZ80-BZ76)</f>
        <v>2076</v>
      </c>
      <c r="CA84" s="690"/>
      <c r="CB84" s="690" t="s">
        <v>96</v>
      </c>
      <c r="CC84" s="690"/>
      <c r="CD84" s="898">
        <f>IF(-CD80-CD76&lt;0,,-CD80-CD76)</f>
        <v>1784</v>
      </c>
      <c r="CE84" s="690"/>
      <c r="CF84" s="690" t="s">
        <v>96</v>
      </c>
      <c r="CG84" s="690"/>
      <c r="CH84" s="898">
        <f>IF(-CH80-CH76&lt;0,,-CH80-CH76)</f>
        <v>0</v>
      </c>
      <c r="CI84" s="690"/>
      <c r="CJ84" s="690" t="s">
        <v>96</v>
      </c>
      <c r="CK84" s="690"/>
      <c r="CL84" s="898">
        <f>IF(-CL80-CL76&lt;0,,-CL80-CL76)</f>
        <v>786</v>
      </c>
      <c r="CM84" s="690"/>
      <c r="CN84" s="690" t="s">
        <v>96</v>
      </c>
      <c r="CO84" s="690"/>
      <c r="CP84" s="898">
        <f>IF(-CP80-CP76&lt;0,,-CP80-CP76)</f>
        <v>3080</v>
      </c>
      <c r="CQ84" s="690"/>
      <c r="CR84" s="690" t="s">
        <v>96</v>
      </c>
      <c r="CS84" s="690"/>
      <c r="CT84" s="898">
        <f>IF(-CT80-CT76&lt;0,,-CT80-CT76)</f>
        <v>2950</v>
      </c>
      <c r="CU84" s="690"/>
      <c r="CV84" s="690" t="s">
        <v>96</v>
      </c>
      <c r="CW84" s="690"/>
      <c r="CX84" s="898">
        <f>IF(-CX80-CX76&lt;0,,-CX80-CX76)</f>
        <v>0</v>
      </c>
      <c r="CY84" s="690"/>
      <c r="CZ84" s="690" t="s">
        <v>96</v>
      </c>
      <c r="DA84" s="690"/>
      <c r="DB84" s="898">
        <f>IF(-DB80-DB76&lt;0,,-DB80-DB76)</f>
        <v>4964</v>
      </c>
      <c r="DC84" s="690"/>
      <c r="DD84" s="690" t="s">
        <v>96</v>
      </c>
      <c r="DE84" s="690"/>
      <c r="DF84" s="898">
        <f>IF(-DF80-DF76&lt;0,,-DF80-DF76)</f>
        <v>2534</v>
      </c>
      <c r="DG84" s="690"/>
      <c r="DH84" s="690" t="s">
        <v>96</v>
      </c>
      <c r="DI84" s="690"/>
      <c r="DJ84" s="898">
        <f>IF(-DJ80-DJ76&lt;0,,-DJ80-DJ76)</f>
        <v>0</v>
      </c>
      <c r="DK84" s="690"/>
      <c r="DL84" s="690" t="s">
        <v>96</v>
      </c>
      <c r="DM84" s="690"/>
      <c r="DN84" s="898">
        <f>IF(-DN80-DN76&lt;0,,-DN80-DN76)</f>
        <v>2276</v>
      </c>
      <c r="DO84" s="690"/>
      <c r="DP84" s="690" t="s">
        <v>96</v>
      </c>
      <c r="DQ84" s="690"/>
      <c r="DR84" s="898">
        <f>IF(-DR80-DR76&lt;0,,-DR80-DR76)</f>
        <v>3395</v>
      </c>
      <c r="DS84" s="690"/>
      <c r="DT84" s="690" t="s">
        <v>96</v>
      </c>
      <c r="DU84" s="690"/>
      <c r="DV84" s="898">
        <f>IF(-DV80-DV76&lt;0,,-DV80-DV76)</f>
        <v>2331</v>
      </c>
      <c r="DW84" s="690"/>
      <c r="DX84" s="690" t="s">
        <v>96</v>
      </c>
      <c r="DY84" s="690"/>
      <c r="DZ84" s="898">
        <f>IF(-DZ80-DZ76&lt;0,,-DZ80-DZ76)</f>
        <v>1943546.064</v>
      </c>
    </row>
    <row r="85" spans="1:130" x14ac:dyDescent="0.25">
      <c r="A85" s="690"/>
      <c r="B85" s="705">
        <v>248872</v>
      </c>
      <c r="C85" s="690"/>
      <c r="D85" s="690" t="s">
        <v>341</v>
      </c>
      <c r="E85" s="690"/>
      <c r="F85" s="898">
        <f>IF(-F81-F77&lt;0,,-F81-F77)</f>
        <v>0</v>
      </c>
      <c r="G85" s="690"/>
      <c r="H85" s="690" t="s">
        <v>341</v>
      </c>
      <c r="I85" s="690"/>
      <c r="J85" s="898">
        <f>IF(-J81-J77&lt;0,,-J81-J77)</f>
        <v>0</v>
      </c>
      <c r="K85" s="690"/>
      <c r="L85" s="690" t="s">
        <v>341</v>
      </c>
      <c r="M85" s="690"/>
      <c r="N85" s="898">
        <f>IF(-N81-N77&lt;0,,-N81-N77)</f>
        <v>0</v>
      </c>
      <c r="O85" s="690"/>
      <c r="P85" s="690" t="s">
        <v>341</v>
      </c>
      <c r="Q85" s="690"/>
      <c r="R85" s="898">
        <f>IF(-R81-R77&lt;0,,-R81-R77)</f>
        <v>0</v>
      </c>
      <c r="S85" s="690"/>
      <c r="T85" s="690" t="s">
        <v>341</v>
      </c>
      <c r="U85" s="690"/>
      <c r="V85" s="898">
        <f>IF(-V81-V77&lt;0,,-V81-V77)</f>
        <v>0</v>
      </c>
      <c r="W85" s="690"/>
      <c r="X85" s="690" t="s">
        <v>341</v>
      </c>
      <c r="Y85" s="690"/>
      <c r="Z85" s="898">
        <f>IF(-Z81-Z77&lt;0,,-Z81-Z77)</f>
        <v>0</v>
      </c>
      <c r="AA85" s="690"/>
      <c r="AB85" s="690" t="s">
        <v>341</v>
      </c>
      <c r="AC85" s="690"/>
      <c r="AD85" s="898">
        <f>IF(-AD81-AD77&lt;0,,-AD81-AD77)</f>
        <v>0</v>
      </c>
      <c r="AE85" s="690"/>
      <c r="AF85" s="690" t="s">
        <v>341</v>
      </c>
      <c r="AG85" s="690"/>
      <c r="AH85" s="898">
        <f>IF(-AH81-AH77&lt;0,,-AH81-AH77)</f>
        <v>0</v>
      </c>
      <c r="AI85" s="690"/>
      <c r="AJ85" s="690" t="s">
        <v>341</v>
      </c>
      <c r="AK85" s="690"/>
      <c r="AL85" s="898">
        <f>IF(-AL81-AL77&lt;0,,-AL81-AL77)</f>
        <v>0</v>
      </c>
      <c r="AM85" s="690"/>
      <c r="AN85" s="690" t="s">
        <v>341</v>
      </c>
      <c r="AO85" s="690"/>
      <c r="AP85" s="898">
        <f>IF(-AP81-AP77&lt;0,,-AP81-AP77)</f>
        <v>0</v>
      </c>
      <c r="AQ85" s="690"/>
      <c r="AR85" s="690" t="s">
        <v>341</v>
      </c>
      <c r="AS85" s="690"/>
      <c r="AT85" s="898">
        <f>IF(-AT81-AT77&lt;0,,-AT81-AT77)</f>
        <v>0</v>
      </c>
      <c r="AU85" s="690"/>
      <c r="AV85" s="690" t="s">
        <v>341</v>
      </c>
      <c r="AW85" s="690"/>
      <c r="AX85" s="898">
        <f>IF(-AX81-AX77&lt;0,,-AX81-AX77)</f>
        <v>0</v>
      </c>
      <c r="AY85" s="690"/>
      <c r="AZ85" s="690" t="s">
        <v>341</v>
      </c>
      <c r="BA85" s="690"/>
      <c r="BB85" s="898">
        <f>IF(-BB81-BB77&lt;0,,-BB81-BB77)</f>
        <v>0</v>
      </c>
      <c r="BC85" s="690"/>
      <c r="BD85" s="690" t="s">
        <v>341</v>
      </c>
      <c r="BE85" s="690"/>
      <c r="BF85" s="898">
        <f>IF(-BF81-BF77&lt;0,,-BF81-BF77)</f>
        <v>0</v>
      </c>
      <c r="BG85" s="690"/>
      <c r="BH85" s="690" t="s">
        <v>341</v>
      </c>
      <c r="BI85" s="690"/>
      <c r="BJ85" s="898">
        <f>IF(-BJ81-BJ77&lt;0,,-BJ81-BJ77)</f>
        <v>0</v>
      </c>
      <c r="BK85" s="690"/>
      <c r="BL85" s="690" t="s">
        <v>341</v>
      </c>
      <c r="BM85" s="690"/>
      <c r="BN85" s="898">
        <f>IF(-BN81-BN77&lt;0,,-BN81-BN77)</f>
        <v>0</v>
      </c>
      <c r="BO85" s="690"/>
      <c r="BP85" s="690" t="s">
        <v>341</v>
      </c>
      <c r="BQ85" s="690"/>
      <c r="BR85" s="898">
        <f>IF(-BR81-BR77&lt;0,,-BR81-BR77)</f>
        <v>0</v>
      </c>
      <c r="BS85" s="690"/>
      <c r="BT85" s="690" t="s">
        <v>341</v>
      </c>
      <c r="BU85" s="690"/>
      <c r="BV85" s="898">
        <f>IF(-BV81-BV77&lt;0,,-BV81-BV77)</f>
        <v>0</v>
      </c>
      <c r="BW85" s="690"/>
      <c r="BX85" s="690" t="s">
        <v>341</v>
      </c>
      <c r="BY85" s="690"/>
      <c r="BZ85" s="898">
        <f>IF(-BZ81-BZ77&lt;0,,-BZ81-BZ77)</f>
        <v>0</v>
      </c>
      <c r="CA85" s="690"/>
      <c r="CB85" s="690" t="s">
        <v>341</v>
      </c>
      <c r="CC85" s="690"/>
      <c r="CD85" s="898">
        <f>IF(-CD81-CD77&lt;0,,-CD81-CD77)</f>
        <v>0</v>
      </c>
      <c r="CE85" s="690"/>
      <c r="CF85" s="690" t="s">
        <v>341</v>
      </c>
      <c r="CG85" s="690"/>
      <c r="CH85" s="898">
        <f>IF(-CH81-CH77&lt;0,,-CH81-CH77)</f>
        <v>0</v>
      </c>
      <c r="CI85" s="690"/>
      <c r="CJ85" s="690" t="s">
        <v>341</v>
      </c>
      <c r="CK85" s="690"/>
      <c r="CL85" s="898">
        <f>IF(-CL81-CL77&lt;0,,-CL81-CL77)</f>
        <v>0</v>
      </c>
      <c r="CM85" s="690"/>
      <c r="CN85" s="690" t="s">
        <v>341</v>
      </c>
      <c r="CO85" s="690"/>
      <c r="CP85" s="898">
        <f>IF(-CP81-CP77&lt;0,,-CP81-CP77)</f>
        <v>0</v>
      </c>
      <c r="CQ85" s="690"/>
      <c r="CR85" s="690" t="s">
        <v>341</v>
      </c>
      <c r="CS85" s="690"/>
      <c r="CT85" s="898">
        <f>IF(-CT81-CT77&lt;0,,-CT81-CT77)</f>
        <v>0</v>
      </c>
      <c r="CU85" s="690"/>
      <c r="CV85" s="690" t="s">
        <v>341</v>
      </c>
      <c r="CW85" s="690"/>
      <c r="CX85" s="898">
        <f>IF(-CX81-CX77&lt;0,,-CX81-CX77)</f>
        <v>0</v>
      </c>
      <c r="CY85" s="690"/>
      <c r="CZ85" s="690" t="s">
        <v>341</v>
      </c>
      <c r="DA85" s="690"/>
      <c r="DB85" s="898">
        <f>IF(-DB81-DB77&lt;0,,-DB81-DB77)</f>
        <v>0</v>
      </c>
      <c r="DC85" s="690"/>
      <c r="DD85" s="690" t="s">
        <v>341</v>
      </c>
      <c r="DE85" s="690"/>
      <c r="DF85" s="898">
        <f>IF(-DF81-DF77&lt;0,,-DF81-DF77)</f>
        <v>0</v>
      </c>
      <c r="DG85" s="690"/>
      <c r="DH85" s="690" t="s">
        <v>341</v>
      </c>
      <c r="DI85" s="690"/>
      <c r="DJ85" s="898">
        <f>IF(-DJ81-DJ77&lt;0,,-DJ81-DJ77)</f>
        <v>0</v>
      </c>
      <c r="DK85" s="690"/>
      <c r="DL85" s="690" t="s">
        <v>341</v>
      </c>
      <c r="DM85" s="690"/>
      <c r="DN85" s="898">
        <f>IF(-DN81-DN77&lt;0,,-DN81-DN77)</f>
        <v>0</v>
      </c>
      <c r="DO85" s="690"/>
      <c r="DP85" s="690" t="s">
        <v>341</v>
      </c>
      <c r="DQ85" s="690"/>
      <c r="DR85" s="898">
        <f>IF(-DR81-DR77&lt;0,,-DR81-DR77)</f>
        <v>0</v>
      </c>
      <c r="DS85" s="690"/>
      <c r="DT85" s="690" t="s">
        <v>341</v>
      </c>
      <c r="DU85" s="690"/>
      <c r="DV85" s="898">
        <f>IF(-DV81-DV77&lt;0,,-DV81-DV77)</f>
        <v>0</v>
      </c>
      <c r="DW85" s="690"/>
      <c r="DX85" s="690" t="s">
        <v>341</v>
      </c>
      <c r="DY85" s="690"/>
      <c r="DZ85" s="898">
        <f>IF(-DZ81-DZ77&lt;0,,-DZ81-DZ77)</f>
        <v>0</v>
      </c>
    </row>
    <row r="86" spans="1:130" x14ac:dyDescent="0.25">
      <c r="A86" s="690"/>
      <c r="B86" s="705"/>
      <c r="C86" s="690"/>
      <c r="D86" s="690"/>
      <c r="E86" s="690"/>
      <c r="F86" s="898"/>
      <c r="G86" s="690"/>
      <c r="H86" s="690"/>
      <c r="I86" s="690"/>
      <c r="J86" s="898"/>
      <c r="K86" s="690"/>
      <c r="L86" s="690"/>
      <c r="M86" s="690"/>
      <c r="N86" s="898"/>
      <c r="O86" s="690"/>
      <c r="P86" s="690"/>
      <c r="Q86" s="690"/>
      <c r="R86" s="898"/>
      <c r="S86" s="690"/>
      <c r="T86" s="690"/>
      <c r="U86" s="690"/>
      <c r="V86" s="898"/>
      <c r="W86" s="690"/>
      <c r="X86" s="690"/>
      <c r="Y86" s="690"/>
      <c r="Z86" s="898"/>
      <c r="AA86" s="690"/>
      <c r="AB86" s="690"/>
      <c r="AC86" s="690"/>
      <c r="AD86" s="898"/>
      <c r="AE86" s="690"/>
      <c r="AF86" s="690"/>
      <c r="AG86" s="690"/>
      <c r="AH86" s="898"/>
      <c r="AI86" s="690"/>
      <c r="AJ86" s="690"/>
      <c r="AK86" s="690"/>
      <c r="AL86" s="898"/>
      <c r="AM86" s="690"/>
      <c r="AN86" s="690"/>
      <c r="AO86" s="690"/>
      <c r="AP86" s="898"/>
      <c r="AQ86" s="690"/>
      <c r="AR86" s="690"/>
      <c r="AS86" s="690"/>
      <c r="AT86" s="898"/>
      <c r="AU86" s="690"/>
      <c r="AV86" s="690"/>
      <c r="AW86" s="690"/>
      <c r="AX86" s="898"/>
      <c r="AY86" s="690"/>
      <c r="AZ86" s="690"/>
      <c r="BA86" s="690"/>
      <c r="BB86" s="898"/>
      <c r="BC86" s="690"/>
      <c r="BD86" s="690"/>
      <c r="BE86" s="690"/>
      <c r="BF86" s="898"/>
      <c r="BG86" s="690"/>
      <c r="BH86" s="690"/>
      <c r="BI86" s="690"/>
      <c r="BJ86" s="898"/>
      <c r="BK86" s="690"/>
      <c r="BL86" s="690"/>
      <c r="BM86" s="690"/>
      <c r="BN86" s="898"/>
      <c r="BO86" s="690"/>
      <c r="BP86" s="690"/>
      <c r="BQ86" s="690"/>
      <c r="BR86" s="898"/>
      <c r="BS86" s="690"/>
      <c r="BT86" s="690"/>
      <c r="BU86" s="690"/>
      <c r="BV86" s="898"/>
      <c r="BW86" s="690"/>
      <c r="BX86" s="690"/>
      <c r="BY86" s="690"/>
      <c r="BZ86" s="898"/>
      <c r="CA86" s="690"/>
      <c r="CB86" s="690"/>
      <c r="CC86" s="690"/>
      <c r="CD86" s="898"/>
      <c r="CE86" s="690"/>
      <c r="CF86" s="690"/>
      <c r="CG86" s="690"/>
      <c r="CH86" s="898"/>
      <c r="CI86" s="690"/>
      <c r="CJ86" s="690"/>
      <c r="CK86" s="690"/>
      <c r="CL86" s="898"/>
      <c r="CM86" s="690"/>
      <c r="CN86" s="690"/>
      <c r="CO86" s="690"/>
      <c r="CP86" s="898"/>
      <c r="CQ86" s="690"/>
      <c r="CR86" s="690"/>
      <c r="CS86" s="690"/>
      <c r="CT86" s="898"/>
      <c r="CU86" s="690"/>
      <c r="CV86" s="690"/>
      <c r="CW86" s="690"/>
      <c r="CX86" s="898"/>
      <c r="CY86" s="690"/>
      <c r="CZ86" s="690"/>
      <c r="DA86" s="690"/>
      <c r="DB86" s="898"/>
      <c r="DC86" s="690"/>
      <c r="DD86" s="690"/>
      <c r="DE86" s="690"/>
      <c r="DF86" s="898"/>
      <c r="DG86" s="690"/>
      <c r="DH86" s="690"/>
      <c r="DI86" s="690"/>
      <c r="DJ86" s="898"/>
      <c r="DK86" s="690"/>
      <c r="DL86" s="690"/>
      <c r="DM86" s="690"/>
      <c r="DN86" s="898"/>
      <c r="DO86" s="690"/>
      <c r="DP86" s="690"/>
      <c r="DQ86" s="690"/>
      <c r="DR86" s="898"/>
      <c r="DS86" s="690"/>
      <c r="DT86" s="690"/>
      <c r="DU86" s="690"/>
      <c r="DV86" s="898"/>
      <c r="DW86" s="690"/>
      <c r="DX86" s="690"/>
      <c r="DY86" s="690"/>
      <c r="DZ86" s="898"/>
    </row>
    <row r="87" spans="1:130" x14ac:dyDescent="0.25">
      <c r="A87" s="690" t="s">
        <v>487</v>
      </c>
      <c r="B87" s="1834" t="s">
        <v>512</v>
      </c>
      <c r="C87" s="1835"/>
      <c r="D87" s="1827" t="s">
        <v>488</v>
      </c>
      <c r="E87" s="1828" t="s">
        <v>558</v>
      </c>
      <c r="F87" s="1829"/>
      <c r="G87" s="690"/>
      <c r="H87" s="1827"/>
      <c r="I87" s="1828" t="s">
        <v>500</v>
      </c>
      <c r="J87" s="1829"/>
      <c r="K87" s="690"/>
      <c r="L87" s="1827"/>
      <c r="M87" s="1828" t="s">
        <v>559</v>
      </c>
      <c r="N87" s="1829"/>
      <c r="O87" s="690"/>
      <c r="P87" s="1827"/>
      <c r="Q87" s="1828" t="s">
        <v>500</v>
      </c>
      <c r="R87" s="1829"/>
      <c r="S87" s="690"/>
      <c r="T87" s="1827"/>
      <c r="U87" s="1828" t="s">
        <v>500</v>
      </c>
      <c r="V87" s="1829"/>
      <c r="W87" s="690"/>
      <c r="X87" s="1827"/>
      <c r="Y87" s="1828" t="s">
        <v>502</v>
      </c>
      <c r="Z87" s="1829"/>
      <c r="AA87" s="690"/>
      <c r="AB87" s="1827"/>
      <c r="AC87" s="1828" t="s">
        <v>548</v>
      </c>
      <c r="AD87" s="1829"/>
      <c r="AE87" s="690"/>
      <c r="AF87" s="1839"/>
      <c r="AG87" s="1839"/>
      <c r="AH87" s="1839"/>
      <c r="AI87" s="690"/>
      <c r="AJ87" s="1839"/>
      <c r="AK87" s="1839"/>
      <c r="AL87" s="1839"/>
      <c r="AM87" s="690"/>
      <c r="AN87" s="1839"/>
      <c r="AO87" s="1839"/>
      <c r="AP87" s="1839"/>
      <c r="AQ87" s="690"/>
      <c r="AR87" s="1839"/>
      <c r="AS87" s="1839"/>
      <c r="AT87" s="1839"/>
      <c r="AU87" s="690"/>
      <c r="AV87" s="1839"/>
      <c r="AW87" s="1839"/>
      <c r="AX87" s="1839"/>
      <c r="AY87" s="690"/>
      <c r="AZ87" s="1839"/>
      <c r="BA87" s="1840"/>
      <c r="BB87" s="1840"/>
      <c r="BC87" s="690"/>
      <c r="BD87" s="1839"/>
      <c r="BE87" s="1839"/>
      <c r="BF87" s="1839"/>
      <c r="BG87" s="690"/>
      <c r="BH87" s="1839"/>
      <c r="BI87" s="1839"/>
      <c r="BJ87" s="1839"/>
      <c r="BK87" s="690"/>
      <c r="BL87" s="1839"/>
      <c r="BM87" s="1839"/>
      <c r="BN87" s="1839"/>
      <c r="BO87" s="690"/>
      <c r="BP87" s="1839"/>
      <c r="BQ87" s="1839"/>
      <c r="BR87" s="1839"/>
      <c r="BS87" s="690"/>
      <c r="BT87" s="1839"/>
      <c r="BU87" s="698"/>
      <c r="BV87" s="698"/>
      <c r="BW87" s="690"/>
      <c r="BX87" s="1839"/>
      <c r="BY87" s="1839"/>
      <c r="BZ87" s="1839"/>
      <c r="CA87" s="690"/>
      <c r="CB87" s="1839"/>
      <c r="CC87" s="1839"/>
      <c r="CD87" s="1839"/>
      <c r="CE87" s="690"/>
      <c r="CF87" s="1839"/>
      <c r="CG87" s="1839"/>
      <c r="CH87" s="1839"/>
      <c r="CI87" s="690"/>
      <c r="CJ87" s="1839"/>
      <c r="CK87" s="1839"/>
      <c r="CL87" s="1839"/>
      <c r="CM87" s="690"/>
      <c r="CN87" s="1839"/>
      <c r="CO87" s="1839"/>
      <c r="CP87" s="1839"/>
      <c r="CQ87" s="690"/>
      <c r="CR87" s="1839"/>
      <c r="CS87" s="1839"/>
      <c r="CT87" s="1839"/>
      <c r="CU87" s="690"/>
      <c r="CV87" s="1839"/>
      <c r="CW87" s="1839"/>
      <c r="CX87" s="1839"/>
      <c r="CY87" s="690"/>
      <c r="CZ87" s="1839"/>
      <c r="DA87" s="1839"/>
      <c r="DB87" s="1839"/>
      <c r="DC87" s="690"/>
      <c r="DD87" s="1839"/>
      <c r="DE87" s="1839"/>
      <c r="DF87" s="1839"/>
      <c r="DG87" s="690"/>
      <c r="DH87" s="1839"/>
      <c r="DI87" s="1839"/>
      <c r="DJ87" s="1839"/>
      <c r="DK87" s="690"/>
      <c r="DL87" s="899"/>
      <c r="DM87" s="900"/>
      <c r="DN87" s="900"/>
      <c r="DO87" s="690"/>
      <c r="DP87" s="899"/>
      <c r="DQ87" s="900"/>
      <c r="DR87" s="900"/>
      <c r="DS87" s="690"/>
      <c r="DT87" s="899"/>
      <c r="DU87" s="900"/>
      <c r="DV87" s="900"/>
      <c r="DW87" s="690"/>
      <c r="DX87" s="899"/>
      <c r="DY87" s="900"/>
      <c r="DZ87" s="900"/>
    </row>
    <row r="88" spans="1:130" x14ac:dyDescent="0.25">
      <c r="B88" s="1827"/>
      <c r="C88" s="1836"/>
      <c r="D88" s="1827"/>
      <c r="E88" s="1830"/>
      <c r="F88" s="1831"/>
      <c r="H88" s="1827"/>
      <c r="I88" s="1830"/>
      <c r="J88" s="1831"/>
      <c r="L88" s="1827"/>
      <c r="M88" s="1830"/>
      <c r="N88" s="1831"/>
      <c r="P88" s="1827"/>
      <c r="Q88" s="1830"/>
      <c r="R88" s="1831"/>
      <c r="T88" s="1827"/>
      <c r="U88" s="1830"/>
      <c r="V88" s="1831"/>
      <c r="X88" s="1827"/>
      <c r="Y88" s="1830"/>
      <c r="Z88" s="1831"/>
      <c r="AB88" s="1827"/>
      <c r="AC88" s="1830"/>
      <c r="AD88" s="1831"/>
      <c r="AF88" s="1839"/>
      <c r="AG88" s="1839"/>
      <c r="AH88" s="1839"/>
      <c r="AI88" s="716"/>
      <c r="AJ88" s="1839"/>
      <c r="AK88" s="1839"/>
      <c r="AL88" s="1839"/>
      <c r="AM88" s="716"/>
      <c r="AN88" s="1839"/>
      <c r="AO88" s="1839"/>
      <c r="AP88" s="1839"/>
      <c r="AQ88" s="716"/>
      <c r="AR88" s="1839"/>
      <c r="AS88" s="1839"/>
      <c r="AT88" s="1839"/>
      <c r="AU88" s="716"/>
      <c r="AV88" s="1839"/>
      <c r="AW88" s="1839"/>
      <c r="AX88" s="1839"/>
      <c r="AY88" s="716"/>
      <c r="AZ88" s="1839"/>
      <c r="BA88" s="1840"/>
      <c r="BB88" s="1840"/>
      <c r="BC88" s="716"/>
      <c r="BD88" s="1839"/>
      <c r="BE88" s="1839"/>
      <c r="BF88" s="1839"/>
      <c r="BG88" s="716"/>
      <c r="BH88" s="1839"/>
      <c r="BI88" s="1839"/>
      <c r="BJ88" s="1839"/>
      <c r="BK88" s="716"/>
      <c r="BL88" s="1839"/>
      <c r="BM88" s="1839"/>
      <c r="BN88" s="1839"/>
      <c r="BO88" s="716"/>
      <c r="BP88" s="1839"/>
      <c r="BQ88" s="1839"/>
      <c r="BR88" s="1839"/>
      <c r="BS88" s="716"/>
      <c r="BT88" s="1839"/>
      <c r="BU88" s="698"/>
      <c r="BV88" s="698"/>
      <c r="BW88" s="716"/>
      <c r="BX88" s="1839"/>
      <c r="BY88" s="1839"/>
      <c r="BZ88" s="1839"/>
      <c r="CA88" s="716"/>
      <c r="CB88" s="1839"/>
      <c r="CC88" s="1839"/>
      <c r="CD88" s="1839"/>
      <c r="CE88" s="716"/>
      <c r="CF88" s="1839"/>
      <c r="CG88" s="1839"/>
      <c r="CH88" s="1839"/>
      <c r="CI88" s="716"/>
      <c r="CJ88" s="1839"/>
      <c r="CK88" s="1839"/>
      <c r="CL88" s="1839"/>
      <c r="CM88" s="716"/>
      <c r="CN88" s="1839"/>
      <c r="CO88" s="1839"/>
      <c r="CP88" s="1839"/>
      <c r="CQ88" s="716"/>
      <c r="CR88" s="1839"/>
      <c r="CS88" s="1839"/>
      <c r="CT88" s="1839"/>
      <c r="CU88" s="716"/>
      <c r="CV88" s="1839"/>
      <c r="CW88" s="1839"/>
      <c r="CX88" s="1839"/>
      <c r="CY88" s="716"/>
      <c r="CZ88" s="1839"/>
      <c r="DA88" s="1839"/>
      <c r="DB88" s="1839"/>
      <c r="DC88" s="716"/>
      <c r="DD88" s="1839"/>
      <c r="DE88" s="1839"/>
      <c r="DF88" s="1839"/>
      <c r="DG88" s="716"/>
      <c r="DH88" s="1839"/>
      <c r="DI88" s="1839"/>
      <c r="DJ88" s="1839"/>
      <c r="DK88" s="716"/>
      <c r="DL88" s="899"/>
      <c r="DM88" s="900"/>
      <c r="DN88" s="900"/>
      <c r="DO88" s="716"/>
      <c r="DP88" s="899"/>
      <c r="DQ88" s="900"/>
      <c r="DR88" s="900"/>
      <c r="DS88" s="716"/>
      <c r="DT88" s="899"/>
      <c r="DU88" s="900"/>
      <c r="DV88" s="900"/>
      <c r="DW88" s="716"/>
      <c r="DX88" s="899"/>
      <c r="DY88" s="900"/>
      <c r="DZ88" s="900"/>
    </row>
    <row r="89" spans="1:130" x14ac:dyDescent="0.25">
      <c r="B89" s="1827"/>
      <c r="C89" s="1836"/>
      <c r="E89" s="1830"/>
      <c r="F89" s="1831"/>
      <c r="I89" s="1830"/>
      <c r="J89" s="1831"/>
      <c r="M89" s="1830"/>
      <c r="N89" s="1831"/>
      <c r="Q89" s="1830"/>
      <c r="R89" s="1831"/>
      <c r="U89" s="1830"/>
      <c r="V89" s="1831"/>
      <c r="Y89" s="1830"/>
      <c r="Z89" s="1831"/>
      <c r="AC89" s="1830"/>
      <c r="AD89" s="1831"/>
      <c r="AF89" s="716"/>
      <c r="AG89" s="1839"/>
      <c r="AH89" s="1839"/>
      <c r="AI89" s="716"/>
      <c r="AJ89" s="716"/>
      <c r="AK89" s="1839"/>
      <c r="AL89" s="1839"/>
      <c r="AM89" s="716"/>
      <c r="AN89" s="716"/>
      <c r="AO89" s="1839"/>
      <c r="AP89" s="1839"/>
      <c r="AQ89" s="716"/>
      <c r="AR89" s="716"/>
      <c r="AS89" s="1839"/>
      <c r="AT89" s="1839"/>
      <c r="AU89" s="716"/>
      <c r="AV89" s="716"/>
      <c r="AW89" s="1839"/>
      <c r="AX89" s="1839"/>
      <c r="AY89" s="716"/>
      <c r="AZ89" s="716"/>
      <c r="BA89" s="1840"/>
      <c r="BB89" s="1840"/>
      <c r="BC89" s="716"/>
      <c r="BD89" s="716"/>
      <c r="BE89" s="1839"/>
      <c r="BF89" s="1839"/>
      <c r="BG89" s="716"/>
      <c r="BH89" s="716"/>
      <c r="BI89" s="1839"/>
      <c r="BJ89" s="1839"/>
      <c r="BK89" s="716"/>
      <c r="BL89" s="716"/>
      <c r="BM89" s="1839"/>
      <c r="BN89" s="1839"/>
      <c r="BO89" s="716"/>
      <c r="BP89" s="716"/>
      <c r="BQ89" s="1839"/>
      <c r="BR89" s="1839"/>
      <c r="BS89" s="716"/>
      <c r="BT89" s="716"/>
      <c r="BU89" s="698"/>
      <c r="BV89" s="698"/>
      <c r="BW89" s="716"/>
      <c r="BX89" s="716"/>
      <c r="BY89" s="1839"/>
      <c r="BZ89" s="1839"/>
      <c r="CA89" s="716"/>
      <c r="CB89" s="716"/>
      <c r="CC89" s="1839"/>
      <c r="CD89" s="1839"/>
      <c r="CE89" s="716"/>
      <c r="CF89" s="716"/>
      <c r="CG89" s="1839"/>
      <c r="CH89" s="1839"/>
      <c r="CI89" s="716"/>
      <c r="CJ89" s="716"/>
      <c r="CK89" s="1839"/>
      <c r="CL89" s="1839"/>
      <c r="CM89" s="716"/>
      <c r="CN89" s="716"/>
      <c r="CO89" s="1839"/>
      <c r="CP89" s="1839"/>
      <c r="CQ89" s="716"/>
      <c r="CR89" s="716"/>
      <c r="CS89" s="1839"/>
      <c r="CT89" s="1839"/>
      <c r="CU89" s="716"/>
      <c r="CV89" s="716"/>
      <c r="CW89" s="1839"/>
      <c r="CX89" s="1839"/>
      <c r="CY89" s="716"/>
      <c r="CZ89" s="716"/>
      <c r="DA89" s="1839"/>
      <c r="DB89" s="1839"/>
      <c r="DC89" s="716"/>
      <c r="DD89" s="716"/>
      <c r="DE89" s="1839"/>
      <c r="DF89" s="1839"/>
      <c r="DG89" s="716"/>
      <c r="DH89" s="716"/>
      <c r="DI89" s="1839"/>
      <c r="DJ89" s="1839"/>
      <c r="DK89" s="716"/>
      <c r="DL89" s="716"/>
      <c r="DM89" s="900"/>
      <c r="DN89" s="900"/>
      <c r="DO89" s="716"/>
      <c r="DP89" s="716"/>
      <c r="DQ89" s="900"/>
      <c r="DR89" s="900"/>
      <c r="DS89" s="716"/>
      <c r="DT89" s="716"/>
      <c r="DU89" s="900"/>
      <c r="DV89" s="900"/>
      <c r="DW89" s="716"/>
      <c r="DX89" s="716"/>
      <c r="DY89" s="900"/>
      <c r="DZ89" s="900"/>
    </row>
    <row r="90" spans="1:130" x14ac:dyDescent="0.25">
      <c r="B90" s="1827"/>
      <c r="C90" s="1836"/>
      <c r="E90" s="1830"/>
      <c r="F90" s="1831"/>
      <c r="I90" s="1830"/>
      <c r="J90" s="1831"/>
      <c r="M90" s="1830"/>
      <c r="N90" s="1831"/>
      <c r="Q90" s="1830"/>
      <c r="R90" s="1831"/>
      <c r="U90" s="1830"/>
      <c r="V90" s="1831"/>
      <c r="Y90" s="1830"/>
      <c r="Z90" s="1831"/>
      <c r="AC90" s="1830"/>
      <c r="AD90" s="1831"/>
      <c r="AF90" s="716"/>
      <c r="AG90" s="1839"/>
      <c r="AH90" s="1839"/>
      <c r="AI90" s="716"/>
      <c r="AJ90" s="716"/>
      <c r="AK90" s="1839"/>
      <c r="AL90" s="1839"/>
      <c r="AM90" s="716"/>
      <c r="AN90" s="716"/>
      <c r="AO90" s="1839"/>
      <c r="AP90" s="1839"/>
      <c r="AQ90" s="716"/>
      <c r="AR90" s="716"/>
      <c r="AS90" s="1839"/>
      <c r="AT90" s="1839"/>
      <c r="AU90" s="716"/>
      <c r="AV90" s="716"/>
      <c r="AW90" s="1839"/>
      <c r="AX90" s="1839"/>
      <c r="AY90" s="716"/>
      <c r="AZ90" s="716"/>
      <c r="BA90" s="1840"/>
      <c r="BB90" s="1840"/>
      <c r="BC90" s="716"/>
      <c r="BD90" s="716"/>
      <c r="BE90" s="1839"/>
      <c r="BF90" s="1839"/>
      <c r="BG90" s="716"/>
      <c r="BH90" s="716"/>
      <c r="BI90" s="1839"/>
      <c r="BJ90" s="1839"/>
      <c r="BK90" s="716"/>
      <c r="BL90" s="716"/>
      <c r="BM90" s="1839"/>
      <c r="BN90" s="1839"/>
      <c r="BO90" s="716"/>
      <c r="BP90" s="716"/>
      <c r="BQ90" s="1839"/>
      <c r="BR90" s="1839"/>
      <c r="BS90" s="716"/>
      <c r="BT90" s="716"/>
      <c r="BU90" s="698"/>
      <c r="BV90" s="698"/>
      <c r="BW90" s="716"/>
      <c r="BX90" s="716"/>
      <c r="BY90" s="1839"/>
      <c r="BZ90" s="1839"/>
      <c r="CA90" s="716"/>
      <c r="CB90" s="716"/>
      <c r="CC90" s="1839"/>
      <c r="CD90" s="1839"/>
      <c r="CE90" s="716"/>
      <c r="CF90" s="716"/>
      <c r="CG90" s="1839"/>
      <c r="CH90" s="1839"/>
      <c r="CI90" s="716"/>
      <c r="CJ90" s="716"/>
      <c r="CK90" s="1839"/>
      <c r="CL90" s="1839"/>
      <c r="CM90" s="716"/>
      <c r="CN90" s="716"/>
      <c r="CO90" s="1839"/>
      <c r="CP90" s="1839"/>
      <c r="CQ90" s="716"/>
      <c r="CR90" s="716"/>
      <c r="CS90" s="1839"/>
      <c r="CT90" s="1839"/>
      <c r="CU90" s="716"/>
      <c r="CV90" s="716"/>
      <c r="CW90" s="1839"/>
      <c r="CX90" s="1839"/>
      <c r="CY90" s="716"/>
      <c r="CZ90" s="716"/>
      <c r="DA90" s="1839"/>
      <c r="DB90" s="1839"/>
      <c r="DC90" s="716"/>
      <c r="DD90" s="716"/>
      <c r="DE90" s="1839"/>
      <c r="DF90" s="1839"/>
      <c r="DG90" s="716"/>
      <c r="DH90" s="716"/>
      <c r="DI90" s="1839"/>
      <c r="DJ90" s="1839"/>
      <c r="DK90" s="716"/>
      <c r="DL90" s="716"/>
      <c r="DM90" s="900"/>
      <c r="DN90" s="900"/>
      <c r="DO90" s="716"/>
      <c r="DP90" s="716"/>
      <c r="DQ90" s="900"/>
      <c r="DR90" s="900"/>
      <c r="DS90" s="716"/>
      <c r="DT90" s="716"/>
      <c r="DU90" s="900"/>
      <c r="DV90" s="900"/>
      <c r="DW90" s="716"/>
      <c r="DX90" s="716"/>
      <c r="DY90" s="900"/>
      <c r="DZ90" s="900"/>
    </row>
    <row r="91" spans="1:130" x14ac:dyDescent="0.25">
      <c r="B91" s="1827"/>
      <c r="C91" s="1836"/>
      <c r="E91" s="1830"/>
      <c r="F91" s="1831"/>
      <c r="I91" s="1830"/>
      <c r="J91" s="1831"/>
      <c r="M91" s="1830"/>
      <c r="N91" s="1831"/>
      <c r="Q91" s="1830"/>
      <c r="R91" s="1831"/>
      <c r="U91" s="1830"/>
      <c r="V91" s="1831"/>
      <c r="Y91" s="1830"/>
      <c r="Z91" s="1831"/>
      <c r="AC91" s="1830"/>
      <c r="AD91" s="1831"/>
      <c r="AF91" s="716"/>
      <c r="AG91" s="1839"/>
      <c r="AH91" s="1839"/>
      <c r="AI91" s="716"/>
      <c r="AJ91" s="716"/>
      <c r="AK91" s="1839"/>
      <c r="AL91" s="1839"/>
      <c r="AM91" s="716"/>
      <c r="AN91" s="716"/>
      <c r="AO91" s="1839"/>
      <c r="AP91" s="1839"/>
      <c r="AQ91" s="716"/>
      <c r="AR91" s="716"/>
      <c r="AS91" s="1839"/>
      <c r="AT91" s="1839"/>
      <c r="AU91" s="716"/>
      <c r="AV91" s="716"/>
      <c r="AW91" s="1839"/>
      <c r="AX91" s="1839"/>
      <c r="AY91" s="716"/>
      <c r="AZ91" s="716"/>
      <c r="BA91" s="1840"/>
      <c r="BB91" s="1840"/>
      <c r="BC91" s="716"/>
      <c r="BD91" s="716"/>
      <c r="BE91" s="1839"/>
      <c r="BF91" s="1839"/>
      <c r="BG91" s="716"/>
      <c r="BH91" s="716"/>
      <c r="BI91" s="1839"/>
      <c r="BJ91" s="1839"/>
      <c r="BK91" s="716"/>
      <c r="BL91" s="716"/>
      <c r="BM91" s="1839"/>
      <c r="BN91" s="1839"/>
      <c r="BO91" s="716"/>
      <c r="BP91" s="716"/>
      <c r="BQ91" s="1839"/>
      <c r="BR91" s="1839"/>
      <c r="BS91" s="716"/>
      <c r="BT91" s="716"/>
      <c r="BU91" s="698"/>
      <c r="BV91" s="698"/>
      <c r="BW91" s="716"/>
      <c r="BX91" s="716"/>
      <c r="BY91" s="1839"/>
      <c r="BZ91" s="1839"/>
      <c r="CA91" s="716"/>
      <c r="CB91" s="716"/>
      <c r="CC91" s="1839"/>
      <c r="CD91" s="1839"/>
      <c r="CE91" s="716"/>
      <c r="CF91" s="716"/>
      <c r="CG91" s="1839"/>
      <c r="CH91" s="1839"/>
      <c r="CI91" s="716"/>
      <c r="CJ91" s="716"/>
      <c r="CK91" s="1839"/>
      <c r="CL91" s="1839"/>
      <c r="CM91" s="716"/>
      <c r="CN91" s="716"/>
      <c r="CO91" s="1839"/>
      <c r="CP91" s="1839"/>
      <c r="CQ91" s="716"/>
      <c r="CR91" s="716"/>
      <c r="CS91" s="1839"/>
      <c r="CT91" s="1839"/>
      <c r="CU91" s="716"/>
      <c r="CV91" s="716"/>
      <c r="CW91" s="1839"/>
      <c r="CX91" s="1839"/>
      <c r="CY91" s="716"/>
      <c r="CZ91" s="716"/>
      <c r="DA91" s="1839"/>
      <c r="DB91" s="1839"/>
      <c r="DC91" s="716"/>
      <c r="DD91" s="716"/>
      <c r="DE91" s="1839"/>
      <c r="DF91" s="1839"/>
      <c r="DG91" s="716"/>
      <c r="DH91" s="716"/>
      <c r="DI91" s="1839"/>
      <c r="DJ91" s="1839"/>
      <c r="DK91" s="716"/>
      <c r="DL91" s="716"/>
      <c r="DM91" s="900"/>
      <c r="DN91" s="900"/>
      <c r="DO91" s="716"/>
      <c r="DP91" s="716"/>
      <c r="DQ91" s="900"/>
      <c r="DR91" s="900"/>
      <c r="DS91" s="716"/>
      <c r="DT91" s="716"/>
      <c r="DU91" s="900"/>
      <c r="DV91" s="900"/>
      <c r="DW91" s="716"/>
      <c r="DX91" s="716"/>
      <c r="DY91" s="900"/>
      <c r="DZ91" s="900"/>
    </row>
    <row r="92" spans="1:130" x14ac:dyDescent="0.25">
      <c r="B92" s="1827"/>
      <c r="C92" s="1836"/>
      <c r="E92" s="1830"/>
      <c r="F92" s="1831"/>
      <c r="I92" s="1830"/>
      <c r="J92" s="1831"/>
      <c r="M92" s="1830"/>
      <c r="N92" s="1831"/>
      <c r="Q92" s="1830"/>
      <c r="R92" s="1831"/>
      <c r="U92" s="1830"/>
      <c r="V92" s="1831"/>
      <c r="Y92" s="1830"/>
      <c r="Z92" s="1831"/>
      <c r="AC92" s="1830"/>
      <c r="AD92" s="1831"/>
      <c r="AF92" s="716"/>
      <c r="AG92" s="1839"/>
      <c r="AH92" s="1839"/>
      <c r="AI92" s="716"/>
      <c r="AJ92" s="716"/>
      <c r="AK92" s="1839"/>
      <c r="AL92" s="1839"/>
      <c r="AM92" s="716"/>
      <c r="AN92" s="716"/>
      <c r="AO92" s="1839"/>
      <c r="AP92" s="1839"/>
      <c r="AQ92" s="716"/>
      <c r="AR92" s="716"/>
      <c r="AS92" s="1839"/>
      <c r="AT92" s="1839"/>
      <c r="AU92" s="716"/>
      <c r="AV92" s="716"/>
      <c r="AW92" s="1839"/>
      <c r="AX92" s="1839"/>
      <c r="AY92" s="716"/>
      <c r="AZ92" s="716"/>
      <c r="BA92" s="1840"/>
      <c r="BB92" s="1840"/>
      <c r="BC92" s="716"/>
      <c r="BD92" s="716"/>
      <c r="BE92" s="1839"/>
      <c r="BF92" s="1839"/>
      <c r="BG92" s="716"/>
      <c r="BH92" s="716"/>
      <c r="BI92" s="1839"/>
      <c r="BJ92" s="1839"/>
      <c r="BK92" s="716"/>
      <c r="BL92" s="716"/>
      <c r="BM92" s="1839"/>
      <c r="BN92" s="1839"/>
      <c r="BO92" s="716"/>
      <c r="BP92" s="716"/>
      <c r="BQ92" s="1839"/>
      <c r="BR92" s="1839"/>
      <c r="BS92" s="716"/>
      <c r="BT92" s="716"/>
      <c r="BU92" s="698"/>
      <c r="BV92" s="698"/>
      <c r="BW92" s="716"/>
      <c r="BX92" s="716"/>
      <c r="BY92" s="1839"/>
      <c r="BZ92" s="1839"/>
      <c r="CA92" s="716"/>
      <c r="CB92" s="716"/>
      <c r="CC92" s="1839"/>
      <c r="CD92" s="1839"/>
      <c r="CE92" s="716"/>
      <c r="CF92" s="716"/>
      <c r="CG92" s="1839"/>
      <c r="CH92" s="1839"/>
      <c r="CI92" s="716"/>
      <c r="CJ92" s="716"/>
      <c r="CK92" s="1839"/>
      <c r="CL92" s="1839"/>
      <c r="CM92" s="716"/>
      <c r="CN92" s="716"/>
      <c r="CO92" s="1839"/>
      <c r="CP92" s="1839"/>
      <c r="CQ92" s="716"/>
      <c r="CR92" s="716"/>
      <c r="CS92" s="1839"/>
      <c r="CT92" s="1839"/>
      <c r="CU92" s="716"/>
      <c r="CV92" s="716"/>
      <c r="CW92" s="1839"/>
      <c r="CX92" s="1839"/>
      <c r="CY92" s="716"/>
      <c r="CZ92" s="716"/>
      <c r="DA92" s="1839"/>
      <c r="DB92" s="1839"/>
      <c r="DC92" s="716"/>
      <c r="DD92" s="716"/>
      <c r="DE92" s="1839"/>
      <c r="DF92" s="1839"/>
      <c r="DG92" s="716"/>
      <c r="DH92" s="716"/>
      <c r="DI92" s="1839"/>
      <c r="DJ92" s="1839"/>
      <c r="DK92" s="716"/>
      <c r="DL92" s="716"/>
      <c r="DM92" s="900"/>
      <c r="DN92" s="900"/>
      <c r="DO92" s="716"/>
      <c r="DP92" s="716"/>
      <c r="DQ92" s="900"/>
      <c r="DR92" s="900"/>
      <c r="DS92" s="716"/>
      <c r="DT92" s="716"/>
      <c r="DU92" s="900"/>
      <c r="DV92" s="900"/>
      <c r="DW92" s="716"/>
      <c r="DX92" s="716"/>
      <c r="DY92" s="900"/>
      <c r="DZ92" s="900"/>
    </row>
    <row r="93" spans="1:130" x14ac:dyDescent="0.25">
      <c r="B93" s="1837"/>
      <c r="C93" s="1838"/>
      <c r="E93" s="1832"/>
      <c r="F93" s="1833"/>
      <c r="I93" s="1832"/>
      <c r="J93" s="1833"/>
      <c r="M93" s="1832"/>
      <c r="N93" s="1833"/>
      <c r="Q93" s="1832"/>
      <c r="R93" s="1833"/>
      <c r="U93" s="1832"/>
      <c r="V93" s="1833"/>
      <c r="Y93" s="1832"/>
      <c r="Z93" s="1833"/>
      <c r="AC93" s="1832"/>
      <c r="AD93" s="1833"/>
      <c r="AF93" s="716"/>
      <c r="AG93" s="1839"/>
      <c r="AH93" s="1839"/>
      <c r="AI93" s="716"/>
      <c r="AJ93" s="716"/>
      <c r="AK93" s="1839"/>
      <c r="AL93" s="1839"/>
      <c r="AM93" s="716"/>
      <c r="AN93" s="716"/>
      <c r="AO93" s="1839"/>
      <c r="AP93" s="1839"/>
      <c r="AQ93" s="716"/>
      <c r="AR93" s="716"/>
      <c r="AS93" s="1839"/>
      <c r="AT93" s="1839"/>
      <c r="AU93" s="716"/>
      <c r="AV93" s="716"/>
      <c r="AW93" s="1839"/>
      <c r="AX93" s="1839"/>
      <c r="AY93" s="716"/>
      <c r="AZ93" s="716"/>
      <c r="BA93" s="1840"/>
      <c r="BB93" s="1840"/>
      <c r="BC93" s="716"/>
      <c r="BD93" s="716"/>
      <c r="BE93" s="1839"/>
      <c r="BF93" s="1839"/>
      <c r="BG93" s="716"/>
      <c r="BH93" s="716"/>
      <c r="BI93" s="1839"/>
      <c r="BJ93" s="1839"/>
      <c r="BK93" s="716"/>
      <c r="BL93" s="716"/>
      <c r="BM93" s="1839"/>
      <c r="BN93" s="1839"/>
      <c r="BO93" s="716"/>
      <c r="BP93" s="716"/>
      <c r="BQ93" s="1839"/>
      <c r="BR93" s="1839"/>
      <c r="BS93" s="716"/>
      <c r="BT93" s="716"/>
      <c r="BU93" s="698"/>
      <c r="BV93" s="698"/>
      <c r="BW93" s="716"/>
      <c r="BX93" s="716"/>
      <c r="BY93" s="1839"/>
      <c r="BZ93" s="1839"/>
      <c r="CA93" s="716"/>
      <c r="CB93" s="716"/>
      <c r="CC93" s="1839"/>
      <c r="CD93" s="1839"/>
      <c r="CE93" s="716"/>
      <c r="CF93" s="716"/>
      <c r="CG93" s="1839"/>
      <c r="CH93" s="1839"/>
      <c r="CI93" s="716"/>
      <c r="CJ93" s="716"/>
      <c r="CK93" s="1839"/>
      <c r="CL93" s="1839"/>
      <c r="CM93" s="716"/>
      <c r="CN93" s="716"/>
      <c r="CO93" s="1839"/>
      <c r="CP93" s="1839"/>
      <c r="CQ93" s="716"/>
      <c r="CR93" s="716"/>
      <c r="CS93" s="1839"/>
      <c r="CT93" s="1839"/>
      <c r="CU93" s="716"/>
      <c r="CV93" s="716"/>
      <c r="CW93" s="1839"/>
      <c r="CX93" s="1839"/>
      <c r="CY93" s="716"/>
      <c r="CZ93" s="716"/>
      <c r="DA93" s="1839"/>
      <c r="DB93" s="1839"/>
      <c r="DC93" s="716"/>
      <c r="DD93" s="716"/>
      <c r="DE93" s="1839"/>
      <c r="DF93" s="1839"/>
      <c r="DG93" s="716"/>
      <c r="DH93" s="716"/>
      <c r="DI93" s="1839"/>
      <c r="DJ93" s="1839"/>
      <c r="DK93" s="716"/>
      <c r="DL93" s="716"/>
      <c r="DM93" s="900"/>
      <c r="DN93" s="900"/>
      <c r="DO93" s="716"/>
      <c r="DP93" s="716"/>
      <c r="DQ93" s="900"/>
      <c r="DR93" s="900"/>
      <c r="DS93" s="716"/>
      <c r="DT93" s="716"/>
      <c r="DU93" s="900"/>
      <c r="DV93" s="900"/>
      <c r="DW93" s="716"/>
      <c r="DX93" s="716"/>
      <c r="DY93" s="900"/>
      <c r="DZ93" s="900"/>
    </row>
    <row r="94" spans="1:130" x14ac:dyDescent="0.25">
      <c r="DL94" s="716"/>
      <c r="DM94" s="716"/>
      <c r="DN94" s="716"/>
      <c r="DO94" s="716"/>
      <c r="DP94" s="716"/>
      <c r="DQ94" s="716"/>
      <c r="DR94" s="716"/>
      <c r="DS94" s="716"/>
      <c r="DT94" s="716"/>
      <c r="DU94" s="716"/>
      <c r="DV94" s="716"/>
      <c r="DW94" s="716"/>
      <c r="DX94" s="716"/>
      <c r="DY94" s="716"/>
      <c r="DZ94" s="716"/>
    </row>
    <row r="95" spans="1:130" x14ac:dyDescent="0.25">
      <c r="A95" s="690" t="s">
        <v>489</v>
      </c>
      <c r="B95" s="1841" t="s">
        <v>512</v>
      </c>
      <c r="C95" s="1841"/>
      <c r="D95" s="1839"/>
      <c r="E95" s="1834"/>
      <c r="F95" s="1842"/>
      <c r="G95" s="901"/>
      <c r="H95" s="1842"/>
      <c r="I95" s="1842"/>
      <c r="J95" s="1842"/>
      <c r="K95" s="901"/>
      <c r="L95" s="1842"/>
      <c r="M95" s="1842"/>
      <c r="N95" s="1842"/>
      <c r="O95" s="901"/>
      <c r="P95" s="1842"/>
      <c r="Q95" s="1842"/>
      <c r="R95" s="1842"/>
      <c r="S95" s="901"/>
      <c r="T95" s="1842"/>
      <c r="U95" s="1842"/>
      <c r="V95" s="1842"/>
      <c r="W95" s="901"/>
      <c r="X95" s="1842"/>
      <c r="Y95" s="1842"/>
      <c r="Z95" s="1842"/>
      <c r="AA95" s="901"/>
      <c r="AB95" s="1842"/>
      <c r="AC95" s="1842"/>
      <c r="AD95" s="1835"/>
      <c r="AF95" s="1827"/>
      <c r="AG95" s="1828" t="s">
        <v>500</v>
      </c>
      <c r="AH95" s="1829"/>
      <c r="AJ95" s="1827"/>
      <c r="AK95" s="1828" t="s">
        <v>500</v>
      </c>
      <c r="AL95" s="1829"/>
      <c r="AN95" s="1827"/>
      <c r="AO95" s="1828" t="s">
        <v>500</v>
      </c>
      <c r="AP95" s="1829"/>
      <c r="AR95" s="1827"/>
      <c r="AS95" s="1828" t="s">
        <v>502</v>
      </c>
      <c r="AT95" s="1829"/>
      <c r="AV95" s="1827"/>
      <c r="AW95" s="1828" t="s">
        <v>546</v>
      </c>
      <c r="AX95" s="1829"/>
      <c r="AZ95" s="1827"/>
      <c r="BA95" s="1844" t="s">
        <v>500</v>
      </c>
      <c r="BB95" s="1844"/>
      <c r="BD95" s="1827"/>
      <c r="BE95" s="1828" t="s">
        <v>500</v>
      </c>
      <c r="BF95" s="1829"/>
      <c r="BH95" s="1839"/>
      <c r="BI95" s="1839"/>
      <c r="BJ95" s="1839"/>
      <c r="BK95" s="716"/>
      <c r="BL95" s="1839"/>
      <c r="BM95" s="1839"/>
      <c r="BN95" s="1839"/>
      <c r="BO95" s="716"/>
      <c r="BP95" s="1839"/>
      <c r="BQ95" s="1839"/>
      <c r="BR95" s="1839"/>
      <c r="BS95" s="716"/>
      <c r="BT95" s="1839"/>
      <c r="BU95" s="1839"/>
      <c r="BV95" s="1839"/>
      <c r="BW95" s="716"/>
      <c r="BX95" s="1839"/>
      <c r="BY95" s="1839"/>
      <c r="BZ95" s="1839"/>
      <c r="CA95" s="716"/>
      <c r="CB95" s="1839"/>
      <c r="CC95" s="1839"/>
      <c r="CD95" s="1839"/>
      <c r="CE95" s="716"/>
      <c r="CF95" s="1839"/>
      <c r="CG95" s="1839"/>
      <c r="CH95" s="1839"/>
      <c r="CI95" s="716"/>
      <c r="CJ95" s="1839"/>
      <c r="CK95" s="1839"/>
      <c r="CL95" s="1839"/>
      <c r="CM95" s="716"/>
      <c r="CN95" s="1839"/>
      <c r="CO95" s="1839"/>
      <c r="CP95" s="1839"/>
      <c r="CQ95" s="716"/>
      <c r="CR95" s="1839"/>
      <c r="CS95" s="1839"/>
      <c r="CT95" s="1839"/>
      <c r="CU95" s="716"/>
      <c r="CV95" s="1839"/>
      <c r="CW95" s="1839"/>
      <c r="CX95" s="1839"/>
      <c r="CY95" s="716"/>
      <c r="CZ95" s="1839"/>
      <c r="DA95" s="1839"/>
      <c r="DB95" s="1839"/>
      <c r="DC95" s="716"/>
      <c r="DD95" s="1839"/>
      <c r="DE95" s="1839"/>
      <c r="DF95" s="1839"/>
      <c r="DG95" s="716"/>
      <c r="DH95" s="1839"/>
      <c r="DI95" s="1839"/>
      <c r="DJ95" s="1839"/>
      <c r="DL95" s="899"/>
      <c r="DM95" s="900"/>
      <c r="DN95" s="900"/>
      <c r="DO95" s="716"/>
      <c r="DP95" s="899"/>
      <c r="DQ95" s="900"/>
      <c r="DR95" s="900"/>
      <c r="DS95" s="716"/>
      <c r="DT95" s="899"/>
      <c r="DU95" s="900"/>
      <c r="DV95" s="900"/>
      <c r="DW95" s="716"/>
      <c r="DX95" s="899"/>
      <c r="DY95" s="900"/>
      <c r="DZ95" s="900"/>
    </row>
    <row r="96" spans="1:130" x14ac:dyDescent="0.25">
      <c r="B96" s="1841"/>
      <c r="C96" s="1841"/>
      <c r="D96" s="1839"/>
      <c r="E96" s="1827"/>
      <c r="F96" s="1839"/>
      <c r="G96" s="716"/>
      <c r="H96" s="1839"/>
      <c r="I96" s="1839"/>
      <c r="J96" s="1839"/>
      <c r="K96" s="716"/>
      <c r="L96" s="1839"/>
      <c r="M96" s="1839"/>
      <c r="N96" s="1839"/>
      <c r="O96" s="716"/>
      <c r="P96" s="1839"/>
      <c r="Q96" s="1839"/>
      <c r="R96" s="1839"/>
      <c r="S96" s="716"/>
      <c r="T96" s="1839"/>
      <c r="U96" s="1839"/>
      <c r="V96" s="1839"/>
      <c r="W96" s="716"/>
      <c r="X96" s="1839"/>
      <c r="Y96" s="1839"/>
      <c r="Z96" s="1839"/>
      <c r="AA96" s="716"/>
      <c r="AB96" s="1839"/>
      <c r="AC96" s="1839"/>
      <c r="AD96" s="1836"/>
      <c r="AF96" s="1827"/>
      <c r="AG96" s="1830"/>
      <c r="AH96" s="1831"/>
      <c r="AJ96" s="1827"/>
      <c r="AK96" s="1830"/>
      <c r="AL96" s="1831"/>
      <c r="AN96" s="1827"/>
      <c r="AO96" s="1830"/>
      <c r="AP96" s="1831"/>
      <c r="AR96" s="1827"/>
      <c r="AS96" s="1830"/>
      <c r="AT96" s="1831"/>
      <c r="AV96" s="1827"/>
      <c r="AW96" s="1830"/>
      <c r="AX96" s="1831"/>
      <c r="AZ96" s="1827"/>
      <c r="BA96" s="1844"/>
      <c r="BB96" s="1844"/>
      <c r="BD96" s="1827"/>
      <c r="BE96" s="1830"/>
      <c r="BF96" s="1831"/>
      <c r="BH96" s="1839"/>
      <c r="BI96" s="1839"/>
      <c r="BJ96" s="1839"/>
      <c r="BK96" s="716"/>
      <c r="BL96" s="1839"/>
      <c r="BM96" s="1839"/>
      <c r="BN96" s="1839"/>
      <c r="BO96" s="716"/>
      <c r="BP96" s="1839"/>
      <c r="BQ96" s="1839"/>
      <c r="BR96" s="1839"/>
      <c r="BS96" s="716"/>
      <c r="BT96" s="1839"/>
      <c r="BU96" s="1839"/>
      <c r="BV96" s="1839"/>
      <c r="BW96" s="716"/>
      <c r="BX96" s="1839"/>
      <c r="BY96" s="1839"/>
      <c r="BZ96" s="1839"/>
      <c r="CA96" s="716"/>
      <c r="CB96" s="1839"/>
      <c r="CC96" s="1839"/>
      <c r="CD96" s="1839"/>
      <c r="CE96" s="716"/>
      <c r="CF96" s="1839"/>
      <c r="CG96" s="1839"/>
      <c r="CH96" s="1839"/>
      <c r="CI96" s="716"/>
      <c r="CJ96" s="1839"/>
      <c r="CK96" s="1839"/>
      <c r="CL96" s="1839"/>
      <c r="CM96" s="716"/>
      <c r="CN96" s="1839"/>
      <c r="CO96" s="1839"/>
      <c r="CP96" s="1839"/>
      <c r="CQ96" s="716"/>
      <c r="CR96" s="1839"/>
      <c r="CS96" s="1839"/>
      <c r="CT96" s="1839"/>
      <c r="CU96" s="716"/>
      <c r="CV96" s="1839"/>
      <c r="CW96" s="1839"/>
      <c r="CX96" s="1839"/>
      <c r="CY96" s="716"/>
      <c r="CZ96" s="1839"/>
      <c r="DA96" s="1839"/>
      <c r="DB96" s="1839"/>
      <c r="DC96" s="716"/>
      <c r="DD96" s="1839"/>
      <c r="DE96" s="1839"/>
      <c r="DF96" s="1839"/>
      <c r="DG96" s="716"/>
      <c r="DH96" s="1839"/>
      <c r="DI96" s="1839"/>
      <c r="DJ96" s="1839"/>
      <c r="DL96" s="899"/>
      <c r="DM96" s="900"/>
      <c r="DN96" s="900"/>
      <c r="DO96" s="716"/>
      <c r="DP96" s="899"/>
      <c r="DQ96" s="900"/>
      <c r="DR96" s="900"/>
      <c r="DS96" s="716"/>
      <c r="DT96" s="899"/>
      <c r="DU96" s="900"/>
      <c r="DV96" s="900"/>
      <c r="DW96" s="716"/>
      <c r="DX96" s="899"/>
      <c r="DY96" s="900"/>
      <c r="DZ96" s="900"/>
    </row>
    <row r="97" spans="1:130" x14ac:dyDescent="0.25">
      <c r="B97" s="1841"/>
      <c r="C97" s="1841"/>
      <c r="D97" s="716"/>
      <c r="E97" s="1827"/>
      <c r="F97" s="1839"/>
      <c r="G97" s="716"/>
      <c r="H97" s="716"/>
      <c r="I97" s="1839"/>
      <c r="J97" s="1839"/>
      <c r="K97" s="716"/>
      <c r="L97" s="716"/>
      <c r="M97" s="1839"/>
      <c r="N97" s="1839"/>
      <c r="O97" s="716"/>
      <c r="P97" s="716"/>
      <c r="Q97" s="1839"/>
      <c r="R97" s="1839"/>
      <c r="S97" s="716"/>
      <c r="T97" s="716"/>
      <c r="U97" s="1839"/>
      <c r="V97" s="1839"/>
      <c r="W97" s="716"/>
      <c r="X97" s="716"/>
      <c r="Y97" s="1839"/>
      <c r="Z97" s="1839"/>
      <c r="AA97" s="716"/>
      <c r="AB97" s="716"/>
      <c r="AC97" s="1839"/>
      <c r="AD97" s="1836"/>
      <c r="AG97" s="1830"/>
      <c r="AH97" s="1831"/>
      <c r="AK97" s="1830"/>
      <c r="AL97" s="1831"/>
      <c r="AO97" s="1830"/>
      <c r="AP97" s="1831"/>
      <c r="AS97" s="1830"/>
      <c r="AT97" s="1831"/>
      <c r="AW97" s="1830"/>
      <c r="AX97" s="1831"/>
      <c r="BA97" s="1844"/>
      <c r="BB97" s="1844"/>
      <c r="BE97" s="1830"/>
      <c r="BF97" s="1831"/>
      <c r="BH97" s="716"/>
      <c r="BI97" s="1839"/>
      <c r="BJ97" s="1839"/>
      <c r="BK97" s="716"/>
      <c r="BL97" s="716"/>
      <c r="BM97" s="1839"/>
      <c r="BN97" s="1839"/>
      <c r="BO97" s="716"/>
      <c r="BP97" s="716"/>
      <c r="BQ97" s="1839"/>
      <c r="BR97" s="1839"/>
      <c r="BS97" s="716"/>
      <c r="BT97" s="716"/>
      <c r="BU97" s="1839"/>
      <c r="BV97" s="1839"/>
      <c r="BW97" s="716"/>
      <c r="BX97" s="716"/>
      <c r="BY97" s="1839"/>
      <c r="BZ97" s="1839"/>
      <c r="CA97" s="716"/>
      <c r="CB97" s="716"/>
      <c r="CC97" s="1839"/>
      <c r="CD97" s="1839"/>
      <c r="CE97" s="716"/>
      <c r="CF97" s="716"/>
      <c r="CG97" s="1839"/>
      <c r="CH97" s="1839"/>
      <c r="CI97" s="716"/>
      <c r="CJ97" s="716"/>
      <c r="CK97" s="1839"/>
      <c r="CL97" s="1839"/>
      <c r="CM97" s="716"/>
      <c r="CN97" s="716"/>
      <c r="CO97" s="1839"/>
      <c r="CP97" s="1839"/>
      <c r="CQ97" s="716"/>
      <c r="CR97" s="716"/>
      <c r="CS97" s="1839"/>
      <c r="CT97" s="1839"/>
      <c r="CU97" s="716"/>
      <c r="CV97" s="716"/>
      <c r="CW97" s="1839"/>
      <c r="CX97" s="1839"/>
      <c r="CY97" s="716"/>
      <c r="CZ97" s="716"/>
      <c r="DA97" s="1839"/>
      <c r="DB97" s="1839"/>
      <c r="DC97" s="716"/>
      <c r="DD97" s="716"/>
      <c r="DE97" s="1839"/>
      <c r="DF97" s="1839"/>
      <c r="DG97" s="716"/>
      <c r="DH97" s="716"/>
      <c r="DI97" s="1839"/>
      <c r="DJ97" s="1839"/>
      <c r="DL97" s="716"/>
      <c r="DM97" s="900"/>
      <c r="DN97" s="900"/>
      <c r="DO97" s="716"/>
      <c r="DP97" s="716"/>
      <c r="DQ97" s="900"/>
      <c r="DR97" s="900"/>
      <c r="DS97" s="716"/>
      <c r="DT97" s="716"/>
      <c r="DU97" s="900"/>
      <c r="DV97" s="900"/>
      <c r="DW97" s="716"/>
      <c r="DX97" s="716"/>
      <c r="DY97" s="900"/>
      <c r="DZ97" s="900"/>
    </row>
    <row r="98" spans="1:130" x14ac:dyDescent="0.25">
      <c r="B98" s="1841"/>
      <c r="C98" s="1841"/>
      <c r="D98" s="716"/>
      <c r="E98" s="1827"/>
      <c r="F98" s="1839"/>
      <c r="G98" s="716"/>
      <c r="H98" s="716"/>
      <c r="I98" s="1839"/>
      <c r="J98" s="1839"/>
      <c r="K98" s="716"/>
      <c r="L98" s="716"/>
      <c r="M98" s="1839"/>
      <c r="N98" s="1839"/>
      <c r="O98" s="716"/>
      <c r="P98" s="716"/>
      <c r="Q98" s="1839"/>
      <c r="R98" s="1839"/>
      <c r="S98" s="716"/>
      <c r="T98" s="716"/>
      <c r="U98" s="1839"/>
      <c r="V98" s="1839"/>
      <c r="W98" s="716"/>
      <c r="X98" s="716"/>
      <c r="Y98" s="1839"/>
      <c r="Z98" s="1839"/>
      <c r="AA98" s="716"/>
      <c r="AB98" s="716"/>
      <c r="AC98" s="1839"/>
      <c r="AD98" s="1836"/>
      <c r="AG98" s="1830"/>
      <c r="AH98" s="1831"/>
      <c r="AK98" s="1830"/>
      <c r="AL98" s="1831"/>
      <c r="AO98" s="1830"/>
      <c r="AP98" s="1831"/>
      <c r="AS98" s="1830"/>
      <c r="AT98" s="1831"/>
      <c r="AW98" s="1830"/>
      <c r="AX98" s="1831"/>
      <c r="BA98" s="1844"/>
      <c r="BB98" s="1844"/>
      <c r="BE98" s="1830"/>
      <c r="BF98" s="1831"/>
      <c r="BH98" s="716"/>
      <c r="BI98" s="1839"/>
      <c r="BJ98" s="1839"/>
      <c r="BK98" s="716"/>
      <c r="BL98" s="716"/>
      <c r="BM98" s="1839"/>
      <c r="BN98" s="1839"/>
      <c r="BO98" s="716"/>
      <c r="BP98" s="716"/>
      <c r="BQ98" s="1839"/>
      <c r="BR98" s="1839"/>
      <c r="BS98" s="716"/>
      <c r="BT98" s="716"/>
      <c r="BU98" s="1839"/>
      <c r="BV98" s="1839"/>
      <c r="BW98" s="716"/>
      <c r="BX98" s="716"/>
      <c r="BY98" s="1839"/>
      <c r="BZ98" s="1839"/>
      <c r="CA98" s="716"/>
      <c r="CB98" s="716"/>
      <c r="CC98" s="1839"/>
      <c r="CD98" s="1839"/>
      <c r="CE98" s="716"/>
      <c r="CF98" s="716"/>
      <c r="CG98" s="1839"/>
      <c r="CH98" s="1839"/>
      <c r="CI98" s="716"/>
      <c r="CJ98" s="716"/>
      <c r="CK98" s="1839"/>
      <c r="CL98" s="1839"/>
      <c r="CM98" s="716"/>
      <c r="CN98" s="716"/>
      <c r="CO98" s="1839"/>
      <c r="CP98" s="1839"/>
      <c r="CQ98" s="716"/>
      <c r="CR98" s="716"/>
      <c r="CS98" s="1839"/>
      <c r="CT98" s="1839"/>
      <c r="CU98" s="716"/>
      <c r="CV98" s="716"/>
      <c r="CW98" s="1839"/>
      <c r="CX98" s="1839"/>
      <c r="CY98" s="716"/>
      <c r="CZ98" s="716"/>
      <c r="DA98" s="1839"/>
      <c r="DB98" s="1839"/>
      <c r="DC98" s="716"/>
      <c r="DD98" s="716"/>
      <c r="DE98" s="1839"/>
      <c r="DF98" s="1839"/>
      <c r="DG98" s="716"/>
      <c r="DH98" s="716"/>
      <c r="DI98" s="1839"/>
      <c r="DJ98" s="1839"/>
      <c r="DL98" s="716"/>
      <c r="DM98" s="900"/>
      <c r="DN98" s="900"/>
      <c r="DO98" s="716"/>
      <c r="DP98" s="716"/>
      <c r="DQ98" s="900"/>
      <c r="DR98" s="900"/>
      <c r="DS98" s="716"/>
      <c r="DT98" s="716"/>
      <c r="DU98" s="900"/>
      <c r="DV98" s="900"/>
      <c r="DW98" s="716"/>
      <c r="DX98" s="716"/>
      <c r="DY98" s="900"/>
      <c r="DZ98" s="900"/>
    </row>
    <row r="99" spans="1:130" x14ac:dyDescent="0.25">
      <c r="B99" s="1841"/>
      <c r="C99" s="1841"/>
      <c r="D99" s="716"/>
      <c r="E99" s="1827"/>
      <c r="F99" s="1839"/>
      <c r="G99" s="716"/>
      <c r="H99" s="716"/>
      <c r="I99" s="1839"/>
      <c r="J99" s="1839"/>
      <c r="K99" s="716"/>
      <c r="L99" s="716"/>
      <c r="M99" s="1839"/>
      <c r="N99" s="1839"/>
      <c r="O99" s="716"/>
      <c r="P99" s="716"/>
      <c r="Q99" s="1839"/>
      <c r="R99" s="1839"/>
      <c r="S99" s="716"/>
      <c r="T99" s="716"/>
      <c r="U99" s="1839"/>
      <c r="V99" s="1839"/>
      <c r="W99" s="716"/>
      <c r="X99" s="716"/>
      <c r="Y99" s="1839"/>
      <c r="Z99" s="1839"/>
      <c r="AA99" s="716"/>
      <c r="AB99" s="716"/>
      <c r="AC99" s="1839"/>
      <c r="AD99" s="1836"/>
      <c r="AG99" s="1830"/>
      <c r="AH99" s="1831"/>
      <c r="AK99" s="1830"/>
      <c r="AL99" s="1831"/>
      <c r="AO99" s="1830"/>
      <c r="AP99" s="1831"/>
      <c r="AS99" s="1830"/>
      <c r="AT99" s="1831"/>
      <c r="AW99" s="1830"/>
      <c r="AX99" s="1831"/>
      <c r="BA99" s="1844"/>
      <c r="BB99" s="1844"/>
      <c r="BE99" s="1830"/>
      <c r="BF99" s="1831"/>
      <c r="BH99" s="716"/>
      <c r="BI99" s="1839"/>
      <c r="BJ99" s="1839"/>
      <c r="BK99" s="716"/>
      <c r="BL99" s="716"/>
      <c r="BM99" s="1839"/>
      <c r="BN99" s="1839"/>
      <c r="BO99" s="716"/>
      <c r="BP99" s="716"/>
      <c r="BQ99" s="1839"/>
      <c r="BR99" s="1839"/>
      <c r="BS99" s="716"/>
      <c r="BT99" s="716"/>
      <c r="BU99" s="1839"/>
      <c r="BV99" s="1839"/>
      <c r="BW99" s="716"/>
      <c r="BX99" s="716"/>
      <c r="BY99" s="1839"/>
      <c r="BZ99" s="1839"/>
      <c r="CA99" s="716"/>
      <c r="CB99" s="716"/>
      <c r="CC99" s="1839"/>
      <c r="CD99" s="1839"/>
      <c r="CE99" s="716"/>
      <c r="CF99" s="716"/>
      <c r="CG99" s="1839"/>
      <c r="CH99" s="1839"/>
      <c r="CI99" s="716"/>
      <c r="CJ99" s="716"/>
      <c r="CK99" s="1839"/>
      <c r="CL99" s="1839"/>
      <c r="CM99" s="716"/>
      <c r="CN99" s="716"/>
      <c r="CO99" s="1839"/>
      <c r="CP99" s="1839"/>
      <c r="CQ99" s="716"/>
      <c r="CR99" s="716"/>
      <c r="CS99" s="1839"/>
      <c r="CT99" s="1839"/>
      <c r="CU99" s="716"/>
      <c r="CV99" s="716"/>
      <c r="CW99" s="1839"/>
      <c r="CX99" s="1839"/>
      <c r="CY99" s="716"/>
      <c r="CZ99" s="716"/>
      <c r="DA99" s="1839"/>
      <c r="DB99" s="1839"/>
      <c r="DC99" s="716"/>
      <c r="DD99" s="716"/>
      <c r="DE99" s="1839"/>
      <c r="DF99" s="1839"/>
      <c r="DG99" s="716"/>
      <c r="DH99" s="716"/>
      <c r="DI99" s="1839"/>
      <c r="DJ99" s="1839"/>
      <c r="DL99" s="716"/>
      <c r="DM99" s="900"/>
      <c r="DN99" s="900"/>
      <c r="DO99" s="716"/>
      <c r="DP99" s="716"/>
      <c r="DQ99" s="900"/>
      <c r="DR99" s="900"/>
      <c r="DS99" s="716"/>
      <c r="DT99" s="716"/>
      <c r="DU99" s="900"/>
      <c r="DV99" s="900"/>
      <c r="DW99" s="716"/>
      <c r="DX99" s="716"/>
      <c r="DY99" s="900"/>
      <c r="DZ99" s="900"/>
    </row>
    <row r="100" spans="1:130" x14ac:dyDescent="0.25">
      <c r="B100" s="1841"/>
      <c r="C100" s="1841"/>
      <c r="D100" s="716"/>
      <c r="E100" s="1827"/>
      <c r="F100" s="1839"/>
      <c r="G100" s="716"/>
      <c r="H100" s="716"/>
      <c r="I100" s="1839"/>
      <c r="J100" s="1839"/>
      <c r="K100" s="716"/>
      <c r="L100" s="716"/>
      <c r="M100" s="1839"/>
      <c r="N100" s="1839"/>
      <c r="O100" s="716"/>
      <c r="P100" s="716"/>
      <c r="Q100" s="1839"/>
      <c r="R100" s="1839"/>
      <c r="S100" s="716"/>
      <c r="T100" s="716"/>
      <c r="U100" s="1839"/>
      <c r="V100" s="1839"/>
      <c r="W100" s="716"/>
      <c r="X100" s="716"/>
      <c r="Y100" s="1839"/>
      <c r="Z100" s="1839"/>
      <c r="AA100" s="716"/>
      <c r="AB100" s="716"/>
      <c r="AC100" s="1839"/>
      <c r="AD100" s="1836"/>
      <c r="AG100" s="1830"/>
      <c r="AH100" s="1831"/>
      <c r="AK100" s="1830"/>
      <c r="AL100" s="1831"/>
      <c r="AO100" s="1830"/>
      <c r="AP100" s="1831"/>
      <c r="AS100" s="1830"/>
      <c r="AT100" s="1831"/>
      <c r="AW100" s="1830"/>
      <c r="AX100" s="1831"/>
      <c r="BA100" s="1844"/>
      <c r="BB100" s="1844"/>
      <c r="BE100" s="1830"/>
      <c r="BF100" s="1831"/>
      <c r="BH100" s="716"/>
      <c r="BI100" s="1839"/>
      <c r="BJ100" s="1839"/>
      <c r="BK100" s="716"/>
      <c r="BL100" s="716"/>
      <c r="BM100" s="1839"/>
      <c r="BN100" s="1839"/>
      <c r="BO100" s="716"/>
      <c r="BP100" s="716"/>
      <c r="BQ100" s="1839"/>
      <c r="BR100" s="1839"/>
      <c r="BS100" s="716"/>
      <c r="BT100" s="716"/>
      <c r="BU100" s="1839"/>
      <c r="BV100" s="1839"/>
      <c r="BW100" s="716"/>
      <c r="BX100" s="716"/>
      <c r="BY100" s="1839"/>
      <c r="BZ100" s="1839"/>
      <c r="CA100" s="716"/>
      <c r="CB100" s="716"/>
      <c r="CC100" s="1839"/>
      <c r="CD100" s="1839"/>
      <c r="CE100" s="716"/>
      <c r="CF100" s="716"/>
      <c r="CG100" s="1839"/>
      <c r="CH100" s="1839"/>
      <c r="CI100" s="716"/>
      <c r="CJ100" s="716"/>
      <c r="CK100" s="1839"/>
      <c r="CL100" s="1839"/>
      <c r="CM100" s="716"/>
      <c r="CN100" s="716"/>
      <c r="CO100" s="1839"/>
      <c r="CP100" s="1839"/>
      <c r="CQ100" s="716"/>
      <c r="CR100" s="716"/>
      <c r="CS100" s="1839"/>
      <c r="CT100" s="1839"/>
      <c r="CU100" s="716"/>
      <c r="CV100" s="716"/>
      <c r="CW100" s="1839"/>
      <c r="CX100" s="1839"/>
      <c r="CY100" s="716"/>
      <c r="CZ100" s="716"/>
      <c r="DA100" s="1839"/>
      <c r="DB100" s="1839"/>
      <c r="DC100" s="716"/>
      <c r="DD100" s="716"/>
      <c r="DE100" s="1839"/>
      <c r="DF100" s="1839"/>
      <c r="DG100" s="716"/>
      <c r="DH100" s="716"/>
      <c r="DI100" s="1839"/>
      <c r="DJ100" s="1839"/>
      <c r="DL100" s="716"/>
      <c r="DM100" s="900"/>
      <c r="DN100" s="900"/>
      <c r="DO100" s="716"/>
      <c r="DP100" s="716"/>
      <c r="DQ100" s="900"/>
      <c r="DR100" s="900"/>
      <c r="DS100" s="716"/>
      <c r="DT100" s="716"/>
      <c r="DU100" s="900"/>
      <c r="DV100" s="900"/>
      <c r="DW100" s="716"/>
      <c r="DX100" s="716"/>
      <c r="DY100" s="900"/>
      <c r="DZ100" s="900"/>
    </row>
    <row r="101" spans="1:130" x14ac:dyDescent="0.25">
      <c r="B101" s="1841"/>
      <c r="C101" s="1841"/>
      <c r="D101" s="716"/>
      <c r="E101" s="1837"/>
      <c r="F101" s="1843"/>
      <c r="G101" s="902"/>
      <c r="H101" s="902"/>
      <c r="I101" s="1843"/>
      <c r="J101" s="1843"/>
      <c r="K101" s="902"/>
      <c r="L101" s="902"/>
      <c r="M101" s="1843"/>
      <c r="N101" s="1843"/>
      <c r="O101" s="902"/>
      <c r="P101" s="902"/>
      <c r="Q101" s="1843"/>
      <c r="R101" s="1843"/>
      <c r="S101" s="902"/>
      <c r="T101" s="902"/>
      <c r="U101" s="1843"/>
      <c r="V101" s="1843"/>
      <c r="W101" s="902"/>
      <c r="X101" s="902"/>
      <c r="Y101" s="1843"/>
      <c r="Z101" s="1843"/>
      <c r="AA101" s="902"/>
      <c r="AB101" s="902"/>
      <c r="AC101" s="1843"/>
      <c r="AD101" s="1838"/>
      <c r="AG101" s="1832"/>
      <c r="AH101" s="1833"/>
      <c r="AK101" s="1832"/>
      <c r="AL101" s="1833"/>
      <c r="AO101" s="1832"/>
      <c r="AP101" s="1833"/>
      <c r="AS101" s="1832"/>
      <c r="AT101" s="1833"/>
      <c r="AW101" s="1832"/>
      <c r="AX101" s="1833"/>
      <c r="BA101" s="1844"/>
      <c r="BB101" s="1844"/>
      <c r="BE101" s="1832"/>
      <c r="BF101" s="1833"/>
      <c r="BH101" s="716"/>
      <c r="BI101" s="1839"/>
      <c r="BJ101" s="1839"/>
      <c r="BK101" s="716"/>
      <c r="BL101" s="716"/>
      <c r="BM101" s="1839"/>
      <c r="BN101" s="1839"/>
      <c r="BO101" s="716"/>
      <c r="BP101" s="716"/>
      <c r="BQ101" s="1839"/>
      <c r="BR101" s="1839"/>
      <c r="BS101" s="716"/>
      <c r="BT101" s="716"/>
      <c r="BU101" s="1839"/>
      <c r="BV101" s="1839"/>
      <c r="BW101" s="716"/>
      <c r="BX101" s="716"/>
      <c r="BY101" s="1839"/>
      <c r="BZ101" s="1839"/>
      <c r="CA101" s="716"/>
      <c r="CB101" s="716"/>
      <c r="CC101" s="1839"/>
      <c r="CD101" s="1839"/>
      <c r="CE101" s="716"/>
      <c r="CF101" s="716"/>
      <c r="CG101" s="1839"/>
      <c r="CH101" s="1839"/>
      <c r="CI101" s="716"/>
      <c r="CJ101" s="716"/>
      <c r="CK101" s="1839"/>
      <c r="CL101" s="1839"/>
      <c r="CM101" s="716"/>
      <c r="CN101" s="716"/>
      <c r="CO101" s="1839"/>
      <c r="CP101" s="1839"/>
      <c r="CQ101" s="716"/>
      <c r="CR101" s="716"/>
      <c r="CS101" s="1839"/>
      <c r="CT101" s="1839"/>
      <c r="CU101" s="716"/>
      <c r="CV101" s="716"/>
      <c r="CW101" s="1839"/>
      <c r="CX101" s="1839"/>
      <c r="CY101" s="716"/>
      <c r="CZ101" s="716"/>
      <c r="DA101" s="1839"/>
      <c r="DB101" s="1839"/>
      <c r="DC101" s="716"/>
      <c r="DD101" s="716"/>
      <c r="DE101" s="1839"/>
      <c r="DF101" s="1839"/>
      <c r="DG101" s="716"/>
      <c r="DH101" s="716"/>
      <c r="DI101" s="1839"/>
      <c r="DJ101" s="1839"/>
      <c r="DL101" s="716"/>
      <c r="DM101" s="900"/>
      <c r="DN101" s="900"/>
      <c r="DO101" s="716"/>
      <c r="DP101" s="716"/>
      <c r="DQ101" s="900"/>
      <c r="DR101" s="900"/>
      <c r="DS101" s="716"/>
      <c r="DT101" s="716"/>
      <c r="DU101" s="900"/>
      <c r="DV101" s="900"/>
      <c r="DW101" s="716"/>
      <c r="DX101" s="716"/>
      <c r="DY101" s="900"/>
      <c r="DZ101" s="900"/>
    </row>
    <row r="102" spans="1:130" x14ac:dyDescent="0.25">
      <c r="CJ102" s="716"/>
      <c r="CK102" s="716"/>
      <c r="CL102" s="716"/>
      <c r="CM102" s="716"/>
      <c r="CN102" s="716"/>
      <c r="CO102" s="716"/>
      <c r="CP102" s="716"/>
      <c r="CQ102" s="716"/>
      <c r="CR102" s="716"/>
      <c r="CS102" s="716"/>
      <c r="CT102" s="716"/>
      <c r="CU102" s="716"/>
      <c r="CV102" s="716"/>
      <c r="CW102" s="716"/>
      <c r="CX102" s="716"/>
      <c r="CY102" s="716"/>
      <c r="CZ102" s="716"/>
      <c r="DA102" s="716"/>
      <c r="DB102" s="716"/>
      <c r="DC102" s="716"/>
      <c r="DD102" s="716"/>
      <c r="DE102" s="716"/>
      <c r="DF102" s="716"/>
      <c r="DG102" s="716"/>
      <c r="DH102" s="716"/>
      <c r="DI102" s="716"/>
      <c r="DJ102" s="716"/>
      <c r="DK102" s="716"/>
      <c r="DL102" s="716"/>
      <c r="DM102" s="716"/>
      <c r="DN102" s="716"/>
      <c r="DO102" s="716"/>
      <c r="DP102" s="716"/>
      <c r="DQ102" s="716"/>
      <c r="DR102" s="716"/>
      <c r="DS102" s="716"/>
      <c r="DT102" s="716"/>
      <c r="DU102" s="716"/>
      <c r="DV102" s="716"/>
      <c r="DW102" s="716"/>
      <c r="DX102" s="716"/>
      <c r="DY102" s="716"/>
      <c r="DZ102" s="716"/>
    </row>
    <row r="103" spans="1:130" ht="15" customHeight="1" x14ac:dyDescent="0.25">
      <c r="A103" s="690" t="s">
        <v>490</v>
      </c>
      <c r="B103" s="1841" t="s">
        <v>512</v>
      </c>
      <c r="C103" s="1841"/>
      <c r="D103" s="1839"/>
      <c r="E103" s="1834"/>
      <c r="F103" s="1842"/>
      <c r="G103" s="901"/>
      <c r="H103" s="1842"/>
      <c r="I103" s="1842"/>
      <c r="J103" s="1842"/>
      <c r="K103" s="901"/>
      <c r="L103" s="1842"/>
      <c r="M103" s="1842"/>
      <c r="N103" s="1842"/>
      <c r="O103" s="901"/>
      <c r="P103" s="1842"/>
      <c r="Q103" s="1842"/>
      <c r="R103" s="1842"/>
      <c r="S103" s="901"/>
      <c r="T103" s="1842"/>
      <c r="U103" s="1842"/>
      <c r="V103" s="1842"/>
      <c r="W103" s="901"/>
      <c r="X103" s="1842"/>
      <c r="Y103" s="1842"/>
      <c r="Z103" s="1842"/>
      <c r="AA103" s="901"/>
      <c r="AB103" s="1842"/>
      <c r="AC103" s="1842"/>
      <c r="AD103" s="1842"/>
      <c r="AE103" s="901"/>
      <c r="AF103" s="1842"/>
      <c r="AG103" s="1842"/>
      <c r="AH103" s="1842"/>
      <c r="AI103" s="901"/>
      <c r="AJ103" s="1842"/>
      <c r="AK103" s="1842"/>
      <c r="AL103" s="1842"/>
      <c r="AM103" s="901"/>
      <c r="AN103" s="1842"/>
      <c r="AO103" s="1842"/>
      <c r="AP103" s="1842"/>
      <c r="AQ103" s="901"/>
      <c r="AR103" s="1842"/>
      <c r="AS103" s="1842"/>
      <c r="AT103" s="1842"/>
      <c r="AU103" s="901"/>
      <c r="AV103" s="1842"/>
      <c r="AW103" s="1842"/>
      <c r="AX103" s="1842"/>
      <c r="AY103" s="901"/>
      <c r="AZ103" s="1842"/>
      <c r="BA103" s="1845"/>
      <c r="BB103" s="1845"/>
      <c r="BC103" s="901"/>
      <c r="BD103" s="1842"/>
      <c r="BE103" s="1842"/>
      <c r="BF103" s="1835"/>
      <c r="BH103" s="1827"/>
      <c r="BI103" s="1828" t="s">
        <v>500</v>
      </c>
      <c r="BJ103" s="1829"/>
      <c r="BL103" s="1827"/>
      <c r="BM103" s="1828" t="s">
        <v>500</v>
      </c>
      <c r="BN103" s="1829"/>
      <c r="BP103" s="1827"/>
      <c r="BQ103" s="1828" t="s">
        <v>500</v>
      </c>
      <c r="BR103" s="1829"/>
      <c r="BT103" s="1827"/>
      <c r="BU103" s="1828" t="s">
        <v>502</v>
      </c>
      <c r="BV103" s="1829"/>
      <c r="BX103" s="1827"/>
      <c r="BY103" s="1828" t="s">
        <v>548</v>
      </c>
      <c r="BZ103" s="1829"/>
      <c r="CB103" s="1827"/>
      <c r="CC103" s="1828" t="s">
        <v>500</v>
      </c>
      <c r="CD103" s="1829"/>
      <c r="CF103" s="1827"/>
      <c r="CG103" s="1828" t="s">
        <v>549</v>
      </c>
      <c r="CH103" s="1829"/>
      <c r="CJ103" s="899"/>
      <c r="CK103" s="899"/>
      <c r="CL103" s="899"/>
      <c r="CM103" s="716"/>
      <c r="CN103" s="899"/>
      <c r="CO103" s="899"/>
      <c r="CP103" s="899"/>
      <c r="CQ103" s="716"/>
      <c r="CR103" s="899"/>
      <c r="CS103" s="899"/>
      <c r="CT103" s="899"/>
      <c r="CU103" s="716"/>
      <c r="CV103" s="899"/>
      <c r="CW103" s="899"/>
      <c r="CX103" s="899"/>
      <c r="CY103" s="716"/>
      <c r="CZ103" s="899"/>
      <c r="DA103" s="899"/>
      <c r="DB103" s="899"/>
      <c r="DC103" s="716"/>
      <c r="DD103" s="899"/>
      <c r="DE103" s="899"/>
      <c r="DF103" s="899"/>
      <c r="DG103" s="716"/>
      <c r="DH103" s="899"/>
      <c r="DI103" s="899"/>
      <c r="DJ103" s="899"/>
      <c r="DK103" s="716"/>
      <c r="DL103" s="899"/>
      <c r="DM103" s="900"/>
      <c r="DN103" s="900"/>
      <c r="DO103" s="716"/>
      <c r="DP103" s="899"/>
      <c r="DQ103" s="900"/>
      <c r="DR103" s="900"/>
      <c r="DS103" s="716"/>
      <c r="DT103" s="899"/>
      <c r="DU103" s="900"/>
      <c r="DV103" s="900"/>
      <c r="DW103" s="716"/>
      <c r="DX103" s="899"/>
      <c r="DY103" s="900"/>
      <c r="DZ103" s="900"/>
    </row>
    <row r="104" spans="1:130" x14ac:dyDescent="0.25">
      <c r="B104" s="1841"/>
      <c r="C104" s="1841"/>
      <c r="D104" s="1839"/>
      <c r="E104" s="1827"/>
      <c r="F104" s="1839"/>
      <c r="G104" s="716"/>
      <c r="H104" s="1839"/>
      <c r="I104" s="1839"/>
      <c r="J104" s="1839"/>
      <c r="K104" s="716"/>
      <c r="L104" s="1839"/>
      <c r="M104" s="1839"/>
      <c r="N104" s="1839"/>
      <c r="O104" s="716"/>
      <c r="P104" s="1839"/>
      <c r="Q104" s="1839"/>
      <c r="R104" s="1839"/>
      <c r="S104" s="716"/>
      <c r="T104" s="1839"/>
      <c r="U104" s="1839"/>
      <c r="V104" s="1839"/>
      <c r="W104" s="716"/>
      <c r="X104" s="1839"/>
      <c r="Y104" s="1839"/>
      <c r="Z104" s="1839"/>
      <c r="AA104" s="716"/>
      <c r="AB104" s="1839"/>
      <c r="AC104" s="1839"/>
      <c r="AD104" s="1839"/>
      <c r="AE104" s="716"/>
      <c r="AF104" s="1839"/>
      <c r="AG104" s="1839"/>
      <c r="AH104" s="1839"/>
      <c r="AI104" s="716"/>
      <c r="AJ104" s="1839"/>
      <c r="AK104" s="1839"/>
      <c r="AL104" s="1839"/>
      <c r="AM104" s="716"/>
      <c r="AN104" s="1839"/>
      <c r="AO104" s="1839"/>
      <c r="AP104" s="1839"/>
      <c r="AQ104" s="716"/>
      <c r="AR104" s="1839"/>
      <c r="AS104" s="1839"/>
      <c r="AT104" s="1839"/>
      <c r="AU104" s="716"/>
      <c r="AV104" s="1839"/>
      <c r="AW104" s="1839"/>
      <c r="AX104" s="1839"/>
      <c r="AY104" s="716"/>
      <c r="AZ104" s="1839"/>
      <c r="BA104" s="1840"/>
      <c r="BB104" s="1840"/>
      <c r="BC104" s="716"/>
      <c r="BD104" s="1839"/>
      <c r="BE104" s="1839"/>
      <c r="BF104" s="1836"/>
      <c r="BH104" s="1827"/>
      <c r="BI104" s="1830"/>
      <c r="BJ104" s="1831"/>
      <c r="BL104" s="1827"/>
      <c r="BM104" s="1830"/>
      <c r="BN104" s="1831"/>
      <c r="BP104" s="1827"/>
      <c r="BQ104" s="1830"/>
      <c r="BR104" s="1831"/>
      <c r="BT104" s="1827"/>
      <c r="BU104" s="1830"/>
      <c r="BV104" s="1831"/>
      <c r="BX104" s="1827"/>
      <c r="BY104" s="1830"/>
      <c r="BZ104" s="1831"/>
      <c r="CB104" s="1827"/>
      <c r="CC104" s="1830"/>
      <c r="CD104" s="1831"/>
      <c r="CF104" s="1827"/>
      <c r="CG104" s="1830"/>
      <c r="CH104" s="1831"/>
      <c r="CJ104" s="899"/>
      <c r="CK104" s="899"/>
      <c r="CL104" s="899"/>
      <c r="CM104" s="716"/>
      <c r="CN104" s="899"/>
      <c r="CO104" s="899"/>
      <c r="CP104" s="899"/>
      <c r="CQ104" s="716"/>
      <c r="CR104" s="899"/>
      <c r="CS104" s="899"/>
      <c r="CT104" s="899"/>
      <c r="CU104" s="716"/>
      <c r="CV104" s="899"/>
      <c r="CW104" s="899"/>
      <c r="CX104" s="899"/>
      <c r="CY104" s="716"/>
      <c r="CZ104" s="899"/>
      <c r="DA104" s="899"/>
      <c r="DB104" s="899"/>
      <c r="DC104" s="716"/>
      <c r="DD104" s="899"/>
      <c r="DE104" s="899"/>
      <c r="DF104" s="899"/>
      <c r="DG104" s="716"/>
      <c r="DH104" s="899"/>
      <c r="DI104" s="899"/>
      <c r="DJ104" s="899"/>
      <c r="DK104" s="716"/>
      <c r="DL104" s="899"/>
      <c r="DM104" s="900"/>
      <c r="DN104" s="900"/>
      <c r="DO104" s="716"/>
      <c r="DP104" s="899"/>
      <c r="DQ104" s="900"/>
      <c r="DR104" s="900"/>
      <c r="DS104" s="716"/>
      <c r="DT104" s="899"/>
      <c r="DU104" s="900"/>
      <c r="DV104" s="900"/>
      <c r="DW104" s="716"/>
      <c r="DX104" s="899"/>
      <c r="DY104" s="900"/>
      <c r="DZ104" s="900"/>
    </row>
    <row r="105" spans="1:130" x14ac:dyDescent="0.25">
      <c r="B105" s="1841"/>
      <c r="C105" s="1841"/>
      <c r="D105" s="716"/>
      <c r="E105" s="1827"/>
      <c r="F105" s="1839"/>
      <c r="G105" s="716"/>
      <c r="H105" s="716"/>
      <c r="I105" s="1839"/>
      <c r="J105" s="1839"/>
      <c r="K105" s="716"/>
      <c r="L105" s="716"/>
      <c r="M105" s="1839"/>
      <c r="N105" s="1839"/>
      <c r="O105" s="716"/>
      <c r="P105" s="716"/>
      <c r="Q105" s="1839"/>
      <c r="R105" s="1839"/>
      <c r="S105" s="716"/>
      <c r="T105" s="716"/>
      <c r="U105" s="1839"/>
      <c r="V105" s="1839"/>
      <c r="W105" s="716"/>
      <c r="X105" s="716"/>
      <c r="Y105" s="1839"/>
      <c r="Z105" s="1839"/>
      <c r="AA105" s="716"/>
      <c r="AB105" s="716"/>
      <c r="AC105" s="1839"/>
      <c r="AD105" s="1839"/>
      <c r="AE105" s="716"/>
      <c r="AF105" s="716"/>
      <c r="AG105" s="1839"/>
      <c r="AH105" s="1839"/>
      <c r="AI105" s="716"/>
      <c r="AJ105" s="716"/>
      <c r="AK105" s="1839"/>
      <c r="AL105" s="1839"/>
      <c r="AM105" s="716"/>
      <c r="AN105" s="716"/>
      <c r="AO105" s="1839"/>
      <c r="AP105" s="1839"/>
      <c r="AQ105" s="716"/>
      <c r="AR105" s="716"/>
      <c r="AS105" s="1839"/>
      <c r="AT105" s="1839"/>
      <c r="AU105" s="716"/>
      <c r="AV105" s="716"/>
      <c r="AW105" s="1839"/>
      <c r="AX105" s="1839"/>
      <c r="AY105" s="716"/>
      <c r="AZ105" s="716"/>
      <c r="BA105" s="1840"/>
      <c r="BB105" s="1840"/>
      <c r="BC105" s="716"/>
      <c r="BD105" s="716"/>
      <c r="BE105" s="1839"/>
      <c r="BF105" s="1836"/>
      <c r="BI105" s="1830"/>
      <c r="BJ105" s="1831"/>
      <c r="BM105" s="1830"/>
      <c r="BN105" s="1831"/>
      <c r="BQ105" s="1830"/>
      <c r="BR105" s="1831"/>
      <c r="BU105" s="1830"/>
      <c r="BV105" s="1831"/>
      <c r="BY105" s="1830"/>
      <c r="BZ105" s="1831"/>
      <c r="CC105" s="1830"/>
      <c r="CD105" s="1831"/>
      <c r="CG105" s="1830"/>
      <c r="CH105" s="1831"/>
      <c r="CJ105" s="716"/>
      <c r="CK105" s="899"/>
      <c r="CL105" s="899"/>
      <c r="CM105" s="716"/>
      <c r="CN105" s="716"/>
      <c r="CO105" s="899"/>
      <c r="CP105" s="899"/>
      <c r="CQ105" s="716"/>
      <c r="CR105" s="716"/>
      <c r="CS105" s="899"/>
      <c r="CT105" s="899"/>
      <c r="CU105" s="716"/>
      <c r="CV105" s="716"/>
      <c r="CW105" s="899"/>
      <c r="CX105" s="899"/>
      <c r="CY105" s="716"/>
      <c r="CZ105" s="716"/>
      <c r="DA105" s="899"/>
      <c r="DB105" s="899"/>
      <c r="DC105" s="716"/>
      <c r="DD105" s="716"/>
      <c r="DE105" s="899"/>
      <c r="DF105" s="899"/>
      <c r="DG105" s="716"/>
      <c r="DH105" s="716"/>
      <c r="DI105" s="899"/>
      <c r="DJ105" s="899"/>
      <c r="DK105" s="716"/>
      <c r="DL105" s="716"/>
      <c r="DM105" s="900"/>
      <c r="DN105" s="900"/>
      <c r="DO105" s="716"/>
      <c r="DP105" s="716"/>
      <c r="DQ105" s="900"/>
      <c r="DR105" s="900"/>
      <c r="DS105" s="716"/>
      <c r="DT105" s="716"/>
      <c r="DU105" s="900"/>
      <c r="DV105" s="900"/>
      <c r="DW105" s="716"/>
      <c r="DX105" s="716"/>
      <c r="DY105" s="900"/>
      <c r="DZ105" s="900"/>
    </row>
    <row r="106" spans="1:130" x14ac:dyDescent="0.25">
      <c r="B106" s="1841"/>
      <c r="C106" s="1841"/>
      <c r="D106" s="716"/>
      <c r="E106" s="1827"/>
      <c r="F106" s="1839"/>
      <c r="G106" s="716"/>
      <c r="H106" s="716"/>
      <c r="I106" s="1839"/>
      <c r="J106" s="1839"/>
      <c r="K106" s="716"/>
      <c r="L106" s="716"/>
      <c r="M106" s="1839"/>
      <c r="N106" s="1839"/>
      <c r="O106" s="716"/>
      <c r="P106" s="716"/>
      <c r="Q106" s="1839"/>
      <c r="R106" s="1839"/>
      <c r="S106" s="716"/>
      <c r="T106" s="716"/>
      <c r="U106" s="1839"/>
      <c r="V106" s="1839"/>
      <c r="W106" s="716"/>
      <c r="X106" s="716"/>
      <c r="Y106" s="1839"/>
      <c r="Z106" s="1839"/>
      <c r="AA106" s="716"/>
      <c r="AB106" s="716"/>
      <c r="AC106" s="1839"/>
      <c r="AD106" s="1839"/>
      <c r="AE106" s="716"/>
      <c r="AF106" s="716"/>
      <c r="AG106" s="1839"/>
      <c r="AH106" s="1839"/>
      <c r="AI106" s="716"/>
      <c r="AJ106" s="716"/>
      <c r="AK106" s="1839"/>
      <c r="AL106" s="1839"/>
      <c r="AM106" s="716"/>
      <c r="AN106" s="716"/>
      <c r="AO106" s="1839"/>
      <c r="AP106" s="1839"/>
      <c r="AQ106" s="716"/>
      <c r="AR106" s="716"/>
      <c r="AS106" s="1839"/>
      <c r="AT106" s="1839"/>
      <c r="AU106" s="716"/>
      <c r="AV106" s="716"/>
      <c r="AW106" s="1839"/>
      <c r="AX106" s="1839"/>
      <c r="AY106" s="716"/>
      <c r="AZ106" s="716"/>
      <c r="BA106" s="1840"/>
      <c r="BB106" s="1840"/>
      <c r="BC106" s="716"/>
      <c r="BD106" s="716"/>
      <c r="BE106" s="1839"/>
      <c r="BF106" s="1836"/>
      <c r="BI106" s="1830"/>
      <c r="BJ106" s="1831"/>
      <c r="BM106" s="1830"/>
      <c r="BN106" s="1831"/>
      <c r="BQ106" s="1830"/>
      <c r="BR106" s="1831"/>
      <c r="BU106" s="1830"/>
      <c r="BV106" s="1831"/>
      <c r="BY106" s="1830"/>
      <c r="BZ106" s="1831"/>
      <c r="CC106" s="1830"/>
      <c r="CD106" s="1831"/>
      <c r="CG106" s="1830"/>
      <c r="CH106" s="1831"/>
      <c r="CJ106" s="716"/>
      <c r="CK106" s="899"/>
      <c r="CL106" s="899"/>
      <c r="CM106" s="716"/>
      <c r="CN106" s="716"/>
      <c r="CO106" s="899"/>
      <c r="CP106" s="899"/>
      <c r="CQ106" s="716"/>
      <c r="CR106" s="716"/>
      <c r="CS106" s="899"/>
      <c r="CT106" s="899"/>
      <c r="CU106" s="716"/>
      <c r="CV106" s="716"/>
      <c r="CW106" s="899"/>
      <c r="CX106" s="899"/>
      <c r="CY106" s="716"/>
      <c r="CZ106" s="716"/>
      <c r="DA106" s="899"/>
      <c r="DB106" s="899"/>
      <c r="DC106" s="716"/>
      <c r="DD106" s="716"/>
      <c r="DE106" s="899"/>
      <c r="DF106" s="899"/>
      <c r="DG106" s="716"/>
      <c r="DH106" s="716"/>
      <c r="DI106" s="899"/>
      <c r="DJ106" s="899"/>
      <c r="DK106" s="716"/>
      <c r="DL106" s="716"/>
      <c r="DM106" s="900"/>
      <c r="DN106" s="900"/>
      <c r="DO106" s="716"/>
      <c r="DP106" s="716"/>
      <c r="DQ106" s="900"/>
      <c r="DR106" s="900"/>
      <c r="DS106" s="716"/>
      <c r="DT106" s="716"/>
      <c r="DU106" s="900"/>
      <c r="DV106" s="900"/>
      <c r="DW106" s="716"/>
      <c r="DX106" s="716"/>
      <c r="DY106" s="900"/>
      <c r="DZ106" s="900"/>
    </row>
    <row r="107" spans="1:130" x14ac:dyDescent="0.25">
      <c r="B107" s="1841"/>
      <c r="C107" s="1841"/>
      <c r="D107" s="716"/>
      <c r="E107" s="1827"/>
      <c r="F107" s="1839"/>
      <c r="G107" s="716"/>
      <c r="H107" s="716"/>
      <c r="I107" s="1839"/>
      <c r="J107" s="1839"/>
      <c r="K107" s="716"/>
      <c r="L107" s="716"/>
      <c r="M107" s="1839"/>
      <c r="N107" s="1839"/>
      <c r="O107" s="716"/>
      <c r="P107" s="716"/>
      <c r="Q107" s="1839"/>
      <c r="R107" s="1839"/>
      <c r="S107" s="716"/>
      <c r="T107" s="716"/>
      <c r="U107" s="1839"/>
      <c r="V107" s="1839"/>
      <c r="W107" s="716"/>
      <c r="X107" s="716"/>
      <c r="Y107" s="1839"/>
      <c r="Z107" s="1839"/>
      <c r="AA107" s="716"/>
      <c r="AB107" s="716"/>
      <c r="AC107" s="1839"/>
      <c r="AD107" s="1839"/>
      <c r="AE107" s="716"/>
      <c r="AF107" s="716"/>
      <c r="AG107" s="1839"/>
      <c r="AH107" s="1839"/>
      <c r="AI107" s="716"/>
      <c r="AJ107" s="716"/>
      <c r="AK107" s="1839"/>
      <c r="AL107" s="1839"/>
      <c r="AM107" s="716"/>
      <c r="AN107" s="716"/>
      <c r="AO107" s="1839"/>
      <c r="AP107" s="1839"/>
      <c r="AQ107" s="716"/>
      <c r="AR107" s="716"/>
      <c r="AS107" s="1839"/>
      <c r="AT107" s="1839"/>
      <c r="AU107" s="716"/>
      <c r="AV107" s="716"/>
      <c r="AW107" s="1839"/>
      <c r="AX107" s="1839"/>
      <c r="AY107" s="716"/>
      <c r="AZ107" s="716"/>
      <c r="BA107" s="1840"/>
      <c r="BB107" s="1840"/>
      <c r="BC107" s="716"/>
      <c r="BD107" s="716"/>
      <c r="BE107" s="1839"/>
      <c r="BF107" s="1836"/>
      <c r="BI107" s="1830"/>
      <c r="BJ107" s="1831"/>
      <c r="BM107" s="1830"/>
      <c r="BN107" s="1831"/>
      <c r="BQ107" s="1830"/>
      <c r="BR107" s="1831"/>
      <c r="BU107" s="1830"/>
      <c r="BV107" s="1831"/>
      <c r="BY107" s="1830"/>
      <c r="BZ107" s="1831"/>
      <c r="CC107" s="1830"/>
      <c r="CD107" s="1831"/>
      <c r="CG107" s="1830"/>
      <c r="CH107" s="1831"/>
      <c r="CJ107" s="716"/>
      <c r="CK107" s="899"/>
      <c r="CL107" s="899"/>
      <c r="CM107" s="716"/>
      <c r="CN107" s="716"/>
      <c r="CO107" s="899"/>
      <c r="CP107" s="899"/>
      <c r="CQ107" s="716"/>
      <c r="CR107" s="716"/>
      <c r="CS107" s="899"/>
      <c r="CT107" s="899"/>
      <c r="CU107" s="716"/>
      <c r="CV107" s="716"/>
      <c r="CW107" s="899"/>
      <c r="CX107" s="899"/>
      <c r="CY107" s="716"/>
      <c r="CZ107" s="716"/>
      <c r="DA107" s="899"/>
      <c r="DB107" s="899"/>
      <c r="DC107" s="716"/>
      <c r="DD107" s="716"/>
      <c r="DE107" s="899"/>
      <c r="DF107" s="899"/>
      <c r="DG107" s="716"/>
      <c r="DH107" s="716"/>
      <c r="DI107" s="899"/>
      <c r="DJ107" s="899"/>
      <c r="DK107" s="716"/>
      <c r="DL107" s="716"/>
      <c r="DM107" s="900"/>
      <c r="DN107" s="900"/>
      <c r="DO107" s="716"/>
      <c r="DP107" s="716"/>
      <c r="DQ107" s="900"/>
      <c r="DR107" s="900"/>
      <c r="DS107" s="716"/>
      <c r="DT107" s="716"/>
      <c r="DU107" s="900"/>
      <c r="DV107" s="900"/>
      <c r="DW107" s="716"/>
      <c r="DX107" s="716"/>
      <c r="DY107" s="900"/>
      <c r="DZ107" s="900"/>
    </row>
    <row r="108" spans="1:130" x14ac:dyDescent="0.25">
      <c r="B108" s="1841"/>
      <c r="C108" s="1841"/>
      <c r="D108" s="716"/>
      <c r="E108" s="1827"/>
      <c r="F108" s="1839"/>
      <c r="G108" s="716"/>
      <c r="H108" s="716"/>
      <c r="I108" s="1839"/>
      <c r="J108" s="1839"/>
      <c r="K108" s="716"/>
      <c r="L108" s="716"/>
      <c r="M108" s="1839"/>
      <c r="N108" s="1839"/>
      <c r="O108" s="716"/>
      <c r="P108" s="716"/>
      <c r="Q108" s="1839"/>
      <c r="R108" s="1839"/>
      <c r="S108" s="716"/>
      <c r="T108" s="716"/>
      <c r="U108" s="1839"/>
      <c r="V108" s="1839"/>
      <c r="W108" s="716"/>
      <c r="X108" s="716"/>
      <c r="Y108" s="1839"/>
      <c r="Z108" s="1839"/>
      <c r="AA108" s="716"/>
      <c r="AB108" s="716"/>
      <c r="AC108" s="1839"/>
      <c r="AD108" s="1839"/>
      <c r="AE108" s="716"/>
      <c r="AF108" s="716"/>
      <c r="AG108" s="1839"/>
      <c r="AH108" s="1839"/>
      <c r="AI108" s="716"/>
      <c r="AJ108" s="716"/>
      <c r="AK108" s="1839"/>
      <c r="AL108" s="1839"/>
      <c r="AM108" s="716"/>
      <c r="AN108" s="716"/>
      <c r="AO108" s="1839"/>
      <c r="AP108" s="1839"/>
      <c r="AQ108" s="716"/>
      <c r="AR108" s="716"/>
      <c r="AS108" s="1839"/>
      <c r="AT108" s="1839"/>
      <c r="AU108" s="716"/>
      <c r="AV108" s="716"/>
      <c r="AW108" s="1839"/>
      <c r="AX108" s="1839"/>
      <c r="AY108" s="716"/>
      <c r="AZ108" s="716"/>
      <c r="BA108" s="1840"/>
      <c r="BB108" s="1840"/>
      <c r="BC108" s="716"/>
      <c r="BD108" s="716"/>
      <c r="BE108" s="1839"/>
      <c r="BF108" s="1836"/>
      <c r="BI108" s="1830"/>
      <c r="BJ108" s="1831"/>
      <c r="BM108" s="1830"/>
      <c r="BN108" s="1831"/>
      <c r="BQ108" s="1830"/>
      <c r="BR108" s="1831"/>
      <c r="BU108" s="1830"/>
      <c r="BV108" s="1831"/>
      <c r="BY108" s="1830"/>
      <c r="BZ108" s="1831"/>
      <c r="CC108" s="1830"/>
      <c r="CD108" s="1831"/>
      <c r="CG108" s="1830"/>
      <c r="CH108" s="1831"/>
      <c r="CJ108" s="716"/>
      <c r="CK108" s="899"/>
      <c r="CL108" s="899"/>
      <c r="CM108" s="716"/>
      <c r="CN108" s="716"/>
      <c r="CO108" s="899"/>
      <c r="CP108" s="899"/>
      <c r="CQ108" s="716"/>
      <c r="CR108" s="716"/>
      <c r="CS108" s="899"/>
      <c r="CT108" s="899"/>
      <c r="CU108" s="716"/>
      <c r="CV108" s="716"/>
      <c r="CW108" s="899"/>
      <c r="CX108" s="899"/>
      <c r="CY108" s="716"/>
      <c r="CZ108" s="716"/>
      <c r="DA108" s="899"/>
      <c r="DB108" s="899"/>
      <c r="DC108" s="716"/>
      <c r="DD108" s="716"/>
      <c r="DE108" s="899"/>
      <c r="DF108" s="899"/>
      <c r="DG108" s="716"/>
      <c r="DH108" s="716"/>
      <c r="DI108" s="899"/>
      <c r="DJ108" s="899"/>
      <c r="DK108" s="716"/>
      <c r="DL108" s="716"/>
      <c r="DM108" s="900"/>
      <c r="DN108" s="900"/>
      <c r="DO108" s="716"/>
      <c r="DP108" s="716"/>
      <c r="DQ108" s="900"/>
      <c r="DR108" s="900"/>
      <c r="DS108" s="716"/>
      <c r="DT108" s="716"/>
      <c r="DU108" s="900"/>
      <c r="DV108" s="900"/>
      <c r="DW108" s="716"/>
      <c r="DX108" s="716"/>
      <c r="DY108" s="900"/>
      <c r="DZ108" s="900"/>
    </row>
    <row r="109" spans="1:130" x14ac:dyDescent="0.25">
      <c r="B109" s="1841"/>
      <c r="C109" s="1841"/>
      <c r="D109" s="716"/>
      <c r="E109" s="1837"/>
      <c r="F109" s="1843"/>
      <c r="G109" s="902"/>
      <c r="H109" s="902"/>
      <c r="I109" s="1843"/>
      <c r="J109" s="1843"/>
      <c r="K109" s="902"/>
      <c r="L109" s="902"/>
      <c r="M109" s="1843"/>
      <c r="N109" s="1843"/>
      <c r="O109" s="902"/>
      <c r="P109" s="902"/>
      <c r="Q109" s="1843"/>
      <c r="R109" s="1843"/>
      <c r="S109" s="902"/>
      <c r="T109" s="902"/>
      <c r="U109" s="1843"/>
      <c r="V109" s="1843"/>
      <c r="W109" s="902"/>
      <c r="X109" s="902"/>
      <c r="Y109" s="1843"/>
      <c r="Z109" s="1843"/>
      <c r="AA109" s="902"/>
      <c r="AB109" s="902"/>
      <c r="AC109" s="1843"/>
      <c r="AD109" s="1843"/>
      <c r="AE109" s="902"/>
      <c r="AF109" s="902"/>
      <c r="AG109" s="1843"/>
      <c r="AH109" s="1843"/>
      <c r="AI109" s="902"/>
      <c r="AJ109" s="902"/>
      <c r="AK109" s="1843"/>
      <c r="AL109" s="1843"/>
      <c r="AM109" s="902"/>
      <c r="AN109" s="902"/>
      <c r="AO109" s="1843"/>
      <c r="AP109" s="1843"/>
      <c r="AQ109" s="902"/>
      <c r="AR109" s="902"/>
      <c r="AS109" s="1843"/>
      <c r="AT109" s="1843"/>
      <c r="AU109" s="902"/>
      <c r="AV109" s="902"/>
      <c r="AW109" s="1843"/>
      <c r="AX109" s="1843"/>
      <c r="AY109" s="902"/>
      <c r="AZ109" s="902"/>
      <c r="BA109" s="1846"/>
      <c r="BB109" s="1846"/>
      <c r="BC109" s="902"/>
      <c r="BD109" s="902"/>
      <c r="BE109" s="1843"/>
      <c r="BF109" s="1838"/>
      <c r="BI109" s="1832"/>
      <c r="BJ109" s="1833"/>
      <c r="BM109" s="1832"/>
      <c r="BN109" s="1833"/>
      <c r="BQ109" s="1832"/>
      <c r="BR109" s="1833"/>
      <c r="BU109" s="1832"/>
      <c r="BV109" s="1833"/>
      <c r="BY109" s="1832"/>
      <c r="BZ109" s="1833"/>
      <c r="CC109" s="1832"/>
      <c r="CD109" s="1833"/>
      <c r="CG109" s="1832"/>
      <c r="CH109" s="1833"/>
      <c r="CJ109" s="716"/>
      <c r="CK109" s="899"/>
      <c r="CL109" s="899"/>
      <c r="CM109" s="716"/>
      <c r="CN109" s="716"/>
      <c r="CO109" s="899"/>
      <c r="CP109" s="899"/>
      <c r="CQ109" s="716"/>
      <c r="CR109" s="716"/>
      <c r="CS109" s="899"/>
      <c r="CT109" s="899"/>
      <c r="CU109" s="716"/>
      <c r="CV109" s="716"/>
      <c r="CW109" s="899"/>
      <c r="CX109" s="899"/>
      <c r="CY109" s="716"/>
      <c r="CZ109" s="716"/>
      <c r="DA109" s="899"/>
      <c r="DB109" s="899"/>
      <c r="DC109" s="716"/>
      <c r="DD109" s="716"/>
      <c r="DE109" s="899"/>
      <c r="DF109" s="899"/>
      <c r="DG109" s="716"/>
      <c r="DH109" s="716"/>
      <c r="DI109" s="899"/>
      <c r="DJ109" s="899"/>
      <c r="DK109" s="716"/>
      <c r="DL109" s="716"/>
      <c r="DM109" s="900"/>
      <c r="DN109" s="900"/>
      <c r="DO109" s="716"/>
      <c r="DP109" s="716"/>
      <c r="DQ109" s="900"/>
      <c r="DR109" s="900"/>
      <c r="DS109" s="716"/>
      <c r="DT109" s="716"/>
      <c r="DU109" s="900"/>
      <c r="DV109" s="900"/>
      <c r="DW109" s="716"/>
      <c r="DX109" s="716"/>
      <c r="DY109" s="900"/>
      <c r="DZ109" s="900"/>
    </row>
    <row r="110" spans="1:130" x14ac:dyDescent="0.25">
      <c r="D110" s="716"/>
      <c r="E110" s="716"/>
      <c r="F110" s="716"/>
      <c r="G110" s="716"/>
      <c r="H110" s="716"/>
      <c r="I110" s="716"/>
      <c r="J110" s="716"/>
      <c r="K110" s="716"/>
      <c r="L110" s="716"/>
      <c r="M110" s="716"/>
      <c r="N110" s="716"/>
      <c r="O110" s="716"/>
      <c r="P110" s="716"/>
      <c r="Q110" s="716"/>
      <c r="R110" s="716"/>
      <c r="S110" s="716"/>
      <c r="T110" s="716"/>
      <c r="U110" s="716"/>
      <c r="V110" s="716"/>
      <c r="W110" s="716"/>
      <c r="X110" s="716"/>
      <c r="Y110" s="716"/>
      <c r="Z110" s="716"/>
      <c r="AA110" s="716"/>
      <c r="AB110" s="716"/>
      <c r="AC110" s="716"/>
      <c r="AD110" s="716"/>
      <c r="AE110" s="716"/>
      <c r="AF110" s="716"/>
      <c r="AG110" s="716"/>
      <c r="AH110" s="716"/>
      <c r="AI110" s="716"/>
      <c r="AJ110" s="716"/>
      <c r="AK110" s="716"/>
      <c r="AL110" s="716"/>
      <c r="AM110" s="716"/>
      <c r="AN110" s="716"/>
      <c r="AO110" s="716"/>
      <c r="AP110" s="716"/>
      <c r="AQ110" s="716"/>
      <c r="AR110" s="716"/>
      <c r="AS110" s="716"/>
      <c r="AT110" s="716"/>
      <c r="AU110" s="716"/>
      <c r="AV110" s="716"/>
      <c r="AW110" s="716"/>
      <c r="AX110" s="716"/>
      <c r="AY110" s="716"/>
      <c r="AZ110" s="716"/>
      <c r="BA110" s="716"/>
      <c r="BB110" s="716"/>
      <c r="BC110" s="716"/>
      <c r="BD110" s="716"/>
      <c r="BE110" s="716"/>
      <c r="BF110" s="716"/>
      <c r="DL110" s="716"/>
      <c r="DM110" s="716"/>
      <c r="DN110" s="716"/>
      <c r="DO110" s="716"/>
      <c r="DP110" s="716"/>
      <c r="DQ110" s="716"/>
      <c r="DR110" s="716"/>
      <c r="DS110" s="716"/>
      <c r="DT110" s="716"/>
      <c r="DU110" s="716"/>
      <c r="DV110" s="716"/>
      <c r="DW110" s="716"/>
      <c r="DX110" s="716"/>
      <c r="DY110" s="716"/>
      <c r="DZ110" s="716"/>
    </row>
    <row r="111" spans="1:130" x14ac:dyDescent="0.25">
      <c r="A111" s="690" t="s">
        <v>491</v>
      </c>
      <c r="B111" s="1841" t="s">
        <v>512</v>
      </c>
      <c r="C111" s="1841"/>
      <c r="D111" s="1839"/>
      <c r="E111" s="903"/>
      <c r="F111" s="904"/>
      <c r="G111" s="901"/>
      <c r="H111" s="904"/>
      <c r="I111" s="904"/>
      <c r="J111" s="904"/>
      <c r="K111" s="901"/>
      <c r="L111" s="904"/>
      <c r="M111" s="904"/>
      <c r="N111" s="904"/>
      <c r="O111" s="901"/>
      <c r="P111" s="904"/>
      <c r="Q111" s="904"/>
      <c r="R111" s="904"/>
      <c r="S111" s="901"/>
      <c r="T111" s="904"/>
      <c r="U111" s="904"/>
      <c r="V111" s="904"/>
      <c r="W111" s="901"/>
      <c r="X111" s="904"/>
      <c r="Y111" s="904"/>
      <c r="Z111" s="904"/>
      <c r="AA111" s="901"/>
      <c r="AB111" s="904"/>
      <c r="AC111" s="904"/>
      <c r="AD111" s="904"/>
      <c r="AE111" s="901"/>
      <c r="AF111" s="904"/>
      <c r="AG111" s="904"/>
      <c r="AH111" s="904"/>
      <c r="AI111" s="901"/>
      <c r="AJ111" s="904"/>
      <c r="AK111" s="904"/>
      <c r="AL111" s="904"/>
      <c r="AM111" s="901"/>
      <c r="AN111" s="904"/>
      <c r="AO111" s="904"/>
      <c r="AP111" s="904"/>
      <c r="AQ111" s="901"/>
      <c r="AR111" s="904"/>
      <c r="AS111" s="904"/>
      <c r="AT111" s="904"/>
      <c r="AU111" s="901"/>
      <c r="AV111" s="904"/>
      <c r="AW111" s="904"/>
      <c r="AX111" s="904"/>
      <c r="AY111" s="901"/>
      <c r="AZ111" s="904"/>
      <c r="BA111" s="905"/>
      <c r="BB111" s="905"/>
      <c r="BC111" s="901"/>
      <c r="BD111" s="904"/>
      <c r="BE111" s="904"/>
      <c r="BF111" s="904"/>
      <c r="BG111" s="901"/>
      <c r="BH111" s="904"/>
      <c r="BI111" s="904"/>
      <c r="BJ111" s="904"/>
      <c r="BK111" s="901"/>
      <c r="BL111" s="904"/>
      <c r="BM111" s="904"/>
      <c r="BN111" s="904"/>
      <c r="BO111" s="901"/>
      <c r="BP111" s="904"/>
      <c r="BQ111" s="904"/>
      <c r="BR111" s="904"/>
      <c r="BS111" s="901"/>
      <c r="BT111" s="904"/>
      <c r="BU111" s="904"/>
      <c r="BV111" s="904"/>
      <c r="BW111" s="901"/>
      <c r="BX111" s="904"/>
      <c r="BY111" s="904"/>
      <c r="BZ111" s="904"/>
      <c r="CA111" s="901"/>
      <c r="CB111" s="904"/>
      <c r="CC111" s="904"/>
      <c r="CD111" s="904"/>
      <c r="CE111" s="901"/>
      <c r="CF111" s="904"/>
      <c r="CG111" s="904"/>
      <c r="CH111" s="906"/>
      <c r="CI111" s="716"/>
      <c r="CJ111" s="1839"/>
      <c r="CK111" s="1828" t="s">
        <v>550</v>
      </c>
      <c r="CL111" s="1829"/>
      <c r="CN111" s="1827"/>
      <c r="CO111" s="1828" t="s">
        <v>500</v>
      </c>
      <c r="CP111" s="1829"/>
      <c r="CR111" s="1827"/>
      <c r="CS111" s="1828" t="s">
        <v>501</v>
      </c>
      <c r="CT111" s="1829"/>
      <c r="CV111" s="1827"/>
      <c r="CW111" s="1828" t="s">
        <v>502</v>
      </c>
      <c r="CX111" s="1829"/>
      <c r="CZ111" s="1827"/>
      <c r="DA111" s="1828"/>
      <c r="DB111" s="1829"/>
      <c r="DD111" s="1827"/>
      <c r="DE111" s="1828"/>
      <c r="DF111" s="1829"/>
      <c r="DH111" s="1827"/>
      <c r="DI111" s="1828"/>
      <c r="DJ111" s="1829"/>
      <c r="DL111" s="899"/>
      <c r="DM111" s="900"/>
      <c r="DN111" s="900"/>
      <c r="DO111" s="716"/>
      <c r="DP111" s="899"/>
      <c r="DQ111" s="900"/>
      <c r="DR111" s="900"/>
      <c r="DS111" s="716"/>
      <c r="DT111" s="899"/>
      <c r="DU111" s="900"/>
      <c r="DV111" s="900"/>
      <c r="DW111" s="716"/>
      <c r="DX111" s="899"/>
      <c r="DY111" s="900"/>
      <c r="DZ111" s="900"/>
    </row>
    <row r="112" spans="1:130" x14ac:dyDescent="0.25">
      <c r="B112" s="1841"/>
      <c r="C112" s="1841"/>
      <c r="D112" s="1839"/>
      <c r="E112" s="907"/>
      <c r="F112" s="899"/>
      <c r="G112" s="716"/>
      <c r="H112" s="899"/>
      <c r="I112" s="899"/>
      <c r="J112" s="899"/>
      <c r="K112" s="716"/>
      <c r="L112" s="899"/>
      <c r="M112" s="899"/>
      <c r="N112" s="899"/>
      <c r="O112" s="716"/>
      <c r="P112" s="899"/>
      <c r="Q112" s="899"/>
      <c r="R112" s="899"/>
      <c r="S112" s="716"/>
      <c r="T112" s="899"/>
      <c r="U112" s="899"/>
      <c r="V112" s="899"/>
      <c r="W112" s="716"/>
      <c r="X112" s="899"/>
      <c r="Y112" s="899"/>
      <c r="Z112" s="899"/>
      <c r="AA112" s="716"/>
      <c r="AB112" s="899"/>
      <c r="AC112" s="899"/>
      <c r="AD112" s="899"/>
      <c r="AE112" s="716"/>
      <c r="AF112" s="899"/>
      <c r="AG112" s="899"/>
      <c r="AH112" s="899"/>
      <c r="AI112" s="716"/>
      <c r="AJ112" s="899"/>
      <c r="AK112" s="899"/>
      <c r="AL112" s="899"/>
      <c r="AM112" s="716"/>
      <c r="AN112" s="899"/>
      <c r="AO112" s="899"/>
      <c r="AP112" s="899"/>
      <c r="AQ112" s="716"/>
      <c r="AR112" s="899"/>
      <c r="AS112" s="899"/>
      <c r="AT112" s="899"/>
      <c r="AU112" s="716"/>
      <c r="AV112" s="899"/>
      <c r="AW112" s="899"/>
      <c r="AX112" s="899"/>
      <c r="AY112" s="716"/>
      <c r="AZ112" s="899"/>
      <c r="BA112" s="900"/>
      <c r="BB112" s="900"/>
      <c r="BC112" s="716"/>
      <c r="BD112" s="899"/>
      <c r="BE112" s="899"/>
      <c r="BF112" s="899"/>
      <c r="BG112" s="716"/>
      <c r="BH112" s="899"/>
      <c r="BI112" s="899"/>
      <c r="BJ112" s="899"/>
      <c r="BK112" s="716"/>
      <c r="BL112" s="899"/>
      <c r="BM112" s="899"/>
      <c r="BN112" s="899"/>
      <c r="BO112" s="716"/>
      <c r="BP112" s="899"/>
      <c r="BQ112" s="899"/>
      <c r="BR112" s="899"/>
      <c r="BS112" s="716"/>
      <c r="BT112" s="899"/>
      <c r="BU112" s="899"/>
      <c r="BV112" s="899"/>
      <c r="BW112" s="716"/>
      <c r="BX112" s="899"/>
      <c r="BY112" s="899"/>
      <c r="BZ112" s="899"/>
      <c r="CA112" s="716"/>
      <c r="CB112" s="899"/>
      <c r="CC112" s="899"/>
      <c r="CD112" s="899"/>
      <c r="CE112" s="716"/>
      <c r="CF112" s="899"/>
      <c r="CG112" s="899"/>
      <c r="CH112" s="908"/>
      <c r="CI112" s="716"/>
      <c r="CJ112" s="1839"/>
      <c r="CK112" s="1830"/>
      <c r="CL112" s="1831"/>
      <c r="CN112" s="1827"/>
      <c r="CO112" s="1830"/>
      <c r="CP112" s="1831"/>
      <c r="CR112" s="1827"/>
      <c r="CS112" s="1830"/>
      <c r="CT112" s="1831"/>
      <c r="CV112" s="1827"/>
      <c r="CW112" s="1830"/>
      <c r="CX112" s="1831"/>
      <c r="CZ112" s="1827"/>
      <c r="DA112" s="1830"/>
      <c r="DB112" s="1831"/>
      <c r="DD112" s="1827"/>
      <c r="DE112" s="1830"/>
      <c r="DF112" s="1831"/>
      <c r="DH112" s="1827"/>
      <c r="DI112" s="1830"/>
      <c r="DJ112" s="1831"/>
      <c r="DL112" s="899"/>
      <c r="DM112" s="900"/>
      <c r="DN112" s="900"/>
      <c r="DO112" s="716"/>
      <c r="DP112" s="899"/>
      <c r="DQ112" s="900"/>
      <c r="DR112" s="900"/>
      <c r="DS112" s="716"/>
      <c r="DT112" s="899"/>
      <c r="DU112" s="900"/>
      <c r="DV112" s="900"/>
      <c r="DW112" s="716"/>
      <c r="DX112" s="899"/>
      <c r="DY112" s="900"/>
      <c r="DZ112" s="900"/>
    </row>
    <row r="113" spans="1:130" x14ac:dyDescent="0.25">
      <c r="B113" s="1841"/>
      <c r="C113" s="1841"/>
      <c r="D113" s="716"/>
      <c r="E113" s="907"/>
      <c r="F113" s="899"/>
      <c r="G113" s="716"/>
      <c r="H113" s="716"/>
      <c r="I113" s="899"/>
      <c r="J113" s="899"/>
      <c r="K113" s="716"/>
      <c r="L113" s="716"/>
      <c r="M113" s="899"/>
      <c r="N113" s="899"/>
      <c r="O113" s="716"/>
      <c r="P113" s="716"/>
      <c r="Q113" s="899"/>
      <c r="R113" s="899"/>
      <c r="S113" s="716"/>
      <c r="T113" s="716"/>
      <c r="U113" s="899"/>
      <c r="V113" s="899"/>
      <c r="W113" s="716"/>
      <c r="X113" s="716"/>
      <c r="Y113" s="899"/>
      <c r="Z113" s="899"/>
      <c r="AA113" s="716"/>
      <c r="AB113" s="716"/>
      <c r="AC113" s="899"/>
      <c r="AD113" s="899"/>
      <c r="AE113" s="716"/>
      <c r="AF113" s="716"/>
      <c r="AG113" s="899"/>
      <c r="AH113" s="899"/>
      <c r="AI113" s="716"/>
      <c r="AJ113" s="716"/>
      <c r="AK113" s="899"/>
      <c r="AL113" s="899"/>
      <c r="AM113" s="716"/>
      <c r="AN113" s="716"/>
      <c r="AO113" s="899"/>
      <c r="AP113" s="899"/>
      <c r="AQ113" s="716"/>
      <c r="AR113" s="716"/>
      <c r="AS113" s="899"/>
      <c r="AT113" s="899"/>
      <c r="AU113" s="716"/>
      <c r="AV113" s="716"/>
      <c r="AW113" s="899"/>
      <c r="AX113" s="899"/>
      <c r="AY113" s="716"/>
      <c r="AZ113" s="716"/>
      <c r="BA113" s="900"/>
      <c r="BB113" s="900"/>
      <c r="BC113" s="716"/>
      <c r="BD113" s="716"/>
      <c r="BE113" s="899"/>
      <c r="BF113" s="899"/>
      <c r="BG113" s="716"/>
      <c r="BH113" s="716"/>
      <c r="BI113" s="899"/>
      <c r="BJ113" s="899"/>
      <c r="BK113" s="716"/>
      <c r="BL113" s="716"/>
      <c r="BM113" s="899"/>
      <c r="BN113" s="899"/>
      <c r="BO113" s="716"/>
      <c r="BP113" s="716"/>
      <c r="BQ113" s="899"/>
      <c r="BR113" s="899"/>
      <c r="BS113" s="716"/>
      <c r="BT113" s="716"/>
      <c r="BU113" s="899"/>
      <c r="BV113" s="899"/>
      <c r="BW113" s="716"/>
      <c r="BX113" s="716"/>
      <c r="BY113" s="899"/>
      <c r="BZ113" s="899"/>
      <c r="CA113" s="716"/>
      <c r="CB113" s="716"/>
      <c r="CC113" s="899"/>
      <c r="CD113" s="899"/>
      <c r="CE113" s="716"/>
      <c r="CF113" s="716"/>
      <c r="CG113" s="899"/>
      <c r="CH113" s="908"/>
      <c r="CI113" s="716"/>
      <c r="CK113" s="1830"/>
      <c r="CL113" s="1831"/>
      <c r="CO113" s="1830"/>
      <c r="CP113" s="1831"/>
      <c r="CS113" s="1830"/>
      <c r="CT113" s="1831"/>
      <c r="CW113" s="1830"/>
      <c r="CX113" s="1831"/>
      <c r="DA113" s="1830"/>
      <c r="DB113" s="1831"/>
      <c r="DE113" s="1830"/>
      <c r="DF113" s="1831"/>
      <c r="DI113" s="1830"/>
      <c r="DJ113" s="1831"/>
      <c r="DL113" s="716"/>
      <c r="DM113" s="900"/>
      <c r="DN113" s="900"/>
      <c r="DO113" s="716"/>
      <c r="DP113" s="716"/>
      <c r="DQ113" s="900"/>
      <c r="DR113" s="900"/>
      <c r="DS113" s="716"/>
      <c r="DT113" s="716"/>
      <c r="DU113" s="900"/>
      <c r="DV113" s="900"/>
      <c r="DW113" s="716"/>
      <c r="DX113" s="716"/>
      <c r="DY113" s="900"/>
      <c r="DZ113" s="900"/>
    </row>
    <row r="114" spans="1:130" x14ac:dyDescent="0.25">
      <c r="B114" s="1841"/>
      <c r="C114" s="1841"/>
      <c r="D114" s="716"/>
      <c r="E114" s="907"/>
      <c r="F114" s="899"/>
      <c r="G114" s="716"/>
      <c r="H114" s="716"/>
      <c r="I114" s="899"/>
      <c r="J114" s="899"/>
      <c r="K114" s="716"/>
      <c r="L114" s="716"/>
      <c r="M114" s="899"/>
      <c r="N114" s="899"/>
      <c r="O114" s="716"/>
      <c r="P114" s="716"/>
      <c r="Q114" s="899"/>
      <c r="R114" s="899"/>
      <c r="S114" s="716"/>
      <c r="T114" s="716"/>
      <c r="U114" s="899"/>
      <c r="V114" s="899"/>
      <c r="W114" s="716"/>
      <c r="X114" s="716"/>
      <c r="Y114" s="899"/>
      <c r="Z114" s="899"/>
      <c r="AA114" s="716"/>
      <c r="AB114" s="716"/>
      <c r="AC114" s="899"/>
      <c r="AD114" s="899"/>
      <c r="AE114" s="716"/>
      <c r="AF114" s="716"/>
      <c r="AG114" s="899"/>
      <c r="AH114" s="899"/>
      <c r="AI114" s="716"/>
      <c r="AJ114" s="716"/>
      <c r="AK114" s="899"/>
      <c r="AL114" s="899"/>
      <c r="AM114" s="716"/>
      <c r="AN114" s="716"/>
      <c r="AO114" s="899"/>
      <c r="AP114" s="899"/>
      <c r="AQ114" s="716"/>
      <c r="AR114" s="716"/>
      <c r="AS114" s="899"/>
      <c r="AT114" s="899"/>
      <c r="AU114" s="716"/>
      <c r="AV114" s="716"/>
      <c r="AW114" s="899"/>
      <c r="AX114" s="899"/>
      <c r="AY114" s="716"/>
      <c r="AZ114" s="716"/>
      <c r="BA114" s="900"/>
      <c r="BB114" s="900"/>
      <c r="BC114" s="716"/>
      <c r="BD114" s="716"/>
      <c r="BE114" s="899"/>
      <c r="BF114" s="899"/>
      <c r="BG114" s="716"/>
      <c r="BH114" s="716"/>
      <c r="BI114" s="899"/>
      <c r="BJ114" s="899"/>
      <c r="BK114" s="716"/>
      <c r="BL114" s="716"/>
      <c r="BM114" s="899"/>
      <c r="BN114" s="899"/>
      <c r="BO114" s="716"/>
      <c r="BP114" s="716"/>
      <c r="BQ114" s="899"/>
      <c r="BR114" s="899"/>
      <c r="BS114" s="716"/>
      <c r="BT114" s="716"/>
      <c r="BU114" s="899"/>
      <c r="BV114" s="899"/>
      <c r="BW114" s="716"/>
      <c r="BX114" s="716"/>
      <c r="BY114" s="899"/>
      <c r="BZ114" s="899"/>
      <c r="CA114" s="716"/>
      <c r="CB114" s="716"/>
      <c r="CC114" s="899"/>
      <c r="CD114" s="899"/>
      <c r="CE114" s="716"/>
      <c r="CF114" s="716"/>
      <c r="CG114" s="899"/>
      <c r="CH114" s="908"/>
      <c r="CI114" s="716"/>
      <c r="CK114" s="1830"/>
      <c r="CL114" s="1831"/>
      <c r="CO114" s="1830"/>
      <c r="CP114" s="1831"/>
      <c r="CS114" s="1830"/>
      <c r="CT114" s="1831"/>
      <c r="CW114" s="1830"/>
      <c r="CX114" s="1831"/>
      <c r="DA114" s="1830"/>
      <c r="DB114" s="1831"/>
      <c r="DE114" s="1830"/>
      <c r="DF114" s="1831"/>
      <c r="DI114" s="1830"/>
      <c r="DJ114" s="1831"/>
      <c r="DL114" s="716"/>
      <c r="DM114" s="900"/>
      <c r="DN114" s="900"/>
      <c r="DO114" s="716"/>
      <c r="DP114" s="716"/>
      <c r="DQ114" s="900"/>
      <c r="DR114" s="900"/>
      <c r="DS114" s="716"/>
      <c r="DT114" s="716"/>
      <c r="DU114" s="900"/>
      <c r="DV114" s="900"/>
      <c r="DW114" s="716"/>
      <c r="DX114" s="716"/>
      <c r="DY114" s="900"/>
      <c r="DZ114" s="900"/>
    </row>
    <row r="115" spans="1:130" x14ac:dyDescent="0.25">
      <c r="B115" s="1841"/>
      <c r="C115" s="1841"/>
      <c r="D115" s="716"/>
      <c r="E115" s="907"/>
      <c r="F115" s="899"/>
      <c r="G115" s="716"/>
      <c r="H115" s="716"/>
      <c r="I115" s="899"/>
      <c r="J115" s="899"/>
      <c r="K115" s="716"/>
      <c r="L115" s="716"/>
      <c r="M115" s="899"/>
      <c r="N115" s="899"/>
      <c r="O115" s="716"/>
      <c r="P115" s="716"/>
      <c r="Q115" s="899"/>
      <c r="R115" s="899"/>
      <c r="S115" s="716"/>
      <c r="T115" s="716"/>
      <c r="U115" s="899"/>
      <c r="V115" s="899"/>
      <c r="W115" s="716"/>
      <c r="X115" s="716"/>
      <c r="Y115" s="899"/>
      <c r="Z115" s="899"/>
      <c r="AA115" s="716"/>
      <c r="AB115" s="716"/>
      <c r="AC115" s="899"/>
      <c r="AD115" s="899"/>
      <c r="AE115" s="716"/>
      <c r="AF115" s="716"/>
      <c r="AG115" s="899"/>
      <c r="AH115" s="899"/>
      <c r="AI115" s="716"/>
      <c r="AJ115" s="716"/>
      <c r="AK115" s="899"/>
      <c r="AL115" s="899"/>
      <c r="AM115" s="716"/>
      <c r="AN115" s="716"/>
      <c r="AO115" s="899"/>
      <c r="AP115" s="899"/>
      <c r="AQ115" s="716"/>
      <c r="AR115" s="716"/>
      <c r="AS115" s="899"/>
      <c r="AT115" s="899"/>
      <c r="AU115" s="716"/>
      <c r="AV115" s="716"/>
      <c r="AW115" s="899"/>
      <c r="AX115" s="899"/>
      <c r="AY115" s="716"/>
      <c r="AZ115" s="716"/>
      <c r="BA115" s="900"/>
      <c r="BB115" s="900"/>
      <c r="BC115" s="716"/>
      <c r="BD115" s="716"/>
      <c r="BE115" s="899"/>
      <c r="BF115" s="899"/>
      <c r="BG115" s="716"/>
      <c r="BH115" s="716"/>
      <c r="BI115" s="899"/>
      <c r="BJ115" s="899"/>
      <c r="BK115" s="716"/>
      <c r="BL115" s="716"/>
      <c r="BM115" s="899"/>
      <c r="BN115" s="899"/>
      <c r="BO115" s="716"/>
      <c r="BP115" s="716"/>
      <c r="BQ115" s="899"/>
      <c r="BR115" s="899"/>
      <c r="BS115" s="716"/>
      <c r="BT115" s="716"/>
      <c r="BU115" s="899"/>
      <c r="BV115" s="899"/>
      <c r="BW115" s="716"/>
      <c r="BX115" s="716"/>
      <c r="BY115" s="899"/>
      <c r="BZ115" s="899"/>
      <c r="CA115" s="716"/>
      <c r="CB115" s="716"/>
      <c r="CC115" s="899"/>
      <c r="CD115" s="899"/>
      <c r="CE115" s="716"/>
      <c r="CF115" s="716"/>
      <c r="CG115" s="899"/>
      <c r="CH115" s="908"/>
      <c r="CI115" s="716"/>
      <c r="CK115" s="1830"/>
      <c r="CL115" s="1831"/>
      <c r="CO115" s="1830"/>
      <c r="CP115" s="1831"/>
      <c r="CS115" s="1830"/>
      <c r="CT115" s="1831"/>
      <c r="CW115" s="1830"/>
      <c r="CX115" s="1831"/>
      <c r="DA115" s="1830"/>
      <c r="DB115" s="1831"/>
      <c r="DE115" s="1830"/>
      <c r="DF115" s="1831"/>
      <c r="DI115" s="1830"/>
      <c r="DJ115" s="1831"/>
      <c r="DL115" s="716"/>
      <c r="DM115" s="900"/>
      <c r="DN115" s="900"/>
      <c r="DO115" s="716"/>
      <c r="DP115" s="716"/>
      <c r="DQ115" s="900"/>
      <c r="DR115" s="900"/>
      <c r="DS115" s="716"/>
      <c r="DT115" s="716"/>
      <c r="DU115" s="900"/>
      <c r="DV115" s="900"/>
      <c r="DW115" s="716"/>
      <c r="DX115" s="716"/>
      <c r="DY115" s="900"/>
      <c r="DZ115" s="900"/>
    </row>
    <row r="116" spans="1:130" x14ac:dyDescent="0.25">
      <c r="B116" s="1841"/>
      <c r="C116" s="1841"/>
      <c r="D116" s="716"/>
      <c r="E116" s="907"/>
      <c r="F116" s="899"/>
      <c r="G116" s="716"/>
      <c r="H116" s="716"/>
      <c r="I116" s="899"/>
      <c r="J116" s="899"/>
      <c r="K116" s="716"/>
      <c r="L116" s="716"/>
      <c r="M116" s="899"/>
      <c r="N116" s="899"/>
      <c r="O116" s="716"/>
      <c r="P116" s="716"/>
      <c r="Q116" s="899"/>
      <c r="R116" s="899"/>
      <c r="S116" s="716"/>
      <c r="T116" s="716"/>
      <c r="U116" s="899"/>
      <c r="V116" s="899"/>
      <c r="W116" s="716"/>
      <c r="X116" s="716"/>
      <c r="Y116" s="899"/>
      <c r="Z116" s="899"/>
      <c r="AA116" s="716"/>
      <c r="AB116" s="716"/>
      <c r="AC116" s="899"/>
      <c r="AD116" s="899"/>
      <c r="AE116" s="716"/>
      <c r="AF116" s="716"/>
      <c r="AG116" s="899"/>
      <c r="AH116" s="899"/>
      <c r="AI116" s="716"/>
      <c r="AJ116" s="716"/>
      <c r="AK116" s="899"/>
      <c r="AL116" s="899"/>
      <c r="AM116" s="716"/>
      <c r="AN116" s="716"/>
      <c r="AO116" s="899"/>
      <c r="AP116" s="899"/>
      <c r="AQ116" s="716"/>
      <c r="AR116" s="716"/>
      <c r="AS116" s="899"/>
      <c r="AT116" s="899"/>
      <c r="AU116" s="716"/>
      <c r="AV116" s="716"/>
      <c r="AW116" s="899"/>
      <c r="AX116" s="899"/>
      <c r="AY116" s="716"/>
      <c r="AZ116" s="716"/>
      <c r="BA116" s="900"/>
      <c r="BB116" s="900"/>
      <c r="BC116" s="716"/>
      <c r="BD116" s="716"/>
      <c r="BE116" s="899"/>
      <c r="BF116" s="899"/>
      <c r="BG116" s="716"/>
      <c r="BH116" s="716"/>
      <c r="BI116" s="899"/>
      <c r="BJ116" s="899"/>
      <c r="BK116" s="716"/>
      <c r="BL116" s="716"/>
      <c r="BM116" s="899"/>
      <c r="BN116" s="899"/>
      <c r="BO116" s="716"/>
      <c r="BP116" s="716"/>
      <c r="BQ116" s="899"/>
      <c r="BR116" s="899"/>
      <c r="BS116" s="716"/>
      <c r="BT116" s="716"/>
      <c r="BU116" s="899"/>
      <c r="BV116" s="899"/>
      <c r="BW116" s="716"/>
      <c r="BX116" s="716"/>
      <c r="BY116" s="899"/>
      <c r="BZ116" s="899"/>
      <c r="CA116" s="716"/>
      <c r="CB116" s="716"/>
      <c r="CC116" s="899"/>
      <c r="CD116" s="899"/>
      <c r="CE116" s="716"/>
      <c r="CF116" s="716"/>
      <c r="CG116" s="899"/>
      <c r="CH116" s="908"/>
      <c r="CI116" s="716"/>
      <c r="CK116" s="1830"/>
      <c r="CL116" s="1831"/>
      <c r="CO116" s="1830"/>
      <c r="CP116" s="1831"/>
      <c r="CS116" s="1830"/>
      <c r="CT116" s="1831"/>
      <c r="CW116" s="1830"/>
      <c r="CX116" s="1831"/>
      <c r="DA116" s="1830"/>
      <c r="DB116" s="1831"/>
      <c r="DE116" s="1830"/>
      <c r="DF116" s="1831"/>
      <c r="DI116" s="1830"/>
      <c r="DJ116" s="1831"/>
      <c r="DL116" s="716"/>
      <c r="DM116" s="900"/>
      <c r="DN116" s="900"/>
      <c r="DO116" s="716"/>
      <c r="DP116" s="716"/>
      <c r="DQ116" s="900"/>
      <c r="DR116" s="900"/>
      <c r="DS116" s="716"/>
      <c r="DT116" s="716"/>
      <c r="DU116" s="900"/>
      <c r="DV116" s="900"/>
      <c r="DW116" s="716"/>
      <c r="DX116" s="716"/>
      <c r="DY116" s="900"/>
      <c r="DZ116" s="900"/>
    </row>
    <row r="117" spans="1:130" x14ac:dyDescent="0.25">
      <c r="B117" s="1841"/>
      <c r="C117" s="1841"/>
      <c r="D117" s="716"/>
      <c r="E117" s="909"/>
      <c r="F117" s="910"/>
      <c r="G117" s="902"/>
      <c r="H117" s="902"/>
      <c r="I117" s="910"/>
      <c r="J117" s="910"/>
      <c r="K117" s="902"/>
      <c r="L117" s="902"/>
      <c r="M117" s="910"/>
      <c r="N117" s="910"/>
      <c r="O117" s="902"/>
      <c r="P117" s="902"/>
      <c r="Q117" s="910"/>
      <c r="R117" s="910"/>
      <c r="S117" s="902"/>
      <c r="T117" s="902"/>
      <c r="U117" s="910"/>
      <c r="V117" s="910"/>
      <c r="W117" s="902"/>
      <c r="X117" s="902"/>
      <c r="Y117" s="910"/>
      <c r="Z117" s="910"/>
      <c r="AA117" s="902"/>
      <c r="AB117" s="902"/>
      <c r="AC117" s="910"/>
      <c r="AD117" s="910"/>
      <c r="AE117" s="902"/>
      <c r="AF117" s="902"/>
      <c r="AG117" s="910"/>
      <c r="AH117" s="910"/>
      <c r="AI117" s="902"/>
      <c r="AJ117" s="902"/>
      <c r="AK117" s="910"/>
      <c r="AL117" s="910"/>
      <c r="AM117" s="902"/>
      <c r="AN117" s="902"/>
      <c r="AO117" s="910"/>
      <c r="AP117" s="910"/>
      <c r="AQ117" s="902"/>
      <c r="AR117" s="902"/>
      <c r="AS117" s="910"/>
      <c r="AT117" s="910"/>
      <c r="AU117" s="902"/>
      <c r="AV117" s="902"/>
      <c r="AW117" s="910"/>
      <c r="AX117" s="910"/>
      <c r="AY117" s="902"/>
      <c r="AZ117" s="902"/>
      <c r="BA117" s="911"/>
      <c r="BB117" s="911"/>
      <c r="BC117" s="902"/>
      <c r="BD117" s="902"/>
      <c r="BE117" s="910"/>
      <c r="BF117" s="910"/>
      <c r="BG117" s="902"/>
      <c r="BH117" s="902"/>
      <c r="BI117" s="910"/>
      <c r="BJ117" s="910"/>
      <c r="BK117" s="902"/>
      <c r="BL117" s="902"/>
      <c r="BM117" s="910"/>
      <c r="BN117" s="910"/>
      <c r="BO117" s="902"/>
      <c r="BP117" s="902"/>
      <c r="BQ117" s="910"/>
      <c r="BR117" s="910"/>
      <c r="BS117" s="902"/>
      <c r="BT117" s="902"/>
      <c r="BU117" s="910"/>
      <c r="BV117" s="910"/>
      <c r="BW117" s="902"/>
      <c r="BX117" s="902"/>
      <c r="BY117" s="910"/>
      <c r="BZ117" s="910"/>
      <c r="CA117" s="902"/>
      <c r="CB117" s="902"/>
      <c r="CC117" s="910"/>
      <c r="CD117" s="910"/>
      <c r="CE117" s="902"/>
      <c r="CF117" s="902"/>
      <c r="CG117" s="910"/>
      <c r="CH117" s="912"/>
      <c r="CI117" s="716"/>
      <c r="CK117" s="1832"/>
      <c r="CL117" s="1833"/>
      <c r="CO117" s="1832"/>
      <c r="CP117" s="1833"/>
      <c r="CS117" s="1832"/>
      <c r="CT117" s="1833"/>
      <c r="CW117" s="1832"/>
      <c r="CX117" s="1833"/>
      <c r="DA117" s="1832"/>
      <c r="DB117" s="1833"/>
      <c r="DE117" s="1832"/>
      <c r="DF117" s="1833"/>
      <c r="DI117" s="1832"/>
      <c r="DJ117" s="1833"/>
      <c r="DL117" s="716"/>
      <c r="DM117" s="900"/>
      <c r="DN117" s="900"/>
      <c r="DO117" s="716"/>
      <c r="DP117" s="716"/>
      <c r="DQ117" s="900"/>
      <c r="DR117" s="900"/>
      <c r="DS117" s="716"/>
      <c r="DT117" s="716"/>
      <c r="DU117" s="900"/>
      <c r="DV117" s="900"/>
      <c r="DW117" s="716"/>
      <c r="DX117" s="716"/>
      <c r="DY117" s="900"/>
      <c r="DZ117" s="900"/>
    </row>
    <row r="118" spans="1:130" x14ac:dyDescent="0.25"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716"/>
      <c r="AB118" s="716"/>
      <c r="AC118" s="716"/>
      <c r="AD118" s="716"/>
      <c r="AE118" s="716"/>
      <c r="AF118" s="716"/>
      <c r="AG118" s="716"/>
      <c r="AH118" s="716"/>
      <c r="AI118" s="716"/>
      <c r="AJ118" s="716"/>
      <c r="AK118" s="716"/>
      <c r="AL118" s="716"/>
      <c r="AM118" s="716"/>
      <c r="AN118" s="716"/>
      <c r="AO118" s="716"/>
      <c r="AP118" s="716"/>
      <c r="AQ118" s="716"/>
      <c r="AR118" s="716"/>
      <c r="AS118" s="716"/>
      <c r="AT118" s="716"/>
      <c r="AU118" s="716"/>
      <c r="AV118" s="716"/>
      <c r="AW118" s="716"/>
      <c r="AX118" s="716"/>
      <c r="AY118" s="716"/>
      <c r="AZ118" s="716"/>
      <c r="BA118" s="716"/>
      <c r="BB118" s="716"/>
      <c r="BC118" s="716"/>
      <c r="BD118" s="716"/>
      <c r="BE118" s="716"/>
      <c r="BF118" s="716"/>
      <c r="BG118" s="716"/>
      <c r="BH118" s="716"/>
      <c r="BI118" s="716"/>
      <c r="BJ118" s="716"/>
      <c r="BK118" s="716"/>
      <c r="BL118" s="716"/>
      <c r="BM118" s="716"/>
      <c r="BN118" s="716"/>
      <c r="BO118" s="716"/>
      <c r="BP118" s="716"/>
      <c r="BQ118" s="716"/>
      <c r="BR118" s="716"/>
      <c r="BS118" s="716"/>
      <c r="BT118" s="716"/>
      <c r="BU118" s="716"/>
      <c r="BV118" s="716"/>
      <c r="BW118" s="716"/>
      <c r="BX118" s="716"/>
      <c r="BY118" s="716"/>
      <c r="BZ118" s="716"/>
      <c r="CA118" s="716"/>
      <c r="CB118" s="716"/>
      <c r="CC118" s="716"/>
      <c r="CD118" s="716"/>
      <c r="CE118" s="716"/>
      <c r="CF118" s="716"/>
      <c r="CG118" s="716"/>
      <c r="CH118" s="716"/>
      <c r="CI118" s="716"/>
    </row>
    <row r="119" spans="1:130" x14ac:dyDescent="0.25">
      <c r="A119" s="690" t="s">
        <v>492</v>
      </c>
      <c r="B119" s="1841"/>
      <c r="C119" s="1841"/>
      <c r="D119" s="899"/>
      <c r="E119" s="903"/>
      <c r="F119" s="904"/>
      <c r="G119" s="901"/>
      <c r="H119" s="904"/>
      <c r="I119" s="904"/>
      <c r="J119" s="904"/>
      <c r="K119" s="901"/>
      <c r="L119" s="904"/>
      <c r="M119" s="904"/>
      <c r="N119" s="904"/>
      <c r="O119" s="901"/>
      <c r="P119" s="904"/>
      <c r="Q119" s="904"/>
      <c r="R119" s="904"/>
      <c r="S119" s="901"/>
      <c r="T119" s="904"/>
      <c r="U119" s="904"/>
      <c r="V119" s="904"/>
      <c r="W119" s="901"/>
      <c r="X119" s="904"/>
      <c r="Y119" s="904"/>
      <c r="Z119" s="904"/>
      <c r="AA119" s="901"/>
      <c r="AB119" s="904"/>
      <c r="AC119" s="904"/>
      <c r="AD119" s="904"/>
      <c r="AE119" s="901"/>
      <c r="AF119" s="904"/>
      <c r="AG119" s="904"/>
      <c r="AH119" s="904"/>
      <c r="AI119" s="901"/>
      <c r="AJ119" s="904"/>
      <c r="AK119" s="904"/>
      <c r="AL119" s="904"/>
      <c r="AM119" s="901"/>
      <c r="AN119" s="904"/>
      <c r="AO119" s="904"/>
      <c r="AP119" s="904"/>
      <c r="AQ119" s="901"/>
      <c r="AR119" s="904"/>
      <c r="AS119" s="904"/>
      <c r="AT119" s="904"/>
      <c r="AU119" s="901"/>
      <c r="AV119" s="904"/>
      <c r="AW119" s="904"/>
      <c r="AX119" s="904"/>
      <c r="AY119" s="901"/>
      <c r="AZ119" s="904"/>
      <c r="BA119" s="905"/>
      <c r="BB119" s="905"/>
      <c r="BC119" s="901"/>
      <c r="BD119" s="904"/>
      <c r="BE119" s="904"/>
      <c r="BF119" s="904"/>
      <c r="BG119" s="901"/>
      <c r="BH119" s="904"/>
      <c r="BI119" s="904"/>
      <c r="BJ119" s="904"/>
      <c r="BK119" s="901"/>
      <c r="BL119" s="904"/>
      <c r="BM119" s="904"/>
      <c r="BN119" s="904"/>
      <c r="BO119" s="901"/>
      <c r="BP119" s="904"/>
      <c r="BQ119" s="904"/>
      <c r="BR119" s="904"/>
      <c r="BS119" s="901"/>
      <c r="BT119" s="904"/>
      <c r="BU119" s="904"/>
      <c r="BV119" s="904"/>
      <c r="BW119" s="901"/>
      <c r="BX119" s="904"/>
      <c r="BY119" s="904"/>
      <c r="BZ119" s="904"/>
      <c r="CA119" s="901"/>
      <c r="CB119" s="904"/>
      <c r="CC119" s="904"/>
      <c r="CD119" s="904"/>
      <c r="CE119" s="901"/>
      <c r="CF119" s="904"/>
      <c r="CG119" s="904"/>
      <c r="CH119" s="904"/>
      <c r="CI119" s="901"/>
      <c r="CJ119" s="904"/>
      <c r="CK119" s="904"/>
      <c r="CL119" s="904"/>
      <c r="CM119" s="901"/>
      <c r="CN119" s="904"/>
      <c r="CO119" s="904"/>
      <c r="CP119" s="904"/>
      <c r="CQ119" s="901"/>
      <c r="CR119" s="904"/>
      <c r="CS119" s="904"/>
      <c r="CT119" s="904"/>
      <c r="CU119" s="901"/>
      <c r="CV119" s="904"/>
      <c r="CW119" s="904"/>
      <c r="CX119" s="904"/>
      <c r="CY119" s="901"/>
      <c r="CZ119" s="904"/>
      <c r="DA119" s="904"/>
      <c r="DB119" s="904"/>
      <c r="DC119" s="901"/>
      <c r="DD119" s="904"/>
      <c r="DE119" s="904"/>
      <c r="DF119" s="904"/>
      <c r="DG119" s="901"/>
      <c r="DH119" s="904"/>
      <c r="DI119" s="904"/>
      <c r="DJ119" s="904"/>
      <c r="DK119" s="913"/>
      <c r="DL119" s="1839"/>
      <c r="DM119" s="1847"/>
      <c r="DN119" s="1848"/>
      <c r="DP119" s="1827"/>
      <c r="DQ119" s="1847"/>
      <c r="DR119" s="1848"/>
      <c r="DT119" s="1827"/>
      <c r="DU119" s="1847"/>
      <c r="DV119" s="1848"/>
      <c r="DX119" s="1827"/>
      <c r="DY119" s="1847"/>
      <c r="DZ119" s="1848"/>
    </row>
    <row r="120" spans="1:130" x14ac:dyDescent="0.25">
      <c r="B120" s="1841"/>
      <c r="C120" s="1841"/>
      <c r="D120" s="899"/>
      <c r="E120" s="907"/>
      <c r="F120" s="899"/>
      <c r="G120" s="716"/>
      <c r="H120" s="899"/>
      <c r="I120" s="899"/>
      <c r="J120" s="899"/>
      <c r="K120" s="716"/>
      <c r="L120" s="899"/>
      <c r="M120" s="899"/>
      <c r="N120" s="899"/>
      <c r="O120" s="716"/>
      <c r="P120" s="899"/>
      <c r="Q120" s="899"/>
      <c r="R120" s="899"/>
      <c r="S120" s="716"/>
      <c r="T120" s="899"/>
      <c r="U120" s="899"/>
      <c r="V120" s="899"/>
      <c r="W120" s="716"/>
      <c r="X120" s="899"/>
      <c r="Y120" s="899"/>
      <c r="Z120" s="899"/>
      <c r="AA120" s="716"/>
      <c r="AB120" s="899"/>
      <c r="AC120" s="899"/>
      <c r="AD120" s="899"/>
      <c r="AE120" s="716"/>
      <c r="AF120" s="899"/>
      <c r="AG120" s="899"/>
      <c r="AH120" s="899"/>
      <c r="AI120" s="716"/>
      <c r="AJ120" s="899"/>
      <c r="AK120" s="899"/>
      <c r="AL120" s="899"/>
      <c r="AM120" s="716"/>
      <c r="AN120" s="899"/>
      <c r="AO120" s="899"/>
      <c r="AP120" s="899"/>
      <c r="AQ120" s="716"/>
      <c r="AR120" s="899"/>
      <c r="AS120" s="899"/>
      <c r="AT120" s="899"/>
      <c r="AU120" s="716"/>
      <c r="AV120" s="899"/>
      <c r="AW120" s="899"/>
      <c r="AX120" s="899"/>
      <c r="AY120" s="716"/>
      <c r="AZ120" s="899"/>
      <c r="BA120" s="900"/>
      <c r="BB120" s="900"/>
      <c r="BC120" s="716"/>
      <c r="BD120" s="899"/>
      <c r="BE120" s="899"/>
      <c r="BF120" s="899"/>
      <c r="BG120" s="716"/>
      <c r="BH120" s="899"/>
      <c r="BI120" s="899"/>
      <c r="BJ120" s="899"/>
      <c r="BK120" s="716"/>
      <c r="BL120" s="899"/>
      <c r="BM120" s="899"/>
      <c r="BN120" s="899"/>
      <c r="BO120" s="716"/>
      <c r="BP120" s="899"/>
      <c r="BQ120" s="899"/>
      <c r="BR120" s="899"/>
      <c r="BS120" s="716"/>
      <c r="BT120" s="899"/>
      <c r="BU120" s="899"/>
      <c r="BV120" s="899"/>
      <c r="BW120" s="716"/>
      <c r="BX120" s="899"/>
      <c r="BY120" s="899"/>
      <c r="BZ120" s="899"/>
      <c r="CA120" s="716"/>
      <c r="CB120" s="899"/>
      <c r="CC120" s="899"/>
      <c r="CD120" s="899"/>
      <c r="CE120" s="716"/>
      <c r="CF120" s="899"/>
      <c r="CG120" s="899"/>
      <c r="CH120" s="899"/>
      <c r="CI120" s="716"/>
      <c r="CJ120" s="899"/>
      <c r="CK120" s="899"/>
      <c r="CL120" s="899"/>
      <c r="CM120" s="716"/>
      <c r="CN120" s="899"/>
      <c r="CO120" s="899"/>
      <c r="CP120" s="899"/>
      <c r="CQ120" s="716"/>
      <c r="CR120" s="899"/>
      <c r="CS120" s="899"/>
      <c r="CT120" s="899"/>
      <c r="CU120" s="716"/>
      <c r="CV120" s="899"/>
      <c r="CW120" s="899"/>
      <c r="CX120" s="899"/>
      <c r="CY120" s="716"/>
      <c r="CZ120" s="899"/>
      <c r="DA120" s="899"/>
      <c r="DB120" s="899"/>
      <c r="DC120" s="716"/>
      <c r="DD120" s="899"/>
      <c r="DE120" s="899"/>
      <c r="DF120" s="899"/>
      <c r="DG120" s="716"/>
      <c r="DH120" s="899"/>
      <c r="DI120" s="899"/>
      <c r="DJ120" s="899"/>
      <c r="DK120" s="721"/>
      <c r="DL120" s="1839"/>
      <c r="DM120" s="1849"/>
      <c r="DN120" s="1850"/>
      <c r="DP120" s="1827"/>
      <c r="DQ120" s="1849"/>
      <c r="DR120" s="1850"/>
      <c r="DT120" s="1827"/>
      <c r="DU120" s="1849"/>
      <c r="DV120" s="1850"/>
      <c r="DX120" s="1827"/>
      <c r="DY120" s="1849"/>
      <c r="DZ120" s="1850"/>
    </row>
    <row r="121" spans="1:130" x14ac:dyDescent="0.25">
      <c r="B121" s="1841"/>
      <c r="C121" s="1841"/>
      <c r="D121" s="716"/>
      <c r="E121" s="907"/>
      <c r="F121" s="899"/>
      <c r="G121" s="716"/>
      <c r="H121" s="716"/>
      <c r="I121" s="899"/>
      <c r="J121" s="899"/>
      <c r="K121" s="716"/>
      <c r="L121" s="716"/>
      <c r="M121" s="899"/>
      <c r="N121" s="899"/>
      <c r="O121" s="716"/>
      <c r="P121" s="716"/>
      <c r="Q121" s="899"/>
      <c r="R121" s="899"/>
      <c r="S121" s="716"/>
      <c r="T121" s="716"/>
      <c r="U121" s="899"/>
      <c r="V121" s="899"/>
      <c r="W121" s="716"/>
      <c r="X121" s="716"/>
      <c r="Y121" s="899"/>
      <c r="Z121" s="899"/>
      <c r="AA121" s="716"/>
      <c r="AB121" s="716"/>
      <c r="AC121" s="899"/>
      <c r="AD121" s="899"/>
      <c r="AE121" s="716"/>
      <c r="AF121" s="716"/>
      <c r="AG121" s="899"/>
      <c r="AH121" s="899"/>
      <c r="AI121" s="716"/>
      <c r="AJ121" s="716"/>
      <c r="AK121" s="899"/>
      <c r="AL121" s="899"/>
      <c r="AM121" s="716"/>
      <c r="AN121" s="716"/>
      <c r="AO121" s="899"/>
      <c r="AP121" s="899"/>
      <c r="AQ121" s="716"/>
      <c r="AR121" s="716"/>
      <c r="AS121" s="899"/>
      <c r="AT121" s="899"/>
      <c r="AU121" s="716"/>
      <c r="AV121" s="716"/>
      <c r="AW121" s="899"/>
      <c r="AX121" s="899"/>
      <c r="AY121" s="716"/>
      <c r="AZ121" s="716"/>
      <c r="BA121" s="900"/>
      <c r="BB121" s="900"/>
      <c r="BC121" s="716"/>
      <c r="BD121" s="716"/>
      <c r="BE121" s="899"/>
      <c r="BF121" s="899"/>
      <c r="BG121" s="716"/>
      <c r="BH121" s="716"/>
      <c r="BI121" s="899"/>
      <c r="BJ121" s="899"/>
      <c r="BK121" s="716"/>
      <c r="BL121" s="716"/>
      <c r="BM121" s="899"/>
      <c r="BN121" s="899"/>
      <c r="BO121" s="716"/>
      <c r="BP121" s="716"/>
      <c r="BQ121" s="899"/>
      <c r="BR121" s="899"/>
      <c r="BS121" s="716"/>
      <c r="BT121" s="716"/>
      <c r="BU121" s="899"/>
      <c r="BV121" s="899"/>
      <c r="BW121" s="716"/>
      <c r="BX121" s="716"/>
      <c r="BY121" s="899"/>
      <c r="BZ121" s="899"/>
      <c r="CA121" s="716"/>
      <c r="CB121" s="716"/>
      <c r="CC121" s="899"/>
      <c r="CD121" s="899"/>
      <c r="CE121" s="716"/>
      <c r="CF121" s="716"/>
      <c r="CG121" s="899"/>
      <c r="CH121" s="899"/>
      <c r="CI121" s="716"/>
      <c r="CJ121" s="716"/>
      <c r="CK121" s="899"/>
      <c r="CL121" s="899"/>
      <c r="CM121" s="716"/>
      <c r="CN121" s="716"/>
      <c r="CO121" s="899"/>
      <c r="CP121" s="899"/>
      <c r="CQ121" s="716"/>
      <c r="CR121" s="716"/>
      <c r="CS121" s="899"/>
      <c r="CT121" s="899"/>
      <c r="CU121" s="716"/>
      <c r="CV121" s="716"/>
      <c r="CW121" s="899"/>
      <c r="CX121" s="899"/>
      <c r="CY121" s="716"/>
      <c r="CZ121" s="716"/>
      <c r="DA121" s="899"/>
      <c r="DB121" s="899"/>
      <c r="DC121" s="716"/>
      <c r="DD121" s="716"/>
      <c r="DE121" s="899"/>
      <c r="DF121" s="899"/>
      <c r="DG121" s="716"/>
      <c r="DH121" s="716"/>
      <c r="DI121" s="899"/>
      <c r="DJ121" s="899"/>
      <c r="DK121" s="721"/>
      <c r="DM121" s="1849"/>
      <c r="DN121" s="1850"/>
      <c r="DQ121" s="1849"/>
      <c r="DR121" s="1850"/>
      <c r="DU121" s="1849"/>
      <c r="DV121" s="1850"/>
      <c r="DY121" s="1849"/>
      <c r="DZ121" s="1850"/>
    </row>
    <row r="122" spans="1:130" x14ac:dyDescent="0.25">
      <c r="B122" s="1841"/>
      <c r="C122" s="1841"/>
      <c r="D122" s="716"/>
      <c r="E122" s="907"/>
      <c r="F122" s="899"/>
      <c r="G122" s="716"/>
      <c r="H122" s="716"/>
      <c r="I122" s="899"/>
      <c r="J122" s="899"/>
      <c r="K122" s="716"/>
      <c r="L122" s="716"/>
      <c r="M122" s="899"/>
      <c r="N122" s="899"/>
      <c r="O122" s="716"/>
      <c r="P122" s="716"/>
      <c r="Q122" s="899"/>
      <c r="R122" s="899"/>
      <c r="S122" s="716"/>
      <c r="T122" s="716"/>
      <c r="U122" s="899"/>
      <c r="V122" s="899"/>
      <c r="W122" s="716"/>
      <c r="X122" s="716"/>
      <c r="Y122" s="899"/>
      <c r="Z122" s="899"/>
      <c r="AA122" s="716"/>
      <c r="AB122" s="716"/>
      <c r="AC122" s="899"/>
      <c r="AD122" s="899"/>
      <c r="AE122" s="716"/>
      <c r="AF122" s="716"/>
      <c r="AG122" s="899"/>
      <c r="AH122" s="899"/>
      <c r="AI122" s="716"/>
      <c r="AJ122" s="716"/>
      <c r="AK122" s="899"/>
      <c r="AL122" s="899"/>
      <c r="AM122" s="716"/>
      <c r="AN122" s="716"/>
      <c r="AO122" s="899"/>
      <c r="AP122" s="899"/>
      <c r="AQ122" s="716"/>
      <c r="AR122" s="716"/>
      <c r="AS122" s="899"/>
      <c r="AT122" s="899"/>
      <c r="AU122" s="716"/>
      <c r="AV122" s="716"/>
      <c r="AW122" s="899"/>
      <c r="AX122" s="899"/>
      <c r="AY122" s="716"/>
      <c r="AZ122" s="716"/>
      <c r="BA122" s="900"/>
      <c r="BB122" s="900"/>
      <c r="BC122" s="716"/>
      <c r="BD122" s="716"/>
      <c r="BE122" s="899"/>
      <c r="BF122" s="899"/>
      <c r="BG122" s="716"/>
      <c r="BH122" s="716"/>
      <c r="BI122" s="899"/>
      <c r="BJ122" s="899"/>
      <c r="BK122" s="716"/>
      <c r="BL122" s="716"/>
      <c r="BM122" s="899"/>
      <c r="BN122" s="899"/>
      <c r="BO122" s="716"/>
      <c r="BP122" s="716"/>
      <c r="BQ122" s="899"/>
      <c r="BR122" s="899"/>
      <c r="BS122" s="716"/>
      <c r="BT122" s="716"/>
      <c r="BU122" s="899"/>
      <c r="BV122" s="899"/>
      <c r="BW122" s="716"/>
      <c r="BX122" s="716"/>
      <c r="BY122" s="899"/>
      <c r="BZ122" s="899"/>
      <c r="CA122" s="716"/>
      <c r="CB122" s="716"/>
      <c r="CC122" s="899"/>
      <c r="CD122" s="899"/>
      <c r="CE122" s="716"/>
      <c r="CF122" s="716"/>
      <c r="CG122" s="899"/>
      <c r="CH122" s="899"/>
      <c r="CI122" s="716"/>
      <c r="CJ122" s="716"/>
      <c r="CK122" s="899"/>
      <c r="CL122" s="899"/>
      <c r="CM122" s="716"/>
      <c r="CN122" s="716"/>
      <c r="CO122" s="899"/>
      <c r="CP122" s="899"/>
      <c r="CQ122" s="716"/>
      <c r="CR122" s="716"/>
      <c r="CS122" s="899"/>
      <c r="CT122" s="899"/>
      <c r="CU122" s="716"/>
      <c r="CV122" s="716"/>
      <c r="CW122" s="899"/>
      <c r="CX122" s="899"/>
      <c r="CY122" s="716"/>
      <c r="CZ122" s="716"/>
      <c r="DA122" s="899"/>
      <c r="DB122" s="899"/>
      <c r="DC122" s="716"/>
      <c r="DD122" s="716"/>
      <c r="DE122" s="899"/>
      <c r="DF122" s="899"/>
      <c r="DG122" s="716"/>
      <c r="DH122" s="716"/>
      <c r="DI122" s="899"/>
      <c r="DJ122" s="899"/>
      <c r="DK122" s="721"/>
      <c r="DM122" s="1849"/>
      <c r="DN122" s="1850"/>
      <c r="DQ122" s="1849"/>
      <c r="DR122" s="1850"/>
      <c r="DU122" s="1849"/>
      <c r="DV122" s="1850"/>
      <c r="DY122" s="1849"/>
      <c r="DZ122" s="1850"/>
    </row>
    <row r="123" spans="1:130" x14ac:dyDescent="0.25">
      <c r="B123" s="1841"/>
      <c r="C123" s="1841"/>
      <c r="D123" s="716"/>
      <c r="E123" s="907"/>
      <c r="F123" s="899"/>
      <c r="G123" s="716"/>
      <c r="H123" s="716"/>
      <c r="I123" s="899"/>
      <c r="J123" s="899"/>
      <c r="K123" s="716"/>
      <c r="L123" s="716"/>
      <c r="M123" s="899"/>
      <c r="N123" s="899"/>
      <c r="O123" s="716"/>
      <c r="P123" s="716"/>
      <c r="Q123" s="899"/>
      <c r="R123" s="899"/>
      <c r="S123" s="716"/>
      <c r="T123" s="716"/>
      <c r="U123" s="899"/>
      <c r="V123" s="899"/>
      <c r="W123" s="716"/>
      <c r="X123" s="716"/>
      <c r="Y123" s="899"/>
      <c r="Z123" s="899"/>
      <c r="AA123" s="716"/>
      <c r="AB123" s="716"/>
      <c r="AC123" s="899"/>
      <c r="AD123" s="899"/>
      <c r="AE123" s="716"/>
      <c r="AF123" s="716"/>
      <c r="AG123" s="899"/>
      <c r="AH123" s="899"/>
      <c r="AI123" s="716"/>
      <c r="AJ123" s="716"/>
      <c r="AK123" s="899"/>
      <c r="AL123" s="899"/>
      <c r="AM123" s="716"/>
      <c r="AN123" s="716"/>
      <c r="AO123" s="899"/>
      <c r="AP123" s="899"/>
      <c r="AQ123" s="716"/>
      <c r="AR123" s="716"/>
      <c r="AS123" s="899"/>
      <c r="AT123" s="899"/>
      <c r="AU123" s="716"/>
      <c r="AV123" s="716"/>
      <c r="AW123" s="899"/>
      <c r="AX123" s="899"/>
      <c r="AY123" s="716"/>
      <c r="AZ123" s="716"/>
      <c r="BA123" s="900"/>
      <c r="BB123" s="900"/>
      <c r="BC123" s="716"/>
      <c r="BD123" s="716"/>
      <c r="BE123" s="899"/>
      <c r="BF123" s="899"/>
      <c r="BG123" s="716"/>
      <c r="BH123" s="716"/>
      <c r="BI123" s="899"/>
      <c r="BJ123" s="899"/>
      <c r="BK123" s="716"/>
      <c r="BL123" s="716"/>
      <c r="BM123" s="899"/>
      <c r="BN123" s="899"/>
      <c r="BO123" s="716"/>
      <c r="BP123" s="716"/>
      <c r="BQ123" s="899"/>
      <c r="BR123" s="899"/>
      <c r="BS123" s="716"/>
      <c r="BT123" s="716"/>
      <c r="BU123" s="899"/>
      <c r="BV123" s="899"/>
      <c r="BW123" s="716"/>
      <c r="BX123" s="716"/>
      <c r="BY123" s="899"/>
      <c r="BZ123" s="899"/>
      <c r="CA123" s="716"/>
      <c r="CB123" s="716"/>
      <c r="CC123" s="899"/>
      <c r="CD123" s="899"/>
      <c r="CE123" s="716"/>
      <c r="CF123" s="716"/>
      <c r="CG123" s="899"/>
      <c r="CH123" s="899"/>
      <c r="CI123" s="716"/>
      <c r="CJ123" s="716"/>
      <c r="CK123" s="899"/>
      <c r="CL123" s="899"/>
      <c r="CM123" s="716"/>
      <c r="CN123" s="716"/>
      <c r="CO123" s="899"/>
      <c r="CP123" s="899"/>
      <c r="CQ123" s="716"/>
      <c r="CR123" s="716"/>
      <c r="CS123" s="899"/>
      <c r="CT123" s="899"/>
      <c r="CU123" s="716"/>
      <c r="CV123" s="716"/>
      <c r="CW123" s="899"/>
      <c r="CX123" s="899"/>
      <c r="CY123" s="716"/>
      <c r="CZ123" s="716"/>
      <c r="DA123" s="899"/>
      <c r="DB123" s="899"/>
      <c r="DC123" s="716"/>
      <c r="DD123" s="716"/>
      <c r="DE123" s="899"/>
      <c r="DF123" s="899"/>
      <c r="DG123" s="716"/>
      <c r="DH123" s="716"/>
      <c r="DI123" s="899"/>
      <c r="DJ123" s="899"/>
      <c r="DK123" s="721"/>
      <c r="DM123" s="1849"/>
      <c r="DN123" s="1850"/>
      <c r="DQ123" s="1849"/>
      <c r="DR123" s="1850"/>
      <c r="DU123" s="1849"/>
      <c r="DV123" s="1850"/>
      <c r="DY123" s="1849"/>
      <c r="DZ123" s="1850"/>
    </row>
    <row r="124" spans="1:130" x14ac:dyDescent="0.25">
      <c r="B124" s="1841"/>
      <c r="C124" s="1841"/>
      <c r="D124" s="716"/>
      <c r="E124" s="907"/>
      <c r="F124" s="899"/>
      <c r="G124" s="716"/>
      <c r="H124" s="716"/>
      <c r="I124" s="899"/>
      <c r="J124" s="899"/>
      <c r="K124" s="716"/>
      <c r="L124" s="716"/>
      <c r="M124" s="899"/>
      <c r="N124" s="899"/>
      <c r="O124" s="716"/>
      <c r="P124" s="716"/>
      <c r="Q124" s="899"/>
      <c r="R124" s="899"/>
      <c r="S124" s="716"/>
      <c r="T124" s="716"/>
      <c r="U124" s="899"/>
      <c r="V124" s="899"/>
      <c r="W124" s="716"/>
      <c r="X124" s="716"/>
      <c r="Y124" s="899"/>
      <c r="Z124" s="899"/>
      <c r="AA124" s="716"/>
      <c r="AB124" s="716"/>
      <c r="AC124" s="899"/>
      <c r="AD124" s="899"/>
      <c r="AE124" s="716"/>
      <c r="AF124" s="716"/>
      <c r="AG124" s="899"/>
      <c r="AH124" s="899"/>
      <c r="AI124" s="716"/>
      <c r="AJ124" s="716"/>
      <c r="AK124" s="899"/>
      <c r="AL124" s="899"/>
      <c r="AM124" s="716"/>
      <c r="AN124" s="716"/>
      <c r="AO124" s="899"/>
      <c r="AP124" s="899"/>
      <c r="AQ124" s="716"/>
      <c r="AR124" s="716"/>
      <c r="AS124" s="899"/>
      <c r="AT124" s="899"/>
      <c r="AU124" s="716"/>
      <c r="AV124" s="716"/>
      <c r="AW124" s="899"/>
      <c r="AX124" s="899"/>
      <c r="AY124" s="716"/>
      <c r="AZ124" s="716"/>
      <c r="BA124" s="900"/>
      <c r="BB124" s="900"/>
      <c r="BC124" s="716"/>
      <c r="BD124" s="716"/>
      <c r="BE124" s="899"/>
      <c r="BF124" s="899"/>
      <c r="BG124" s="716"/>
      <c r="BH124" s="716"/>
      <c r="BI124" s="899"/>
      <c r="BJ124" s="899"/>
      <c r="BK124" s="716"/>
      <c r="BL124" s="716"/>
      <c r="BM124" s="899"/>
      <c r="BN124" s="899"/>
      <c r="BO124" s="716"/>
      <c r="BP124" s="716"/>
      <c r="BQ124" s="899"/>
      <c r="BR124" s="899"/>
      <c r="BS124" s="716"/>
      <c r="BT124" s="716"/>
      <c r="BU124" s="899"/>
      <c r="BV124" s="899"/>
      <c r="BW124" s="716"/>
      <c r="BX124" s="716"/>
      <c r="BY124" s="899"/>
      <c r="BZ124" s="899"/>
      <c r="CA124" s="716"/>
      <c r="CB124" s="716"/>
      <c r="CC124" s="899"/>
      <c r="CD124" s="899"/>
      <c r="CE124" s="716"/>
      <c r="CF124" s="716"/>
      <c r="CG124" s="899"/>
      <c r="CH124" s="899"/>
      <c r="CI124" s="716"/>
      <c r="CJ124" s="716"/>
      <c r="CK124" s="899"/>
      <c r="CL124" s="899"/>
      <c r="CM124" s="716"/>
      <c r="CN124" s="716"/>
      <c r="CO124" s="899"/>
      <c r="CP124" s="899"/>
      <c r="CQ124" s="716"/>
      <c r="CR124" s="716"/>
      <c r="CS124" s="899"/>
      <c r="CT124" s="899"/>
      <c r="CU124" s="716"/>
      <c r="CV124" s="716"/>
      <c r="CW124" s="899"/>
      <c r="CX124" s="899"/>
      <c r="CY124" s="716"/>
      <c r="CZ124" s="716"/>
      <c r="DA124" s="899"/>
      <c r="DB124" s="899"/>
      <c r="DC124" s="716"/>
      <c r="DD124" s="716"/>
      <c r="DE124" s="899"/>
      <c r="DF124" s="899"/>
      <c r="DG124" s="716"/>
      <c r="DH124" s="716"/>
      <c r="DI124" s="899"/>
      <c r="DJ124" s="899"/>
      <c r="DK124" s="721"/>
      <c r="DM124" s="1849"/>
      <c r="DN124" s="1850"/>
      <c r="DQ124" s="1849"/>
      <c r="DR124" s="1850"/>
      <c r="DU124" s="1849"/>
      <c r="DV124" s="1850"/>
      <c r="DY124" s="1849"/>
      <c r="DZ124" s="1850"/>
    </row>
    <row r="125" spans="1:130" x14ac:dyDescent="0.25">
      <c r="B125" s="1841"/>
      <c r="C125" s="1841"/>
      <c r="D125" s="716"/>
      <c r="E125" s="909"/>
      <c r="F125" s="910"/>
      <c r="G125" s="902"/>
      <c r="H125" s="902"/>
      <c r="I125" s="910"/>
      <c r="J125" s="910"/>
      <c r="K125" s="902"/>
      <c r="L125" s="902"/>
      <c r="M125" s="910"/>
      <c r="N125" s="910"/>
      <c r="O125" s="902"/>
      <c r="P125" s="902"/>
      <c r="Q125" s="910"/>
      <c r="R125" s="910"/>
      <c r="S125" s="902"/>
      <c r="T125" s="902"/>
      <c r="U125" s="910"/>
      <c r="V125" s="910"/>
      <c r="W125" s="902"/>
      <c r="X125" s="902"/>
      <c r="Y125" s="910"/>
      <c r="Z125" s="910"/>
      <c r="AA125" s="902"/>
      <c r="AB125" s="902"/>
      <c r="AC125" s="910"/>
      <c r="AD125" s="910"/>
      <c r="AE125" s="902"/>
      <c r="AF125" s="902"/>
      <c r="AG125" s="910"/>
      <c r="AH125" s="910"/>
      <c r="AI125" s="902"/>
      <c r="AJ125" s="902"/>
      <c r="AK125" s="910"/>
      <c r="AL125" s="910"/>
      <c r="AM125" s="902"/>
      <c r="AN125" s="902"/>
      <c r="AO125" s="910"/>
      <c r="AP125" s="910"/>
      <c r="AQ125" s="902"/>
      <c r="AR125" s="902"/>
      <c r="AS125" s="910"/>
      <c r="AT125" s="910"/>
      <c r="AU125" s="902"/>
      <c r="AV125" s="902"/>
      <c r="AW125" s="910"/>
      <c r="AX125" s="910"/>
      <c r="AY125" s="902"/>
      <c r="AZ125" s="902"/>
      <c r="BA125" s="911"/>
      <c r="BB125" s="911"/>
      <c r="BC125" s="902"/>
      <c r="BD125" s="902"/>
      <c r="BE125" s="910"/>
      <c r="BF125" s="910"/>
      <c r="BG125" s="902"/>
      <c r="BH125" s="902"/>
      <c r="BI125" s="910"/>
      <c r="BJ125" s="910"/>
      <c r="BK125" s="902"/>
      <c r="BL125" s="902"/>
      <c r="BM125" s="910"/>
      <c r="BN125" s="910"/>
      <c r="BO125" s="902"/>
      <c r="BP125" s="902"/>
      <c r="BQ125" s="910"/>
      <c r="BR125" s="910"/>
      <c r="BS125" s="902"/>
      <c r="BT125" s="902"/>
      <c r="BU125" s="910"/>
      <c r="BV125" s="910"/>
      <c r="BW125" s="902"/>
      <c r="BX125" s="902"/>
      <c r="BY125" s="910"/>
      <c r="BZ125" s="910"/>
      <c r="CA125" s="902"/>
      <c r="CB125" s="902"/>
      <c r="CC125" s="910"/>
      <c r="CD125" s="910"/>
      <c r="CE125" s="902"/>
      <c r="CF125" s="902"/>
      <c r="CG125" s="910"/>
      <c r="CH125" s="910"/>
      <c r="CI125" s="902"/>
      <c r="CJ125" s="902"/>
      <c r="CK125" s="910"/>
      <c r="CL125" s="910"/>
      <c r="CM125" s="902"/>
      <c r="CN125" s="902"/>
      <c r="CO125" s="910"/>
      <c r="CP125" s="910"/>
      <c r="CQ125" s="902"/>
      <c r="CR125" s="902"/>
      <c r="CS125" s="910"/>
      <c r="CT125" s="910"/>
      <c r="CU125" s="902"/>
      <c r="CV125" s="902"/>
      <c r="CW125" s="910"/>
      <c r="CX125" s="910"/>
      <c r="CY125" s="902"/>
      <c r="CZ125" s="902"/>
      <c r="DA125" s="910"/>
      <c r="DB125" s="910"/>
      <c r="DC125" s="902"/>
      <c r="DD125" s="902"/>
      <c r="DE125" s="910"/>
      <c r="DF125" s="910"/>
      <c r="DG125" s="902"/>
      <c r="DH125" s="902"/>
      <c r="DI125" s="910"/>
      <c r="DJ125" s="910"/>
      <c r="DK125" s="914"/>
      <c r="DM125" s="1851"/>
      <c r="DN125" s="1852"/>
      <c r="DQ125" s="1851"/>
      <c r="DR125" s="1852"/>
      <c r="DU125" s="1851"/>
      <c r="DV125" s="1852"/>
      <c r="DY125" s="1851"/>
      <c r="DZ125" s="1852"/>
    </row>
  </sheetData>
  <mergeCells count="276">
    <mergeCell ref="DU119:DV125"/>
    <mergeCell ref="DX119:DX120"/>
    <mergeCell ref="DY119:DZ125"/>
    <mergeCell ref="DL119:DL120"/>
    <mergeCell ref="DM119:DN125"/>
    <mergeCell ref="DP119:DP120"/>
    <mergeCell ref="DQ119:DR125"/>
    <mergeCell ref="DT119:DT120"/>
    <mergeCell ref="DD111:DD112"/>
    <mergeCell ref="DE111:DF117"/>
    <mergeCell ref="DH111:DH112"/>
    <mergeCell ref="DI111:DJ117"/>
    <mergeCell ref="B119:C125"/>
    <mergeCell ref="CS111:CT117"/>
    <mergeCell ref="CV111:CV112"/>
    <mergeCell ref="CW111:CX117"/>
    <mergeCell ref="CZ111:CZ112"/>
    <mergeCell ref="DA111:DB117"/>
    <mergeCell ref="CJ111:CJ112"/>
    <mergeCell ref="CK111:CL117"/>
    <mergeCell ref="CN111:CN112"/>
    <mergeCell ref="CO111:CP117"/>
    <mergeCell ref="CR111:CR112"/>
    <mergeCell ref="CB103:CB104"/>
    <mergeCell ref="CC103:CD109"/>
    <mergeCell ref="CF103:CF104"/>
    <mergeCell ref="CG103:CH109"/>
    <mergeCell ref="B111:C117"/>
    <mergeCell ref="D111:D112"/>
    <mergeCell ref="BQ103:BR109"/>
    <mergeCell ref="BT103:BT104"/>
    <mergeCell ref="BU103:BV109"/>
    <mergeCell ref="BX103:BX104"/>
    <mergeCell ref="BY103:BZ109"/>
    <mergeCell ref="BH103:BH104"/>
    <mergeCell ref="BI103:BJ109"/>
    <mergeCell ref="BL103:BL104"/>
    <mergeCell ref="BM103:BN109"/>
    <mergeCell ref="BP103:BP104"/>
    <mergeCell ref="AW103:AX109"/>
    <mergeCell ref="AZ103:AZ104"/>
    <mergeCell ref="BA103:BB109"/>
    <mergeCell ref="BD103:BD104"/>
    <mergeCell ref="BE103:BF109"/>
    <mergeCell ref="AN103:AN104"/>
    <mergeCell ref="AO103:AP109"/>
    <mergeCell ref="AR103:AR104"/>
    <mergeCell ref="AS103:AT109"/>
    <mergeCell ref="AV103:AV104"/>
    <mergeCell ref="AC103:AD109"/>
    <mergeCell ref="AF103:AF104"/>
    <mergeCell ref="AG103:AH109"/>
    <mergeCell ref="AJ103:AJ104"/>
    <mergeCell ref="AK103:AL109"/>
    <mergeCell ref="DH95:DH96"/>
    <mergeCell ref="DI95:DJ101"/>
    <mergeCell ref="DE95:DF101"/>
    <mergeCell ref="BI95:BJ101"/>
    <mergeCell ref="BL95:BL96"/>
    <mergeCell ref="BM95:BN101"/>
    <mergeCell ref="BP95:BP96"/>
    <mergeCell ref="BQ95:BR101"/>
    <mergeCell ref="AZ95:AZ96"/>
    <mergeCell ref="BA95:BB101"/>
    <mergeCell ref="BD95:BD96"/>
    <mergeCell ref="BE95:BF101"/>
    <mergeCell ref="BH95:BH96"/>
    <mergeCell ref="AO95:AP101"/>
    <mergeCell ref="AR95:AR96"/>
    <mergeCell ref="AS95:AT101"/>
    <mergeCell ref="AV95:AV96"/>
    <mergeCell ref="B103:C109"/>
    <mergeCell ref="D103:D104"/>
    <mergeCell ref="E103:F109"/>
    <mergeCell ref="H103:H104"/>
    <mergeCell ref="I103:J109"/>
    <mergeCell ref="L103:L104"/>
    <mergeCell ref="M103:N109"/>
    <mergeCell ref="P103:P104"/>
    <mergeCell ref="Q103:R109"/>
    <mergeCell ref="T103:T104"/>
    <mergeCell ref="U103:V109"/>
    <mergeCell ref="X103:X104"/>
    <mergeCell ref="Y103:Z109"/>
    <mergeCell ref="AB103:AB104"/>
    <mergeCell ref="CW95:CX101"/>
    <mergeCell ref="CZ95:CZ96"/>
    <mergeCell ref="DA95:DB101"/>
    <mergeCell ref="DD95:DD96"/>
    <mergeCell ref="CN95:CN96"/>
    <mergeCell ref="CO95:CP101"/>
    <mergeCell ref="CR95:CR96"/>
    <mergeCell ref="CS95:CT101"/>
    <mergeCell ref="CV95:CV96"/>
    <mergeCell ref="CC95:CD101"/>
    <mergeCell ref="CF95:CF96"/>
    <mergeCell ref="CG95:CH101"/>
    <mergeCell ref="CJ95:CJ96"/>
    <mergeCell ref="CK95:CL101"/>
    <mergeCell ref="BT95:BT96"/>
    <mergeCell ref="BU95:BV101"/>
    <mergeCell ref="BX95:BX96"/>
    <mergeCell ref="BY95:BZ101"/>
    <mergeCell ref="CB95:CB96"/>
    <mergeCell ref="AW95:AX101"/>
    <mergeCell ref="AF95:AF96"/>
    <mergeCell ref="AG95:AH101"/>
    <mergeCell ref="AJ95:AJ96"/>
    <mergeCell ref="AK95:AL101"/>
    <mergeCell ref="AN95:AN96"/>
    <mergeCell ref="DI87:DJ93"/>
    <mergeCell ref="B95:C101"/>
    <mergeCell ref="D95:D96"/>
    <mergeCell ref="E95:F101"/>
    <mergeCell ref="H95:H96"/>
    <mergeCell ref="I95:J101"/>
    <mergeCell ref="L95:L96"/>
    <mergeCell ref="M95:N101"/>
    <mergeCell ref="P95:P96"/>
    <mergeCell ref="Q95:R101"/>
    <mergeCell ref="T95:T96"/>
    <mergeCell ref="U95:V101"/>
    <mergeCell ref="X95:X96"/>
    <mergeCell ref="Y95:Z101"/>
    <mergeCell ref="AB95:AB96"/>
    <mergeCell ref="AC95:AD101"/>
    <mergeCell ref="CZ87:CZ88"/>
    <mergeCell ref="DA87:DB93"/>
    <mergeCell ref="DD87:DD88"/>
    <mergeCell ref="DE87:DF93"/>
    <mergeCell ref="DH87:DH88"/>
    <mergeCell ref="CO87:CP93"/>
    <mergeCell ref="CR87:CR88"/>
    <mergeCell ref="CS87:CT93"/>
    <mergeCell ref="CV87:CV88"/>
    <mergeCell ref="CW87:CX93"/>
    <mergeCell ref="CF87:CF88"/>
    <mergeCell ref="CG87:CH93"/>
    <mergeCell ref="CJ87:CJ88"/>
    <mergeCell ref="CK87:CL93"/>
    <mergeCell ref="CN87:CN88"/>
    <mergeCell ref="BT87:BT88"/>
    <mergeCell ref="BX87:BX88"/>
    <mergeCell ref="BY87:BZ93"/>
    <mergeCell ref="CB87:CB88"/>
    <mergeCell ref="CC87:CD93"/>
    <mergeCell ref="BI87:BJ93"/>
    <mergeCell ref="BL87:BL88"/>
    <mergeCell ref="BM87:BN93"/>
    <mergeCell ref="BP87:BP88"/>
    <mergeCell ref="BQ87:BR93"/>
    <mergeCell ref="AZ87:AZ88"/>
    <mergeCell ref="BA87:BB93"/>
    <mergeCell ref="BD87:BD88"/>
    <mergeCell ref="BE87:BF93"/>
    <mergeCell ref="BH87:BH88"/>
    <mergeCell ref="AO87:AP93"/>
    <mergeCell ref="AR87:AR88"/>
    <mergeCell ref="AS87:AT93"/>
    <mergeCell ref="AV87:AV88"/>
    <mergeCell ref="AW87:AX93"/>
    <mergeCell ref="AF87:AF88"/>
    <mergeCell ref="AG87:AH93"/>
    <mergeCell ref="AJ87:AJ88"/>
    <mergeCell ref="AK87:AL93"/>
    <mergeCell ref="AN87:AN88"/>
    <mergeCell ref="U87:V93"/>
    <mergeCell ref="X87:X88"/>
    <mergeCell ref="Y87:Z93"/>
    <mergeCell ref="AB87:AB88"/>
    <mergeCell ref="AC87:AD93"/>
    <mergeCell ref="L87:L88"/>
    <mergeCell ref="M87:N93"/>
    <mergeCell ref="P87:P88"/>
    <mergeCell ref="Q87:R93"/>
    <mergeCell ref="T87:T88"/>
    <mergeCell ref="B87:C93"/>
    <mergeCell ref="D87:D88"/>
    <mergeCell ref="E87:F93"/>
    <mergeCell ref="H87:H88"/>
    <mergeCell ref="I87:J93"/>
    <mergeCell ref="AU2:AX2"/>
    <mergeCell ref="C2:F2"/>
    <mergeCell ref="G2:J2"/>
    <mergeCell ref="K2:N2"/>
    <mergeCell ref="O2:R2"/>
    <mergeCell ref="S2:V2"/>
    <mergeCell ref="W2:Z2"/>
    <mergeCell ref="AA2:AD2"/>
    <mergeCell ref="AE2:AH2"/>
    <mergeCell ref="AI2:AL2"/>
    <mergeCell ref="AM2:AP2"/>
    <mergeCell ref="AQ2:AT2"/>
    <mergeCell ref="CE2:CH2"/>
    <mergeCell ref="CI2:CL2"/>
    <mergeCell ref="CM2:CP2"/>
    <mergeCell ref="CQ2:CT2"/>
    <mergeCell ref="AY2:BB2"/>
    <mergeCell ref="BC2:BF2"/>
    <mergeCell ref="BG2:BJ2"/>
    <mergeCell ref="BK2:BN2"/>
    <mergeCell ref="BO2:BR2"/>
    <mergeCell ref="BS2:BV2"/>
    <mergeCell ref="H64:J64"/>
    <mergeCell ref="DS2:DV2"/>
    <mergeCell ref="DW2:DZ2"/>
    <mergeCell ref="A4:A47"/>
    <mergeCell ref="B23:C23"/>
    <mergeCell ref="C51:E51"/>
    <mergeCell ref="H51:J51"/>
    <mergeCell ref="L51:N51"/>
    <mergeCell ref="CU2:CX2"/>
    <mergeCell ref="CY2:DB2"/>
    <mergeCell ref="DC2:DF2"/>
    <mergeCell ref="DG2:DJ2"/>
    <mergeCell ref="DK2:DN2"/>
    <mergeCell ref="DO2:DR2"/>
    <mergeCell ref="BW2:BZ2"/>
    <mergeCell ref="CA2:CD2"/>
    <mergeCell ref="C53:E53"/>
    <mergeCell ref="C56:E56"/>
    <mergeCell ref="C59:E59"/>
    <mergeCell ref="C62:E62"/>
    <mergeCell ref="D64:F64"/>
    <mergeCell ref="CR64:CT64"/>
    <mergeCell ref="L64:N64"/>
    <mergeCell ref="P64:R64"/>
    <mergeCell ref="T64:V64"/>
    <mergeCell ref="X64:Z64"/>
    <mergeCell ref="AB64:AD64"/>
    <mergeCell ref="AF64:AH64"/>
    <mergeCell ref="AJ64:AL64"/>
    <mergeCell ref="AN64:AP64"/>
    <mergeCell ref="AR64:AT64"/>
    <mergeCell ref="AV64:AX64"/>
    <mergeCell ref="CN64:CP64"/>
    <mergeCell ref="DT64:DV64"/>
    <mergeCell ref="DX64:DZ64"/>
    <mergeCell ref="D73:F73"/>
    <mergeCell ref="H73:J73"/>
    <mergeCell ref="L73:N73"/>
    <mergeCell ref="P73:R73"/>
    <mergeCell ref="T73:V73"/>
    <mergeCell ref="X73:Z73"/>
    <mergeCell ref="AB73:AD73"/>
    <mergeCell ref="AF73:AH73"/>
    <mergeCell ref="CV64:CX64"/>
    <mergeCell ref="CZ64:DB64"/>
    <mergeCell ref="DD64:DF64"/>
    <mergeCell ref="DH64:DJ64"/>
    <mergeCell ref="DL64:DN64"/>
    <mergeCell ref="DP64:DR64"/>
    <mergeCell ref="CB73:CD73"/>
    <mergeCell ref="AJ73:AL73"/>
    <mergeCell ref="AN73:AP73"/>
    <mergeCell ref="AR73:AT73"/>
    <mergeCell ref="AV73:AX73"/>
    <mergeCell ref="AZ73:BB73"/>
    <mergeCell ref="BD73:BF73"/>
    <mergeCell ref="BH73:BJ73"/>
    <mergeCell ref="BL73:BN73"/>
    <mergeCell ref="BP73:BR73"/>
    <mergeCell ref="BT73:BV73"/>
    <mergeCell ref="BX73:BZ73"/>
    <mergeCell ref="DX73:DZ73"/>
    <mergeCell ref="CF73:CH73"/>
    <mergeCell ref="CJ73:CL73"/>
    <mergeCell ref="CN73:CP73"/>
    <mergeCell ref="CR73:CT73"/>
    <mergeCell ref="CV73:CX73"/>
    <mergeCell ref="CZ73:DB73"/>
    <mergeCell ref="DD73:DF73"/>
    <mergeCell ref="DH73:DJ73"/>
    <mergeCell ref="DL73:DN73"/>
    <mergeCell ref="DP73:DR73"/>
    <mergeCell ref="DT73:DV73"/>
  </mergeCells>
  <conditionalFormatting sqref="L51">
    <cfRule type="containsText" dxfId="736" priority="1" operator="containsText" text="Objectif atteint">
      <formula>NOT(ISERROR(SEARCH("Objectif atteint",L51)))</formula>
    </cfRule>
    <cfRule type="containsText" dxfId="735" priority="2" operator="containsText" text="Objectif non atteint">
      <formula>NOT(ISERROR(SEARCH("Objectif non atteint",L51)))</formula>
    </cfRule>
  </conditionalFormatting>
  <dataValidations count="1">
    <dataValidation type="list" allowBlank="1" showInputMessage="1" showErrorMessage="1" sqref="B4:B22 C24:C46 B47">
      <formula1>"S1,S2,S3,S4,S5,S6,S7,S8,S9,G1,G2,G3,G4,G5,G6,G7,G8,G9,P1,P2"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J38" sqref="J38"/>
    </sheetView>
  </sheetViews>
  <sheetFormatPr baseColWidth="10" defaultRowHeight="15" x14ac:dyDescent="0.25"/>
  <cols>
    <col min="1" max="1" width="6.7109375" style="1127" customWidth="1"/>
    <col min="2" max="2" width="9.5703125" style="1127" customWidth="1"/>
    <col min="3" max="3" width="31.42578125" style="1127" customWidth="1"/>
    <col min="4" max="4" width="15.7109375" style="1127" customWidth="1"/>
    <col min="5" max="5" width="16" style="1127" customWidth="1"/>
    <col min="6" max="7" width="12.85546875" style="1127" customWidth="1"/>
    <col min="8" max="8" width="20.85546875" style="1127" customWidth="1"/>
    <col min="9" max="9" width="17" style="1127" customWidth="1"/>
    <col min="10" max="10" width="21.42578125" style="1127" customWidth="1"/>
    <col min="11" max="11" width="29.5703125" style="1127" customWidth="1"/>
    <col min="12" max="16384" width="11.42578125" style="1127"/>
  </cols>
  <sheetData>
    <row r="1" spans="1:11" ht="28.5" x14ac:dyDescent="0.25">
      <c r="A1" s="828"/>
      <c r="B1" s="828"/>
      <c r="C1" s="828"/>
      <c r="D1" s="829" t="s">
        <v>442</v>
      </c>
      <c r="E1" s="830"/>
      <c r="F1" s="831" t="s">
        <v>644</v>
      </c>
      <c r="G1" s="832"/>
      <c r="H1" s="832"/>
      <c r="I1" s="832"/>
      <c r="J1" s="833"/>
      <c r="K1" s="833"/>
    </row>
    <row r="2" spans="1:11" ht="50.25" thickBot="1" x14ac:dyDescent="0.3">
      <c r="A2" s="840"/>
      <c r="B2" s="1251" t="s">
        <v>444</v>
      </c>
      <c r="C2" s="1252"/>
      <c r="D2" s="1253" t="s">
        <v>445</v>
      </c>
      <c r="E2" s="1253" t="s">
        <v>446</v>
      </c>
      <c r="F2" s="1253" t="s">
        <v>447</v>
      </c>
      <c r="G2" s="1253" t="s">
        <v>448</v>
      </c>
      <c r="H2" s="1253" t="s">
        <v>449</v>
      </c>
      <c r="I2" s="1253" t="s">
        <v>450</v>
      </c>
      <c r="J2" s="1254" t="s">
        <v>441</v>
      </c>
      <c r="K2" s="1255" t="s">
        <v>451</v>
      </c>
    </row>
    <row r="3" spans="1:11" ht="31.5" hidden="1" x14ac:dyDescent="0.25">
      <c r="A3" s="848"/>
      <c r="B3" s="849" t="s">
        <v>663</v>
      </c>
      <c r="C3" s="849" t="s">
        <v>444</v>
      </c>
      <c r="D3" s="850" t="s">
        <v>445</v>
      </c>
      <c r="E3" s="850" t="s">
        <v>446</v>
      </c>
      <c r="F3" s="850" t="s">
        <v>447</v>
      </c>
      <c r="G3" s="850" t="s">
        <v>448</v>
      </c>
      <c r="H3" s="850" t="s">
        <v>449</v>
      </c>
      <c r="I3" s="850" t="s">
        <v>450</v>
      </c>
      <c r="J3" s="851" t="s">
        <v>441</v>
      </c>
      <c r="K3" s="852" t="s">
        <v>451</v>
      </c>
    </row>
    <row r="4" spans="1:11" ht="15.75" x14ac:dyDescent="0.25">
      <c r="B4" s="859"/>
      <c r="C4" s="854" t="str">
        <f>[9]MANQUANT!B7</f>
        <v>KENFACK BENJAMAIN</v>
      </c>
      <c r="D4" s="855">
        <f>[9]PRESENCE!AL7</f>
        <v>0</v>
      </c>
      <c r="E4" s="855">
        <f>[9]PRESENCE!AM7</f>
        <v>0</v>
      </c>
      <c r="F4" s="856">
        <f>[9]PRESENCE!AJ7</f>
        <v>0</v>
      </c>
      <c r="G4" s="855"/>
      <c r="H4" s="855"/>
      <c r="I4" s="855">
        <f>[9]PRESENCE!AN7</f>
        <v>11</v>
      </c>
      <c r="J4" s="856">
        <f>'manquant p'!AH7</f>
        <v>-1320</v>
      </c>
      <c r="K4" s="857"/>
    </row>
    <row r="5" spans="1:11" ht="15.75" x14ac:dyDescent="0.25">
      <c r="B5" s="854"/>
      <c r="C5" s="854" t="str">
        <f>[9]MANQUANT!B8</f>
        <v>EWOUKENG GUY MODESTE</v>
      </c>
      <c r="D5" s="855">
        <f>[9]PRESENCE!AK8</f>
        <v>0</v>
      </c>
      <c r="E5" s="855">
        <f>[9]PRESENCE!AM8</f>
        <v>0</v>
      </c>
      <c r="F5" s="856">
        <f>[9]PRESENCE!AJ8</f>
        <v>0</v>
      </c>
      <c r="G5" s="855">
        <f>[9]PRESENCE!AN8</f>
        <v>9</v>
      </c>
      <c r="H5" s="855"/>
      <c r="I5" s="855">
        <f>[9]PRESENCE!AN8</f>
        <v>9</v>
      </c>
      <c r="J5" s="856">
        <f>'manquant p'!AH8</f>
        <v>-2804</v>
      </c>
      <c r="K5" s="857"/>
    </row>
    <row r="6" spans="1:11" ht="15.75" x14ac:dyDescent="0.25">
      <c r="B6" s="854"/>
      <c r="C6" s="854" t="str">
        <f>[9]MANQUANT!B9</f>
        <v>MBOUATE HYPPILITE</v>
      </c>
      <c r="D6" s="855">
        <f>[9]PRESENCE!AK9</f>
        <v>0</v>
      </c>
      <c r="E6" s="855">
        <f>[9]PRESENCE!AM9</f>
        <v>0</v>
      </c>
      <c r="F6" s="856">
        <f>[9]PRESENCE!AJ9</f>
        <v>0</v>
      </c>
      <c r="G6" s="855">
        <f>[9]PRESENCE!AN10</f>
        <v>10</v>
      </c>
      <c r="H6" s="855"/>
      <c r="I6" s="855">
        <f>[9]PRESENCE!AN9</f>
        <v>11</v>
      </c>
      <c r="J6" s="856">
        <f>'manquant p'!AH9</f>
        <v>-6176</v>
      </c>
      <c r="K6" s="857"/>
    </row>
    <row r="7" spans="1:11" ht="15.75" x14ac:dyDescent="0.25">
      <c r="B7" s="854"/>
      <c r="C7" s="854" t="str">
        <f>[9]MANQUANT!B10</f>
        <v>KENFACK CEDRIC</v>
      </c>
      <c r="D7" s="855">
        <f>[9]PRESENCE!AL10</f>
        <v>0</v>
      </c>
      <c r="E7" s="855">
        <f>[9]PRESENCE!AM10</f>
        <v>0</v>
      </c>
      <c r="F7" s="856">
        <f>[9]PRESENCE!AJ10</f>
        <v>0</v>
      </c>
      <c r="G7" s="855"/>
      <c r="H7" s="855"/>
      <c r="I7" s="855">
        <f>[9]PRESENCE!AN13</f>
        <v>10</v>
      </c>
      <c r="J7" s="856">
        <f>'manquant p'!AH10</f>
        <v>-3980</v>
      </c>
      <c r="K7" s="857"/>
    </row>
    <row r="8" spans="1:11" ht="15.75" x14ac:dyDescent="0.25">
      <c r="B8" s="854"/>
      <c r="C8" s="854">
        <f>[9]MANQUANT!B11</f>
        <v>0</v>
      </c>
      <c r="D8" s="855">
        <f>[9]PRESENCE!AK11</f>
        <v>0</v>
      </c>
      <c r="E8" s="855">
        <f>[9]PRESENCE!AM11</f>
        <v>0</v>
      </c>
      <c r="F8" s="856">
        <f>[9]PRESENCE!AJ11</f>
        <v>0</v>
      </c>
      <c r="G8" s="855">
        <f>[9]PRESENCE!AN15</f>
        <v>0</v>
      </c>
      <c r="H8" s="855">
        <f>[9]PRESENCE!AQ11</f>
        <v>0</v>
      </c>
      <c r="I8" s="855">
        <f>[9]PRESENCE!AN11</f>
        <v>0</v>
      </c>
      <c r="J8" s="856">
        <f>'manquant p'!AH11</f>
        <v>0</v>
      </c>
      <c r="K8" s="857"/>
    </row>
    <row r="9" spans="1:11" ht="15.75" x14ac:dyDescent="0.25">
      <c r="B9" s="854"/>
      <c r="C9" s="854" t="str">
        <f>[9]MANQUANT!B12</f>
        <v>YEPBONG ELLIANE</v>
      </c>
      <c r="D9" s="855">
        <f>[9]PRESENCE!AK12</f>
        <v>0</v>
      </c>
      <c r="E9" s="855">
        <f>[9]PRESENCE!AM16</f>
        <v>0</v>
      </c>
      <c r="F9" s="856"/>
      <c r="G9" s="855"/>
      <c r="H9" s="855"/>
      <c r="I9" s="855">
        <f>[9]PRESENCE!AN12</f>
        <v>9</v>
      </c>
      <c r="J9" s="856">
        <f>'manquant p'!AH12</f>
        <v>-1219</v>
      </c>
      <c r="K9" s="857"/>
    </row>
    <row r="10" spans="1:11" ht="15.75" x14ac:dyDescent="0.25">
      <c r="B10" s="854"/>
      <c r="C10" s="854" t="str">
        <f>[9]MANQUANT!B13</f>
        <v>KUINGA BIJOU</v>
      </c>
      <c r="D10" s="855">
        <f>[9]PRESENCE!AK13</f>
        <v>0</v>
      </c>
      <c r="E10" s="855">
        <f>[9]PRESENCE!AM13</f>
        <v>0</v>
      </c>
      <c r="F10" s="856">
        <f>[9]PRESENCE!AJ13</f>
        <v>0</v>
      </c>
      <c r="G10" s="855"/>
      <c r="H10" s="855"/>
      <c r="I10" s="855">
        <f>[9]PRESENCE!AN13</f>
        <v>10</v>
      </c>
      <c r="J10" s="856">
        <f>'manquant p'!AH13</f>
        <v>-3436</v>
      </c>
      <c r="K10" s="857"/>
    </row>
    <row r="11" spans="1:11" ht="15.75" x14ac:dyDescent="0.25">
      <c r="B11" s="854"/>
      <c r="C11" s="854">
        <f>[9]MANQUANT!B14</f>
        <v>0</v>
      </c>
      <c r="D11" s="855">
        <f>[9]PRESENCE!AK14</f>
        <v>0</v>
      </c>
      <c r="E11" s="855">
        <f>[9]PRESENCE!AM14</f>
        <v>0</v>
      </c>
      <c r="F11" s="856">
        <f>[9]PRESENCE!AJ14</f>
        <v>0</v>
      </c>
      <c r="G11" s="855">
        <f>[9]PRESENCE!AN18</f>
        <v>0</v>
      </c>
      <c r="H11" s="855">
        <f>[9]PRESENCE!AQ14</f>
        <v>0</v>
      </c>
      <c r="I11" s="855">
        <f>[9]PRESENCE!AN14</f>
        <v>0</v>
      </c>
      <c r="J11" s="856">
        <f>'manquant p'!AH14</f>
        <v>0</v>
      </c>
      <c r="K11" s="857"/>
    </row>
    <row r="12" spans="1:11" ht="15.75" x14ac:dyDescent="0.25">
      <c r="B12" s="854"/>
      <c r="C12" s="854">
        <f>[9]MANQUANT!B15</f>
        <v>0</v>
      </c>
      <c r="D12" s="855">
        <f>[9]PRESENCE!AL15</f>
        <v>0</v>
      </c>
      <c r="E12" s="855">
        <f>[9]PRESENCE!AM15</f>
        <v>0</v>
      </c>
      <c r="F12" s="856">
        <f>[9]PRESENCE!AJ15</f>
        <v>0</v>
      </c>
      <c r="G12" s="855">
        <f>[9]PRESENCE!AN15</f>
        <v>0</v>
      </c>
      <c r="H12" s="855">
        <f>[9]PRESENCE!AQ15</f>
        <v>0</v>
      </c>
      <c r="I12" s="855">
        <f>[9]PRESENCE!AN15</f>
        <v>0</v>
      </c>
      <c r="J12" s="856">
        <f>'manquant p'!AH15</f>
        <v>0</v>
      </c>
      <c r="K12" s="857"/>
    </row>
    <row r="13" spans="1:11" ht="15.75" x14ac:dyDescent="0.25">
      <c r="B13" s="854"/>
      <c r="C13" s="854">
        <f>[9]MANQUANT!B16</f>
        <v>0</v>
      </c>
      <c r="D13" s="855">
        <f>[9]PRESENCE!AL16</f>
        <v>0</v>
      </c>
      <c r="E13" s="855">
        <f>[9]PRESENCE!AM20</f>
        <v>0</v>
      </c>
      <c r="F13" s="856">
        <f>[9]PRESENCE!AJ16</f>
        <v>0</v>
      </c>
      <c r="G13" s="855">
        <f>[9]PRESENCE!AN20</f>
        <v>0</v>
      </c>
      <c r="H13" s="855">
        <f>[9]PRESENCE!AQ16</f>
        <v>0</v>
      </c>
      <c r="I13" s="855">
        <f>[9]PRESENCE!AN20</f>
        <v>0</v>
      </c>
      <c r="J13" s="856">
        <f>'manquant p'!AH16</f>
        <v>0</v>
      </c>
      <c r="K13" s="857"/>
    </row>
    <row r="14" spans="1:11" ht="15.75" x14ac:dyDescent="0.25">
      <c r="B14" s="854"/>
      <c r="C14" s="854">
        <f>[9]MANQUANT!B17</f>
        <v>0</v>
      </c>
      <c r="D14" s="855">
        <f>[9]PRESENCE!AL17</f>
        <v>0</v>
      </c>
      <c r="E14" s="855">
        <f>[9]PRESENCE!AM17</f>
        <v>0</v>
      </c>
      <c r="F14" s="856">
        <f>[9]PRESENCE!AJ17</f>
        <v>0</v>
      </c>
      <c r="G14" s="856">
        <f>[9]PRESENCE!AK17</f>
        <v>0</v>
      </c>
      <c r="H14" s="855">
        <f>[9]PRESENCE!AQ17</f>
        <v>0</v>
      </c>
      <c r="I14" s="855"/>
      <c r="J14" s="856">
        <f>'manquant p'!AH17</f>
        <v>0</v>
      </c>
      <c r="K14" s="857"/>
    </row>
    <row r="15" spans="1:11" ht="15.75" x14ac:dyDescent="0.25">
      <c r="B15" s="854"/>
      <c r="C15" s="854"/>
      <c r="D15" s="855">
        <f>[9]PRESENCE!AL18</f>
        <v>0</v>
      </c>
      <c r="E15" s="855">
        <f>[9]PRESENCE!AM18</f>
        <v>0</v>
      </c>
      <c r="F15" s="856">
        <f>[9]PRESENCE!AJ18</f>
        <v>0</v>
      </c>
      <c r="G15" s="856">
        <f>[9]PRESENCE!AK18</f>
        <v>0</v>
      </c>
      <c r="H15" s="855">
        <f>[9]PRESENCE!AQ18</f>
        <v>0</v>
      </c>
      <c r="I15" s="855"/>
      <c r="J15" s="856">
        <f>'manquant p'!AH18</f>
        <v>0</v>
      </c>
      <c r="K15" s="857"/>
    </row>
    <row r="16" spans="1:11" ht="15.75" x14ac:dyDescent="0.25">
      <c r="B16" s="854"/>
      <c r="C16" s="854"/>
      <c r="D16" s="855">
        <f>[9]PRESENCE!AL19</f>
        <v>0</v>
      </c>
      <c r="E16" s="855">
        <f>[9]PRESENCE!AM19</f>
        <v>0</v>
      </c>
      <c r="F16" s="856">
        <f>[9]PRESENCE!AJ19</f>
        <v>0</v>
      </c>
      <c r="G16" s="856">
        <f>[9]PRESENCE!AK19</f>
        <v>0</v>
      </c>
      <c r="H16" s="855">
        <f>[9]PRESENCE!AQ19</f>
        <v>0</v>
      </c>
      <c r="I16" s="855"/>
      <c r="J16" s="856">
        <f>'manquant p'!AH19</f>
        <v>0</v>
      </c>
      <c r="K16" s="857"/>
    </row>
    <row r="17" spans="1:11" ht="15.75" x14ac:dyDescent="0.25">
      <c r="B17" s="854"/>
      <c r="C17" s="854"/>
      <c r="D17" s="855">
        <f>[9]PRESENCE!AL20</f>
        <v>0</v>
      </c>
      <c r="E17" s="855">
        <f>[9]PRESENCE!AM20</f>
        <v>0</v>
      </c>
      <c r="F17" s="856">
        <f>[9]PRESENCE!AJ20</f>
        <v>0</v>
      </c>
      <c r="G17" s="856">
        <f>[9]PRESENCE!AK20</f>
        <v>0</v>
      </c>
      <c r="H17" s="855">
        <f>[9]PRESENCE!AQ20</f>
        <v>0</v>
      </c>
      <c r="I17" s="855"/>
      <c r="J17" s="856">
        <f>'manquant p'!AH20</f>
        <v>0</v>
      </c>
      <c r="K17" s="857"/>
    </row>
    <row r="18" spans="1:11" ht="15.75" x14ac:dyDescent="0.25">
      <c r="B18" s="854"/>
      <c r="C18" s="854"/>
      <c r="D18" s="855">
        <f>[9]PRESENCE!AL21</f>
        <v>0</v>
      </c>
      <c r="E18" s="855">
        <f>[9]PRESENCE!AM21</f>
        <v>0</v>
      </c>
      <c r="F18" s="856">
        <f>[9]PRESENCE!AJ21</f>
        <v>0</v>
      </c>
      <c r="G18" s="855">
        <f>[9]PRESENCE!AN21</f>
        <v>0</v>
      </c>
      <c r="H18" s="855">
        <f>[9]PRESENCE!AQ21</f>
        <v>0</v>
      </c>
      <c r="I18" s="855">
        <f>[9]PRESENCE!AN21</f>
        <v>0</v>
      </c>
      <c r="J18" s="856">
        <f>'manquant p'!AH21</f>
        <v>0</v>
      </c>
      <c r="K18" s="857"/>
    </row>
    <row r="19" spans="1:11" ht="15.75" x14ac:dyDescent="0.25">
      <c r="B19" s="854"/>
      <c r="C19" s="854"/>
      <c r="D19" s="855">
        <f>[9]PRESENCE!AL22</f>
        <v>0</v>
      </c>
      <c r="E19" s="855">
        <f>[9]PRESENCE!AM22</f>
        <v>0</v>
      </c>
      <c r="F19" s="856">
        <f>[9]PRESENCE!AJ22</f>
        <v>0</v>
      </c>
      <c r="G19" s="855">
        <f>[9]PRESENCE!AN22</f>
        <v>0</v>
      </c>
      <c r="H19" s="855">
        <f>[9]PRESENCE!AQ22</f>
        <v>0</v>
      </c>
      <c r="I19" s="855">
        <f>[9]PRESENCE!AN22</f>
        <v>0</v>
      </c>
      <c r="J19" s="856">
        <f>'manquant p'!AH22</f>
        <v>0</v>
      </c>
      <c r="K19" s="857"/>
    </row>
    <row r="20" spans="1:11" ht="15.75" x14ac:dyDescent="0.25">
      <c r="B20" s="854"/>
      <c r="C20" s="854"/>
      <c r="D20" s="855">
        <f>[9]PRESENCE!AL23</f>
        <v>0</v>
      </c>
      <c r="E20" s="855">
        <f>[9]PRESENCE!AM23</f>
        <v>0</v>
      </c>
      <c r="F20" s="856">
        <f>[9]PRESENCE!AJ23</f>
        <v>0</v>
      </c>
      <c r="G20" s="855">
        <f>[9]PRESENCE!AN23</f>
        <v>0</v>
      </c>
      <c r="H20" s="855">
        <f>[9]PRESENCE!AQ23</f>
        <v>0</v>
      </c>
      <c r="I20" s="855">
        <f>[9]PRESENCE!AN23</f>
        <v>0</v>
      </c>
      <c r="J20" s="856">
        <f>'manquant p'!AH23</f>
        <v>0</v>
      </c>
      <c r="K20" s="857"/>
    </row>
    <row r="21" spans="1:11" ht="15.75" x14ac:dyDescent="0.25">
      <c r="B21" s="854"/>
      <c r="C21" s="854"/>
      <c r="D21" s="855">
        <f>[9]PRESENCE!AL24</f>
        <v>0</v>
      </c>
      <c r="E21" s="855">
        <f>[9]PRESENCE!AM24</f>
        <v>0</v>
      </c>
      <c r="F21" s="856">
        <f>[9]PRESENCE!AJ24</f>
        <v>0</v>
      </c>
      <c r="G21" s="855">
        <f>[9]PRESENCE!AN24</f>
        <v>0</v>
      </c>
      <c r="H21" s="855">
        <f>[9]PRESENCE!AQ24</f>
        <v>0</v>
      </c>
      <c r="I21" s="855">
        <f>[9]PRESENCE!AN24</f>
        <v>0</v>
      </c>
      <c r="J21" s="856">
        <f>'manquant p'!AH24</f>
        <v>0</v>
      </c>
      <c r="K21" s="857"/>
    </row>
    <row r="22" spans="1:11" ht="15.75" x14ac:dyDescent="0.25">
      <c r="B22" s="854"/>
      <c r="C22" s="854"/>
      <c r="D22" s="855">
        <f>[9]PRESENCE!AL25</f>
        <v>0</v>
      </c>
      <c r="E22" s="855">
        <f>[9]PRESENCE!AM25</f>
        <v>0</v>
      </c>
      <c r="F22" s="856">
        <f>[9]PRESENCE!AJ25</f>
        <v>0</v>
      </c>
      <c r="G22" s="855">
        <f>[9]PRESENCE!AN25</f>
        <v>0</v>
      </c>
      <c r="H22" s="855">
        <f>[9]PRESENCE!AQ25</f>
        <v>0</v>
      </c>
      <c r="I22" s="855">
        <f>[9]PRESENCE!AN25</f>
        <v>0</v>
      </c>
      <c r="J22" s="856">
        <f>'manquant p'!AH25</f>
        <v>0</v>
      </c>
      <c r="K22" s="857"/>
    </row>
    <row r="23" spans="1:11" ht="15.75" x14ac:dyDescent="0.25">
      <c r="B23" s="854"/>
      <c r="C23" s="854"/>
      <c r="D23" s="855">
        <f>[9]PRESENCE!AL26</f>
        <v>0</v>
      </c>
      <c r="E23" s="855">
        <f>[9]PRESENCE!AM26</f>
        <v>0</v>
      </c>
      <c r="F23" s="856">
        <f>[9]PRESENCE!AJ26</f>
        <v>0</v>
      </c>
      <c r="G23" s="855">
        <f>[9]PRESENCE!AN26</f>
        <v>0</v>
      </c>
      <c r="H23" s="855">
        <f>[9]PRESENCE!AQ26</f>
        <v>0</v>
      </c>
      <c r="I23" s="855">
        <f>[9]PRESENCE!AN26</f>
        <v>0</v>
      </c>
      <c r="J23" s="856">
        <f>'manquant p'!AH26</f>
        <v>0</v>
      </c>
      <c r="K23" s="857"/>
    </row>
    <row r="24" spans="1:11" ht="15.75" x14ac:dyDescent="0.25">
      <c r="B24" s="854"/>
      <c r="C24" s="854"/>
      <c r="D24" s="855">
        <f>[9]PRESENCE!AL27</f>
        <v>0</v>
      </c>
      <c r="E24" s="855">
        <f>[9]PRESENCE!AM27</f>
        <v>0</v>
      </c>
      <c r="F24" s="856">
        <f>[9]PRESENCE!AJ27</f>
        <v>0</v>
      </c>
      <c r="G24" s="855">
        <f>[9]PRESENCE!AN27</f>
        <v>0</v>
      </c>
      <c r="H24" s="855">
        <f>[9]PRESENCE!AQ27</f>
        <v>0</v>
      </c>
      <c r="I24" s="855">
        <f>[9]PRESENCE!AN27</f>
        <v>0</v>
      </c>
      <c r="J24" s="856">
        <f>'manquant p'!AH27</f>
        <v>0</v>
      </c>
      <c r="K24" s="857"/>
    </row>
    <row r="25" spans="1:11" ht="15.75" x14ac:dyDescent="0.25">
      <c r="B25" s="854"/>
      <c r="C25" s="854"/>
      <c r="D25" s="855">
        <f>[9]PRESENCE!AL28</f>
        <v>0</v>
      </c>
      <c r="E25" s="855">
        <f>[9]PRESENCE!AM28</f>
        <v>0</v>
      </c>
      <c r="F25" s="856">
        <f>[9]PRESENCE!AJ28</f>
        <v>0</v>
      </c>
      <c r="G25" s="855">
        <f>[9]PRESENCE!AN28</f>
        <v>0</v>
      </c>
      <c r="H25" s="855">
        <f>[9]PRESENCE!AQ28</f>
        <v>0</v>
      </c>
      <c r="I25" s="855">
        <f>[9]PRESENCE!AN28</f>
        <v>0</v>
      </c>
      <c r="J25" s="856">
        <f>'manquant p'!AH28</f>
        <v>0</v>
      </c>
      <c r="K25" s="857"/>
    </row>
    <row r="26" spans="1:11" ht="15.75" x14ac:dyDescent="0.25">
      <c r="B26" s="854"/>
      <c r="C26" s="854"/>
      <c r="D26" s="855">
        <f>[9]PRESENCE!AL29</f>
        <v>0</v>
      </c>
      <c r="E26" s="855">
        <f>[9]PRESENCE!AM29</f>
        <v>0</v>
      </c>
      <c r="F26" s="856">
        <f>[9]PRESENCE!AJ29</f>
        <v>0</v>
      </c>
      <c r="G26" s="855">
        <f>[9]PRESENCE!AN29</f>
        <v>0</v>
      </c>
      <c r="H26" s="855">
        <f>[9]PRESENCE!AQ29</f>
        <v>0</v>
      </c>
      <c r="I26" s="855">
        <f>[9]PRESENCE!AN29</f>
        <v>0</v>
      </c>
      <c r="J26" s="856">
        <f>[10]Manquants!AH28</f>
        <v>0</v>
      </c>
      <c r="K26" s="857"/>
    </row>
    <row r="27" spans="1:11" ht="26.25" x14ac:dyDescent="0.4">
      <c r="B27" s="859"/>
      <c r="C27" s="860" t="s">
        <v>33</v>
      </c>
      <c r="D27" s="861">
        <f>SUM(D4:D26)</f>
        <v>0</v>
      </c>
      <c r="E27" s="861">
        <f>SUM(E4:E26)</f>
        <v>0</v>
      </c>
      <c r="F27" s="861">
        <f>SUM(F4:F26)</f>
        <v>0</v>
      </c>
      <c r="G27" s="861">
        <f>SUM(G4:G26)</f>
        <v>19</v>
      </c>
      <c r="H27" s="861">
        <f>H4+H5+H6+H7+H8+H9+H10+H11+H12+H13+H14+H15</f>
        <v>0</v>
      </c>
      <c r="I27" s="861">
        <f>I4+I5+I6+I7+I8+I9+I10+I11+I12+I13+I14+I15</f>
        <v>60</v>
      </c>
      <c r="J27" s="861">
        <f>J5+J6+J7+J8+J9+J10+J11+J12+J13+J14+J4</f>
        <v>-18935</v>
      </c>
      <c r="K27" s="861">
        <f>SUM(K4:K26)</f>
        <v>0</v>
      </c>
    </row>
    <row r="28" spans="1:11" x14ac:dyDescent="0.25">
      <c r="B28" s="862"/>
      <c r="C28" s="862"/>
    </row>
    <row r="29" spans="1:11" x14ac:dyDescent="0.25">
      <c r="B29" s="862"/>
      <c r="C29" s="863"/>
      <c r="D29" s="864"/>
      <c r="E29" s="864"/>
      <c r="F29" s="865" t="s">
        <v>452</v>
      </c>
      <c r="G29" s="866" t="e">
        <f>-([10]!EtatPresence3[[#Totals],[Total Manquant]]/(3000*[10]Présences!M33-[10]Présences!L33))</f>
        <v>#REF!</v>
      </c>
      <c r="H29" s="866"/>
      <c r="I29" s="866"/>
      <c r="J29" s="864" t="s">
        <v>453</v>
      </c>
      <c r="K29" s="867"/>
    </row>
    <row r="30" spans="1:11" x14ac:dyDescent="0.25">
      <c r="B30" s="862"/>
      <c r="C30" s="868"/>
      <c r="D30" s="869"/>
      <c r="E30" s="869"/>
      <c r="F30" s="870"/>
      <c r="G30" s="869"/>
      <c r="H30" s="869"/>
      <c r="I30" s="869"/>
      <c r="J30" s="870" t="s">
        <v>454</v>
      </c>
      <c r="K30" s="871" t="e">
        <f>[10]!EtatPresence[[#Totals],[Jours d’absence ce mois]]/[10]Présences!M33</f>
        <v>#REF!</v>
      </c>
    </row>
    <row r="31" spans="1:11" x14ac:dyDescent="0.25">
      <c r="B31" s="862"/>
      <c r="C31" s="862"/>
    </row>
    <row r="32" spans="1:11" ht="26.25" x14ac:dyDescent="0.4">
      <c r="A32" s="2082" t="s">
        <v>455</v>
      </c>
      <c r="B32" s="2082"/>
      <c r="C32" s="2082"/>
      <c r="D32" s="2082"/>
      <c r="E32" s="2082"/>
      <c r="F32" s="2082"/>
      <c r="G32" s="2082"/>
      <c r="H32" s="2082"/>
      <c r="I32" s="2082"/>
      <c r="J32" s="2082"/>
      <c r="K32" s="2082"/>
    </row>
    <row r="33" spans="2:3" x14ac:dyDescent="0.25">
      <c r="B33" s="862"/>
      <c r="C33" s="862"/>
    </row>
    <row r="34" spans="2:3" x14ac:dyDescent="0.25">
      <c r="B34" s="862"/>
      <c r="C34" s="862"/>
    </row>
    <row r="35" spans="2:3" x14ac:dyDescent="0.25">
      <c r="B35" s="862"/>
      <c r="C35" s="862"/>
    </row>
  </sheetData>
  <mergeCells count="1">
    <mergeCell ref="A32:K32"/>
  </mergeCell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abSelected="1" workbookViewId="0">
      <selection activeCell="C70" sqref="C70"/>
    </sheetView>
  </sheetViews>
  <sheetFormatPr baseColWidth="10" defaultRowHeight="13.5" x14ac:dyDescent="0.25"/>
  <cols>
    <col min="1" max="1" width="43.5703125" style="1256" customWidth="1"/>
    <col min="2" max="2" width="17.7109375" style="1257" customWidth="1"/>
    <col min="3" max="3" width="24.5703125" style="1257" customWidth="1"/>
    <col min="4" max="4" width="19.42578125" style="1258" customWidth="1"/>
    <col min="5" max="5" width="14" style="1257" customWidth="1"/>
    <col min="6" max="6" width="18" style="1257" customWidth="1"/>
    <col min="7" max="8" width="11.42578125" style="1257"/>
    <col min="9" max="9" width="16.28515625" style="1257" customWidth="1"/>
    <col min="10" max="16384" width="11.42578125" style="1257"/>
  </cols>
  <sheetData>
    <row r="1" spans="1:11" x14ac:dyDescent="0.25">
      <c r="A1" s="1256">
        <f ca="1">A1:F46</f>
        <v>0</v>
      </c>
    </row>
    <row r="2" spans="1:11" ht="16.5" customHeight="1" x14ac:dyDescent="0.25"/>
    <row r="3" spans="1:11" ht="24" x14ac:dyDescent="0.4">
      <c r="A3" s="1259" t="s">
        <v>671</v>
      </c>
      <c r="B3" s="1260"/>
      <c r="C3" s="1261"/>
      <c r="D3" s="1262"/>
      <c r="E3" s="1263"/>
    </row>
    <row r="4" spans="1:11" ht="15.75" thickBot="1" x14ac:dyDescent="0.3">
      <c r="A4" s="1264" t="s">
        <v>672</v>
      </c>
      <c r="B4" s="1264"/>
      <c r="C4" s="1264"/>
      <c r="D4" s="1264"/>
      <c r="E4" s="1263"/>
    </row>
    <row r="5" spans="1:11" s="1270" customFormat="1" ht="15.75" thickBot="1" x14ac:dyDescent="0.3">
      <c r="A5" s="1265" t="s">
        <v>194</v>
      </c>
      <c r="B5" s="1266" t="s">
        <v>230</v>
      </c>
      <c r="C5" s="1267" t="s">
        <v>198</v>
      </c>
      <c r="D5" s="1267" t="s">
        <v>87</v>
      </c>
      <c r="E5" s="1268"/>
      <c r="F5" s="1258"/>
      <c r="G5" s="1269"/>
      <c r="H5" s="1269"/>
      <c r="I5" s="1269"/>
      <c r="J5" s="1269"/>
      <c r="K5" s="1269"/>
    </row>
    <row r="6" spans="1:11" ht="15.75" thickBot="1" x14ac:dyDescent="0.3">
      <c r="A6" s="1271" t="s">
        <v>95</v>
      </c>
      <c r="B6" s="1272">
        <v>2052</v>
      </c>
      <c r="C6" s="1273">
        <v>638</v>
      </c>
      <c r="D6" s="1274">
        <f>+B6*C6</f>
        <v>1309176</v>
      </c>
      <c r="E6" s="1275"/>
      <c r="F6" s="1276"/>
      <c r="G6" s="1276"/>
      <c r="H6" s="1276"/>
      <c r="I6" s="1276"/>
      <c r="J6" s="1276"/>
      <c r="K6" s="1276"/>
    </row>
    <row r="7" spans="1:11" s="1263" customFormat="1" ht="15.75" thickBot="1" x14ac:dyDescent="0.3">
      <c r="A7" s="1277" t="s">
        <v>96</v>
      </c>
      <c r="B7" s="1278">
        <v>703</v>
      </c>
      <c r="C7" s="1273">
        <v>583</v>
      </c>
      <c r="D7" s="1274">
        <f>+B7*C7</f>
        <v>409849</v>
      </c>
      <c r="E7" s="1275"/>
      <c r="F7" s="1275"/>
      <c r="G7" s="1275"/>
      <c r="H7" s="1275"/>
      <c r="I7" s="1275"/>
      <c r="J7" s="1275"/>
      <c r="K7" s="1275"/>
    </row>
    <row r="8" spans="1:11" ht="15.75" thickBot="1" x14ac:dyDescent="0.3">
      <c r="A8" s="1277" t="s">
        <v>97</v>
      </c>
      <c r="B8" s="1279">
        <v>188</v>
      </c>
      <c r="C8" s="1273">
        <v>358</v>
      </c>
      <c r="D8" s="1274">
        <f>+B8*C8</f>
        <v>67304</v>
      </c>
      <c r="E8" s="1275"/>
      <c r="F8" s="1276"/>
      <c r="G8" s="1276"/>
      <c r="H8" s="1276"/>
      <c r="I8" s="1276"/>
      <c r="J8" s="1276"/>
      <c r="K8" s="1276"/>
    </row>
    <row r="9" spans="1:11" ht="20.25" customHeight="1" thickBot="1" x14ac:dyDescent="0.3">
      <c r="A9" s="1280" t="s">
        <v>143</v>
      </c>
      <c r="B9" s="1281">
        <f>B6+B7+B8</f>
        <v>2943</v>
      </c>
      <c r="C9" s="1282"/>
      <c r="D9" s="1282">
        <f>SUM(D6:D8)</f>
        <v>1786329</v>
      </c>
      <c r="E9" s="1275"/>
      <c r="F9" s="1276"/>
      <c r="G9" s="1276"/>
      <c r="H9" s="1276"/>
      <c r="I9" s="1276"/>
      <c r="J9" s="1276"/>
      <c r="K9" s="1276"/>
    </row>
    <row r="10" spans="1:11" ht="15.75" thickBot="1" x14ac:dyDescent="0.3">
      <c r="A10" s="1277" t="s">
        <v>181</v>
      </c>
      <c r="B10" s="1283">
        <v>3.5</v>
      </c>
      <c r="C10" s="1284"/>
      <c r="D10" s="1285">
        <v>80400</v>
      </c>
      <c r="E10" s="1275"/>
      <c r="F10" s="1276"/>
      <c r="G10" s="1276"/>
      <c r="H10" s="1276"/>
      <c r="I10" s="1276"/>
      <c r="J10" s="1276" t="s">
        <v>50</v>
      </c>
      <c r="K10" s="1276"/>
    </row>
    <row r="11" spans="1:11" ht="15" x14ac:dyDescent="0.25">
      <c r="A11" s="1286" t="s">
        <v>144</v>
      </c>
      <c r="B11" s="1287"/>
      <c r="C11" s="1288"/>
      <c r="D11" s="1289"/>
      <c r="E11" s="1275"/>
      <c r="G11" s="1276"/>
      <c r="H11" s="1276"/>
      <c r="I11" s="1276"/>
      <c r="J11" s="1276"/>
      <c r="K11" s="1276"/>
    </row>
    <row r="12" spans="1:11" ht="20.25" thickBot="1" x14ac:dyDescent="0.4">
      <c r="A12" s="1290"/>
      <c r="B12" s="1291"/>
      <c r="C12" s="1292"/>
      <c r="D12" s="1293">
        <f>D9+D10</f>
        <v>1866729</v>
      </c>
      <c r="E12" s="1275"/>
      <c r="F12" s="1294"/>
      <c r="G12" s="1276"/>
      <c r="H12" s="1276"/>
      <c r="I12" s="1276"/>
      <c r="J12" s="1276"/>
      <c r="K12" s="1276"/>
    </row>
    <row r="13" spans="1:11" ht="19.5" x14ac:dyDescent="0.35">
      <c r="A13" s="1295" t="s">
        <v>197</v>
      </c>
      <c r="B13" s="1296"/>
      <c r="C13" s="1296"/>
      <c r="D13" s="1297"/>
      <c r="E13" s="1275"/>
      <c r="F13" s="1294"/>
      <c r="G13" s="1276"/>
      <c r="H13" s="1276"/>
      <c r="I13" s="1276"/>
      <c r="J13" s="1276"/>
      <c r="K13" s="1276"/>
    </row>
    <row r="14" spans="1:11" ht="19.5" thickBot="1" x14ac:dyDescent="0.35">
      <c r="A14" s="1298"/>
      <c r="B14" s="1299"/>
      <c r="C14" s="1299"/>
      <c r="D14" s="1300"/>
      <c r="E14" s="1275" t="s">
        <v>50</v>
      </c>
      <c r="F14" s="1301"/>
      <c r="G14" s="1276"/>
      <c r="H14" s="1276"/>
      <c r="I14" s="1276"/>
      <c r="J14" s="1276"/>
      <c r="K14" s="1276"/>
    </row>
    <row r="15" spans="1:11" ht="13.5" hidden="1" customHeight="1" x14ac:dyDescent="0.25">
      <c r="A15" s="1302" t="s">
        <v>197</v>
      </c>
      <c r="B15" s="1303" t="s">
        <v>187</v>
      </c>
      <c r="C15" s="1303" t="s">
        <v>198</v>
      </c>
      <c r="D15" s="1304" t="s">
        <v>87</v>
      </c>
      <c r="E15" s="1305"/>
      <c r="F15" s="1276"/>
      <c r="G15" s="1276"/>
      <c r="H15" s="1276"/>
      <c r="I15" s="1276"/>
      <c r="J15" s="1276"/>
      <c r="K15" s="1276"/>
    </row>
    <row r="16" spans="1:11" ht="21.75" hidden="1" customHeight="1" x14ac:dyDescent="0.25">
      <c r="A16" s="1306"/>
      <c r="B16" s="1307">
        <v>50</v>
      </c>
      <c r="C16" s="1308">
        <v>584</v>
      </c>
      <c r="D16" s="1309"/>
      <c r="E16" s="1305"/>
      <c r="F16" s="1276"/>
      <c r="H16" s="1276"/>
      <c r="I16" s="1276"/>
      <c r="J16" s="1276"/>
      <c r="K16" s="1276"/>
    </row>
    <row r="17" spans="1:23" ht="30" hidden="1" customHeight="1" x14ac:dyDescent="0.25">
      <c r="A17" s="1310"/>
      <c r="B17" s="1307">
        <f t="shared" ref="B17:B25" si="0">D17/C17</f>
        <v>0</v>
      </c>
      <c r="C17" s="1308">
        <v>639</v>
      </c>
      <c r="D17" s="1311"/>
      <c r="E17" s="1312"/>
      <c r="F17" s="1276"/>
      <c r="G17" s="1276"/>
      <c r="H17" s="1276"/>
      <c r="I17" s="1276"/>
      <c r="J17" s="1276"/>
      <c r="K17" s="1276"/>
    </row>
    <row r="18" spans="1:23" ht="21.75" hidden="1" customHeight="1" x14ac:dyDescent="0.25">
      <c r="A18" s="1310"/>
      <c r="B18" s="1307">
        <f t="shared" si="0"/>
        <v>0</v>
      </c>
      <c r="C18" s="1308">
        <v>584</v>
      </c>
      <c r="D18" s="1313"/>
      <c r="E18" s="1305"/>
      <c r="F18" s="1276"/>
      <c r="G18" s="1276"/>
      <c r="H18" s="1276"/>
      <c r="I18" s="1276"/>
      <c r="J18" s="1276"/>
      <c r="K18" s="1276"/>
    </row>
    <row r="19" spans="1:23" ht="21.75" hidden="1" customHeight="1" x14ac:dyDescent="0.25">
      <c r="A19" s="1310"/>
      <c r="B19" s="1314">
        <f t="shared" si="0"/>
        <v>0</v>
      </c>
      <c r="C19" s="1308">
        <v>575</v>
      </c>
      <c r="D19" s="1315"/>
      <c r="E19" s="1305"/>
      <c r="F19" s="1276"/>
      <c r="G19" s="1276"/>
      <c r="H19" s="1276"/>
      <c r="I19" s="1276"/>
      <c r="J19" s="1276"/>
      <c r="K19" s="1276"/>
    </row>
    <row r="20" spans="1:23" ht="21.75" hidden="1" customHeight="1" x14ac:dyDescent="0.25">
      <c r="A20" s="1310"/>
      <c r="B20" s="1314">
        <f t="shared" si="0"/>
        <v>0</v>
      </c>
      <c r="C20" s="1308">
        <v>575</v>
      </c>
      <c r="D20" s="1315"/>
      <c r="E20" s="1305"/>
      <c r="F20" s="1276"/>
      <c r="G20" s="1276"/>
      <c r="H20" s="1276"/>
      <c r="I20" s="1276"/>
      <c r="J20" s="1276"/>
      <c r="K20" s="1276"/>
    </row>
    <row r="21" spans="1:23" ht="21.75" hidden="1" customHeight="1" x14ac:dyDescent="0.25">
      <c r="A21" s="1310"/>
      <c r="B21" s="1314">
        <f t="shared" si="0"/>
        <v>0</v>
      </c>
      <c r="C21" s="1308">
        <v>575</v>
      </c>
      <c r="D21" s="1315"/>
      <c r="E21" s="1305"/>
      <c r="F21" s="1276"/>
      <c r="G21" s="1276"/>
      <c r="H21" s="1276"/>
      <c r="I21" s="1276"/>
      <c r="J21" s="1276"/>
      <c r="K21" s="1276"/>
    </row>
    <row r="22" spans="1:23" ht="21.75" hidden="1" customHeight="1" x14ac:dyDescent="0.25">
      <c r="A22" s="1310"/>
      <c r="B22" s="1314">
        <f t="shared" si="0"/>
        <v>0</v>
      </c>
      <c r="C22" s="1308">
        <v>575</v>
      </c>
      <c r="D22" s="1315"/>
      <c r="E22" s="1305"/>
      <c r="F22" s="1276"/>
      <c r="G22" s="1276"/>
      <c r="H22" s="1276"/>
      <c r="I22" s="1276"/>
      <c r="J22" s="1276"/>
      <c r="K22" s="1276"/>
    </row>
    <row r="23" spans="1:23" ht="21" hidden="1" customHeight="1" x14ac:dyDescent="0.25">
      <c r="A23" s="1316"/>
      <c r="B23" s="1314">
        <f t="shared" si="0"/>
        <v>0</v>
      </c>
      <c r="C23" s="1308">
        <v>575</v>
      </c>
      <c r="D23" s="1317"/>
      <c r="E23" s="1318"/>
      <c r="F23" s="1276"/>
      <c r="G23" s="1276"/>
      <c r="H23" s="1276"/>
      <c r="I23" s="1276"/>
      <c r="J23" s="1276"/>
      <c r="K23" s="1276"/>
      <c r="L23" s="1276"/>
      <c r="M23" s="1276"/>
      <c r="N23" s="1276"/>
      <c r="O23" s="1276"/>
      <c r="P23" s="1276"/>
      <c r="Q23" s="1276"/>
      <c r="R23" s="1276"/>
      <c r="S23" s="1276"/>
      <c r="T23" s="1276"/>
      <c r="U23" s="1276"/>
      <c r="V23" s="1276"/>
      <c r="W23" s="1276"/>
    </row>
    <row r="24" spans="1:23" s="181" customFormat="1" ht="19.5" hidden="1" customHeight="1" x14ac:dyDescent="0.25">
      <c r="A24" s="1316"/>
      <c r="B24" s="1307">
        <f t="shared" si="0"/>
        <v>0</v>
      </c>
      <c r="C24" s="1308">
        <v>575</v>
      </c>
      <c r="D24" s="1319"/>
      <c r="E24" s="1305"/>
      <c r="F24" s="1320"/>
      <c r="G24" s="1276"/>
      <c r="H24" s="1320"/>
      <c r="I24" s="1320"/>
      <c r="J24" s="1320"/>
      <c r="K24" s="1320"/>
      <c r="L24" s="1320"/>
      <c r="M24" s="1320"/>
      <c r="N24" s="1320"/>
      <c r="O24" s="1320"/>
      <c r="P24" s="1320"/>
      <c r="Q24" s="1320"/>
      <c r="R24" s="1320"/>
      <c r="S24" s="1320"/>
      <c r="T24" s="1320"/>
      <c r="U24" s="1320"/>
      <c r="V24" s="1320"/>
      <c r="W24" s="1320"/>
    </row>
    <row r="25" spans="1:23" s="181" customFormat="1" ht="9" hidden="1" customHeight="1" x14ac:dyDescent="0.25">
      <c r="A25" s="1316"/>
      <c r="B25" s="1307">
        <f t="shared" si="0"/>
        <v>0</v>
      </c>
      <c r="C25" s="1308">
        <v>575</v>
      </c>
      <c r="D25" s="1319"/>
      <c r="E25" s="1275"/>
      <c r="F25" s="1320"/>
      <c r="G25" s="1276"/>
      <c r="H25" s="1320"/>
      <c r="I25" s="1320"/>
      <c r="J25" s="1320"/>
      <c r="K25" s="1320"/>
      <c r="L25" s="1320"/>
      <c r="M25" s="1320"/>
      <c r="N25" s="1320"/>
      <c r="O25" s="1320"/>
      <c r="P25" s="1320"/>
      <c r="Q25" s="1320"/>
      <c r="R25" s="1320"/>
      <c r="S25" s="1320"/>
      <c r="T25" s="1320"/>
      <c r="U25" s="1320"/>
      <c r="V25" s="1320"/>
      <c r="W25" s="1320"/>
    </row>
    <row r="26" spans="1:23" s="1323" customFormat="1" ht="13.5" hidden="1" customHeight="1" x14ac:dyDescent="0.3">
      <c r="A26" s="1321"/>
      <c r="B26" s="1307"/>
      <c r="C26" s="1308"/>
      <c r="D26" s="1319"/>
      <c r="E26" s="1268"/>
      <c r="F26" s="1322"/>
      <c r="G26" s="1276"/>
      <c r="H26" s="1322"/>
      <c r="I26" s="1322"/>
      <c r="J26" s="1322"/>
      <c r="K26" s="1322"/>
      <c r="L26" s="1322"/>
      <c r="M26" s="1322"/>
      <c r="N26" s="1322"/>
      <c r="O26" s="1322"/>
      <c r="P26" s="1322"/>
      <c r="Q26" s="1322"/>
      <c r="R26" s="1322"/>
      <c r="S26" s="1322"/>
      <c r="T26" s="1322"/>
      <c r="U26" s="1322"/>
      <c r="V26" s="1322"/>
      <c r="W26" s="1322"/>
    </row>
    <row r="27" spans="1:23" ht="34.5" hidden="1" customHeight="1" x14ac:dyDescent="0.25">
      <c r="A27" s="1277" t="s">
        <v>2</v>
      </c>
      <c r="B27" s="1324">
        <f>SUM(D16:D26)</f>
        <v>0</v>
      </c>
      <c r="C27" s="1325"/>
      <c r="D27" s="1326"/>
      <c r="E27" s="1275"/>
      <c r="F27" s="1276"/>
      <c r="G27" s="1276"/>
      <c r="H27" s="1276"/>
      <c r="I27" s="1276"/>
      <c r="J27" s="1276"/>
      <c r="K27" s="1276"/>
      <c r="L27" s="1276"/>
      <c r="M27" s="1276"/>
      <c r="N27" s="1276"/>
      <c r="O27" s="1276"/>
      <c r="P27" s="1276"/>
      <c r="Q27" s="1276"/>
      <c r="R27" s="1276"/>
      <c r="S27" s="1276"/>
      <c r="T27" s="1276"/>
      <c r="U27" s="1276"/>
      <c r="V27" s="1276"/>
      <c r="W27" s="1276"/>
    </row>
    <row r="28" spans="1:23" s="31" customFormat="1" ht="23.25" customHeight="1" x14ac:dyDescent="0.25">
      <c r="A28" s="1327" t="s">
        <v>200</v>
      </c>
      <c r="B28" s="1328"/>
      <c r="C28" s="1328"/>
      <c r="D28" s="1328"/>
      <c r="E28" s="1275"/>
      <c r="F28" s="1276" t="s">
        <v>50</v>
      </c>
      <c r="G28" s="1276"/>
      <c r="H28" s="1329"/>
      <c r="I28" s="1329"/>
      <c r="J28" s="1329"/>
      <c r="K28" s="1329"/>
      <c r="L28" s="1329"/>
      <c r="M28" s="1329"/>
      <c r="N28" s="1329"/>
      <c r="O28" s="1329"/>
      <c r="P28" s="1329"/>
      <c r="Q28" s="1329"/>
      <c r="R28" s="1329"/>
      <c r="S28" s="1329"/>
      <c r="T28" s="1329"/>
      <c r="U28" s="1329"/>
      <c r="V28" s="1329"/>
      <c r="W28" s="1329"/>
    </row>
    <row r="29" spans="1:23" s="31" customFormat="1" ht="23.25" customHeight="1" thickBot="1" x14ac:dyDescent="0.3">
      <c r="A29" s="1330"/>
      <c r="B29" s="1331"/>
      <c r="C29" s="1331"/>
      <c r="D29" s="1331"/>
      <c r="E29" s="1275"/>
      <c r="F29" s="1332"/>
      <c r="G29" s="1276"/>
      <c r="H29" s="1329"/>
      <c r="I29" s="1329"/>
      <c r="J29" s="1329"/>
      <c r="K29" s="1329"/>
      <c r="L29" s="1329"/>
      <c r="M29" s="1329"/>
      <c r="N29" s="1329"/>
      <c r="O29" s="1329"/>
      <c r="P29" s="1329"/>
      <c r="Q29" s="1329"/>
      <c r="R29" s="1329"/>
      <c r="S29" s="1329"/>
      <c r="T29" s="1329"/>
      <c r="U29" s="1329"/>
      <c r="V29" s="1329"/>
      <c r="W29" s="1329"/>
    </row>
    <row r="30" spans="1:23" s="31" customFormat="1" ht="29.25" customHeight="1" x14ac:dyDescent="0.25">
      <c r="A30" s="1333" t="s">
        <v>197</v>
      </c>
      <c r="B30" s="1334" t="s">
        <v>673</v>
      </c>
      <c r="C30" s="1335" t="s">
        <v>203</v>
      </c>
      <c r="D30" s="1336" t="s">
        <v>87</v>
      </c>
      <c r="E30" s="1275"/>
      <c r="F30" s="1329"/>
      <c r="G30" s="1276"/>
      <c r="H30" s="1329"/>
      <c r="I30" s="1329"/>
      <c r="J30" s="1329" t="s">
        <v>50</v>
      </c>
      <c r="K30" s="1329"/>
      <c r="L30" s="1329"/>
      <c r="M30" s="1329"/>
      <c r="N30" s="1329"/>
      <c r="O30" s="1329"/>
      <c r="P30" s="1329"/>
      <c r="Q30" s="1329"/>
      <c r="R30" s="1329"/>
      <c r="S30" s="1329"/>
      <c r="T30" s="1329"/>
      <c r="U30" s="1329"/>
      <c r="V30" s="1329"/>
      <c r="W30" s="1329"/>
    </row>
    <row r="31" spans="1:23" s="31" customFormat="1" ht="24" customHeight="1" x14ac:dyDescent="0.25">
      <c r="A31" s="1337" t="s">
        <v>8</v>
      </c>
      <c r="B31" s="1338"/>
      <c r="C31" s="1339"/>
      <c r="D31" s="1340"/>
      <c r="E31" s="1275"/>
      <c r="F31" s="1329"/>
      <c r="G31" s="1276"/>
      <c r="H31" s="1329"/>
      <c r="I31" s="1329"/>
      <c r="J31" s="1329"/>
      <c r="K31" s="1329"/>
      <c r="L31" s="1329"/>
      <c r="M31" s="1329"/>
      <c r="N31" s="1329"/>
      <c r="O31" s="1329"/>
      <c r="P31" s="1329"/>
      <c r="Q31" s="1329"/>
      <c r="R31" s="1329"/>
      <c r="S31" s="1329"/>
      <c r="T31" s="1329"/>
      <c r="U31" s="1329"/>
      <c r="V31" s="1329"/>
      <c r="W31" s="1329"/>
    </row>
    <row r="32" spans="1:23" s="31" customFormat="1" ht="23.25" hidden="1" customHeight="1" x14ac:dyDescent="0.25">
      <c r="A32" s="1321"/>
      <c r="B32" s="1338" t="s">
        <v>201</v>
      </c>
      <c r="C32" s="1341"/>
      <c r="D32" s="1342"/>
      <c r="E32" s="1275"/>
      <c r="F32" s="1329"/>
      <c r="G32" s="1276"/>
      <c r="H32" s="1329"/>
      <c r="I32" s="1329"/>
      <c r="J32" s="1329"/>
      <c r="K32" s="1329"/>
      <c r="L32" s="1329"/>
      <c r="M32" s="1329"/>
      <c r="N32" s="1329"/>
      <c r="O32" s="1329"/>
      <c r="P32" s="1329"/>
      <c r="Q32" s="1329"/>
      <c r="R32" s="1329"/>
      <c r="S32" s="1329"/>
      <c r="T32" s="1329"/>
      <c r="U32" s="1329"/>
      <c r="V32" s="1329"/>
      <c r="W32" s="1329"/>
    </row>
    <row r="33" spans="1:23" s="31" customFormat="1" ht="23.25" hidden="1" customHeight="1" x14ac:dyDescent="0.25">
      <c r="A33" s="1321"/>
      <c r="B33" s="1338" t="s">
        <v>201</v>
      </c>
      <c r="C33" s="1341"/>
      <c r="D33" s="1342"/>
      <c r="E33" s="1275"/>
      <c r="F33" s="1329"/>
      <c r="G33" s="1276"/>
      <c r="H33" s="1329"/>
      <c r="I33" s="1329"/>
      <c r="J33" s="1329"/>
      <c r="K33" s="1329"/>
      <c r="L33" s="1329"/>
      <c r="M33" s="1329"/>
      <c r="N33" s="1329"/>
      <c r="O33" s="1329"/>
      <c r="P33" s="1329"/>
      <c r="Q33" s="1329"/>
      <c r="R33" s="1329"/>
      <c r="S33" s="1329"/>
      <c r="T33" s="1329"/>
      <c r="U33" s="1329"/>
      <c r="V33" s="1329"/>
      <c r="W33" s="1329"/>
    </row>
    <row r="34" spans="1:23" s="31" customFormat="1" ht="23.25" hidden="1" customHeight="1" x14ac:dyDescent="0.25">
      <c r="A34" s="1321"/>
      <c r="B34" s="1338" t="s">
        <v>201</v>
      </c>
      <c r="C34" s="1341"/>
      <c r="D34" s="1342"/>
      <c r="E34" s="1275"/>
      <c r="F34" s="1329"/>
      <c r="G34" s="1276"/>
      <c r="H34" s="1329"/>
      <c r="I34" s="1329"/>
      <c r="J34" s="1329"/>
      <c r="K34" s="1329"/>
      <c r="L34" s="1329"/>
      <c r="M34" s="1329"/>
      <c r="N34" s="1329"/>
      <c r="O34" s="1329"/>
      <c r="P34" s="1329"/>
      <c r="Q34" s="1329"/>
      <c r="R34" s="1329"/>
      <c r="S34" s="1329"/>
      <c r="T34" s="1329"/>
      <c r="U34" s="1329"/>
      <c r="V34" s="1329"/>
      <c r="W34" s="1329"/>
    </row>
    <row r="35" spans="1:23" s="31" customFormat="1" ht="23.25" hidden="1" customHeight="1" x14ac:dyDescent="0.25">
      <c r="A35" s="1321"/>
      <c r="B35" s="1338" t="s">
        <v>201</v>
      </c>
      <c r="C35" s="1338"/>
      <c r="D35" s="1342"/>
      <c r="E35" s="1275"/>
      <c r="F35" s="1329"/>
      <c r="G35" s="1276"/>
      <c r="H35" s="1329"/>
      <c r="I35" s="1329"/>
      <c r="J35" s="1329"/>
      <c r="K35" s="1329"/>
      <c r="L35" s="1329"/>
      <c r="M35" s="1329"/>
      <c r="N35" s="1329"/>
      <c r="O35" s="1329"/>
      <c r="P35" s="1329"/>
      <c r="Q35" s="1329"/>
      <c r="R35" s="1329"/>
      <c r="S35" s="1329"/>
      <c r="T35" s="1329"/>
      <c r="U35" s="1329"/>
      <c r="V35" s="1329"/>
      <c r="W35" s="1329"/>
    </row>
    <row r="36" spans="1:23" s="1347" customFormat="1" ht="23.25" hidden="1" customHeight="1" x14ac:dyDescent="0.3">
      <c r="A36" s="1321"/>
      <c r="B36" s="1338" t="s">
        <v>202</v>
      </c>
      <c r="C36" s="1338"/>
      <c r="D36" s="1343"/>
      <c r="E36" s="1344"/>
      <c r="F36" s="1345"/>
      <c r="G36" s="1346"/>
      <c r="H36" s="1346"/>
      <c r="I36" s="1346"/>
      <c r="J36" s="1346"/>
      <c r="K36" s="1346"/>
      <c r="L36" s="1346"/>
      <c r="M36" s="1346"/>
      <c r="N36" s="1346"/>
      <c r="O36" s="1346"/>
      <c r="P36" s="1346"/>
      <c r="Q36" s="1346"/>
      <c r="R36" s="1346"/>
      <c r="S36" s="1346"/>
      <c r="T36" s="1346"/>
      <c r="U36" s="1346"/>
      <c r="V36" s="1346"/>
      <c r="W36" s="1346"/>
    </row>
    <row r="37" spans="1:23" s="31" customFormat="1" ht="23.25" hidden="1" customHeight="1" x14ac:dyDescent="0.25">
      <c r="A37" s="1321"/>
      <c r="B37" s="1338"/>
      <c r="C37" s="1338"/>
      <c r="D37" s="1343"/>
      <c r="E37" s="1275"/>
      <c r="F37" s="1329"/>
      <c r="G37" s="1329"/>
      <c r="H37" s="1329"/>
      <c r="I37" s="1329"/>
      <c r="J37" s="1329"/>
      <c r="K37" s="1329"/>
      <c r="L37" s="1329"/>
      <c r="M37" s="1329"/>
      <c r="N37" s="1329"/>
      <c r="O37" s="1329"/>
      <c r="P37" s="1329"/>
      <c r="Q37" s="1329"/>
      <c r="R37" s="1329"/>
      <c r="S37" s="1329"/>
      <c r="T37" s="1329"/>
      <c r="U37" s="1329"/>
      <c r="V37" s="1329"/>
      <c r="W37" s="1329"/>
    </row>
    <row r="38" spans="1:23" s="31" customFormat="1" ht="23.25" hidden="1" customHeight="1" x14ac:dyDescent="0.25">
      <c r="A38" s="1321"/>
      <c r="B38" s="1343"/>
      <c r="C38" s="1343"/>
      <c r="D38" s="1343"/>
      <c r="E38" s="1275"/>
      <c r="F38" s="1329"/>
      <c r="G38" s="1329"/>
      <c r="H38" s="1329"/>
      <c r="I38" s="1329"/>
      <c r="J38" s="1329"/>
      <c r="K38" s="1329"/>
      <c r="L38" s="1329"/>
      <c r="M38" s="1329"/>
      <c r="N38" s="1329"/>
      <c r="O38" s="1329"/>
      <c r="P38" s="1329"/>
      <c r="Q38" s="1329"/>
      <c r="R38" s="1329"/>
      <c r="S38" s="1329"/>
      <c r="T38" s="1329"/>
      <c r="U38" s="1329"/>
      <c r="V38" s="1329"/>
      <c r="W38" s="1329"/>
    </row>
    <row r="39" spans="1:23" s="31" customFormat="1" ht="15.75" customHeight="1" x14ac:dyDescent="0.25">
      <c r="A39" s="1321" t="s">
        <v>2</v>
      </c>
      <c r="B39" s="1348"/>
      <c r="C39" s="1348"/>
      <c r="D39" s="1343"/>
      <c r="E39" s="1275"/>
      <c r="F39" s="1329"/>
      <c r="G39" s="1329"/>
      <c r="H39" s="1329"/>
      <c r="I39" s="1329"/>
      <c r="J39" s="1329"/>
      <c r="K39" s="1329"/>
      <c r="L39" s="1329"/>
      <c r="M39" s="1329"/>
      <c r="N39" s="1329"/>
      <c r="O39" s="1329"/>
      <c r="P39" s="1329"/>
      <c r="Q39" s="1329"/>
      <c r="R39" s="1329"/>
      <c r="S39" s="1329"/>
      <c r="T39" s="1329"/>
      <c r="U39" s="1329"/>
      <c r="V39" s="1329"/>
      <c r="W39" s="1329"/>
    </row>
    <row r="40" spans="1:23" s="31" customFormat="1" ht="25.5" customHeight="1" x14ac:dyDescent="0.25">
      <c r="A40" s="1349" t="s">
        <v>674</v>
      </c>
      <c r="B40" s="1350"/>
      <c r="C40" s="1350"/>
      <c r="D40" s="1351"/>
      <c r="E40" s="1275"/>
      <c r="F40" s="1329"/>
      <c r="G40" s="1329"/>
      <c r="H40" s="1329"/>
      <c r="I40" s="1329"/>
      <c r="J40" s="1329"/>
      <c r="K40" s="1329"/>
      <c r="L40" s="1329"/>
      <c r="M40" s="1329"/>
      <c r="N40" s="1329"/>
      <c r="O40" s="1329"/>
      <c r="P40" s="1329"/>
      <c r="Q40" s="1329"/>
      <c r="R40" s="1329"/>
      <c r="S40" s="1329"/>
      <c r="T40" s="1329"/>
      <c r="U40" s="1329"/>
      <c r="V40" s="1329"/>
      <c r="W40" s="1329"/>
    </row>
    <row r="41" spans="1:23" s="31" customFormat="1" ht="28.5" customHeight="1" thickBot="1" x14ac:dyDescent="0.3">
      <c r="A41" s="1352" t="s">
        <v>675</v>
      </c>
      <c r="B41" s="1353"/>
      <c r="C41" s="1353"/>
      <c r="D41" s="1354"/>
      <c r="E41" s="1275"/>
      <c r="F41" s="1329"/>
      <c r="G41" s="1329"/>
      <c r="H41" s="1329"/>
      <c r="I41" s="1329"/>
      <c r="J41" s="1329"/>
      <c r="K41" s="1329"/>
      <c r="L41" s="1329"/>
      <c r="M41" s="1329"/>
      <c r="N41" s="1329"/>
      <c r="O41" s="1329"/>
      <c r="P41" s="1329"/>
      <c r="Q41" s="1329"/>
      <c r="R41" s="1329"/>
      <c r="S41" s="1329"/>
      <c r="T41" s="1329"/>
      <c r="U41" s="1329"/>
      <c r="V41" s="1329"/>
      <c r="W41" s="1329"/>
    </row>
    <row r="42" spans="1:23" s="31" customFormat="1" ht="28.5" customHeight="1" thickBot="1" x14ac:dyDescent="0.3">
      <c r="A42" s="1355" t="s">
        <v>676</v>
      </c>
      <c r="B42" s="1356"/>
      <c r="C42" s="1356"/>
      <c r="D42" s="1357">
        <v>0</v>
      </c>
      <c r="E42" s="1275"/>
      <c r="F42" s="1329"/>
      <c r="G42" s="1329"/>
      <c r="H42" s="1329"/>
      <c r="I42" s="1329"/>
      <c r="J42" s="1329"/>
      <c r="K42" s="1329"/>
      <c r="L42" s="1329"/>
      <c r="M42" s="1329"/>
      <c r="N42" s="1329"/>
      <c r="O42" s="1329"/>
      <c r="P42" s="1329"/>
      <c r="Q42" s="1329"/>
      <c r="R42" s="1329"/>
      <c r="S42" s="1329"/>
      <c r="T42" s="1329"/>
      <c r="U42" s="1329"/>
      <c r="V42" s="1329"/>
      <c r="W42" s="1329"/>
    </row>
    <row r="43" spans="1:23" s="31" customFormat="1" ht="28.5" customHeight="1" x14ac:dyDescent="0.25">
      <c r="A43" s="1355" t="s">
        <v>8</v>
      </c>
      <c r="B43" s="1356"/>
      <c r="C43" s="1356"/>
      <c r="D43" s="1358"/>
      <c r="E43" s="1275"/>
      <c r="F43" s="1329"/>
      <c r="G43" s="1329"/>
      <c r="H43" s="1329"/>
      <c r="I43" s="1329"/>
      <c r="J43" s="1329"/>
      <c r="K43" s="1329"/>
      <c r="L43" s="1329"/>
      <c r="M43" s="1329"/>
      <c r="N43" s="1329"/>
      <c r="O43" s="1329"/>
      <c r="P43" s="1329"/>
      <c r="Q43" s="1329"/>
      <c r="R43" s="1329"/>
      <c r="S43" s="1329"/>
      <c r="T43" s="1329"/>
      <c r="U43" s="1329"/>
      <c r="V43" s="1329"/>
      <c r="W43" s="1329"/>
    </row>
    <row r="44" spans="1:23" s="31" customFormat="1" ht="28.5" customHeight="1" x14ac:dyDescent="0.25">
      <c r="A44" s="1355" t="s">
        <v>677</v>
      </c>
      <c r="B44" s="1356"/>
      <c r="C44" s="1356"/>
      <c r="D44" s="1358"/>
      <c r="E44" s="1275"/>
      <c r="F44" s="1329"/>
      <c r="G44" s="1329"/>
      <c r="H44" s="1329"/>
      <c r="I44" s="1329"/>
      <c r="J44" s="1329"/>
      <c r="K44" s="1329"/>
      <c r="L44" s="1329"/>
      <c r="M44" s="1329"/>
      <c r="N44" s="1329"/>
      <c r="O44" s="1329"/>
      <c r="P44" s="1329"/>
      <c r="Q44" s="1329"/>
      <c r="R44" s="1329"/>
      <c r="S44" s="1329"/>
      <c r="T44" s="1329"/>
      <c r="U44" s="1329"/>
      <c r="V44" s="1329"/>
      <c r="W44" s="1329"/>
    </row>
    <row r="45" spans="1:23" s="31" customFormat="1" ht="16.5" thickBot="1" x14ac:dyDescent="0.3">
      <c r="A45" s="1352"/>
      <c r="B45" s="1353"/>
      <c r="C45" s="1353"/>
      <c r="D45" s="1359"/>
      <c r="E45" s="1275"/>
      <c r="F45" s="1329"/>
      <c r="G45" s="1329"/>
      <c r="H45" s="1329"/>
      <c r="I45" s="1329"/>
      <c r="J45" s="1329"/>
      <c r="K45" s="1329"/>
      <c r="L45" s="1329"/>
      <c r="M45" s="1329"/>
      <c r="N45" s="1329"/>
      <c r="O45" s="1329"/>
      <c r="P45" s="1329"/>
      <c r="Q45" s="1329"/>
      <c r="R45" s="1329"/>
      <c r="S45" s="1329"/>
      <c r="T45" s="1329"/>
      <c r="U45" s="1329"/>
      <c r="V45" s="1329"/>
      <c r="W45" s="1329"/>
    </row>
    <row r="46" spans="1:23" s="1361" customFormat="1" ht="29.25" customHeight="1" thickBot="1" x14ac:dyDescent="0.35">
      <c r="A46" s="1277" t="s">
        <v>678</v>
      </c>
      <c r="B46" s="2102">
        <v>-1029</v>
      </c>
      <c r="C46" s="2103"/>
      <c r="D46" s="2104"/>
      <c r="E46" s="1268"/>
      <c r="F46" s="1360"/>
      <c r="G46" s="1360"/>
      <c r="H46" s="1360"/>
      <c r="I46" s="1360"/>
      <c r="J46" s="1360"/>
      <c r="K46" s="1360"/>
      <c r="L46" s="1360"/>
      <c r="M46" s="1360"/>
      <c r="N46" s="1360"/>
      <c r="O46" s="1360"/>
      <c r="P46" s="1360"/>
      <c r="Q46" s="1360"/>
      <c r="R46" s="1360"/>
      <c r="S46" s="1360"/>
      <c r="T46" s="1360"/>
      <c r="U46" s="1360"/>
      <c r="V46" s="1360"/>
      <c r="W46" s="1360"/>
    </row>
    <row r="47" spans="1:23" s="1361" customFormat="1" ht="29.25" customHeight="1" thickBot="1" x14ac:dyDescent="0.35">
      <c r="A47" s="1277" t="s">
        <v>679</v>
      </c>
      <c r="B47" s="1362"/>
      <c r="C47" s="1363"/>
      <c r="D47" s="1364"/>
      <c r="E47" s="1268"/>
      <c r="F47" s="1360"/>
      <c r="G47" s="1360"/>
      <c r="H47" s="1360"/>
      <c r="I47" s="1360"/>
      <c r="J47" s="1360"/>
      <c r="K47" s="1360"/>
      <c r="L47" s="1360"/>
      <c r="M47" s="1360"/>
      <c r="N47" s="1360"/>
      <c r="O47" s="1360"/>
      <c r="P47" s="1360"/>
      <c r="Q47" s="1360"/>
      <c r="R47" s="1360"/>
      <c r="S47" s="1360"/>
      <c r="T47" s="1360"/>
      <c r="U47" s="1360"/>
      <c r="V47" s="1360"/>
      <c r="W47" s="1360"/>
    </row>
    <row r="48" spans="1:23" s="1361" customFormat="1" ht="35.25" customHeight="1" thickBot="1" x14ac:dyDescent="0.35">
      <c r="A48" s="1277" t="s">
        <v>177</v>
      </c>
      <c r="B48" s="1365"/>
      <c r="C48" s="1366"/>
      <c r="D48" s="1367"/>
      <c r="E48" s="1268"/>
      <c r="F48" s="1360"/>
      <c r="G48" s="1360"/>
      <c r="H48" s="1360"/>
      <c r="I48" s="1360"/>
      <c r="J48" s="1360"/>
      <c r="K48" s="1360"/>
      <c r="L48" s="1360"/>
      <c r="M48" s="1360"/>
      <c r="N48" s="1360"/>
      <c r="O48" s="1360"/>
      <c r="P48" s="1360"/>
      <c r="Q48" s="1360"/>
      <c r="R48" s="1360"/>
      <c r="S48" s="1360"/>
      <c r="T48" s="1360"/>
      <c r="U48" s="1360"/>
      <c r="V48" s="1360"/>
      <c r="W48" s="1360"/>
    </row>
    <row r="49" spans="1:23" s="181" customFormat="1" ht="30" hidden="1" customHeight="1" x14ac:dyDescent="0.25">
      <c r="A49" s="1368"/>
      <c r="B49" s="1369"/>
      <c r="C49" s="1366"/>
      <c r="D49" s="1370"/>
      <c r="E49" s="1268"/>
      <c r="F49" s="1371"/>
      <c r="G49" s="1320"/>
      <c r="H49" s="1320"/>
      <c r="I49" s="1320"/>
      <c r="J49" s="1320"/>
      <c r="K49" s="1320"/>
      <c r="L49" s="1320"/>
      <c r="M49" s="1320"/>
      <c r="N49" s="1320"/>
      <c r="O49" s="1320"/>
      <c r="P49" s="1320"/>
      <c r="Q49" s="1320"/>
      <c r="R49" s="1320"/>
      <c r="S49" s="1320"/>
      <c r="T49" s="1320"/>
      <c r="U49" s="1320"/>
      <c r="V49" s="1320"/>
      <c r="W49" s="1320"/>
    </row>
    <row r="50" spans="1:23" s="181" customFormat="1" ht="30" hidden="1" customHeight="1" x14ac:dyDescent="0.25">
      <c r="A50" s="1372"/>
      <c r="B50" s="1365"/>
      <c r="C50" s="1308"/>
      <c r="D50" s="1373"/>
      <c r="E50" s="1268"/>
      <c r="F50" s="1320"/>
      <c r="G50" s="1320"/>
      <c r="H50" s="1320"/>
      <c r="I50" s="1320"/>
      <c r="J50" s="1320"/>
      <c r="K50" s="1320"/>
      <c r="L50" s="1320"/>
      <c r="M50" s="1320"/>
      <c r="N50" s="1320"/>
      <c r="O50" s="1320"/>
      <c r="P50" s="1320"/>
      <c r="Q50" s="1320"/>
      <c r="R50" s="1320"/>
      <c r="S50" s="1320"/>
      <c r="T50" s="1320"/>
      <c r="U50" s="1320"/>
      <c r="V50" s="1320"/>
      <c r="W50" s="1320"/>
    </row>
    <row r="51" spans="1:23" s="1376" customFormat="1" ht="42.75" customHeight="1" thickBot="1" x14ac:dyDescent="0.3">
      <c r="A51" s="1374" t="s">
        <v>2</v>
      </c>
      <c r="B51" s="2099">
        <f>D48+B46+D42-D40+D47+D41</f>
        <v>-1029</v>
      </c>
      <c r="C51" s="2100"/>
      <c r="D51" s="2101"/>
      <c r="E51" s="1268"/>
      <c r="F51" s="1375"/>
    </row>
    <row r="52" spans="1:23" s="181" customFormat="1" ht="51" hidden="1" customHeight="1" x14ac:dyDescent="0.25">
      <c r="A52" s="1377"/>
      <c r="B52" s="1378"/>
      <c r="C52" s="1379"/>
      <c r="D52" s="1380"/>
      <c r="E52" s="1381"/>
    </row>
    <row r="53" spans="1:23" s="181" customFormat="1" ht="38.25" customHeight="1" thickBot="1" x14ac:dyDescent="0.35">
      <c r="A53" s="1382" t="s">
        <v>680</v>
      </c>
      <c r="B53" s="1383"/>
      <c r="C53" s="2098">
        <v>1793700</v>
      </c>
      <c r="D53" s="2098"/>
      <c r="E53" s="1384"/>
    </row>
    <row r="54" spans="1:23" s="181" customFormat="1" ht="16.5" hidden="1" customHeight="1" x14ac:dyDescent="0.25">
      <c r="A54" s="1385" t="s">
        <v>681</v>
      </c>
      <c r="B54" s="1386"/>
      <c r="C54" s="1387"/>
      <c r="D54" s="1388"/>
      <c r="E54" s="1389"/>
    </row>
    <row r="55" spans="1:23" s="181" customFormat="1" ht="16.5" hidden="1" customHeight="1" x14ac:dyDescent="0.25">
      <c r="A55" s="1382" t="s">
        <v>682</v>
      </c>
      <c r="B55" s="1383"/>
      <c r="C55" s="1390"/>
      <c r="D55" s="1391"/>
      <c r="E55" s="1392"/>
    </row>
    <row r="56" spans="1:23" s="181" customFormat="1" ht="16.5" hidden="1" customHeight="1" x14ac:dyDescent="0.25">
      <c r="A56" s="1393"/>
      <c r="B56" s="1394"/>
      <c r="C56" s="1395"/>
      <c r="D56" s="1396"/>
      <c r="E56" s="1263"/>
    </row>
    <row r="57" spans="1:23" s="181" customFormat="1" ht="16.5" thickBot="1" x14ac:dyDescent="0.3">
      <c r="A57" s="1397" t="s">
        <v>683</v>
      </c>
      <c r="B57" s="1398"/>
      <c r="C57" s="1398"/>
      <c r="D57" s="1399"/>
      <c r="E57" s="1263"/>
    </row>
    <row r="58" spans="1:23" s="181" customFormat="1" ht="16.5" thickBot="1" x14ac:dyDescent="0.3">
      <c r="A58" s="1400" t="s">
        <v>10</v>
      </c>
      <c r="B58" s="1401"/>
      <c r="C58" s="1401"/>
      <c r="D58" s="1402"/>
      <c r="E58" s="1263"/>
    </row>
    <row r="59" spans="1:23" s="181" customFormat="1" ht="16.5" thickBot="1" x14ac:dyDescent="0.3">
      <c r="A59" s="1403" t="s">
        <v>684</v>
      </c>
      <c r="B59" s="1404" t="s">
        <v>0</v>
      </c>
      <c r="C59" s="1404" t="s">
        <v>3</v>
      </c>
      <c r="D59" s="1404" t="s">
        <v>1</v>
      </c>
      <c r="E59" s="1405" t="s">
        <v>143</v>
      </c>
      <c r="F59" s="31"/>
      <c r="I59" s="1406"/>
    </row>
    <row r="60" spans="1:23" s="181" customFormat="1" ht="16.5" thickBot="1" x14ac:dyDescent="0.3">
      <c r="A60" s="1407" t="s">
        <v>685</v>
      </c>
      <c r="B60" s="1408">
        <f>'equation de stock'!B19</f>
        <v>26544</v>
      </c>
      <c r="C60" s="1408">
        <f>'equation de stock'!C19</f>
        <v>10301</v>
      </c>
      <c r="D60" s="1408">
        <f>'equation de stock'!D19</f>
        <v>2855</v>
      </c>
      <c r="E60" s="1409">
        <f>B60+C60+D60</f>
        <v>39700</v>
      </c>
      <c r="F60" s="1410"/>
    </row>
    <row r="61" spans="1:23" s="181" customFormat="1" ht="16.5" thickBot="1" x14ac:dyDescent="0.3">
      <c r="A61" s="1407" t="s">
        <v>148</v>
      </c>
      <c r="B61" s="1409">
        <v>75000</v>
      </c>
      <c r="C61" s="1409">
        <v>35000</v>
      </c>
      <c r="D61" s="1409">
        <v>10000</v>
      </c>
      <c r="E61" s="1409">
        <f>SUM(B61:D61)</f>
        <v>120000</v>
      </c>
      <c r="F61" s="31"/>
    </row>
    <row r="62" spans="1:23" s="181" customFormat="1" ht="16.5" thickBot="1" x14ac:dyDescent="0.3">
      <c r="A62" s="1411" t="s">
        <v>686</v>
      </c>
      <c r="B62" s="1408">
        <f>B60-B61</f>
        <v>-48456</v>
      </c>
      <c r="C62" s="1408">
        <f>C60-C61</f>
        <v>-24699</v>
      </c>
      <c r="D62" s="1408">
        <f>D60-D61</f>
        <v>-7145</v>
      </c>
      <c r="E62" s="1408">
        <f>SUM(B62:D62)</f>
        <v>-80300</v>
      </c>
      <c r="F62" s="1412"/>
    </row>
    <row r="63" spans="1:23" s="181" customFormat="1" ht="15.75" x14ac:dyDescent="0.25">
      <c r="A63" s="1413" t="s">
        <v>687</v>
      </c>
      <c r="B63" s="1414"/>
      <c r="C63" s="1414"/>
      <c r="D63" s="1414"/>
      <c r="E63" s="1414"/>
      <c r="F63" s="31"/>
    </row>
    <row r="64" spans="1:23" s="181" customFormat="1" ht="16.5" thickBot="1" x14ac:dyDescent="0.3">
      <c r="A64" s="1413"/>
      <c r="B64" s="1414"/>
      <c r="C64" s="1414"/>
      <c r="D64" s="1414"/>
      <c r="E64" s="1414"/>
      <c r="F64" s="31"/>
    </row>
    <row r="65" spans="1:7" s="181" customFormat="1" ht="16.5" thickBot="1" x14ac:dyDescent="0.3">
      <c r="A65" s="1415" t="s">
        <v>688</v>
      </c>
      <c r="B65" s="1416">
        <v>2052</v>
      </c>
      <c r="C65" s="1416">
        <v>703</v>
      </c>
      <c r="D65" s="1416">
        <v>188</v>
      </c>
      <c r="E65" s="1416">
        <f>SUM(B65:D65)</f>
        <v>2943</v>
      </c>
      <c r="F65" s="1410"/>
      <c r="G65" s="181" t="s">
        <v>50</v>
      </c>
    </row>
    <row r="66" spans="1:7" s="181" customFormat="1" ht="16.5" thickBot="1" x14ac:dyDescent="0.3">
      <c r="A66" s="1417" t="s">
        <v>689</v>
      </c>
      <c r="B66" s="1418">
        <f>+B61/31</f>
        <v>2419.3548387096776</v>
      </c>
      <c r="C66" s="1418">
        <f>+C61/31</f>
        <v>1129.0322580645161</v>
      </c>
      <c r="D66" s="1418">
        <f>+D61/31</f>
        <v>322.58064516129031</v>
      </c>
      <c r="E66" s="1418">
        <f>SUM(B66:D66)</f>
        <v>3870.9677419354839</v>
      </c>
      <c r="F66" s="31"/>
    </row>
    <row r="67" spans="1:7" s="181" customFormat="1" ht="16.5" thickBot="1" x14ac:dyDescent="0.3">
      <c r="A67" s="1417" t="s">
        <v>690</v>
      </c>
      <c r="B67" s="1418">
        <f>B65-B66</f>
        <v>-367.35483870967755</v>
      </c>
      <c r="C67" s="1418">
        <f>C65-C66</f>
        <v>-426.0322580645161</v>
      </c>
      <c r="D67" s="1418">
        <f>D65-D66</f>
        <v>-134.58064516129031</v>
      </c>
      <c r="E67" s="1418">
        <f>SUM(B67:D67)</f>
        <v>-927.9677419354839</v>
      </c>
      <c r="F67" s="31"/>
    </row>
    <row r="68" spans="1:7" s="181" customFormat="1" ht="15.75" customHeight="1" thickBot="1" x14ac:dyDescent="0.3">
      <c r="A68" s="1419" t="s">
        <v>208</v>
      </c>
      <c r="B68" s="1420"/>
      <c r="C68" s="1420"/>
      <c r="D68" s="1421"/>
      <c r="E68" s="1263"/>
      <c r="F68" s="31"/>
    </row>
    <row r="69" spans="1:7" s="181" customFormat="1" ht="15.75" customHeight="1" thickBot="1" x14ac:dyDescent="0.3">
      <c r="A69" s="1422"/>
      <c r="B69" s="1423"/>
      <c r="C69" s="1423"/>
      <c r="D69" s="1424"/>
      <c r="E69" s="1263"/>
      <c r="F69" s="31"/>
    </row>
    <row r="70" spans="1:7" s="164" customFormat="1" ht="24" x14ac:dyDescent="0.4">
      <c r="A70" s="1425" t="s">
        <v>691</v>
      </c>
      <c r="B70" s="1426"/>
      <c r="C70" s="1426"/>
      <c r="D70" s="1426" t="s">
        <v>692</v>
      </c>
      <c r="E70" s="1420"/>
      <c r="F70" s="633"/>
    </row>
    <row r="71" spans="1:7" s="164" customFormat="1" ht="15.75" thickBot="1" x14ac:dyDescent="0.3">
      <c r="A71" s="1427"/>
      <c r="B71" s="1428"/>
      <c r="C71" s="1428"/>
      <c r="D71" s="1429"/>
      <c r="E71" s="1430"/>
      <c r="F71" s="633"/>
    </row>
    <row r="72" spans="1:7" s="1435" customFormat="1" ht="15.75" thickBot="1" x14ac:dyDescent="0.3">
      <c r="A72" s="1431"/>
      <c r="B72" s="1432"/>
      <c r="C72" s="1432"/>
      <c r="D72" s="1433"/>
      <c r="E72" s="1434" t="s">
        <v>113</v>
      </c>
      <c r="F72" s="16"/>
    </row>
    <row r="73" spans="1:7" s="1435" customFormat="1" ht="15.75" thickBot="1" x14ac:dyDescent="0.3">
      <c r="A73" s="1436" t="s">
        <v>119</v>
      </c>
      <c r="B73" s="1273" t="s">
        <v>0</v>
      </c>
      <c r="C73" s="1273" t="s">
        <v>3</v>
      </c>
      <c r="D73" s="1366" t="s">
        <v>1</v>
      </c>
      <c r="E73" s="1437"/>
      <c r="F73" s="16"/>
    </row>
    <row r="74" spans="1:7" s="1441" customFormat="1" ht="15.75" thickBot="1" x14ac:dyDescent="0.3">
      <c r="A74" s="1438"/>
      <c r="B74" s="1409">
        <f>'equation de stock'!B23</f>
        <v>16826</v>
      </c>
      <c r="C74" s="1409">
        <f>'equation de stock'!C23</f>
        <v>9440</v>
      </c>
      <c r="D74" s="1409">
        <f>'equation de stock'!D23</f>
        <v>5707</v>
      </c>
      <c r="E74" s="1439">
        <f>(B74*630)+(C74*575)+(D74*350)</f>
        <v>18025830</v>
      </c>
      <c r="F74" s="1440"/>
    </row>
    <row r="75" spans="1:7" s="1441" customFormat="1" ht="15.75" thickBot="1" x14ac:dyDescent="0.3">
      <c r="A75" s="1442" t="s">
        <v>693</v>
      </c>
      <c r="B75" s="1443">
        <f>'equation de stock'!B27</f>
        <v>-215</v>
      </c>
      <c r="C75" s="1443">
        <f>'equation de stock'!C27</f>
        <v>-121</v>
      </c>
      <c r="D75" s="1443">
        <f>'equation de stock'!D27</f>
        <v>7</v>
      </c>
      <c r="E75" s="1439">
        <f>(B75*630)+(C75*575)+(D75*350)</f>
        <v>-202575</v>
      </c>
      <c r="F75" s="1440"/>
    </row>
    <row r="76" spans="1:7" s="1441" customFormat="1" ht="15.75" thickBot="1" x14ac:dyDescent="0.3">
      <c r="A76" s="1444" t="s">
        <v>694</v>
      </c>
      <c r="B76" s="1445">
        <f>'equation de stock'!B31</f>
        <v>79.632000000000005</v>
      </c>
      <c r="C76" s="1445">
        <f>'equation de stock'!C31</f>
        <v>30.903000000000002</v>
      </c>
      <c r="D76" s="1445">
        <f>'equation de stock'!D31</f>
        <v>8.5649999999999995</v>
      </c>
      <c r="E76" s="1439">
        <f>(B76*630)+(C76*575)+(D76*350)</f>
        <v>70935.135000000009</v>
      </c>
      <c r="F76" s="1440"/>
    </row>
    <row r="77" spans="1:7" s="1441" customFormat="1" ht="15.75" thickBot="1" x14ac:dyDescent="0.3">
      <c r="A77" s="1446" t="s">
        <v>695</v>
      </c>
      <c r="B77" s="1447">
        <f>'equation de stock'!B33</f>
        <v>135.36799999999999</v>
      </c>
      <c r="C77" s="1447">
        <f>'equation de stock'!C33</f>
        <v>90.096999999999994</v>
      </c>
      <c r="D77" s="1447">
        <f>'equation de stock'!D33</f>
        <v>0</v>
      </c>
      <c r="E77" s="1439">
        <f>(B77*630)+(C77*575)+(D77*350)</f>
        <v>137087.61499999999</v>
      </c>
      <c r="F77" s="1440"/>
    </row>
    <row r="78" spans="1:7" s="1435" customFormat="1" ht="15.75" thickBot="1" x14ac:dyDescent="0.3">
      <c r="A78" s="1448" t="s">
        <v>696</v>
      </c>
      <c r="B78" s="1449">
        <f>+B74</f>
        <v>16826</v>
      </c>
      <c r="C78" s="1449">
        <f>+C74</f>
        <v>9440</v>
      </c>
      <c r="D78" s="1449">
        <f>+D74</f>
        <v>5707</v>
      </c>
      <c r="E78" s="1439">
        <f>(B78*630)+(C78*575)+(D78*350)</f>
        <v>18025830</v>
      </c>
      <c r="F78" s="16"/>
    </row>
    <row r="79" spans="1:7" s="164" customFormat="1" ht="15.75" thickBot="1" x14ac:dyDescent="0.3">
      <c r="A79" s="1450"/>
      <c r="B79" s="1451"/>
      <c r="C79" s="1451"/>
      <c r="D79" s="1452"/>
      <c r="E79" s="1453"/>
      <c r="F79" s="633"/>
    </row>
    <row r="80" spans="1:7" s="1441" customFormat="1" ht="15.75" thickBot="1" x14ac:dyDescent="0.3">
      <c r="A80" s="1446" t="s">
        <v>697</v>
      </c>
      <c r="B80" s="1454">
        <v>-81</v>
      </c>
      <c r="C80" s="1454">
        <v>20</v>
      </c>
      <c r="D80" s="1454">
        <v>28</v>
      </c>
      <c r="E80" s="1455">
        <f>(B80*630)+(C80*575)+(D80*350)</f>
        <v>-29730</v>
      </c>
      <c r="F80" s="1440"/>
      <c r="G80" s="1441" t="s">
        <v>50</v>
      </c>
    </row>
    <row r="81" spans="1:8" s="164" customFormat="1" ht="15.75" thickBot="1" x14ac:dyDescent="0.3">
      <c r="A81" s="1450" t="s">
        <v>698</v>
      </c>
      <c r="B81" s="1451"/>
      <c r="C81" s="1451"/>
      <c r="D81" s="1452"/>
      <c r="E81" s="1453"/>
      <c r="F81" s="633"/>
    </row>
    <row r="82" spans="1:8" ht="15" x14ac:dyDescent="0.25">
      <c r="A82" s="1456" t="s">
        <v>699</v>
      </c>
      <c r="B82" s="1457"/>
      <c r="C82" s="1457"/>
      <c r="D82" s="1458"/>
      <c r="E82" s="1451"/>
      <c r="F82" s="1459"/>
    </row>
    <row r="83" spans="1:8" ht="15.75" thickBot="1" x14ac:dyDescent="0.3">
      <c r="A83" s="1460"/>
      <c r="B83" s="1461"/>
      <c r="C83" s="1461"/>
      <c r="D83" s="1462"/>
      <c r="E83" s="1463"/>
      <c r="F83" s="1464"/>
    </row>
    <row r="84" spans="1:8" s="1276" customFormat="1" ht="15.75" thickBot="1" x14ac:dyDescent="0.3">
      <c r="A84" s="1465" t="s">
        <v>40</v>
      </c>
      <c r="B84" s="1432"/>
      <c r="C84" s="1432"/>
      <c r="D84" s="1432"/>
      <c r="E84" s="1466"/>
      <c r="F84" s="1467"/>
    </row>
    <row r="85" spans="1:8" s="1276" customFormat="1" ht="15.75" thickBot="1" x14ac:dyDescent="0.3">
      <c r="A85" s="1468" t="s">
        <v>149</v>
      </c>
      <c r="B85" s="1469">
        <v>400</v>
      </c>
      <c r="C85" s="1470"/>
      <c r="D85" s="1409"/>
      <c r="E85" s="1433"/>
      <c r="F85" s="1471"/>
    </row>
    <row r="86" spans="1:8" s="1276" customFormat="1" ht="15.75" thickBot="1" x14ac:dyDescent="0.3">
      <c r="A86" s="1468" t="s">
        <v>150</v>
      </c>
      <c r="B86" s="1472">
        <v>30</v>
      </c>
      <c r="C86" s="1473"/>
      <c r="D86" s="1409"/>
      <c r="E86" s="1409"/>
      <c r="F86" s="1471"/>
    </row>
    <row r="87" spans="1:8" s="1276" customFormat="1" ht="15.75" thickBot="1" x14ac:dyDescent="0.3">
      <c r="A87" s="1468" t="s">
        <v>700</v>
      </c>
      <c r="B87" s="1469">
        <f>+B86-B85</f>
        <v>-370</v>
      </c>
      <c r="C87" s="1470"/>
      <c r="D87" s="1409"/>
      <c r="E87" s="1409"/>
      <c r="F87" s="1471"/>
    </row>
    <row r="88" spans="1:8" s="1269" customFormat="1" ht="15.75" thickBot="1" x14ac:dyDescent="0.3">
      <c r="A88" s="1474" t="s">
        <v>701</v>
      </c>
      <c r="B88" s="1475">
        <f>B87/1</f>
        <v>-370</v>
      </c>
      <c r="C88" s="1476"/>
      <c r="D88" s="1445"/>
      <c r="E88" s="1445"/>
      <c r="F88" s="1477"/>
    </row>
    <row r="89" spans="1:8" s="1269" customFormat="1" ht="15.75" thickBot="1" x14ac:dyDescent="0.3">
      <c r="A89" s="1478" t="s">
        <v>711</v>
      </c>
      <c r="B89" s="1479"/>
      <c r="C89" s="1479"/>
      <c r="D89" s="1480"/>
      <c r="E89" s="1408"/>
      <c r="F89" s="1477"/>
    </row>
    <row r="90" spans="1:8" s="1269" customFormat="1" ht="15.75" thickBot="1" x14ac:dyDescent="0.3">
      <c r="A90" s="1481"/>
      <c r="B90" s="1482"/>
      <c r="C90" s="1482"/>
      <c r="D90" s="1483"/>
      <c r="E90" s="1484"/>
      <c r="F90" s="1477"/>
    </row>
    <row r="91" spans="1:8" s="1269" customFormat="1" ht="18" customHeight="1" thickBot="1" x14ac:dyDescent="0.3">
      <c r="A91" s="1481"/>
      <c r="B91" s="1485"/>
      <c r="C91" s="1482"/>
      <c r="D91" s="1483"/>
      <c r="E91" s="1484"/>
      <c r="F91" s="1477"/>
    </row>
    <row r="92" spans="1:8" s="1269" customFormat="1" ht="18" customHeight="1" thickBot="1" x14ac:dyDescent="0.3">
      <c r="A92" s="1481"/>
      <c r="B92" s="1485"/>
      <c r="C92" s="1482"/>
      <c r="D92" s="1483"/>
      <c r="E92" s="1484"/>
      <c r="F92" s="1477"/>
    </row>
    <row r="93" spans="1:8" s="1269" customFormat="1" ht="18" customHeight="1" thickBot="1" x14ac:dyDescent="0.3">
      <c r="A93" s="1481"/>
      <c r="B93" s="1485"/>
      <c r="C93" s="1482"/>
      <c r="D93" s="1483"/>
      <c r="E93" s="1484"/>
      <c r="F93" s="1477"/>
    </row>
    <row r="94" spans="1:8" s="1269" customFormat="1" ht="18" customHeight="1" thickBot="1" x14ac:dyDescent="0.3">
      <c r="A94" s="1481"/>
      <c r="B94" s="1485"/>
      <c r="C94" s="1482"/>
      <c r="D94" s="1483"/>
      <c r="E94" s="1484"/>
      <c r="F94" s="1477"/>
    </row>
    <row r="95" spans="1:8" s="1269" customFormat="1" ht="18" customHeight="1" thickBot="1" x14ac:dyDescent="0.3">
      <c r="A95" s="1481"/>
      <c r="B95" s="1485"/>
      <c r="C95" s="1482"/>
      <c r="D95" s="1483"/>
      <c r="E95" s="1484"/>
      <c r="F95" s="1477"/>
    </row>
    <row r="96" spans="1:8" s="1269" customFormat="1" ht="15" x14ac:dyDescent="0.25">
      <c r="A96" s="1481"/>
      <c r="B96" s="1485"/>
      <c r="C96" s="1482"/>
      <c r="D96" s="1483"/>
      <c r="E96" s="1484"/>
      <c r="F96" s="1477"/>
      <c r="H96" s="1269" t="s">
        <v>50</v>
      </c>
    </row>
    <row r="97" spans="1:6" s="1269" customFormat="1" ht="15.75" hidden="1" customHeight="1" x14ac:dyDescent="0.25">
      <c r="A97" s="1481"/>
      <c r="B97" s="1482"/>
      <c r="C97" s="1482"/>
      <c r="D97" s="1483"/>
      <c r="E97" s="1484"/>
      <c r="F97" s="1477" t="s">
        <v>50</v>
      </c>
    </row>
    <row r="98" spans="1:6" s="1269" customFormat="1" ht="15.75" hidden="1" customHeight="1" x14ac:dyDescent="0.25">
      <c r="A98" s="1481"/>
      <c r="B98" s="1482">
        <f>D98</f>
        <v>0</v>
      </c>
      <c r="C98" s="1482"/>
      <c r="D98" s="1483"/>
      <c r="E98" s="1484"/>
      <c r="F98" s="1477"/>
    </row>
    <row r="99" spans="1:6" s="1269" customFormat="1" ht="15" hidden="1" customHeight="1" x14ac:dyDescent="0.25">
      <c r="A99" s="1486"/>
      <c r="B99" s="1482"/>
      <c r="C99" s="1482"/>
      <c r="D99" s="1483"/>
      <c r="E99" s="1484"/>
      <c r="F99" s="1477"/>
    </row>
    <row r="100" spans="1:6" s="1269" customFormat="1" ht="15" hidden="1" customHeight="1" x14ac:dyDescent="0.25">
      <c r="A100" s="1487"/>
      <c r="B100" s="1482"/>
      <c r="C100" s="1482"/>
      <c r="D100" s="1483"/>
      <c r="E100" s="1484"/>
      <c r="F100" s="1477"/>
    </row>
    <row r="101" spans="1:6" s="1269" customFormat="1" ht="15" hidden="1" customHeight="1" x14ac:dyDescent="0.25">
      <c r="A101" s="1488"/>
      <c r="B101" s="1489"/>
      <c r="C101" s="1488"/>
      <c r="D101" s="1490"/>
      <c r="E101" s="1491"/>
      <c r="F101" s="1477"/>
    </row>
    <row r="102" spans="1:6" s="1269" customFormat="1" ht="2.25" customHeight="1" thickBot="1" x14ac:dyDescent="0.3">
      <c r="A102" s="1268"/>
      <c r="B102" s="1492"/>
      <c r="C102" s="1493"/>
      <c r="D102" s="1494"/>
      <c r="E102" s="1491"/>
      <c r="F102" s="1477"/>
    </row>
    <row r="103" spans="1:6" s="1496" customFormat="1" ht="15.75" thickBot="1" x14ac:dyDescent="0.3">
      <c r="A103" s="1465" t="s">
        <v>228</v>
      </c>
      <c r="B103" s="1432"/>
      <c r="C103" s="1432"/>
      <c r="D103" s="1432"/>
      <c r="E103" s="1491"/>
      <c r="F103" s="1495"/>
    </row>
    <row r="104" spans="1:6" s="1496" customFormat="1" ht="15" x14ac:dyDescent="0.25">
      <c r="A104" s="1497" t="s">
        <v>228</v>
      </c>
      <c r="B104" s="1498"/>
      <c r="C104" s="1498"/>
      <c r="D104" s="1499" t="s">
        <v>702</v>
      </c>
      <c r="E104" s="1491"/>
      <c r="F104" s="1495"/>
    </row>
    <row r="105" spans="1:6" s="1496" customFormat="1" ht="15" hidden="1" customHeight="1" x14ac:dyDescent="0.25">
      <c r="A105" s="1487"/>
      <c r="B105" s="1500"/>
      <c r="C105" s="1501"/>
      <c r="D105" s="1492"/>
      <c r="E105" s="1502"/>
      <c r="F105" s="1495"/>
    </row>
    <row r="106" spans="1:6" s="1496" customFormat="1" ht="15" hidden="1" customHeight="1" x14ac:dyDescent="0.25">
      <c r="A106" s="1487"/>
      <c r="B106" s="1500"/>
      <c r="C106" s="1501"/>
      <c r="D106" s="1492"/>
      <c r="E106" s="1284"/>
      <c r="F106" s="1495"/>
    </row>
    <row r="107" spans="1:6" s="1496" customFormat="1" ht="15" customHeight="1" thickBot="1" x14ac:dyDescent="0.3">
      <c r="A107" s="1487" t="s">
        <v>703</v>
      </c>
      <c r="B107" s="1500"/>
      <c r="C107" s="1501"/>
      <c r="D107" s="1492"/>
      <c r="E107" s="1284"/>
      <c r="F107" s="1495"/>
    </row>
    <row r="108" spans="1:6" s="1496" customFormat="1" ht="15" hidden="1" customHeight="1" x14ac:dyDescent="0.25">
      <c r="A108" s="1503"/>
      <c r="B108" s="1128"/>
      <c r="C108" s="1128"/>
      <c r="D108" s="1492"/>
      <c r="E108" s="1284"/>
      <c r="F108" s="1495"/>
    </row>
    <row r="109" spans="1:6" s="1496" customFormat="1" ht="15" hidden="1" customHeight="1" x14ac:dyDescent="0.25">
      <c r="A109" s="1504"/>
      <c r="B109" s="1504"/>
      <c r="C109" s="1128"/>
      <c r="D109" s="1492"/>
      <c r="E109" s="1284"/>
      <c r="F109" s="1495"/>
    </row>
    <row r="110" spans="1:6" s="1496" customFormat="1" ht="15" hidden="1" customHeight="1" x14ac:dyDescent="0.25">
      <c r="A110" s="1505"/>
      <c r="B110" s="1504"/>
      <c r="C110" s="1504"/>
      <c r="D110" s="1492"/>
      <c r="E110" s="1284"/>
      <c r="F110" s="1495"/>
    </row>
    <row r="111" spans="1:6" s="1496" customFormat="1" ht="15" hidden="1" customHeight="1" x14ac:dyDescent="0.25">
      <c r="A111" s="1506"/>
      <c r="B111" s="1128"/>
      <c r="C111" s="1128"/>
      <c r="D111" s="1492"/>
      <c r="E111" s="1482"/>
      <c r="F111" s="1495"/>
    </row>
    <row r="112" spans="1:6" s="1496" customFormat="1" ht="15.75" hidden="1" customHeight="1" x14ac:dyDescent="0.25">
      <c r="A112" s="1507"/>
      <c r="B112" s="1508"/>
      <c r="C112" s="1508"/>
      <c r="D112" s="1509"/>
      <c r="E112" s="1482"/>
      <c r="F112" s="1495"/>
    </row>
    <row r="113" spans="1:8" ht="15.75" hidden="1" customHeight="1" x14ac:dyDescent="0.25">
      <c r="A113" s="1277" t="s">
        <v>230</v>
      </c>
      <c r="B113" s="1273" t="s">
        <v>198</v>
      </c>
      <c r="C113" s="1510" t="s">
        <v>87</v>
      </c>
      <c r="D113" s="1511"/>
      <c r="E113" s="1512"/>
      <c r="F113" s="1459"/>
    </row>
    <row r="114" spans="1:8" ht="15.75" hidden="1" customHeight="1" x14ac:dyDescent="0.25">
      <c r="A114" s="1277">
        <f>+C114/B114</f>
        <v>0</v>
      </c>
      <c r="B114" s="1273">
        <v>584</v>
      </c>
      <c r="C114" s="1513">
        <f>'[11]vers&amp;dépenses '!I75</f>
        <v>0</v>
      </c>
      <c r="D114" s="1514"/>
      <c r="E114" s="1515"/>
      <c r="F114" s="1459"/>
    </row>
    <row r="115" spans="1:8" ht="15.75" hidden="1" customHeight="1" x14ac:dyDescent="0.25">
      <c r="A115" s="1516" t="s">
        <v>208</v>
      </c>
      <c r="B115" s="1517"/>
      <c r="C115" s="1517"/>
      <c r="D115" s="1518"/>
      <c r="E115" s="1519"/>
      <c r="F115" s="1459"/>
    </row>
    <row r="116" spans="1:8" s="1522" customFormat="1" ht="15" hidden="1" customHeight="1" x14ac:dyDescent="0.25">
      <c r="A116" s="1486" t="s">
        <v>704</v>
      </c>
      <c r="B116" s="1488"/>
      <c r="C116" s="1488"/>
      <c r="D116" s="1490"/>
      <c r="E116" s="1520"/>
      <c r="F116" s="1521"/>
    </row>
    <row r="117" spans="1:8" s="1522" customFormat="1" ht="15.75" hidden="1" customHeight="1" x14ac:dyDescent="0.25">
      <c r="A117" s="1523"/>
      <c r="B117" s="1524"/>
      <c r="C117" s="1524"/>
      <c r="D117" s="1525"/>
      <c r="E117" s="1526"/>
      <c r="F117" s="1521"/>
    </row>
    <row r="118" spans="1:8" ht="15.75" thickBot="1" x14ac:dyDescent="0.3">
      <c r="A118" s="1527" t="s">
        <v>231</v>
      </c>
      <c r="B118" s="1528"/>
      <c r="C118" s="1528"/>
      <c r="D118" s="1528"/>
      <c r="E118" s="1529"/>
      <c r="F118" s="1459"/>
    </row>
    <row r="119" spans="1:8" ht="15.75" thickBot="1" x14ac:dyDescent="0.3">
      <c r="A119" s="1530" t="s">
        <v>208</v>
      </c>
      <c r="B119" s="1531"/>
      <c r="C119" s="1531"/>
      <c r="D119" s="1532"/>
      <c r="E119" s="1533"/>
      <c r="F119" s="1459"/>
    </row>
    <row r="120" spans="1:8" ht="15" x14ac:dyDescent="0.25">
      <c r="A120" s="1534" t="s">
        <v>705</v>
      </c>
      <c r="B120" s="1535"/>
      <c r="C120" s="1535"/>
      <c r="D120" s="1536"/>
      <c r="E120" s="1537"/>
      <c r="F120" s="1459"/>
      <c r="G120" s="1459"/>
      <c r="H120" s="1538"/>
    </row>
    <row r="121" spans="1:8" ht="15.75" thickBot="1" x14ac:dyDescent="0.3">
      <c r="A121" s="1539"/>
      <c r="B121" s="1540"/>
      <c r="C121" s="1540"/>
      <c r="D121" s="1541"/>
      <c r="E121" s="1542"/>
      <c r="F121" s="1459"/>
      <c r="G121" s="1459"/>
      <c r="H121" s="1538"/>
    </row>
    <row r="122" spans="1:8" ht="24" thickBot="1" x14ac:dyDescent="0.4">
      <c r="A122" s="1543" t="s">
        <v>706</v>
      </c>
      <c r="B122" s="1544"/>
      <c r="C122" s="1545"/>
      <c r="D122" s="1546"/>
      <c r="E122" s="1547"/>
      <c r="F122" s="1459"/>
      <c r="G122" s="1459"/>
      <c r="H122" s="1538"/>
    </row>
    <row r="123" spans="1:8" ht="24" x14ac:dyDescent="0.4">
      <c r="A123" s="1548"/>
      <c r="B123" s="1459"/>
      <c r="C123" s="1459"/>
      <c r="D123" s="1549"/>
      <c r="E123" s="1459"/>
      <c r="F123" s="1459"/>
      <c r="G123" s="1459"/>
      <c r="H123" s="1538"/>
    </row>
    <row r="124" spans="1:8" x14ac:dyDescent="0.25">
      <c r="A124" s="1550"/>
      <c r="B124" s="1459"/>
      <c r="C124" s="1459"/>
      <c r="D124" s="1549"/>
      <c r="E124" s="1459"/>
      <c r="F124" s="1459"/>
    </row>
    <row r="125" spans="1:8" x14ac:dyDescent="0.25">
      <c r="A125" s="1551"/>
      <c r="B125" s="1459"/>
      <c r="C125" s="1459"/>
      <c r="D125" s="1549"/>
      <c r="E125" s="1459"/>
      <c r="F125" s="1459"/>
    </row>
    <row r="126" spans="1:8" x14ac:dyDescent="0.25">
      <c r="A126" s="1550"/>
      <c r="B126" s="1459"/>
      <c r="C126" s="1459"/>
      <c r="D126" s="1549"/>
      <c r="E126" s="1459"/>
      <c r="F126" s="1459"/>
    </row>
    <row r="127" spans="1:8" x14ac:dyDescent="0.25">
      <c r="A127" s="1550"/>
      <c r="B127" s="1459"/>
      <c r="C127" s="1552"/>
      <c r="D127" s="1553"/>
      <c r="E127" s="1459"/>
      <c r="F127" s="1459"/>
    </row>
    <row r="128" spans="1:8" s="164" customFormat="1" x14ac:dyDescent="0.25">
      <c r="A128" s="1550"/>
      <c r="B128" s="1459"/>
      <c r="C128" s="1552"/>
      <c r="D128" s="1553"/>
      <c r="E128" s="1459"/>
    </row>
    <row r="129" spans="1:6" s="164" customFormat="1" x14ac:dyDescent="0.25">
      <c r="A129" s="1550"/>
      <c r="B129" s="1459"/>
      <c r="C129" s="1552"/>
      <c r="D129" s="1553"/>
      <c r="E129" s="1459"/>
    </row>
    <row r="130" spans="1:6" s="164" customFormat="1" x14ac:dyDescent="0.25">
      <c r="A130" s="1550"/>
      <c r="B130" s="1459"/>
      <c r="C130" s="1552"/>
      <c r="D130" s="1553"/>
      <c r="E130" s="1459"/>
    </row>
    <row r="131" spans="1:6" s="164" customFormat="1" x14ac:dyDescent="0.25">
      <c r="A131" s="1554"/>
      <c r="B131" s="633"/>
      <c r="C131" s="633"/>
      <c r="D131" s="1555"/>
      <c r="E131" s="1459"/>
    </row>
    <row r="132" spans="1:6" x14ac:dyDescent="0.25">
      <c r="A132" s="1554"/>
      <c r="B132" s="633"/>
      <c r="C132" s="633"/>
      <c r="D132" s="1555"/>
      <c r="E132" s="633"/>
      <c r="F132" s="1459"/>
    </row>
    <row r="133" spans="1:6" x14ac:dyDescent="0.25">
      <c r="A133" s="1554"/>
      <c r="B133" s="633"/>
      <c r="C133" s="633"/>
      <c r="D133" s="1555"/>
      <c r="E133" s="633"/>
      <c r="F133" s="1459"/>
    </row>
    <row r="134" spans="1:6" x14ac:dyDescent="0.25">
      <c r="A134" s="1554"/>
      <c r="B134" s="633"/>
      <c r="C134" s="633"/>
      <c r="D134" s="1555"/>
      <c r="E134" s="633"/>
      <c r="F134" s="1459"/>
    </row>
    <row r="135" spans="1:6" ht="15" x14ac:dyDescent="0.25">
      <c r="A135" s="1556"/>
      <c r="B135" s="1557"/>
      <c r="C135" s="1557"/>
      <c r="D135" s="1553"/>
      <c r="E135" s="633"/>
      <c r="F135" s="1459"/>
    </row>
    <row r="136" spans="1:6" ht="24" x14ac:dyDescent="0.4">
      <c r="A136" s="1548"/>
      <c r="B136" s="1558"/>
      <c r="C136" s="1558"/>
      <c r="D136" s="1559"/>
      <c r="E136" s="1459"/>
      <c r="F136" s="1459"/>
    </row>
    <row r="137" spans="1:6" ht="24" x14ac:dyDescent="0.4">
      <c r="A137" s="1548"/>
      <c r="B137" s="1558"/>
      <c r="C137" s="1558"/>
      <c r="D137" s="1560"/>
      <c r="E137" s="1459"/>
      <c r="F137" s="1459"/>
    </row>
    <row r="138" spans="1:6" x14ac:dyDescent="0.25">
      <c r="A138" s="1561"/>
      <c r="B138" s="1471"/>
      <c r="C138" s="1471"/>
      <c r="D138" s="1553"/>
      <c r="E138" s="1459"/>
    </row>
    <row r="139" spans="1:6" x14ac:dyDescent="0.25">
      <c r="A139" s="1550"/>
      <c r="B139" s="1459"/>
      <c r="C139" s="1459"/>
      <c r="D139" s="1553"/>
      <c r="E139" s="1459"/>
    </row>
    <row r="140" spans="1:6" x14ac:dyDescent="0.25">
      <c r="A140" s="1550"/>
      <c r="B140" s="1459"/>
      <c r="C140" s="1459"/>
      <c r="D140" s="1553"/>
      <c r="E140" s="1459"/>
    </row>
    <row r="141" spans="1:6" x14ac:dyDescent="0.25">
      <c r="E141" s="1459"/>
    </row>
  </sheetData>
  <mergeCells count="3">
    <mergeCell ref="C53:D53"/>
    <mergeCell ref="B51:D51"/>
    <mergeCell ref="B46:D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X66"/>
  <sheetViews>
    <sheetView topLeftCell="A2" workbookViewId="0">
      <selection activeCell="J21" sqref="J21"/>
    </sheetView>
  </sheetViews>
  <sheetFormatPr baseColWidth="10" defaultRowHeight="15" x14ac:dyDescent="0.25"/>
  <cols>
    <col min="1" max="4" width="11.42578125" style="688"/>
    <col min="5" max="5" width="12.5703125" style="688" customWidth="1"/>
    <col min="6" max="6" width="17.28515625" style="688" customWidth="1"/>
    <col min="7" max="7" width="14.5703125" style="688" customWidth="1"/>
    <col min="8" max="8" width="13.5703125" style="688" bestFit="1" customWidth="1"/>
    <col min="9" max="10" width="11.42578125" style="688"/>
    <col min="11" max="11" width="14.42578125" style="688" customWidth="1"/>
    <col min="12" max="12" width="13.85546875" style="688" bestFit="1" customWidth="1"/>
    <col min="13" max="13" width="14" style="688" customWidth="1"/>
    <col min="14" max="14" width="13.5703125" style="688" bestFit="1" customWidth="1"/>
    <col min="15" max="19" width="11.42578125" style="688"/>
    <col min="20" max="20" width="12.85546875" style="688" bestFit="1" customWidth="1"/>
    <col min="21" max="16384" width="11.42578125" style="688"/>
  </cols>
  <sheetData>
    <row r="8" spans="1:24" ht="15.75" x14ac:dyDescent="0.25"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4" ht="16.5" x14ac:dyDescent="0.3">
      <c r="D9" s="28" t="s">
        <v>237</v>
      </c>
      <c r="E9" s="28" t="s">
        <v>457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1855"/>
      <c r="Q9" s="1855"/>
      <c r="R9" s="1855"/>
      <c r="S9" s="29"/>
      <c r="T9" s="29"/>
      <c r="U9" s="29"/>
      <c r="V9" s="29"/>
      <c r="W9" s="29"/>
      <c r="X9" s="29"/>
    </row>
    <row r="10" spans="1:24" ht="15.75" x14ac:dyDescent="0.25">
      <c r="D10" s="29"/>
      <c r="E10" s="29"/>
      <c r="F10" s="494"/>
      <c r="G10" s="29"/>
      <c r="H10" s="29"/>
      <c r="I10" s="29"/>
      <c r="J10" s="29"/>
      <c r="K10" s="29"/>
      <c r="L10" s="29"/>
      <c r="M10" s="29"/>
      <c r="N10" s="29"/>
      <c r="O10" s="29"/>
      <c r="P10" s="1855"/>
      <c r="Q10" s="1855"/>
      <c r="R10" s="1855"/>
      <c r="S10" s="29"/>
      <c r="T10" s="29"/>
      <c r="U10" s="29"/>
      <c r="V10" s="29"/>
      <c r="W10" s="29"/>
      <c r="X10" s="29"/>
    </row>
    <row r="11" spans="1:24" ht="16.5" x14ac:dyDescent="0.3">
      <c r="D11" s="28" t="s">
        <v>25</v>
      </c>
      <c r="E11" s="30">
        <v>43647</v>
      </c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 ht="16.5" x14ac:dyDescent="0.3">
      <c r="D12" s="28"/>
      <c r="E12" s="28"/>
      <c r="F12" s="28"/>
      <c r="G12" s="29"/>
      <c r="H12" s="29"/>
      <c r="I12" s="29"/>
      <c r="J12" s="29"/>
      <c r="K12" s="495"/>
      <c r="L12" s="29"/>
      <c r="M12" s="29"/>
      <c r="N12" s="29"/>
      <c r="O12" s="29"/>
      <c r="P12" s="29"/>
      <c r="Q12" s="1855"/>
      <c r="R12" s="1855"/>
      <c r="S12" s="1855"/>
      <c r="T12" s="1855"/>
      <c r="U12" s="1855"/>
      <c r="V12" s="1855"/>
      <c r="W12" s="29"/>
      <c r="X12" s="29"/>
    </row>
    <row r="13" spans="1:24" ht="16.5" x14ac:dyDescent="0.25">
      <c r="D13" s="496" t="s">
        <v>4</v>
      </c>
      <c r="E13" s="497" t="s">
        <v>0</v>
      </c>
      <c r="F13" s="498"/>
      <c r="G13" s="497" t="s">
        <v>3</v>
      </c>
      <c r="H13" s="498"/>
      <c r="I13" s="497" t="s">
        <v>1</v>
      </c>
      <c r="J13" s="498"/>
      <c r="K13" s="1856" t="s">
        <v>2</v>
      </c>
      <c r="L13" s="1856" t="s">
        <v>294</v>
      </c>
      <c r="M13" s="1856" t="s">
        <v>45</v>
      </c>
      <c r="N13" s="1856" t="s">
        <v>241</v>
      </c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 ht="16.5" x14ac:dyDescent="0.25">
      <c r="D14" s="499"/>
      <c r="E14" s="500">
        <v>630</v>
      </c>
      <c r="F14" s="501"/>
      <c r="G14" s="500">
        <v>575</v>
      </c>
      <c r="H14" s="501"/>
      <c r="I14" s="500">
        <v>350</v>
      </c>
      <c r="J14" s="501"/>
      <c r="K14" s="1857"/>
      <c r="L14" s="1857"/>
      <c r="M14" s="1857"/>
      <c r="N14" s="1857"/>
      <c r="O14" s="29"/>
      <c r="P14" s="29"/>
      <c r="Q14" s="1855"/>
      <c r="R14" s="1855"/>
      <c r="S14" s="29"/>
      <c r="T14" s="29"/>
      <c r="U14" s="29"/>
      <c r="V14" s="29"/>
      <c r="W14" s="29"/>
      <c r="X14" s="29"/>
    </row>
    <row r="15" spans="1:24" ht="16.5" x14ac:dyDescent="0.25">
      <c r="D15" s="502"/>
      <c r="E15" s="503" t="s">
        <v>243</v>
      </c>
      <c r="F15" s="503" t="s">
        <v>244</v>
      </c>
      <c r="G15" s="504" t="s">
        <v>243</v>
      </c>
      <c r="H15" s="503" t="s">
        <v>244</v>
      </c>
      <c r="I15" s="503" t="s">
        <v>243</v>
      </c>
      <c r="J15" s="503" t="s">
        <v>244</v>
      </c>
      <c r="K15" s="505"/>
      <c r="L15" s="506"/>
      <c r="M15" s="505"/>
      <c r="N15" s="507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 ht="16.5" x14ac:dyDescent="0.25">
      <c r="A16" s="1853" t="s">
        <v>254</v>
      </c>
      <c r="B16" s="1853"/>
      <c r="C16" s="1854"/>
      <c r="D16" s="553">
        <v>43739</v>
      </c>
      <c r="E16" s="554"/>
      <c r="F16" s="555"/>
      <c r="G16" s="556">
        <f>H16/G14</f>
        <v>0</v>
      </c>
      <c r="H16" s="555"/>
      <c r="I16" s="554"/>
      <c r="J16" s="556"/>
      <c r="K16" s="557"/>
      <c r="L16" s="558"/>
      <c r="M16" s="522">
        <f t="shared" ref="M16:M44" si="0">K16-L16</f>
        <v>0</v>
      </c>
      <c r="N16" s="556">
        <f>N15+K16-L16</f>
        <v>0</v>
      </c>
      <c r="O16" s="29"/>
      <c r="P16" s="1855" t="s">
        <v>238</v>
      </c>
      <c r="Q16" s="1855"/>
      <c r="R16" s="1855"/>
      <c r="S16" s="29"/>
      <c r="T16" s="29"/>
      <c r="U16" s="29"/>
      <c r="V16" s="29"/>
      <c r="W16" s="29"/>
      <c r="X16" s="29"/>
    </row>
    <row r="17" spans="4:24" ht="16.5" x14ac:dyDescent="0.3">
      <c r="D17" s="508">
        <f>+D16+1</f>
        <v>43740</v>
      </c>
      <c r="E17" s="509"/>
      <c r="F17" s="510"/>
      <c r="G17" s="509">
        <f>H17/G14</f>
        <v>0</v>
      </c>
      <c r="H17" s="514"/>
      <c r="I17" s="509"/>
      <c r="J17" s="511"/>
      <c r="K17" s="557"/>
      <c r="L17" s="515"/>
      <c r="M17" s="522">
        <f t="shared" si="0"/>
        <v>0</v>
      </c>
      <c r="N17" s="507">
        <f t="shared" ref="N17:N44" si="1">+N16+K17-L17</f>
        <v>0</v>
      </c>
      <c r="O17" s="29"/>
      <c r="P17" s="1855" t="s">
        <v>253</v>
      </c>
      <c r="Q17" s="1855"/>
      <c r="R17" s="1855"/>
      <c r="S17" s="29"/>
      <c r="T17" s="29"/>
      <c r="U17" s="29"/>
      <c r="V17" s="29"/>
      <c r="W17" s="29"/>
      <c r="X17" s="29"/>
    </row>
    <row r="18" spans="4:24" ht="16.5" x14ac:dyDescent="0.25">
      <c r="D18" s="508">
        <f t="shared" ref="D18:D46" si="2">+D17+1</f>
        <v>43741</v>
      </c>
      <c r="E18" s="509"/>
      <c r="F18" s="510"/>
      <c r="G18" s="509">
        <f>H18/G14</f>
        <v>0</v>
      </c>
      <c r="H18" s="514"/>
      <c r="I18" s="509"/>
      <c r="J18" s="511"/>
      <c r="K18" s="512"/>
      <c r="L18" s="537"/>
      <c r="M18" s="522">
        <f t="shared" si="0"/>
        <v>0</v>
      </c>
      <c r="N18" s="511">
        <f t="shared" si="1"/>
        <v>0</v>
      </c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4:24" ht="16.5" x14ac:dyDescent="0.25">
      <c r="D19" s="508">
        <f t="shared" si="2"/>
        <v>43742</v>
      </c>
      <c r="E19" s="509"/>
      <c r="F19" s="510"/>
      <c r="G19" s="509">
        <f>H19/G14</f>
        <v>0</v>
      </c>
      <c r="H19" s="514"/>
      <c r="I19" s="509"/>
      <c r="J19" s="511"/>
      <c r="K19" s="512"/>
      <c r="L19" s="537"/>
      <c r="M19" s="522">
        <f t="shared" si="0"/>
        <v>0</v>
      </c>
      <c r="N19" s="511">
        <f>+N18+K19-L19</f>
        <v>0</v>
      </c>
      <c r="O19" s="516"/>
      <c r="P19" s="29"/>
      <c r="Q19" s="29" t="s">
        <v>296</v>
      </c>
      <c r="R19" s="29" t="s">
        <v>8</v>
      </c>
      <c r="S19" s="29" t="s">
        <v>297</v>
      </c>
      <c r="T19" s="29"/>
      <c r="U19" s="29"/>
      <c r="V19" s="29"/>
      <c r="W19" s="29"/>
      <c r="X19" s="29"/>
    </row>
    <row r="20" spans="4:24" ht="16.5" x14ac:dyDescent="0.25">
      <c r="D20" s="508">
        <f t="shared" si="2"/>
        <v>43743</v>
      </c>
      <c r="E20" s="509"/>
      <c r="F20" s="510"/>
      <c r="G20" s="509">
        <f>H20/G14</f>
        <v>0</v>
      </c>
      <c r="H20" s="514"/>
      <c r="I20" s="509"/>
      <c r="J20" s="511"/>
      <c r="K20" s="512"/>
      <c r="L20" s="537"/>
      <c r="M20" s="522">
        <f t="shared" si="0"/>
        <v>0</v>
      </c>
      <c r="N20" s="511">
        <f t="shared" si="1"/>
        <v>0</v>
      </c>
      <c r="O20" s="29"/>
      <c r="P20" s="517" t="s">
        <v>4</v>
      </c>
      <c r="Q20" s="517" t="s">
        <v>247</v>
      </c>
      <c r="R20" s="517" t="s">
        <v>248</v>
      </c>
      <c r="S20" s="517" t="s">
        <v>249</v>
      </c>
      <c r="T20" s="517" t="s">
        <v>87</v>
      </c>
      <c r="U20" s="29"/>
      <c r="V20" s="29"/>
    </row>
    <row r="21" spans="4:24" ht="16.5" x14ac:dyDescent="0.25">
      <c r="D21" s="508">
        <f t="shared" si="2"/>
        <v>43744</v>
      </c>
      <c r="E21" s="509"/>
      <c r="F21" s="510"/>
      <c r="G21" s="509">
        <f>H21/G14</f>
        <v>0</v>
      </c>
      <c r="H21" s="514"/>
      <c r="I21" s="509"/>
      <c r="J21" s="511"/>
      <c r="K21" s="512"/>
      <c r="L21" s="537"/>
      <c r="M21" s="522">
        <f t="shared" si="0"/>
        <v>0</v>
      </c>
      <c r="N21" s="511">
        <f t="shared" si="1"/>
        <v>0</v>
      </c>
      <c r="O21" s="29"/>
      <c r="P21" s="518">
        <v>43617</v>
      </c>
      <c r="Q21" s="517" t="s">
        <v>301</v>
      </c>
      <c r="R21" s="519"/>
      <c r="S21" s="520">
        <v>575</v>
      </c>
      <c r="T21" s="520">
        <f>+R21*S21</f>
        <v>0</v>
      </c>
      <c r="U21" s="29"/>
      <c r="V21" s="29"/>
    </row>
    <row r="22" spans="4:24" ht="16.5" x14ac:dyDescent="0.25">
      <c r="D22" s="508">
        <f t="shared" si="2"/>
        <v>43745</v>
      </c>
      <c r="E22" s="509"/>
      <c r="F22" s="510"/>
      <c r="G22" s="509">
        <f>H22/G14</f>
        <v>0</v>
      </c>
      <c r="H22" s="514"/>
      <c r="I22" s="509"/>
      <c r="J22" s="511"/>
      <c r="K22" s="512"/>
      <c r="L22" s="537"/>
      <c r="M22" s="522">
        <f t="shared" si="0"/>
        <v>0</v>
      </c>
      <c r="N22" s="511">
        <f t="shared" si="1"/>
        <v>0</v>
      </c>
      <c r="O22" s="29"/>
      <c r="P22" s="518">
        <v>43618</v>
      </c>
      <c r="Q22" s="517" t="s">
        <v>301</v>
      </c>
      <c r="R22" s="520"/>
      <c r="S22" s="520">
        <v>575</v>
      </c>
      <c r="T22" s="520">
        <f t="shared" ref="T22:T51" si="3">+R22*S22</f>
        <v>0</v>
      </c>
      <c r="U22" s="29"/>
      <c r="V22" s="29"/>
    </row>
    <row r="23" spans="4:24" ht="16.5" x14ac:dyDescent="0.25">
      <c r="D23" s="508">
        <f t="shared" si="2"/>
        <v>43746</v>
      </c>
      <c r="E23" s="509"/>
      <c r="F23" s="510"/>
      <c r="G23" s="509">
        <f>H23/G14</f>
        <v>0</v>
      </c>
      <c r="H23" s="514"/>
      <c r="I23" s="509"/>
      <c r="J23" s="511"/>
      <c r="K23" s="512"/>
      <c r="L23" s="537"/>
      <c r="M23" s="522">
        <f t="shared" si="0"/>
        <v>0</v>
      </c>
      <c r="N23" s="511">
        <f t="shared" si="1"/>
        <v>0</v>
      </c>
      <c r="O23" s="29"/>
      <c r="P23" s="518">
        <v>43619</v>
      </c>
      <c r="Q23" s="517" t="s">
        <v>301</v>
      </c>
      <c r="R23" s="520"/>
      <c r="S23" s="520">
        <v>575</v>
      </c>
      <c r="T23" s="520">
        <f t="shared" si="3"/>
        <v>0</v>
      </c>
      <c r="U23" s="29"/>
      <c r="V23" s="29"/>
    </row>
    <row r="24" spans="4:24" ht="16.5" x14ac:dyDescent="0.25">
      <c r="D24" s="508">
        <f t="shared" si="2"/>
        <v>43747</v>
      </c>
      <c r="E24" s="509"/>
      <c r="F24" s="510"/>
      <c r="G24" s="521">
        <f>H24/G14</f>
        <v>0</v>
      </c>
      <c r="H24" s="514"/>
      <c r="I24" s="509"/>
      <c r="J24" s="522"/>
      <c r="K24" s="512"/>
      <c r="L24" s="537"/>
      <c r="M24" s="522">
        <f t="shared" si="0"/>
        <v>0</v>
      </c>
      <c r="N24" s="522">
        <f t="shared" si="1"/>
        <v>0</v>
      </c>
      <c r="O24" s="29"/>
      <c r="P24" s="518">
        <v>43620</v>
      </c>
      <c r="Q24" s="517" t="s">
        <v>301</v>
      </c>
      <c r="R24" s="520"/>
      <c r="S24" s="520">
        <v>575</v>
      </c>
      <c r="T24" s="520">
        <f t="shared" si="3"/>
        <v>0</v>
      </c>
      <c r="U24" s="29"/>
      <c r="V24" s="29"/>
    </row>
    <row r="25" spans="4:24" ht="16.5" x14ac:dyDescent="0.25">
      <c r="D25" s="508">
        <f t="shared" si="2"/>
        <v>43748</v>
      </c>
      <c r="E25" s="509"/>
      <c r="F25" s="510"/>
      <c r="G25" s="521">
        <f>H25/G14</f>
        <v>0</v>
      </c>
      <c r="H25" s="514"/>
      <c r="I25" s="509"/>
      <c r="J25" s="522"/>
      <c r="K25" s="512"/>
      <c r="L25" s="537"/>
      <c r="M25" s="522">
        <f t="shared" si="0"/>
        <v>0</v>
      </c>
      <c r="N25" s="522">
        <f t="shared" si="1"/>
        <v>0</v>
      </c>
      <c r="O25" s="29"/>
      <c r="P25" s="518">
        <v>43621</v>
      </c>
      <c r="Q25" s="517" t="s">
        <v>301</v>
      </c>
      <c r="R25" s="520"/>
      <c r="S25" s="520">
        <v>575</v>
      </c>
      <c r="T25" s="520">
        <f t="shared" si="3"/>
        <v>0</v>
      </c>
      <c r="U25" s="29"/>
      <c r="V25" s="29"/>
    </row>
    <row r="26" spans="4:24" ht="16.5" x14ac:dyDescent="0.25">
      <c r="D26" s="508">
        <f t="shared" si="2"/>
        <v>43749</v>
      </c>
      <c r="E26" s="509"/>
      <c r="F26" s="510"/>
      <c r="G26" s="521">
        <f>H26/G14</f>
        <v>0</v>
      </c>
      <c r="H26" s="514"/>
      <c r="I26" s="509"/>
      <c r="J26" s="522"/>
      <c r="K26" s="512"/>
      <c r="L26" s="537"/>
      <c r="M26" s="522">
        <f t="shared" si="0"/>
        <v>0</v>
      </c>
      <c r="N26" s="522">
        <f t="shared" si="1"/>
        <v>0</v>
      </c>
      <c r="O26" s="29"/>
      <c r="P26" s="518">
        <v>43622</v>
      </c>
      <c r="Q26" s="517" t="s">
        <v>301</v>
      </c>
      <c r="R26" s="520"/>
      <c r="S26" s="520">
        <v>575</v>
      </c>
      <c r="T26" s="520">
        <f t="shared" si="3"/>
        <v>0</v>
      </c>
      <c r="U26" s="29"/>
      <c r="V26" s="29"/>
    </row>
    <row r="27" spans="4:24" ht="16.5" x14ac:dyDescent="0.25">
      <c r="D27" s="508">
        <f t="shared" si="2"/>
        <v>43750</v>
      </c>
      <c r="E27" s="521"/>
      <c r="F27" s="510"/>
      <c r="G27" s="521">
        <f>+H27/G14</f>
        <v>0</v>
      </c>
      <c r="H27" s="514"/>
      <c r="I27" s="509"/>
      <c r="J27" s="522"/>
      <c r="K27" s="512"/>
      <c r="L27" s="537"/>
      <c r="M27" s="522">
        <f t="shared" si="0"/>
        <v>0</v>
      </c>
      <c r="N27" s="522">
        <f t="shared" si="1"/>
        <v>0</v>
      </c>
      <c r="O27" s="29"/>
      <c r="P27" s="518">
        <v>43623</v>
      </c>
      <c r="Q27" s="517" t="s">
        <v>301</v>
      </c>
      <c r="R27" s="520"/>
      <c r="S27" s="520">
        <v>575</v>
      </c>
      <c r="T27" s="520">
        <f t="shared" si="3"/>
        <v>0</v>
      </c>
      <c r="U27" s="29"/>
      <c r="V27" s="29"/>
    </row>
    <row r="28" spans="4:24" ht="16.5" x14ac:dyDescent="0.25">
      <c r="D28" s="508">
        <f t="shared" si="2"/>
        <v>43751</v>
      </c>
      <c r="E28" s="521"/>
      <c r="F28" s="510"/>
      <c r="G28" s="521">
        <f>H28/G14</f>
        <v>0</v>
      </c>
      <c r="H28" s="514"/>
      <c r="I28" s="509"/>
      <c r="J28" s="522"/>
      <c r="K28" s="512"/>
      <c r="L28" s="537"/>
      <c r="M28" s="522">
        <f t="shared" si="0"/>
        <v>0</v>
      </c>
      <c r="N28" s="522">
        <f t="shared" si="1"/>
        <v>0</v>
      </c>
      <c r="O28" s="29"/>
      <c r="P28" s="518">
        <v>43624</v>
      </c>
      <c r="Q28" s="517" t="s">
        <v>301</v>
      </c>
      <c r="R28" s="520"/>
      <c r="S28" s="520">
        <v>575</v>
      </c>
      <c r="T28" s="520">
        <f t="shared" si="3"/>
        <v>0</v>
      </c>
      <c r="U28" s="29"/>
      <c r="V28" s="29"/>
    </row>
    <row r="29" spans="4:24" ht="16.5" x14ac:dyDescent="0.25">
      <c r="D29" s="508">
        <f t="shared" si="2"/>
        <v>43752</v>
      </c>
      <c r="E29" s="521"/>
      <c r="F29" s="510"/>
      <c r="G29" s="521">
        <f>H29/G14</f>
        <v>0</v>
      </c>
      <c r="H29" s="514"/>
      <c r="I29" s="509"/>
      <c r="J29" s="522"/>
      <c r="K29" s="512"/>
      <c r="L29" s="537"/>
      <c r="M29" s="522">
        <f t="shared" si="0"/>
        <v>0</v>
      </c>
      <c r="N29" s="522">
        <f t="shared" si="1"/>
        <v>0</v>
      </c>
      <c r="O29" s="29"/>
      <c r="P29" s="518">
        <v>43625</v>
      </c>
      <c r="Q29" s="517" t="s">
        <v>301</v>
      </c>
      <c r="R29" s="520"/>
      <c r="S29" s="520">
        <v>575</v>
      </c>
      <c r="T29" s="520">
        <f t="shared" si="3"/>
        <v>0</v>
      </c>
      <c r="U29" s="29"/>
      <c r="V29" s="29"/>
    </row>
    <row r="30" spans="4:24" ht="16.5" x14ac:dyDescent="0.25">
      <c r="D30" s="508">
        <f t="shared" si="2"/>
        <v>43753</v>
      </c>
      <c r="E30" s="521"/>
      <c r="F30" s="510"/>
      <c r="G30" s="521">
        <f>H30/G14</f>
        <v>0</v>
      </c>
      <c r="H30" s="514"/>
      <c r="I30" s="521"/>
      <c r="J30" s="522"/>
      <c r="K30" s="512"/>
      <c r="L30" s="537"/>
      <c r="M30" s="522">
        <f t="shared" si="0"/>
        <v>0</v>
      </c>
      <c r="N30" s="522">
        <f t="shared" si="1"/>
        <v>0</v>
      </c>
      <c r="O30" s="29"/>
      <c r="P30" s="518">
        <v>43626</v>
      </c>
      <c r="Q30" s="517" t="s">
        <v>301</v>
      </c>
      <c r="R30" s="520"/>
      <c r="S30" s="520">
        <v>575</v>
      </c>
      <c r="T30" s="520">
        <f t="shared" si="3"/>
        <v>0</v>
      </c>
      <c r="U30" s="29"/>
      <c r="V30" s="29"/>
    </row>
    <row r="31" spans="4:24" ht="16.5" x14ac:dyDescent="0.25">
      <c r="D31" s="508">
        <f t="shared" si="2"/>
        <v>43754</v>
      </c>
      <c r="E31" s="521"/>
      <c r="F31" s="510"/>
      <c r="G31" s="521">
        <f>H31/G14</f>
        <v>0</v>
      </c>
      <c r="H31" s="514"/>
      <c r="I31" s="521"/>
      <c r="J31" s="522"/>
      <c r="K31" s="512"/>
      <c r="L31" s="537"/>
      <c r="M31" s="522">
        <f t="shared" si="0"/>
        <v>0</v>
      </c>
      <c r="N31" s="522">
        <f t="shared" si="1"/>
        <v>0</v>
      </c>
      <c r="O31" s="29"/>
      <c r="P31" s="518">
        <v>43627</v>
      </c>
      <c r="Q31" s="517" t="s">
        <v>301</v>
      </c>
      <c r="R31" s="520"/>
      <c r="S31" s="520">
        <v>575</v>
      </c>
      <c r="T31" s="520">
        <f t="shared" si="3"/>
        <v>0</v>
      </c>
      <c r="U31" s="29"/>
      <c r="V31" s="29"/>
    </row>
    <row r="32" spans="4:24" ht="16.5" x14ac:dyDescent="0.25">
      <c r="D32" s="508">
        <f t="shared" si="2"/>
        <v>43755</v>
      </c>
      <c r="E32" s="521"/>
      <c r="F32" s="510"/>
      <c r="G32" s="521">
        <f>H32/G14</f>
        <v>0</v>
      </c>
      <c r="H32" s="510"/>
      <c r="I32" s="521"/>
      <c r="J32" s="522"/>
      <c r="K32" s="512"/>
      <c r="L32" s="537"/>
      <c r="M32" s="522">
        <f t="shared" si="0"/>
        <v>0</v>
      </c>
      <c r="N32" s="522">
        <f t="shared" si="1"/>
        <v>0</v>
      </c>
      <c r="O32" s="29"/>
      <c r="P32" s="518">
        <v>43628</v>
      </c>
      <c r="Q32" s="517" t="s">
        <v>301</v>
      </c>
      <c r="R32" s="520"/>
      <c r="S32" s="520">
        <v>575</v>
      </c>
      <c r="T32" s="520">
        <f t="shared" si="3"/>
        <v>0</v>
      </c>
      <c r="U32" s="29"/>
      <c r="V32" s="29"/>
    </row>
    <row r="33" spans="4:24" ht="16.5" x14ac:dyDescent="0.3">
      <c r="D33" s="508">
        <f t="shared" si="2"/>
        <v>43756</v>
      </c>
      <c r="E33" s="521"/>
      <c r="F33" s="510"/>
      <c r="G33" s="521">
        <f>H33/G14</f>
        <v>0</v>
      </c>
      <c r="H33" s="510"/>
      <c r="I33" s="521"/>
      <c r="J33" s="522"/>
      <c r="K33" s="512"/>
      <c r="L33" s="537"/>
      <c r="M33" s="522">
        <f t="shared" si="0"/>
        <v>0</v>
      </c>
      <c r="N33" s="522">
        <f t="shared" si="1"/>
        <v>0</v>
      </c>
      <c r="O33" s="523"/>
      <c r="P33" s="518">
        <v>43629</v>
      </c>
      <c r="Q33" s="517" t="s">
        <v>301</v>
      </c>
      <c r="R33" s="520"/>
      <c r="S33" s="520">
        <v>575</v>
      </c>
      <c r="T33" s="520">
        <f t="shared" si="3"/>
        <v>0</v>
      </c>
      <c r="U33" s="29"/>
      <c r="V33" s="29"/>
    </row>
    <row r="34" spans="4:24" ht="16.5" x14ac:dyDescent="0.25">
      <c r="D34" s="508">
        <f t="shared" si="2"/>
        <v>43757</v>
      </c>
      <c r="E34" s="521"/>
      <c r="F34" s="510"/>
      <c r="G34" s="521">
        <f>H34/G14</f>
        <v>0</v>
      </c>
      <c r="H34" s="510"/>
      <c r="I34" s="521"/>
      <c r="J34" s="522"/>
      <c r="K34" s="512"/>
      <c r="L34" s="537"/>
      <c r="M34" s="522">
        <f>K34-L34</f>
        <v>0</v>
      </c>
      <c r="N34" s="522">
        <f t="shared" si="1"/>
        <v>0</v>
      </c>
      <c r="O34" s="29"/>
      <c r="P34" s="518">
        <v>43630</v>
      </c>
      <c r="Q34" s="517" t="s">
        <v>301</v>
      </c>
      <c r="R34" s="520"/>
      <c r="S34" s="520">
        <v>575</v>
      </c>
      <c r="T34" s="520">
        <f t="shared" si="3"/>
        <v>0</v>
      </c>
      <c r="U34" s="29"/>
      <c r="V34" s="29"/>
    </row>
    <row r="35" spans="4:24" ht="16.5" x14ac:dyDescent="0.25">
      <c r="D35" s="508">
        <f t="shared" si="2"/>
        <v>43758</v>
      </c>
      <c r="E35" s="521"/>
      <c r="F35" s="510"/>
      <c r="G35" s="521">
        <f>H35/G14</f>
        <v>0</v>
      </c>
      <c r="H35" s="510"/>
      <c r="I35" s="521"/>
      <c r="J35" s="522"/>
      <c r="K35" s="512"/>
      <c r="L35" s="537"/>
      <c r="M35" s="522">
        <f t="shared" si="0"/>
        <v>0</v>
      </c>
      <c r="N35" s="522">
        <f t="shared" si="1"/>
        <v>0</v>
      </c>
      <c r="O35" s="29"/>
      <c r="P35" s="518">
        <v>43631</v>
      </c>
      <c r="Q35" s="517" t="s">
        <v>301</v>
      </c>
      <c r="R35" s="520"/>
      <c r="S35" s="520">
        <v>575</v>
      </c>
      <c r="T35" s="520">
        <f t="shared" si="3"/>
        <v>0</v>
      </c>
      <c r="U35" s="29"/>
      <c r="V35" s="29"/>
    </row>
    <row r="36" spans="4:24" ht="16.5" x14ac:dyDescent="0.25">
      <c r="D36" s="508">
        <f t="shared" si="2"/>
        <v>43759</v>
      </c>
      <c r="E36" s="521"/>
      <c r="F36" s="510"/>
      <c r="G36" s="521">
        <f>H36/G14</f>
        <v>0</v>
      </c>
      <c r="H36" s="510"/>
      <c r="I36" s="521"/>
      <c r="J36" s="522"/>
      <c r="K36" s="512"/>
      <c r="L36" s="537"/>
      <c r="M36" s="522">
        <f t="shared" si="0"/>
        <v>0</v>
      </c>
      <c r="N36" s="522">
        <f t="shared" si="1"/>
        <v>0</v>
      </c>
      <c r="O36" s="29"/>
      <c r="P36" s="518">
        <v>43632</v>
      </c>
      <c r="Q36" s="517" t="s">
        <v>301</v>
      </c>
      <c r="R36" s="520"/>
      <c r="S36" s="520">
        <v>575</v>
      </c>
      <c r="T36" s="520">
        <f t="shared" si="3"/>
        <v>0</v>
      </c>
      <c r="U36" s="29"/>
      <c r="V36" s="29"/>
    </row>
    <row r="37" spans="4:24" ht="16.5" x14ac:dyDescent="0.25">
      <c r="D37" s="508">
        <f t="shared" si="2"/>
        <v>43760</v>
      </c>
      <c r="E37" s="521"/>
      <c r="F37" s="510"/>
      <c r="G37" s="521">
        <f>H37/G14</f>
        <v>0</v>
      </c>
      <c r="H37" s="510"/>
      <c r="I37" s="521"/>
      <c r="J37" s="522"/>
      <c r="K37" s="512"/>
      <c r="L37" s="538"/>
      <c r="M37" s="522">
        <f t="shared" si="0"/>
        <v>0</v>
      </c>
      <c r="N37" s="522">
        <f t="shared" si="1"/>
        <v>0</v>
      </c>
      <c r="O37" s="29"/>
      <c r="P37" s="518">
        <v>43633</v>
      </c>
      <c r="Q37" s="517" t="s">
        <v>301</v>
      </c>
      <c r="R37" s="520"/>
      <c r="S37" s="520">
        <v>575</v>
      </c>
      <c r="T37" s="520">
        <f t="shared" si="3"/>
        <v>0</v>
      </c>
      <c r="U37" s="29"/>
      <c r="V37" s="29"/>
    </row>
    <row r="38" spans="4:24" ht="16.5" x14ac:dyDescent="0.25">
      <c r="D38" s="508">
        <f t="shared" si="2"/>
        <v>43761</v>
      </c>
      <c r="E38" s="521"/>
      <c r="F38" s="510"/>
      <c r="G38" s="521">
        <f>H38/G14</f>
        <v>0</v>
      </c>
      <c r="H38" s="510"/>
      <c r="I38" s="521"/>
      <c r="J38" s="522"/>
      <c r="K38" s="512"/>
      <c r="L38" s="538"/>
      <c r="M38" s="522">
        <f t="shared" si="0"/>
        <v>0</v>
      </c>
      <c r="N38" s="522">
        <f t="shared" si="1"/>
        <v>0</v>
      </c>
      <c r="O38" s="29"/>
      <c r="P38" s="518">
        <v>43634</v>
      </c>
      <c r="Q38" s="517" t="s">
        <v>301</v>
      </c>
      <c r="R38" s="520"/>
      <c r="S38" s="520">
        <v>575</v>
      </c>
      <c r="T38" s="520">
        <f t="shared" si="3"/>
        <v>0</v>
      </c>
      <c r="U38" s="29"/>
      <c r="V38" s="29"/>
    </row>
    <row r="39" spans="4:24" ht="16.5" x14ac:dyDescent="0.25">
      <c r="D39" s="508">
        <f t="shared" si="2"/>
        <v>43762</v>
      </c>
      <c r="E39" s="509"/>
      <c r="F39" s="510"/>
      <c r="G39" s="521">
        <f>H39/G14</f>
        <v>0</v>
      </c>
      <c r="H39" s="510"/>
      <c r="I39" s="509"/>
      <c r="J39" s="511"/>
      <c r="K39" s="512"/>
      <c r="L39" s="538"/>
      <c r="M39" s="522">
        <f t="shared" si="0"/>
        <v>0</v>
      </c>
      <c r="N39" s="522">
        <f t="shared" si="1"/>
        <v>0</v>
      </c>
      <c r="O39" s="181" t="s">
        <v>50</v>
      </c>
      <c r="P39" s="518">
        <v>43635</v>
      </c>
      <c r="Q39" s="517" t="s">
        <v>301</v>
      </c>
      <c r="R39" s="520"/>
      <c r="S39" s="520">
        <v>575</v>
      </c>
      <c r="T39" s="520">
        <f t="shared" si="3"/>
        <v>0</v>
      </c>
      <c r="U39" s="29"/>
      <c r="V39" s="29"/>
    </row>
    <row r="40" spans="4:24" ht="16.5" x14ac:dyDescent="0.25">
      <c r="D40" s="508">
        <f t="shared" si="2"/>
        <v>43763</v>
      </c>
      <c r="E40" s="509"/>
      <c r="F40" s="510"/>
      <c r="G40" s="509">
        <f>H40/G14</f>
        <v>0</v>
      </c>
      <c r="H40" s="510"/>
      <c r="I40" s="509"/>
      <c r="J40" s="511"/>
      <c r="K40" s="512"/>
      <c r="L40" s="537"/>
      <c r="M40" s="522">
        <f t="shared" si="0"/>
        <v>0</v>
      </c>
      <c r="N40" s="522">
        <f t="shared" si="1"/>
        <v>0</v>
      </c>
      <c r="O40" s="29"/>
      <c r="P40" s="518">
        <v>43636</v>
      </c>
      <c r="Q40" s="517" t="s">
        <v>301</v>
      </c>
      <c r="R40" s="520"/>
      <c r="S40" s="520">
        <v>575</v>
      </c>
      <c r="T40" s="520">
        <f t="shared" si="3"/>
        <v>0</v>
      </c>
      <c r="U40" s="29"/>
      <c r="V40" s="29"/>
    </row>
    <row r="41" spans="4:24" ht="16.5" x14ac:dyDescent="0.25">
      <c r="D41" s="508">
        <f t="shared" si="2"/>
        <v>43764</v>
      </c>
      <c r="E41" s="509"/>
      <c r="F41" s="510"/>
      <c r="G41" s="509">
        <f>H41/G14</f>
        <v>0</v>
      </c>
      <c r="H41" s="510"/>
      <c r="I41" s="509"/>
      <c r="J41" s="511"/>
      <c r="K41" s="512"/>
      <c r="L41" s="537"/>
      <c r="M41" s="511">
        <f t="shared" si="0"/>
        <v>0</v>
      </c>
      <c r="N41" s="522">
        <f t="shared" si="1"/>
        <v>0</v>
      </c>
      <c r="O41" s="29"/>
      <c r="P41" s="518">
        <v>43637</v>
      </c>
      <c r="Q41" s="517" t="s">
        <v>301</v>
      </c>
      <c r="R41" s="520"/>
      <c r="S41" s="520">
        <v>575</v>
      </c>
      <c r="T41" s="520">
        <f t="shared" si="3"/>
        <v>0</v>
      </c>
      <c r="U41" s="29"/>
      <c r="V41" s="29"/>
    </row>
    <row r="42" spans="4:24" ht="16.5" x14ac:dyDescent="0.25">
      <c r="D42" s="508">
        <f t="shared" si="2"/>
        <v>43765</v>
      </c>
      <c r="E42" s="509"/>
      <c r="F42" s="510"/>
      <c r="G42" s="509">
        <f>H42/G14</f>
        <v>0</v>
      </c>
      <c r="H42" s="510"/>
      <c r="I42" s="509"/>
      <c r="J42" s="511"/>
      <c r="K42" s="512"/>
      <c r="L42" s="537"/>
      <c r="M42" s="511">
        <f t="shared" si="0"/>
        <v>0</v>
      </c>
      <c r="N42" s="511">
        <f t="shared" si="1"/>
        <v>0</v>
      </c>
      <c r="O42" s="29"/>
      <c r="P42" s="518">
        <v>43638</v>
      </c>
      <c r="Q42" s="517" t="s">
        <v>301</v>
      </c>
      <c r="R42" s="520"/>
      <c r="S42" s="520">
        <v>575</v>
      </c>
      <c r="T42" s="520">
        <f t="shared" si="3"/>
        <v>0</v>
      </c>
      <c r="U42" s="29"/>
      <c r="V42" s="29"/>
    </row>
    <row r="43" spans="4:24" ht="16.5" x14ac:dyDescent="0.25">
      <c r="D43" s="508">
        <f t="shared" si="2"/>
        <v>43766</v>
      </c>
      <c r="E43" s="509"/>
      <c r="F43" s="510"/>
      <c r="G43" s="509">
        <f>H43/G14</f>
        <v>0</v>
      </c>
      <c r="H43" s="510"/>
      <c r="I43" s="509"/>
      <c r="J43" s="511"/>
      <c r="K43" s="512"/>
      <c r="L43" s="537"/>
      <c r="M43" s="511">
        <f t="shared" si="0"/>
        <v>0</v>
      </c>
      <c r="N43" s="511">
        <f t="shared" si="1"/>
        <v>0</v>
      </c>
      <c r="O43" s="29"/>
      <c r="P43" s="518">
        <v>43639</v>
      </c>
      <c r="Q43" s="517" t="s">
        <v>301</v>
      </c>
      <c r="R43" s="520"/>
      <c r="S43" s="520">
        <v>575</v>
      </c>
      <c r="T43" s="520">
        <f t="shared" si="3"/>
        <v>0</v>
      </c>
      <c r="U43" s="29"/>
      <c r="V43" s="29"/>
      <c r="W43" s="29"/>
      <c r="X43" s="29"/>
    </row>
    <row r="44" spans="4:24" ht="16.5" x14ac:dyDescent="0.25">
      <c r="D44" s="508">
        <f t="shared" si="2"/>
        <v>43767</v>
      </c>
      <c r="E44" s="509"/>
      <c r="F44" s="510"/>
      <c r="G44" s="509">
        <f>H44/G14</f>
        <v>0</v>
      </c>
      <c r="H44" s="510"/>
      <c r="I44" s="509"/>
      <c r="J44" s="511"/>
      <c r="K44" s="512"/>
      <c r="L44" s="537"/>
      <c r="M44" s="511">
        <f t="shared" si="0"/>
        <v>0</v>
      </c>
      <c r="N44" s="511">
        <f t="shared" si="1"/>
        <v>0</v>
      </c>
      <c r="O44" s="29"/>
      <c r="P44" s="518">
        <v>43640</v>
      </c>
      <c r="Q44" s="517" t="s">
        <v>301</v>
      </c>
      <c r="R44" s="520"/>
      <c r="S44" s="520">
        <v>575</v>
      </c>
      <c r="T44" s="520">
        <f t="shared" si="3"/>
        <v>0</v>
      </c>
      <c r="U44" s="29"/>
      <c r="V44" s="29"/>
      <c r="W44" s="29"/>
      <c r="X44" s="29"/>
    </row>
    <row r="45" spans="4:24" ht="16.5" x14ac:dyDescent="0.25">
      <c r="D45" s="508">
        <f t="shared" si="2"/>
        <v>43768</v>
      </c>
      <c r="E45" s="509"/>
      <c r="F45" s="510"/>
      <c r="G45" s="509">
        <f>H45/G14</f>
        <v>0</v>
      </c>
      <c r="H45" s="510"/>
      <c r="I45" s="509"/>
      <c r="J45" s="511"/>
      <c r="K45" s="512"/>
      <c r="L45" s="513"/>
      <c r="M45" s="511">
        <f>K45-L45</f>
        <v>0</v>
      </c>
      <c r="N45" s="511">
        <f>+N44+K45-L45</f>
        <v>0</v>
      </c>
      <c r="O45" s="29"/>
      <c r="P45" s="518">
        <v>43641</v>
      </c>
      <c r="Q45" s="517" t="s">
        <v>301</v>
      </c>
      <c r="R45" s="520"/>
      <c r="S45" s="520">
        <v>575</v>
      </c>
      <c r="T45" s="520">
        <f t="shared" si="3"/>
        <v>0</v>
      </c>
      <c r="U45" s="29"/>
      <c r="V45" s="29"/>
      <c r="W45" s="29"/>
      <c r="X45" s="29"/>
    </row>
    <row r="46" spans="4:24" ht="16.5" x14ac:dyDescent="0.25">
      <c r="D46" s="508">
        <f t="shared" si="2"/>
        <v>43769</v>
      </c>
      <c r="E46" s="509"/>
      <c r="F46" s="510"/>
      <c r="G46" s="509">
        <f>H46/G14</f>
        <v>0</v>
      </c>
      <c r="H46" s="510"/>
      <c r="I46" s="509"/>
      <c r="J46" s="511"/>
      <c r="K46" s="512"/>
      <c r="L46" s="510"/>
      <c r="M46" s="511">
        <f>K46-L46</f>
        <v>0</v>
      </c>
      <c r="N46" s="524">
        <f>+N45+K46-L46</f>
        <v>0</v>
      </c>
      <c r="O46" s="29"/>
      <c r="P46" s="518">
        <v>43642</v>
      </c>
      <c r="Q46" s="517" t="s">
        <v>301</v>
      </c>
      <c r="R46" s="520"/>
      <c r="S46" s="520">
        <v>575</v>
      </c>
      <c r="T46" s="520">
        <f t="shared" si="3"/>
        <v>0</v>
      </c>
      <c r="U46" s="1855"/>
      <c r="V46" s="1855"/>
      <c r="W46" s="29"/>
      <c r="X46" s="29"/>
    </row>
    <row r="47" spans="4:24" ht="16.5" x14ac:dyDescent="0.25">
      <c r="D47" s="525" t="s">
        <v>2</v>
      </c>
      <c r="E47" s="512"/>
      <c r="F47" s="512">
        <f t="shared" ref="F47:L47" si="4">SUM(F16:F46)</f>
        <v>0</v>
      </c>
      <c r="G47" s="526">
        <f>SUM(G16:G46)</f>
        <v>0</v>
      </c>
      <c r="H47" s="512">
        <f t="shared" si="4"/>
        <v>0</v>
      </c>
      <c r="I47" s="512"/>
      <c r="J47" s="512">
        <f t="shared" si="4"/>
        <v>0</v>
      </c>
      <c r="K47" s="527">
        <f t="shared" si="4"/>
        <v>0</v>
      </c>
      <c r="L47" s="527">
        <f t="shared" si="4"/>
        <v>0</v>
      </c>
      <c r="M47" s="524">
        <f>SUM(M15:M46)</f>
        <v>0</v>
      </c>
      <c r="N47" s="528"/>
      <c r="O47" s="29"/>
      <c r="P47" s="518">
        <v>43643</v>
      </c>
      <c r="Q47" s="517" t="s">
        <v>301</v>
      </c>
      <c r="R47" s="520"/>
      <c r="S47" s="520">
        <v>575</v>
      </c>
      <c r="T47" s="520">
        <f t="shared" si="3"/>
        <v>0</v>
      </c>
      <c r="U47" s="29"/>
      <c r="V47" s="29"/>
      <c r="W47" s="29"/>
      <c r="X47" s="29"/>
    </row>
    <row r="48" spans="4:24" ht="15.75" x14ac:dyDescent="0.25">
      <c r="D48" s="529"/>
      <c r="E48" s="529"/>
      <c r="F48" s="529"/>
      <c r="G48" s="530"/>
      <c r="H48" s="529"/>
      <c r="I48" s="529"/>
      <c r="J48" s="529"/>
      <c r="K48" s="529"/>
      <c r="L48" s="529"/>
      <c r="M48" s="529"/>
      <c r="N48" s="529"/>
      <c r="O48" s="29"/>
      <c r="P48" s="518">
        <v>43644</v>
      </c>
      <c r="Q48" s="517" t="s">
        <v>301</v>
      </c>
      <c r="R48" s="520"/>
      <c r="S48" s="520">
        <v>575</v>
      </c>
      <c r="T48" s="520">
        <f t="shared" si="3"/>
        <v>0</v>
      </c>
      <c r="U48" s="29"/>
      <c r="V48" s="29"/>
      <c r="W48" s="29"/>
      <c r="X48" s="29"/>
    </row>
    <row r="49" spans="4:24" ht="15.75" x14ac:dyDescent="0.25">
      <c r="D49" s="37" t="s">
        <v>114</v>
      </c>
      <c r="E49" s="37" t="s">
        <v>115</v>
      </c>
      <c r="F49" s="37" t="s">
        <v>44</v>
      </c>
      <c r="G49" s="531" t="s">
        <v>87</v>
      </c>
      <c r="H49" s="29"/>
      <c r="I49" s="29"/>
      <c r="J49" s="29"/>
      <c r="K49" s="29"/>
      <c r="L49" s="29"/>
      <c r="M49" s="29"/>
      <c r="N49" s="29"/>
      <c r="O49" s="29"/>
      <c r="P49" s="518">
        <v>43645</v>
      </c>
      <c r="Q49" s="517" t="s">
        <v>301</v>
      </c>
      <c r="R49" s="520"/>
      <c r="S49" s="520">
        <v>575</v>
      </c>
      <c r="T49" s="520">
        <f t="shared" si="3"/>
        <v>0</v>
      </c>
      <c r="U49" s="29"/>
      <c r="V49" s="29"/>
      <c r="W49" s="29"/>
      <c r="X49" s="29"/>
    </row>
    <row r="50" spans="4:24" ht="15.75" x14ac:dyDescent="0.25">
      <c r="D50" s="37" t="s">
        <v>0</v>
      </c>
      <c r="E50" s="532">
        <f>E47</f>
        <v>0</v>
      </c>
      <c r="F50" s="37">
        <v>0</v>
      </c>
      <c r="G50" s="531">
        <f>E50*F50</f>
        <v>0</v>
      </c>
      <c r="H50" s="29"/>
      <c r="I50" s="29"/>
      <c r="J50" s="29"/>
      <c r="K50" s="29"/>
      <c r="L50" s="29"/>
      <c r="M50" s="29"/>
      <c r="N50" s="29"/>
      <c r="O50" s="29"/>
      <c r="P50" s="518">
        <v>43646</v>
      </c>
      <c r="Q50" s="517" t="s">
        <v>301</v>
      </c>
      <c r="R50" s="520"/>
      <c r="S50" s="520">
        <v>575</v>
      </c>
      <c r="T50" s="520">
        <f t="shared" si="3"/>
        <v>0</v>
      </c>
      <c r="U50" s="29"/>
      <c r="V50" s="29"/>
      <c r="W50" s="29"/>
      <c r="X50" s="29"/>
    </row>
    <row r="51" spans="4:24" ht="15.75" x14ac:dyDescent="0.25">
      <c r="D51" s="37" t="s">
        <v>3</v>
      </c>
      <c r="E51" s="531">
        <f>G47</f>
        <v>0</v>
      </c>
      <c r="F51" s="37"/>
      <c r="G51" s="531">
        <f>E51*F51</f>
        <v>0</v>
      </c>
      <c r="H51" s="29"/>
      <c r="I51" s="29"/>
      <c r="J51" s="29"/>
      <c r="K51" s="516"/>
      <c r="L51" s="516"/>
      <c r="M51" s="516"/>
      <c r="N51" s="29"/>
      <c r="O51" s="29"/>
      <c r="P51" s="518"/>
      <c r="Q51" s="517" t="s">
        <v>301</v>
      </c>
      <c r="R51" s="520"/>
      <c r="S51" s="520">
        <v>575</v>
      </c>
      <c r="T51" s="520">
        <f t="shared" si="3"/>
        <v>0</v>
      </c>
      <c r="U51" s="29"/>
      <c r="V51" s="29"/>
      <c r="W51" s="29"/>
      <c r="X51" s="29"/>
    </row>
    <row r="52" spans="4:24" ht="15.75" x14ac:dyDescent="0.25">
      <c r="D52" s="37" t="s">
        <v>1</v>
      </c>
      <c r="E52" s="532">
        <f>I47</f>
        <v>0</v>
      </c>
      <c r="F52" s="37">
        <v>0</v>
      </c>
      <c r="G52" s="531">
        <f>E52*F52</f>
        <v>0</v>
      </c>
      <c r="H52" s="494"/>
      <c r="I52" s="29"/>
      <c r="J52" s="29"/>
      <c r="K52" s="29"/>
      <c r="L52" s="533"/>
      <c r="M52" s="29"/>
      <c r="N52" s="516"/>
      <c r="O52" s="29"/>
      <c r="P52" s="517" t="s">
        <v>2</v>
      </c>
      <c r="Q52" s="520"/>
      <c r="R52" s="519">
        <f>SUM(R21:R51)</f>
        <v>0</v>
      </c>
      <c r="S52" s="520"/>
      <c r="T52" s="520">
        <f>SUM(T21:T51)</f>
        <v>0</v>
      </c>
      <c r="U52" s="29"/>
      <c r="V52" s="29"/>
      <c r="W52" s="29"/>
      <c r="X52" s="29"/>
    </row>
    <row r="53" spans="4:24" ht="15.75" x14ac:dyDescent="0.25">
      <c r="D53" s="874" t="s">
        <v>2</v>
      </c>
      <c r="E53" s="875"/>
      <c r="F53" s="876"/>
      <c r="G53" s="531">
        <f>SUM(G50:G52)</f>
        <v>0</v>
      </c>
      <c r="H53" s="29"/>
      <c r="I53" s="29"/>
      <c r="J53" s="29"/>
      <c r="K53" s="29"/>
      <c r="L53" s="29"/>
      <c r="M53" s="29"/>
      <c r="N53" s="516"/>
      <c r="O53" s="29"/>
      <c r="P53" s="516"/>
      <c r="Q53" s="29"/>
      <c r="R53" s="29"/>
      <c r="S53" s="29"/>
      <c r="T53" s="29"/>
      <c r="U53" s="29"/>
      <c r="V53" s="29"/>
      <c r="W53" s="29"/>
      <c r="X53" s="29"/>
    </row>
    <row r="54" spans="4:24" ht="15.75" x14ac:dyDescent="0.25"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4:24" ht="16.5" x14ac:dyDescent="0.3">
      <c r="D55" s="29"/>
      <c r="E55" s="29"/>
      <c r="F55" s="28" t="s">
        <v>252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4:24" ht="15.75" x14ac:dyDescent="0.25"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4:24" ht="15.75" x14ac:dyDescent="0.25">
      <c r="P57" s="29"/>
      <c r="Q57" s="29"/>
      <c r="R57" s="29"/>
      <c r="S57" s="29"/>
      <c r="T57" s="29"/>
    </row>
    <row r="58" spans="4:24" ht="15.75" x14ac:dyDescent="0.25">
      <c r="P58" s="29"/>
      <c r="Q58" s="29"/>
      <c r="R58" s="29"/>
      <c r="S58" s="29"/>
      <c r="T58" s="29"/>
    </row>
    <row r="59" spans="4:24" ht="15.75" x14ac:dyDescent="0.25">
      <c r="P59" s="29"/>
      <c r="Q59" s="29"/>
      <c r="R59" s="29"/>
      <c r="S59" s="29"/>
      <c r="T59" s="29"/>
    </row>
    <row r="60" spans="4:24" ht="15.75" x14ac:dyDescent="0.25">
      <c r="P60" s="29"/>
      <c r="Q60" s="29"/>
      <c r="R60" s="29"/>
      <c r="S60" s="29"/>
      <c r="T60" s="29"/>
    </row>
    <row r="61" spans="4:24" ht="15.75" x14ac:dyDescent="0.25">
      <c r="P61" s="29"/>
      <c r="Q61" s="29"/>
      <c r="R61" s="29"/>
      <c r="S61" s="29"/>
      <c r="T61" s="29"/>
    </row>
    <row r="62" spans="4:24" ht="15.75" x14ac:dyDescent="0.25">
      <c r="P62" s="29"/>
      <c r="Q62" s="29"/>
      <c r="R62" s="29"/>
      <c r="S62" s="29"/>
      <c r="T62" s="29"/>
    </row>
    <row r="63" spans="4:24" ht="15.75" x14ac:dyDescent="0.25">
      <c r="P63" s="29"/>
      <c r="Q63" s="29"/>
      <c r="R63" s="29"/>
      <c r="S63" s="29"/>
      <c r="T63" s="29"/>
    </row>
    <row r="64" spans="4:24" ht="15.75" x14ac:dyDescent="0.25">
      <c r="P64" s="29"/>
      <c r="Q64" s="29"/>
      <c r="R64" s="29"/>
      <c r="S64" s="29"/>
      <c r="T64" s="29"/>
    </row>
    <row r="65" spans="16:20" ht="15.75" x14ac:dyDescent="0.25">
      <c r="P65" s="29"/>
      <c r="Q65" s="29"/>
      <c r="R65" s="29"/>
      <c r="S65" s="29"/>
      <c r="T65" s="29"/>
    </row>
    <row r="66" spans="16:20" ht="15.75" x14ac:dyDescent="0.25">
      <c r="P66" s="29"/>
      <c r="Q66" s="29"/>
      <c r="R66" s="29"/>
      <c r="S66" s="29"/>
      <c r="T66" s="29"/>
    </row>
  </sheetData>
  <mergeCells count="12">
    <mergeCell ref="A16:C16"/>
    <mergeCell ref="P16:R16"/>
    <mergeCell ref="P17:R17"/>
    <mergeCell ref="U46:V46"/>
    <mergeCell ref="P9:R9"/>
    <mergeCell ref="P10:R10"/>
    <mergeCell ref="Q12:V12"/>
    <mergeCell ref="K13:K14"/>
    <mergeCell ref="L13:L14"/>
    <mergeCell ref="M13:M14"/>
    <mergeCell ref="N13:N14"/>
    <mergeCell ref="Q14:R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X66"/>
  <sheetViews>
    <sheetView zoomScale="86" zoomScaleNormal="86" workbookViewId="0">
      <selection activeCell="K25" sqref="K25"/>
    </sheetView>
  </sheetViews>
  <sheetFormatPr baseColWidth="10" defaultRowHeight="15" x14ac:dyDescent="0.25"/>
  <cols>
    <col min="5" max="5" width="12.5703125" customWidth="1"/>
    <col min="6" max="6" width="15.42578125" customWidth="1"/>
    <col min="7" max="7" width="14.5703125" customWidth="1"/>
    <col min="8" max="8" width="13.5703125" bestFit="1" customWidth="1"/>
    <col min="11" max="11" width="14.42578125" customWidth="1"/>
    <col min="12" max="12" width="13.85546875" bestFit="1" customWidth="1"/>
    <col min="13" max="13" width="14" customWidth="1"/>
    <col min="14" max="14" width="13.5703125" bestFit="1" customWidth="1"/>
    <col min="20" max="20" width="12.85546875" bestFit="1" customWidth="1"/>
  </cols>
  <sheetData>
    <row r="8" spans="1:24" ht="15.75" x14ac:dyDescent="0.25"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4" ht="16.5" x14ac:dyDescent="0.3">
      <c r="D9" s="28" t="s">
        <v>237</v>
      </c>
      <c r="E9" s="28" t="s">
        <v>274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1855"/>
      <c r="Q9" s="1855"/>
      <c r="R9" s="1855"/>
      <c r="S9" s="29"/>
      <c r="T9" s="29"/>
      <c r="U9" s="29"/>
      <c r="V9" s="29"/>
      <c r="W9" s="29"/>
      <c r="X9" s="29"/>
    </row>
    <row r="10" spans="1:24" ht="15.75" x14ac:dyDescent="0.25">
      <c r="D10" s="29"/>
      <c r="E10" s="29"/>
      <c r="F10" s="494"/>
      <c r="G10" s="29"/>
      <c r="H10" s="29"/>
      <c r="I10" s="29"/>
      <c r="J10" s="29"/>
      <c r="K10" s="29"/>
      <c r="L10" s="29"/>
      <c r="M10" s="29"/>
      <c r="N10" s="29"/>
      <c r="O10" s="29"/>
      <c r="P10" s="1855"/>
      <c r="Q10" s="1855"/>
      <c r="R10" s="1855"/>
      <c r="S10" s="29"/>
      <c r="T10" s="29"/>
      <c r="U10" s="29"/>
      <c r="V10" s="29"/>
      <c r="W10" s="29"/>
      <c r="X10" s="29"/>
    </row>
    <row r="11" spans="1:24" ht="16.5" x14ac:dyDescent="0.3">
      <c r="D11" s="28" t="s">
        <v>25</v>
      </c>
      <c r="E11" s="30">
        <v>43647</v>
      </c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 ht="16.5" x14ac:dyDescent="0.3">
      <c r="D12" s="28"/>
      <c r="E12" s="28"/>
      <c r="F12" s="28"/>
      <c r="G12" s="29"/>
      <c r="H12" s="29"/>
      <c r="I12" s="29"/>
      <c r="J12" s="29"/>
      <c r="K12" s="495"/>
      <c r="L12" s="29"/>
      <c r="M12" s="29"/>
      <c r="N12" s="29"/>
      <c r="O12" s="29"/>
      <c r="P12" s="29"/>
      <c r="Q12" s="1855"/>
      <c r="R12" s="1855"/>
      <c r="S12" s="1855"/>
      <c r="T12" s="1855"/>
      <c r="U12" s="1855"/>
      <c r="V12" s="1855"/>
      <c r="W12" s="29"/>
      <c r="X12" s="29"/>
    </row>
    <row r="13" spans="1:24" ht="16.5" x14ac:dyDescent="0.25">
      <c r="D13" s="496" t="s">
        <v>4</v>
      </c>
      <c r="E13" s="497" t="s">
        <v>0</v>
      </c>
      <c r="F13" s="498"/>
      <c r="G13" s="497" t="s">
        <v>3</v>
      </c>
      <c r="H13" s="498"/>
      <c r="I13" s="497" t="s">
        <v>1</v>
      </c>
      <c r="J13" s="498"/>
      <c r="K13" s="1856" t="s">
        <v>2</v>
      </c>
      <c r="L13" s="1856" t="s">
        <v>294</v>
      </c>
      <c r="M13" s="1856" t="s">
        <v>45</v>
      </c>
      <c r="N13" s="1856" t="s">
        <v>241</v>
      </c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 ht="16.5" x14ac:dyDescent="0.25">
      <c r="D14" s="499"/>
      <c r="E14" s="500">
        <v>630</v>
      </c>
      <c r="F14" s="501"/>
      <c r="G14" s="500">
        <v>575</v>
      </c>
      <c r="H14" s="501"/>
      <c r="I14" s="500">
        <v>350</v>
      </c>
      <c r="J14" s="501"/>
      <c r="K14" s="1857"/>
      <c r="L14" s="1857"/>
      <c r="M14" s="1857"/>
      <c r="N14" s="1857"/>
      <c r="O14" s="29"/>
      <c r="P14" s="29"/>
      <c r="Q14" s="1855"/>
      <c r="R14" s="1855"/>
      <c r="S14" s="29"/>
      <c r="T14" s="29"/>
      <c r="U14" s="29"/>
      <c r="V14" s="29"/>
      <c r="W14" s="29"/>
      <c r="X14" s="29"/>
    </row>
    <row r="15" spans="1:24" ht="16.5" x14ac:dyDescent="0.25">
      <c r="D15" s="502"/>
      <c r="E15" s="503" t="s">
        <v>243</v>
      </c>
      <c r="F15" s="503" t="s">
        <v>244</v>
      </c>
      <c r="G15" s="504" t="s">
        <v>243</v>
      </c>
      <c r="H15" s="503" t="s">
        <v>244</v>
      </c>
      <c r="I15" s="503" t="s">
        <v>243</v>
      </c>
      <c r="J15" s="503" t="s">
        <v>244</v>
      </c>
      <c r="K15" s="505"/>
      <c r="L15" s="506"/>
      <c r="M15" s="505"/>
      <c r="N15" s="507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 ht="16.5" x14ac:dyDescent="0.25">
      <c r="A16" s="1853" t="s">
        <v>254</v>
      </c>
      <c r="B16" s="1853"/>
      <c r="C16" s="1854"/>
      <c r="D16" s="553">
        <v>43647</v>
      </c>
      <c r="E16" s="554"/>
      <c r="F16" s="555"/>
      <c r="G16" s="556">
        <f>H16/G14</f>
        <v>0</v>
      </c>
      <c r="H16" s="555"/>
      <c r="I16" s="554"/>
      <c r="J16" s="556"/>
      <c r="K16" s="557"/>
      <c r="L16" s="558"/>
      <c r="M16" s="522">
        <f t="shared" ref="M16:M23" si="0">K16-L16</f>
        <v>0</v>
      </c>
      <c r="N16" s="556">
        <f>N15+K16-L16</f>
        <v>0</v>
      </c>
      <c r="O16" s="29"/>
      <c r="P16" s="1855" t="s">
        <v>238</v>
      </c>
      <c r="Q16" s="1855"/>
      <c r="R16" s="1855"/>
      <c r="S16" s="29"/>
      <c r="T16" s="29"/>
      <c r="U16" s="29"/>
      <c r="V16" s="29"/>
      <c r="W16" s="29"/>
      <c r="X16" s="29"/>
    </row>
    <row r="17" spans="4:24" ht="16.5" x14ac:dyDescent="0.3">
      <c r="D17" s="508">
        <f>+D16+1</f>
        <v>43648</v>
      </c>
      <c r="E17" s="509"/>
      <c r="F17" s="510"/>
      <c r="G17" s="509">
        <f>H17/G14</f>
        <v>0</v>
      </c>
      <c r="H17" s="514"/>
      <c r="I17" s="509"/>
      <c r="J17" s="511"/>
      <c r="K17" s="557"/>
      <c r="L17" s="515"/>
      <c r="M17" s="522">
        <f t="shared" si="0"/>
        <v>0</v>
      </c>
      <c r="N17" s="507">
        <f t="shared" ref="N17:N44" si="1">+N16+K17-L17</f>
        <v>0</v>
      </c>
      <c r="O17" s="29"/>
      <c r="P17" s="1855" t="s">
        <v>253</v>
      </c>
      <c r="Q17" s="1855"/>
      <c r="R17" s="1855"/>
      <c r="S17" s="29"/>
      <c r="T17" s="29"/>
      <c r="U17" s="29"/>
      <c r="V17" s="29"/>
      <c r="W17" s="29"/>
      <c r="X17" s="29"/>
    </row>
    <row r="18" spans="4:24" ht="16.5" x14ac:dyDescent="0.25">
      <c r="D18" s="508">
        <f t="shared" ref="D18:D46" si="2">+D17+1</f>
        <v>43649</v>
      </c>
      <c r="E18" s="509"/>
      <c r="F18" s="510"/>
      <c r="G18" s="509">
        <f>H18/G14</f>
        <v>0</v>
      </c>
      <c r="H18" s="514"/>
      <c r="I18" s="509"/>
      <c r="J18" s="511"/>
      <c r="K18" s="512"/>
      <c r="L18" s="537"/>
      <c r="M18" s="522">
        <f t="shared" si="0"/>
        <v>0</v>
      </c>
      <c r="N18" s="511">
        <f t="shared" si="1"/>
        <v>0</v>
      </c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4:24" ht="16.5" x14ac:dyDescent="0.25">
      <c r="D19" s="508">
        <f t="shared" si="2"/>
        <v>43650</v>
      </c>
      <c r="E19" s="509"/>
      <c r="F19" s="510"/>
      <c r="G19" s="509">
        <f>H19/G14</f>
        <v>0</v>
      </c>
      <c r="H19" s="514"/>
      <c r="I19" s="509"/>
      <c r="J19" s="511"/>
      <c r="K19" s="512"/>
      <c r="L19" s="537"/>
      <c r="M19" s="522">
        <f t="shared" si="0"/>
        <v>0</v>
      </c>
      <c r="N19" s="511">
        <f>+N18+K19-L19</f>
        <v>0</v>
      </c>
      <c r="O19" s="516"/>
      <c r="P19" s="29"/>
      <c r="Q19" s="29" t="s">
        <v>296</v>
      </c>
      <c r="R19" s="29" t="s">
        <v>8</v>
      </c>
      <c r="S19" s="29" t="s">
        <v>297</v>
      </c>
      <c r="T19" s="29"/>
      <c r="U19" s="29"/>
      <c r="V19" s="29"/>
      <c r="W19" s="29"/>
      <c r="X19" s="29"/>
    </row>
    <row r="20" spans="4:24" ht="16.5" x14ac:dyDescent="0.25">
      <c r="D20" s="508">
        <f t="shared" si="2"/>
        <v>43651</v>
      </c>
      <c r="E20" s="509"/>
      <c r="F20" s="510"/>
      <c r="G20" s="509">
        <f>H20/G14</f>
        <v>0</v>
      </c>
      <c r="H20" s="514"/>
      <c r="I20" s="509"/>
      <c r="J20" s="511"/>
      <c r="K20" s="512"/>
      <c r="L20" s="537"/>
      <c r="M20" s="522">
        <f t="shared" si="0"/>
        <v>0</v>
      </c>
      <c r="N20" s="511">
        <f t="shared" si="1"/>
        <v>0</v>
      </c>
      <c r="O20" s="29"/>
      <c r="P20" s="517" t="s">
        <v>4</v>
      </c>
      <c r="Q20" s="517" t="s">
        <v>247</v>
      </c>
      <c r="R20" s="517" t="s">
        <v>248</v>
      </c>
      <c r="S20" s="517" t="s">
        <v>249</v>
      </c>
      <c r="T20" s="517" t="s">
        <v>87</v>
      </c>
      <c r="U20" s="29"/>
      <c r="V20" s="29"/>
    </row>
    <row r="21" spans="4:24" ht="16.5" x14ac:dyDescent="0.25">
      <c r="D21" s="508">
        <f t="shared" si="2"/>
        <v>43652</v>
      </c>
      <c r="E21" s="509"/>
      <c r="F21" s="510"/>
      <c r="G21" s="509">
        <f>H21/G14</f>
        <v>0</v>
      </c>
      <c r="H21" s="514"/>
      <c r="I21" s="509"/>
      <c r="J21" s="511"/>
      <c r="K21" s="512"/>
      <c r="L21" s="537"/>
      <c r="M21" s="522">
        <f t="shared" si="0"/>
        <v>0</v>
      </c>
      <c r="N21" s="511">
        <f t="shared" si="1"/>
        <v>0</v>
      </c>
      <c r="O21" s="29"/>
      <c r="P21" s="518">
        <v>43617</v>
      </c>
      <c r="Q21" s="517" t="s">
        <v>301</v>
      </c>
      <c r="R21" s="519"/>
      <c r="S21" s="520">
        <v>575</v>
      </c>
      <c r="T21" s="520">
        <f>+R21*S21</f>
        <v>0</v>
      </c>
      <c r="U21" s="29"/>
      <c r="V21" s="29"/>
    </row>
    <row r="22" spans="4:24" ht="16.5" x14ac:dyDescent="0.25">
      <c r="D22" s="508">
        <f t="shared" si="2"/>
        <v>43653</v>
      </c>
      <c r="E22" s="509"/>
      <c r="F22" s="510"/>
      <c r="G22" s="509">
        <f>H22/G14</f>
        <v>0</v>
      </c>
      <c r="H22" s="514"/>
      <c r="I22" s="509"/>
      <c r="J22" s="511"/>
      <c r="K22" s="512"/>
      <c r="L22" s="537"/>
      <c r="M22" s="522">
        <f t="shared" si="0"/>
        <v>0</v>
      </c>
      <c r="N22" s="511">
        <f t="shared" si="1"/>
        <v>0</v>
      </c>
      <c r="O22" s="29"/>
      <c r="P22" s="518">
        <v>43618</v>
      </c>
      <c r="Q22" s="517" t="s">
        <v>301</v>
      </c>
      <c r="R22" s="520"/>
      <c r="S22" s="520">
        <v>575</v>
      </c>
      <c r="T22" s="520">
        <f t="shared" ref="T22:T51" si="3">+R22*S22</f>
        <v>0</v>
      </c>
      <c r="U22" s="29"/>
      <c r="V22" s="29"/>
    </row>
    <row r="23" spans="4:24" ht="16.5" x14ac:dyDescent="0.25">
      <c r="D23" s="508">
        <f t="shared" si="2"/>
        <v>43654</v>
      </c>
      <c r="E23" s="509"/>
      <c r="F23" s="510"/>
      <c r="G23" s="509">
        <f>H23/G14</f>
        <v>0</v>
      </c>
      <c r="H23" s="514"/>
      <c r="I23" s="509"/>
      <c r="J23" s="511"/>
      <c r="K23" s="512"/>
      <c r="L23" s="537"/>
      <c r="M23" s="522">
        <f t="shared" si="0"/>
        <v>0</v>
      </c>
      <c r="N23" s="511">
        <f t="shared" si="1"/>
        <v>0</v>
      </c>
      <c r="O23" s="29"/>
      <c r="P23" s="518">
        <v>43619</v>
      </c>
      <c r="Q23" s="517" t="s">
        <v>301</v>
      </c>
      <c r="R23" s="520"/>
      <c r="S23" s="520">
        <v>575</v>
      </c>
      <c r="T23" s="520">
        <f t="shared" si="3"/>
        <v>0</v>
      </c>
      <c r="U23" s="29"/>
      <c r="V23" s="29"/>
    </row>
    <row r="24" spans="4:24" ht="16.5" x14ac:dyDescent="0.25">
      <c r="D24" s="508">
        <f t="shared" si="2"/>
        <v>43655</v>
      </c>
      <c r="E24" s="509"/>
      <c r="F24" s="510"/>
      <c r="G24" s="521">
        <f>H24/G14</f>
        <v>0</v>
      </c>
      <c r="H24" s="514"/>
      <c r="I24" s="509"/>
      <c r="J24" s="522"/>
      <c r="K24" s="512"/>
      <c r="L24" s="537"/>
      <c r="M24" s="522">
        <f t="shared" ref="M24:M44" si="4">K24-L24</f>
        <v>0</v>
      </c>
      <c r="N24" s="522">
        <f t="shared" si="1"/>
        <v>0</v>
      </c>
      <c r="O24" s="29"/>
      <c r="P24" s="518">
        <v>43620</v>
      </c>
      <c r="Q24" s="517" t="s">
        <v>301</v>
      </c>
      <c r="R24" s="520"/>
      <c r="S24" s="520">
        <v>575</v>
      </c>
      <c r="T24" s="520">
        <f t="shared" si="3"/>
        <v>0</v>
      </c>
      <c r="U24" s="29"/>
      <c r="V24" s="29"/>
    </row>
    <row r="25" spans="4:24" ht="16.5" x14ac:dyDescent="0.25">
      <c r="D25" s="508">
        <f t="shared" si="2"/>
        <v>43656</v>
      </c>
      <c r="E25" s="509"/>
      <c r="F25" s="510"/>
      <c r="G25" s="521">
        <f>H25/G14</f>
        <v>0</v>
      </c>
      <c r="H25" s="514"/>
      <c r="I25" s="509"/>
      <c r="J25" s="522"/>
      <c r="K25" s="512"/>
      <c r="L25" s="537"/>
      <c r="M25" s="522">
        <f t="shared" si="4"/>
        <v>0</v>
      </c>
      <c r="N25" s="522">
        <f t="shared" si="1"/>
        <v>0</v>
      </c>
      <c r="O25" s="29"/>
      <c r="P25" s="518">
        <v>43621</v>
      </c>
      <c r="Q25" s="517" t="s">
        <v>301</v>
      </c>
      <c r="R25" s="520"/>
      <c r="S25" s="520">
        <v>575</v>
      </c>
      <c r="T25" s="520">
        <f t="shared" si="3"/>
        <v>0</v>
      </c>
      <c r="U25" s="29"/>
      <c r="V25" s="29"/>
    </row>
    <row r="26" spans="4:24" ht="16.5" x14ac:dyDescent="0.25">
      <c r="D26" s="508">
        <f t="shared" si="2"/>
        <v>43657</v>
      </c>
      <c r="E26" s="509"/>
      <c r="F26" s="510"/>
      <c r="G26" s="521">
        <f>H26/G14</f>
        <v>0</v>
      </c>
      <c r="H26" s="514"/>
      <c r="I26" s="509"/>
      <c r="J26" s="522"/>
      <c r="K26" s="512"/>
      <c r="L26" s="537"/>
      <c r="M26" s="522">
        <f t="shared" si="4"/>
        <v>0</v>
      </c>
      <c r="N26" s="522">
        <f t="shared" si="1"/>
        <v>0</v>
      </c>
      <c r="O26" s="29"/>
      <c r="P26" s="518">
        <v>43622</v>
      </c>
      <c r="Q26" s="517" t="s">
        <v>301</v>
      </c>
      <c r="R26" s="520"/>
      <c r="S26" s="520">
        <v>575</v>
      </c>
      <c r="T26" s="520">
        <f t="shared" si="3"/>
        <v>0</v>
      </c>
      <c r="U26" s="29"/>
      <c r="V26" s="29"/>
    </row>
    <row r="27" spans="4:24" ht="16.5" x14ac:dyDescent="0.25">
      <c r="D27" s="508">
        <f t="shared" si="2"/>
        <v>43658</v>
      </c>
      <c r="E27" s="521"/>
      <c r="F27" s="510"/>
      <c r="G27" s="521">
        <f>+H27/G14</f>
        <v>0</v>
      </c>
      <c r="H27" s="514"/>
      <c r="I27" s="509"/>
      <c r="J27" s="522"/>
      <c r="K27" s="512"/>
      <c r="L27" s="537"/>
      <c r="M27" s="522">
        <f t="shared" si="4"/>
        <v>0</v>
      </c>
      <c r="N27" s="522">
        <f t="shared" si="1"/>
        <v>0</v>
      </c>
      <c r="O27" s="29"/>
      <c r="P27" s="518">
        <v>43623</v>
      </c>
      <c r="Q27" s="517" t="s">
        <v>301</v>
      </c>
      <c r="R27" s="520"/>
      <c r="S27" s="520">
        <v>575</v>
      </c>
      <c r="T27" s="520">
        <f t="shared" si="3"/>
        <v>0</v>
      </c>
      <c r="U27" s="29"/>
      <c r="V27" s="29"/>
    </row>
    <row r="28" spans="4:24" ht="16.5" x14ac:dyDescent="0.25">
      <c r="D28" s="508">
        <f t="shared" si="2"/>
        <v>43659</v>
      </c>
      <c r="E28" s="521"/>
      <c r="F28" s="510"/>
      <c r="G28" s="521">
        <f>H28/G14</f>
        <v>0</v>
      </c>
      <c r="H28" s="514"/>
      <c r="I28" s="509"/>
      <c r="J28" s="522"/>
      <c r="K28" s="512"/>
      <c r="L28" s="537"/>
      <c r="M28" s="522">
        <f t="shared" si="4"/>
        <v>0</v>
      </c>
      <c r="N28" s="522">
        <f t="shared" si="1"/>
        <v>0</v>
      </c>
      <c r="O28" s="29"/>
      <c r="P28" s="518">
        <v>43624</v>
      </c>
      <c r="Q28" s="517" t="s">
        <v>301</v>
      </c>
      <c r="R28" s="520"/>
      <c r="S28" s="520">
        <v>575</v>
      </c>
      <c r="T28" s="520">
        <f t="shared" si="3"/>
        <v>0</v>
      </c>
      <c r="U28" s="29"/>
      <c r="V28" s="29"/>
    </row>
    <row r="29" spans="4:24" ht="16.5" x14ac:dyDescent="0.25">
      <c r="D29" s="508">
        <f t="shared" si="2"/>
        <v>43660</v>
      </c>
      <c r="E29" s="521"/>
      <c r="F29" s="510"/>
      <c r="G29" s="521">
        <f>H29/G14</f>
        <v>0</v>
      </c>
      <c r="H29" s="514"/>
      <c r="I29" s="509"/>
      <c r="J29" s="522"/>
      <c r="K29" s="512"/>
      <c r="L29" s="537"/>
      <c r="M29" s="522">
        <f t="shared" si="4"/>
        <v>0</v>
      </c>
      <c r="N29" s="522">
        <f t="shared" si="1"/>
        <v>0</v>
      </c>
      <c r="O29" s="29"/>
      <c r="P29" s="518">
        <v>43625</v>
      </c>
      <c r="Q29" s="517" t="s">
        <v>301</v>
      </c>
      <c r="R29" s="520"/>
      <c r="S29" s="520">
        <v>575</v>
      </c>
      <c r="T29" s="520">
        <f t="shared" si="3"/>
        <v>0</v>
      </c>
      <c r="U29" s="29"/>
      <c r="V29" s="29"/>
    </row>
    <row r="30" spans="4:24" ht="16.5" x14ac:dyDescent="0.25">
      <c r="D30" s="508">
        <f t="shared" si="2"/>
        <v>43661</v>
      </c>
      <c r="E30" s="521"/>
      <c r="F30" s="510"/>
      <c r="G30" s="521">
        <f>H30/G14</f>
        <v>0</v>
      </c>
      <c r="H30" s="514"/>
      <c r="I30" s="521"/>
      <c r="J30" s="522"/>
      <c r="K30" s="512"/>
      <c r="L30" s="537"/>
      <c r="M30" s="522">
        <f t="shared" si="4"/>
        <v>0</v>
      </c>
      <c r="N30" s="522">
        <f t="shared" si="1"/>
        <v>0</v>
      </c>
      <c r="O30" s="29"/>
      <c r="P30" s="518">
        <v>43626</v>
      </c>
      <c r="Q30" s="517" t="s">
        <v>301</v>
      </c>
      <c r="R30" s="520"/>
      <c r="S30" s="520">
        <v>575</v>
      </c>
      <c r="T30" s="520">
        <f t="shared" si="3"/>
        <v>0</v>
      </c>
      <c r="U30" s="29"/>
      <c r="V30" s="29"/>
    </row>
    <row r="31" spans="4:24" ht="16.5" x14ac:dyDescent="0.25">
      <c r="D31" s="508">
        <f t="shared" si="2"/>
        <v>43662</v>
      </c>
      <c r="E31" s="521"/>
      <c r="F31" s="510"/>
      <c r="G31" s="521">
        <f>H31/G14</f>
        <v>0</v>
      </c>
      <c r="H31" s="514"/>
      <c r="I31" s="521"/>
      <c r="J31" s="522"/>
      <c r="K31" s="512"/>
      <c r="L31" s="537"/>
      <c r="M31" s="522">
        <f t="shared" si="4"/>
        <v>0</v>
      </c>
      <c r="N31" s="522">
        <f t="shared" si="1"/>
        <v>0</v>
      </c>
      <c r="O31" s="29"/>
      <c r="P31" s="518">
        <v>43627</v>
      </c>
      <c r="Q31" s="517" t="s">
        <v>301</v>
      </c>
      <c r="R31" s="520"/>
      <c r="S31" s="520">
        <v>575</v>
      </c>
      <c r="T31" s="520">
        <f t="shared" si="3"/>
        <v>0</v>
      </c>
      <c r="U31" s="29"/>
      <c r="V31" s="29"/>
    </row>
    <row r="32" spans="4:24" ht="16.5" x14ac:dyDescent="0.25">
      <c r="D32" s="508">
        <f t="shared" si="2"/>
        <v>43663</v>
      </c>
      <c r="E32" s="521"/>
      <c r="F32" s="510"/>
      <c r="G32" s="521">
        <f>H32/G14</f>
        <v>0</v>
      </c>
      <c r="H32" s="510"/>
      <c r="I32" s="521"/>
      <c r="J32" s="522"/>
      <c r="K32" s="512"/>
      <c r="L32" s="537"/>
      <c r="M32" s="522">
        <f t="shared" si="4"/>
        <v>0</v>
      </c>
      <c r="N32" s="522">
        <f t="shared" si="1"/>
        <v>0</v>
      </c>
      <c r="O32" s="29"/>
      <c r="P32" s="518">
        <v>43628</v>
      </c>
      <c r="Q32" s="517" t="s">
        <v>301</v>
      </c>
      <c r="R32" s="520"/>
      <c r="S32" s="520">
        <v>575</v>
      </c>
      <c r="T32" s="520">
        <f t="shared" si="3"/>
        <v>0</v>
      </c>
      <c r="U32" s="29"/>
      <c r="V32" s="29"/>
    </row>
    <row r="33" spans="4:24" ht="16.5" x14ac:dyDescent="0.3">
      <c r="D33" s="508">
        <f t="shared" si="2"/>
        <v>43664</v>
      </c>
      <c r="E33" s="521"/>
      <c r="F33" s="510"/>
      <c r="G33" s="521">
        <f>H33/G14</f>
        <v>0</v>
      </c>
      <c r="H33" s="510"/>
      <c r="I33" s="521"/>
      <c r="J33" s="522"/>
      <c r="K33" s="512"/>
      <c r="L33" s="537"/>
      <c r="M33" s="522">
        <f t="shared" si="4"/>
        <v>0</v>
      </c>
      <c r="N33" s="522">
        <f t="shared" si="1"/>
        <v>0</v>
      </c>
      <c r="O33" s="523"/>
      <c r="P33" s="518">
        <v>43629</v>
      </c>
      <c r="Q33" s="517" t="s">
        <v>301</v>
      </c>
      <c r="R33" s="520"/>
      <c r="S33" s="520">
        <v>575</v>
      </c>
      <c r="T33" s="520">
        <f t="shared" si="3"/>
        <v>0</v>
      </c>
      <c r="U33" s="29"/>
      <c r="V33" s="29"/>
    </row>
    <row r="34" spans="4:24" ht="16.5" x14ac:dyDescent="0.25">
      <c r="D34" s="508">
        <f t="shared" si="2"/>
        <v>43665</v>
      </c>
      <c r="E34" s="521"/>
      <c r="F34" s="510"/>
      <c r="G34" s="521">
        <f>H34/G14</f>
        <v>0</v>
      </c>
      <c r="H34" s="510"/>
      <c r="I34" s="521"/>
      <c r="J34" s="522"/>
      <c r="K34" s="512"/>
      <c r="L34" s="537"/>
      <c r="M34" s="522">
        <f>K34-L34</f>
        <v>0</v>
      </c>
      <c r="N34" s="522">
        <f t="shared" si="1"/>
        <v>0</v>
      </c>
      <c r="O34" s="29"/>
      <c r="P34" s="518">
        <v>43630</v>
      </c>
      <c r="Q34" s="517" t="s">
        <v>301</v>
      </c>
      <c r="R34" s="520"/>
      <c r="S34" s="520">
        <v>575</v>
      </c>
      <c r="T34" s="520">
        <f t="shared" si="3"/>
        <v>0</v>
      </c>
      <c r="U34" s="29"/>
      <c r="V34" s="29"/>
    </row>
    <row r="35" spans="4:24" ht="16.5" x14ac:dyDescent="0.25">
      <c r="D35" s="508">
        <f t="shared" si="2"/>
        <v>43666</v>
      </c>
      <c r="E35" s="521"/>
      <c r="F35" s="510"/>
      <c r="G35" s="521">
        <f>H35/G14</f>
        <v>0</v>
      </c>
      <c r="H35" s="510"/>
      <c r="I35" s="521"/>
      <c r="J35" s="522"/>
      <c r="K35" s="512"/>
      <c r="L35" s="537"/>
      <c r="M35" s="522">
        <f t="shared" si="4"/>
        <v>0</v>
      </c>
      <c r="N35" s="522">
        <f t="shared" si="1"/>
        <v>0</v>
      </c>
      <c r="O35" s="29"/>
      <c r="P35" s="518">
        <v>43631</v>
      </c>
      <c r="Q35" s="517" t="s">
        <v>301</v>
      </c>
      <c r="R35" s="520"/>
      <c r="S35" s="520">
        <v>575</v>
      </c>
      <c r="T35" s="520">
        <f t="shared" si="3"/>
        <v>0</v>
      </c>
      <c r="U35" s="29"/>
      <c r="V35" s="29"/>
    </row>
    <row r="36" spans="4:24" ht="16.5" x14ac:dyDescent="0.25">
      <c r="D36" s="508">
        <f t="shared" si="2"/>
        <v>43667</v>
      </c>
      <c r="E36" s="521"/>
      <c r="F36" s="510"/>
      <c r="G36" s="521">
        <f>H36/G14</f>
        <v>0</v>
      </c>
      <c r="H36" s="510"/>
      <c r="I36" s="521"/>
      <c r="J36" s="522"/>
      <c r="K36" s="512"/>
      <c r="L36" s="537"/>
      <c r="M36" s="522">
        <f t="shared" si="4"/>
        <v>0</v>
      </c>
      <c r="N36" s="522">
        <f t="shared" si="1"/>
        <v>0</v>
      </c>
      <c r="O36" s="29"/>
      <c r="P36" s="518">
        <v>43632</v>
      </c>
      <c r="Q36" s="517" t="s">
        <v>301</v>
      </c>
      <c r="R36" s="520"/>
      <c r="S36" s="520">
        <v>575</v>
      </c>
      <c r="T36" s="520">
        <f t="shared" si="3"/>
        <v>0</v>
      </c>
      <c r="U36" s="29"/>
      <c r="V36" s="29"/>
    </row>
    <row r="37" spans="4:24" ht="16.5" x14ac:dyDescent="0.25">
      <c r="D37" s="508">
        <f t="shared" si="2"/>
        <v>43668</v>
      </c>
      <c r="E37" s="521"/>
      <c r="F37" s="510"/>
      <c r="G37" s="521">
        <f>H37/G14</f>
        <v>0</v>
      </c>
      <c r="H37" s="510"/>
      <c r="I37" s="521"/>
      <c r="J37" s="522"/>
      <c r="K37" s="512"/>
      <c r="L37" s="538"/>
      <c r="M37" s="522">
        <f t="shared" si="4"/>
        <v>0</v>
      </c>
      <c r="N37" s="522">
        <f t="shared" si="1"/>
        <v>0</v>
      </c>
      <c r="O37" s="29"/>
      <c r="P37" s="518">
        <v>43633</v>
      </c>
      <c r="Q37" s="517" t="s">
        <v>301</v>
      </c>
      <c r="R37" s="520"/>
      <c r="S37" s="520">
        <v>575</v>
      </c>
      <c r="T37" s="520">
        <f t="shared" si="3"/>
        <v>0</v>
      </c>
      <c r="U37" s="29"/>
      <c r="V37" s="29"/>
    </row>
    <row r="38" spans="4:24" ht="16.5" x14ac:dyDescent="0.25">
      <c r="D38" s="508">
        <f t="shared" si="2"/>
        <v>43669</v>
      </c>
      <c r="E38" s="521"/>
      <c r="F38" s="510"/>
      <c r="G38" s="521">
        <f>H38/G14</f>
        <v>0</v>
      </c>
      <c r="H38" s="510"/>
      <c r="I38" s="521"/>
      <c r="J38" s="522"/>
      <c r="K38" s="512"/>
      <c r="L38" s="538"/>
      <c r="M38" s="522">
        <f t="shared" si="4"/>
        <v>0</v>
      </c>
      <c r="N38" s="522">
        <f t="shared" si="1"/>
        <v>0</v>
      </c>
      <c r="O38" s="29"/>
      <c r="P38" s="518">
        <v>43634</v>
      </c>
      <c r="Q38" s="517" t="s">
        <v>301</v>
      </c>
      <c r="R38" s="520"/>
      <c r="S38" s="520">
        <v>575</v>
      </c>
      <c r="T38" s="520">
        <f t="shared" si="3"/>
        <v>0</v>
      </c>
      <c r="U38" s="29"/>
      <c r="V38" s="29"/>
    </row>
    <row r="39" spans="4:24" ht="16.5" x14ac:dyDescent="0.25">
      <c r="D39" s="508">
        <f t="shared" si="2"/>
        <v>43670</v>
      </c>
      <c r="E39" s="509"/>
      <c r="F39" s="510"/>
      <c r="G39" s="509">
        <f>H39/G14</f>
        <v>0</v>
      </c>
      <c r="H39" s="510"/>
      <c r="I39" s="509"/>
      <c r="J39" s="511"/>
      <c r="K39" s="512"/>
      <c r="L39" s="538"/>
      <c r="M39" s="522">
        <f t="shared" si="4"/>
        <v>0</v>
      </c>
      <c r="N39" s="522">
        <f t="shared" si="1"/>
        <v>0</v>
      </c>
      <c r="O39" s="181" t="s">
        <v>50</v>
      </c>
      <c r="P39" s="518">
        <v>43635</v>
      </c>
      <c r="Q39" s="517" t="s">
        <v>301</v>
      </c>
      <c r="R39" s="520"/>
      <c r="S39" s="520">
        <v>575</v>
      </c>
      <c r="T39" s="520">
        <f t="shared" si="3"/>
        <v>0</v>
      </c>
      <c r="U39" s="29"/>
      <c r="V39" s="29"/>
    </row>
    <row r="40" spans="4:24" ht="16.5" x14ac:dyDescent="0.25">
      <c r="D40" s="508">
        <f t="shared" si="2"/>
        <v>43671</v>
      </c>
      <c r="E40" s="509"/>
      <c r="F40" s="510"/>
      <c r="G40" s="509">
        <f>H40/G14</f>
        <v>0</v>
      </c>
      <c r="H40" s="510"/>
      <c r="I40" s="509"/>
      <c r="J40" s="511"/>
      <c r="K40" s="512"/>
      <c r="L40" s="537"/>
      <c r="M40" s="522">
        <f t="shared" si="4"/>
        <v>0</v>
      </c>
      <c r="N40" s="522">
        <f t="shared" si="1"/>
        <v>0</v>
      </c>
      <c r="O40" s="29"/>
      <c r="P40" s="518">
        <v>43636</v>
      </c>
      <c r="Q40" s="517" t="s">
        <v>301</v>
      </c>
      <c r="R40" s="520"/>
      <c r="S40" s="520">
        <v>575</v>
      </c>
      <c r="T40" s="520">
        <f t="shared" si="3"/>
        <v>0</v>
      </c>
      <c r="U40" s="29"/>
      <c r="V40" s="29"/>
    </row>
    <row r="41" spans="4:24" ht="16.5" x14ac:dyDescent="0.25">
      <c r="D41" s="508">
        <f t="shared" si="2"/>
        <v>43672</v>
      </c>
      <c r="E41" s="509"/>
      <c r="F41" s="510"/>
      <c r="G41" s="509">
        <f>H41/G14</f>
        <v>0</v>
      </c>
      <c r="H41" s="510"/>
      <c r="I41" s="509"/>
      <c r="J41" s="511"/>
      <c r="K41" s="512"/>
      <c r="L41" s="537"/>
      <c r="M41" s="511">
        <f t="shared" si="4"/>
        <v>0</v>
      </c>
      <c r="N41" s="522">
        <f t="shared" si="1"/>
        <v>0</v>
      </c>
      <c r="O41" s="29"/>
      <c r="P41" s="518">
        <v>43637</v>
      </c>
      <c r="Q41" s="517" t="s">
        <v>301</v>
      </c>
      <c r="R41" s="520"/>
      <c r="S41" s="520">
        <v>575</v>
      </c>
      <c r="T41" s="520">
        <f t="shared" si="3"/>
        <v>0</v>
      </c>
      <c r="U41" s="29"/>
      <c r="V41" s="29"/>
    </row>
    <row r="42" spans="4:24" ht="16.5" x14ac:dyDescent="0.25">
      <c r="D42" s="508">
        <f t="shared" si="2"/>
        <v>43673</v>
      </c>
      <c r="E42" s="509"/>
      <c r="F42" s="510"/>
      <c r="G42" s="509">
        <f>H42/G14</f>
        <v>0</v>
      </c>
      <c r="H42" s="510"/>
      <c r="I42" s="509"/>
      <c r="J42" s="511"/>
      <c r="K42" s="512"/>
      <c r="L42" s="537"/>
      <c r="M42" s="511">
        <f t="shared" si="4"/>
        <v>0</v>
      </c>
      <c r="N42" s="511">
        <f t="shared" si="1"/>
        <v>0</v>
      </c>
      <c r="O42" s="29"/>
      <c r="P42" s="518">
        <v>43638</v>
      </c>
      <c r="Q42" s="517" t="s">
        <v>301</v>
      </c>
      <c r="R42" s="520"/>
      <c r="S42" s="520">
        <v>575</v>
      </c>
      <c r="T42" s="520">
        <f t="shared" si="3"/>
        <v>0</v>
      </c>
      <c r="U42" s="29"/>
      <c r="V42" s="29"/>
    </row>
    <row r="43" spans="4:24" ht="16.5" x14ac:dyDescent="0.25">
      <c r="D43" s="508">
        <f t="shared" si="2"/>
        <v>43674</v>
      </c>
      <c r="E43" s="509"/>
      <c r="F43" s="510"/>
      <c r="G43" s="509">
        <f>H43/G14</f>
        <v>0</v>
      </c>
      <c r="H43" s="510"/>
      <c r="I43" s="509"/>
      <c r="J43" s="511"/>
      <c r="K43" s="512"/>
      <c r="L43" s="537"/>
      <c r="M43" s="511">
        <f t="shared" si="4"/>
        <v>0</v>
      </c>
      <c r="N43" s="511">
        <f t="shared" si="1"/>
        <v>0</v>
      </c>
      <c r="O43" s="29"/>
      <c r="P43" s="518">
        <v>43639</v>
      </c>
      <c r="Q43" s="517" t="s">
        <v>301</v>
      </c>
      <c r="R43" s="520"/>
      <c r="S43" s="520">
        <v>575</v>
      </c>
      <c r="T43" s="520">
        <f t="shared" si="3"/>
        <v>0</v>
      </c>
      <c r="U43" s="29"/>
      <c r="V43" s="29"/>
      <c r="W43" s="29"/>
      <c r="X43" s="29"/>
    </row>
    <row r="44" spans="4:24" ht="16.5" x14ac:dyDescent="0.25">
      <c r="D44" s="508">
        <f t="shared" si="2"/>
        <v>43675</v>
      </c>
      <c r="E44" s="509"/>
      <c r="F44" s="510"/>
      <c r="G44" s="509">
        <f>H44/G14</f>
        <v>0</v>
      </c>
      <c r="H44" s="510"/>
      <c r="I44" s="509"/>
      <c r="J44" s="511"/>
      <c r="K44" s="512"/>
      <c r="L44" s="537"/>
      <c r="M44" s="511">
        <f t="shared" si="4"/>
        <v>0</v>
      </c>
      <c r="N44" s="511">
        <f t="shared" si="1"/>
        <v>0</v>
      </c>
      <c r="O44" s="29"/>
      <c r="P44" s="518">
        <v>43640</v>
      </c>
      <c r="Q44" s="517" t="s">
        <v>301</v>
      </c>
      <c r="R44" s="520"/>
      <c r="S44" s="520">
        <v>575</v>
      </c>
      <c r="T44" s="520">
        <f t="shared" si="3"/>
        <v>0</v>
      </c>
      <c r="U44" s="29"/>
      <c r="V44" s="29"/>
      <c r="W44" s="29"/>
      <c r="X44" s="29"/>
    </row>
    <row r="45" spans="4:24" ht="16.5" x14ac:dyDescent="0.25">
      <c r="D45" s="508">
        <f t="shared" si="2"/>
        <v>43676</v>
      </c>
      <c r="E45" s="509"/>
      <c r="F45" s="510"/>
      <c r="G45" s="509">
        <f>H45/G14</f>
        <v>0</v>
      </c>
      <c r="H45" s="510"/>
      <c r="I45" s="509"/>
      <c r="J45" s="511"/>
      <c r="K45" s="512"/>
      <c r="L45" s="513"/>
      <c r="M45" s="511">
        <f>K45-L45</f>
        <v>0</v>
      </c>
      <c r="N45" s="511">
        <f>+N44+K45-L45</f>
        <v>0</v>
      </c>
      <c r="O45" s="29"/>
      <c r="P45" s="518">
        <v>43641</v>
      </c>
      <c r="Q45" s="517" t="s">
        <v>301</v>
      </c>
      <c r="R45" s="520"/>
      <c r="S45" s="520">
        <v>575</v>
      </c>
      <c r="T45" s="520">
        <f t="shared" si="3"/>
        <v>0</v>
      </c>
      <c r="U45" s="29"/>
      <c r="V45" s="29"/>
      <c r="W45" s="29"/>
      <c r="X45" s="29"/>
    </row>
    <row r="46" spans="4:24" ht="16.5" x14ac:dyDescent="0.25">
      <c r="D46" s="508">
        <f t="shared" si="2"/>
        <v>43677</v>
      </c>
      <c r="E46" s="509"/>
      <c r="F46" s="510"/>
      <c r="G46" s="509">
        <f>H46/G14</f>
        <v>0</v>
      </c>
      <c r="H46" s="510"/>
      <c r="I46" s="509"/>
      <c r="J46" s="511"/>
      <c r="K46" s="512"/>
      <c r="L46" s="510"/>
      <c r="M46" s="511">
        <f>K46-L46</f>
        <v>0</v>
      </c>
      <c r="N46" s="524">
        <f>+N45+K46-L46</f>
        <v>0</v>
      </c>
      <c r="O46" s="29"/>
      <c r="P46" s="518">
        <v>43642</v>
      </c>
      <c r="Q46" s="517" t="s">
        <v>301</v>
      </c>
      <c r="R46" s="520"/>
      <c r="S46" s="520">
        <v>575</v>
      </c>
      <c r="T46" s="520">
        <f t="shared" si="3"/>
        <v>0</v>
      </c>
      <c r="U46" s="1855"/>
      <c r="V46" s="1855"/>
      <c r="W46" s="29"/>
      <c r="X46" s="29"/>
    </row>
    <row r="47" spans="4:24" ht="16.5" x14ac:dyDescent="0.25">
      <c r="D47" s="525" t="s">
        <v>2</v>
      </c>
      <c r="E47" s="512"/>
      <c r="F47" s="512">
        <f t="shared" ref="F47:L47" si="5">SUM(F16:F46)</f>
        <v>0</v>
      </c>
      <c r="G47" s="526">
        <f>SUM(G16:G46)</f>
        <v>0</v>
      </c>
      <c r="H47" s="512">
        <f t="shared" si="5"/>
        <v>0</v>
      </c>
      <c r="I47" s="512"/>
      <c r="J47" s="512">
        <f t="shared" si="5"/>
        <v>0</v>
      </c>
      <c r="K47" s="527">
        <f t="shared" si="5"/>
        <v>0</v>
      </c>
      <c r="L47" s="527">
        <f t="shared" si="5"/>
        <v>0</v>
      </c>
      <c r="M47" s="524">
        <f>SUM(M15:M46)</f>
        <v>0</v>
      </c>
      <c r="N47" s="528"/>
      <c r="O47" s="29"/>
      <c r="P47" s="518">
        <v>43643</v>
      </c>
      <c r="Q47" s="517" t="s">
        <v>301</v>
      </c>
      <c r="R47" s="520"/>
      <c r="S47" s="520">
        <v>575</v>
      </c>
      <c r="T47" s="520">
        <f t="shared" si="3"/>
        <v>0</v>
      </c>
      <c r="U47" s="29"/>
      <c r="V47" s="29"/>
      <c r="W47" s="29"/>
      <c r="X47" s="29"/>
    </row>
    <row r="48" spans="4:24" ht="15.75" x14ac:dyDescent="0.25">
      <c r="D48" s="529"/>
      <c r="E48" s="529"/>
      <c r="F48" s="529"/>
      <c r="G48" s="530"/>
      <c r="H48" s="529"/>
      <c r="I48" s="529"/>
      <c r="J48" s="529"/>
      <c r="K48" s="529"/>
      <c r="L48" s="529"/>
      <c r="M48" s="529"/>
      <c r="N48" s="529"/>
      <c r="O48" s="29"/>
      <c r="P48" s="518">
        <v>43644</v>
      </c>
      <c r="Q48" s="517" t="s">
        <v>301</v>
      </c>
      <c r="R48" s="520"/>
      <c r="S48" s="520">
        <v>575</v>
      </c>
      <c r="T48" s="520">
        <f t="shared" si="3"/>
        <v>0</v>
      </c>
      <c r="U48" s="29"/>
      <c r="V48" s="29"/>
      <c r="W48" s="29"/>
      <c r="X48" s="29"/>
    </row>
    <row r="49" spans="4:24" ht="15.75" x14ac:dyDescent="0.25">
      <c r="D49" s="37" t="s">
        <v>114</v>
      </c>
      <c r="E49" s="37" t="s">
        <v>115</v>
      </c>
      <c r="F49" s="37" t="s">
        <v>44</v>
      </c>
      <c r="G49" s="531" t="s">
        <v>87</v>
      </c>
      <c r="H49" s="29"/>
      <c r="I49" s="29"/>
      <c r="J49" s="29"/>
      <c r="K49" s="29"/>
      <c r="L49" s="29"/>
      <c r="M49" s="29"/>
      <c r="N49" s="29"/>
      <c r="O49" s="29"/>
      <c r="P49" s="518">
        <v>43645</v>
      </c>
      <c r="Q49" s="517" t="s">
        <v>301</v>
      </c>
      <c r="R49" s="520"/>
      <c r="S49" s="520">
        <v>575</v>
      </c>
      <c r="T49" s="520">
        <f t="shared" si="3"/>
        <v>0</v>
      </c>
      <c r="U49" s="29"/>
      <c r="V49" s="29"/>
      <c r="W49" s="29"/>
      <c r="X49" s="29"/>
    </row>
    <row r="50" spans="4:24" ht="15.75" x14ac:dyDescent="0.25">
      <c r="D50" s="37" t="s">
        <v>0</v>
      </c>
      <c r="E50" s="532">
        <f>E47</f>
        <v>0</v>
      </c>
      <c r="F50" s="37">
        <v>0</v>
      </c>
      <c r="G50" s="531">
        <f>E50*F50</f>
        <v>0</v>
      </c>
      <c r="H50" s="29"/>
      <c r="I50" s="29"/>
      <c r="J50" s="29"/>
      <c r="K50" s="29"/>
      <c r="L50" s="29"/>
      <c r="M50" s="29"/>
      <c r="N50" s="29"/>
      <c r="O50" s="29"/>
      <c r="P50" s="518">
        <v>43646</v>
      </c>
      <c r="Q50" s="517" t="s">
        <v>301</v>
      </c>
      <c r="R50" s="520"/>
      <c r="S50" s="520">
        <v>575</v>
      </c>
      <c r="T50" s="520">
        <f t="shared" si="3"/>
        <v>0</v>
      </c>
      <c r="U50" s="29"/>
      <c r="V50" s="29"/>
      <c r="W50" s="29"/>
      <c r="X50" s="29"/>
    </row>
    <row r="51" spans="4:24" ht="15.75" x14ac:dyDescent="0.25">
      <c r="D51" s="37" t="s">
        <v>3</v>
      </c>
      <c r="E51" s="531">
        <f>G47</f>
        <v>0</v>
      </c>
      <c r="F51" s="37"/>
      <c r="G51" s="531">
        <f>E51*F51</f>
        <v>0</v>
      </c>
      <c r="H51" s="29"/>
      <c r="I51" s="29"/>
      <c r="J51" s="29"/>
      <c r="K51" s="516"/>
      <c r="L51" s="516"/>
      <c r="M51" s="516"/>
      <c r="N51" s="29"/>
      <c r="O51" s="29"/>
      <c r="P51" s="518"/>
      <c r="Q51" s="517" t="s">
        <v>301</v>
      </c>
      <c r="R51" s="520"/>
      <c r="S51" s="520">
        <v>575</v>
      </c>
      <c r="T51" s="520">
        <f t="shared" si="3"/>
        <v>0</v>
      </c>
      <c r="U51" s="29"/>
      <c r="V51" s="29"/>
      <c r="W51" s="29"/>
      <c r="X51" s="29"/>
    </row>
    <row r="52" spans="4:24" ht="15.75" x14ac:dyDescent="0.25">
      <c r="D52" s="37" t="s">
        <v>1</v>
      </c>
      <c r="E52" s="532">
        <f>I47</f>
        <v>0</v>
      </c>
      <c r="F52" s="37">
        <v>0</v>
      </c>
      <c r="G52" s="531">
        <f>E52*F52</f>
        <v>0</v>
      </c>
      <c r="H52" s="494"/>
      <c r="I52" s="29"/>
      <c r="J52" s="29"/>
      <c r="K52" s="29"/>
      <c r="L52" s="533"/>
      <c r="M52" s="29"/>
      <c r="N52" s="516"/>
      <c r="O52" s="29"/>
      <c r="P52" s="517" t="s">
        <v>2</v>
      </c>
      <c r="Q52" s="520"/>
      <c r="R52" s="519">
        <f>SUM(R21:R51)</f>
        <v>0</v>
      </c>
      <c r="S52" s="520"/>
      <c r="T52" s="520">
        <f>SUM(T21:T51)</f>
        <v>0</v>
      </c>
      <c r="U52" s="29"/>
      <c r="V52" s="29"/>
      <c r="W52" s="29"/>
      <c r="X52" s="29"/>
    </row>
    <row r="53" spans="4:24" ht="15.75" x14ac:dyDescent="0.25">
      <c r="D53" s="644" t="s">
        <v>2</v>
      </c>
      <c r="E53" s="645"/>
      <c r="F53" s="646"/>
      <c r="G53" s="531">
        <f>SUM(G50:G52)</f>
        <v>0</v>
      </c>
      <c r="H53" s="29"/>
      <c r="I53" s="29"/>
      <c r="J53" s="29"/>
      <c r="K53" s="29"/>
      <c r="L53" s="29"/>
      <c r="M53" s="29"/>
      <c r="N53" s="516"/>
      <c r="O53" s="29"/>
      <c r="P53" s="516"/>
      <c r="Q53" s="29"/>
      <c r="R53" s="29"/>
      <c r="S53" s="29"/>
      <c r="T53" s="29"/>
      <c r="U53" s="29"/>
      <c r="V53" s="29"/>
      <c r="W53" s="29"/>
      <c r="X53" s="29"/>
    </row>
    <row r="54" spans="4:24" ht="15.75" x14ac:dyDescent="0.25"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4:24" ht="16.5" x14ac:dyDescent="0.3">
      <c r="D55" s="29"/>
      <c r="E55" s="29"/>
      <c r="F55" s="28" t="s">
        <v>252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4:24" ht="15.75" x14ac:dyDescent="0.25"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4:24" ht="15.75" x14ac:dyDescent="0.25">
      <c r="P57" s="29"/>
      <c r="Q57" s="29"/>
      <c r="R57" s="29"/>
      <c r="S57" s="29"/>
      <c r="T57" s="29"/>
    </row>
    <row r="58" spans="4:24" ht="15.75" x14ac:dyDescent="0.25">
      <c r="P58" s="29"/>
      <c r="Q58" s="29"/>
      <c r="R58" s="29"/>
      <c r="S58" s="29"/>
      <c r="T58" s="29"/>
    </row>
    <row r="59" spans="4:24" ht="15.75" x14ac:dyDescent="0.25">
      <c r="P59" s="29"/>
      <c r="Q59" s="29"/>
      <c r="R59" s="29"/>
      <c r="S59" s="29"/>
      <c r="T59" s="29"/>
    </row>
    <row r="60" spans="4:24" ht="15.75" x14ac:dyDescent="0.25">
      <c r="P60" s="29"/>
      <c r="Q60" s="29"/>
      <c r="R60" s="29"/>
      <c r="S60" s="29"/>
      <c r="T60" s="29"/>
    </row>
    <row r="61" spans="4:24" ht="15.75" x14ac:dyDescent="0.25">
      <c r="P61" s="29"/>
      <c r="Q61" s="29"/>
      <c r="R61" s="29"/>
      <c r="S61" s="29"/>
      <c r="T61" s="29"/>
    </row>
    <row r="62" spans="4:24" ht="15.75" x14ac:dyDescent="0.25">
      <c r="P62" s="29"/>
      <c r="Q62" s="29"/>
      <c r="R62" s="29"/>
      <c r="S62" s="29"/>
      <c r="T62" s="29"/>
    </row>
    <row r="63" spans="4:24" ht="15.75" x14ac:dyDescent="0.25">
      <c r="P63" s="29"/>
      <c r="Q63" s="29"/>
      <c r="R63" s="29"/>
      <c r="S63" s="29"/>
      <c r="T63" s="29"/>
    </row>
    <row r="64" spans="4:24" ht="15.75" x14ac:dyDescent="0.25">
      <c r="P64" s="29"/>
      <c r="Q64" s="29"/>
      <c r="R64" s="29"/>
      <c r="S64" s="29"/>
      <c r="T64" s="29"/>
    </row>
    <row r="65" spans="16:20" ht="15.75" x14ac:dyDescent="0.25">
      <c r="P65" s="29"/>
      <c r="Q65" s="29"/>
      <c r="R65" s="29"/>
      <c r="S65" s="29"/>
      <c r="T65" s="29"/>
    </row>
    <row r="66" spans="16:20" ht="15.75" x14ac:dyDescent="0.25">
      <c r="P66" s="29"/>
      <c r="Q66" s="29"/>
      <c r="R66" s="29"/>
      <c r="S66" s="29"/>
      <c r="T66" s="29"/>
    </row>
  </sheetData>
  <mergeCells count="12">
    <mergeCell ref="A16:C16"/>
    <mergeCell ref="U46:V46"/>
    <mergeCell ref="P9:R9"/>
    <mergeCell ref="P10:R10"/>
    <mergeCell ref="Q12:V12"/>
    <mergeCell ref="K13:K14"/>
    <mergeCell ref="L13:L14"/>
    <mergeCell ref="M13:M14"/>
    <mergeCell ref="N13:N14"/>
    <mergeCell ref="Q14:R14"/>
    <mergeCell ref="P16:R16"/>
    <mergeCell ref="P17:R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9"/>
  <sheetViews>
    <sheetView topLeftCell="A35" workbookViewId="0">
      <selection activeCell="D47" sqref="D47"/>
    </sheetView>
  </sheetViews>
  <sheetFormatPr baseColWidth="10" defaultRowHeight="15" x14ac:dyDescent="0.25"/>
  <cols>
    <col min="1" max="1" width="39.42578125" style="688" customWidth="1"/>
    <col min="2" max="2" width="17.140625" style="688" customWidth="1"/>
    <col min="3" max="3" width="23.85546875" style="688" customWidth="1"/>
    <col min="4" max="4" width="19.140625" style="688" bestFit="1" customWidth="1"/>
    <col min="5" max="5" width="18.140625" style="688" bestFit="1" customWidth="1"/>
    <col min="6" max="6" width="18.28515625" style="688" customWidth="1"/>
    <col min="7" max="7" width="16.140625" style="688" bestFit="1" customWidth="1"/>
    <col min="8" max="8" width="18" style="688" bestFit="1" customWidth="1"/>
    <col min="9" max="9" width="11.5703125" style="688" bestFit="1" customWidth="1"/>
    <col min="10" max="10" width="16.28515625" style="688" bestFit="1" customWidth="1"/>
    <col min="11" max="11" width="12.85546875" style="688" bestFit="1" customWidth="1"/>
    <col min="12" max="16384" width="11.42578125" style="688"/>
  </cols>
  <sheetData>
    <row r="1" spans="1:12" ht="16.5" thickBot="1" x14ac:dyDescent="0.3">
      <c r="A1" s="1896" t="s">
        <v>654</v>
      </c>
      <c r="B1" s="1897"/>
      <c r="C1" s="1897"/>
      <c r="D1" s="1898"/>
      <c r="E1" s="1008"/>
      <c r="F1" s="1010"/>
      <c r="G1" s="1011"/>
      <c r="H1" s="1128"/>
      <c r="I1" s="1128"/>
      <c r="J1" s="1128"/>
      <c r="K1" s="1128"/>
      <c r="L1" s="1128"/>
    </row>
    <row r="2" spans="1:12" ht="16.5" thickBot="1" x14ac:dyDescent="0.3">
      <c r="A2" s="1012" t="s">
        <v>26</v>
      </c>
      <c r="B2" s="1013" t="s">
        <v>38</v>
      </c>
      <c r="C2" s="1014" t="s">
        <v>39</v>
      </c>
      <c r="D2" s="1015" t="s">
        <v>11</v>
      </c>
      <c r="E2" s="1090"/>
      <c r="F2" s="1010"/>
      <c r="G2" s="1011"/>
      <c r="H2" s="1128"/>
      <c r="I2" s="1128"/>
      <c r="J2" s="1128"/>
      <c r="K2" s="1128"/>
      <c r="L2" s="1128"/>
    </row>
    <row r="3" spans="1:12" ht="16.5" thickBot="1" x14ac:dyDescent="0.3">
      <c r="A3" s="1018" t="s">
        <v>0</v>
      </c>
      <c r="B3" s="1019">
        <f>+'equation de stock'!B23</f>
        <v>16826</v>
      </c>
      <c r="C3" s="1020">
        <v>638</v>
      </c>
      <c r="D3" s="1021">
        <f>+B3*C3</f>
        <v>10734988</v>
      </c>
      <c r="E3" s="1091"/>
      <c r="F3" s="1144"/>
      <c r="G3" s="1145"/>
      <c r="H3" s="1146"/>
      <c r="I3" s="1128"/>
      <c r="J3" s="1128"/>
      <c r="K3" s="1128"/>
      <c r="L3" s="1128"/>
    </row>
    <row r="4" spans="1:12" ht="16.5" thickBot="1" x14ac:dyDescent="0.3">
      <c r="A4" s="1028" t="s">
        <v>3</v>
      </c>
      <c r="B4" s="1029">
        <f>+'equation de stock'!C23</f>
        <v>9440</v>
      </c>
      <c r="C4" s="1030">
        <v>583</v>
      </c>
      <c r="D4" s="1021">
        <f>+B4*C4</f>
        <v>5503520</v>
      </c>
      <c r="E4" s="1091"/>
      <c r="F4" s="1128"/>
      <c r="G4" s="1128"/>
      <c r="H4" s="1128"/>
      <c r="I4" s="1128"/>
      <c r="J4" s="1128"/>
      <c r="K4" s="1128"/>
      <c r="L4" s="1128"/>
    </row>
    <row r="5" spans="1:12" ht="16.5" thickBot="1" x14ac:dyDescent="0.3">
      <c r="A5" s="1031" t="s">
        <v>1</v>
      </c>
      <c r="B5" s="1032">
        <f>+'equation de stock'!D23</f>
        <v>5707</v>
      </c>
      <c r="C5" s="1033">
        <v>358</v>
      </c>
      <c r="D5" s="1021">
        <f>+B5*C5</f>
        <v>2043106</v>
      </c>
      <c r="E5" s="1091"/>
      <c r="F5" s="1128"/>
      <c r="G5" s="1128"/>
      <c r="H5" s="1128"/>
      <c r="I5" s="1128"/>
      <c r="J5" s="1128"/>
      <c r="K5" s="1128"/>
      <c r="L5" s="1128"/>
    </row>
    <row r="6" spans="1:12" ht="16.5" thickBot="1" x14ac:dyDescent="0.3">
      <c r="A6" s="1899"/>
      <c r="B6" s="1900"/>
      <c r="C6" s="1901"/>
      <c r="D6" s="1035">
        <f>+'INVENTAIRE LUB'!J30</f>
        <v>186625</v>
      </c>
      <c r="E6" s="1091"/>
      <c r="F6" s="1010"/>
      <c r="G6" s="1011"/>
      <c r="H6" s="1128"/>
      <c r="I6" s="1128"/>
      <c r="J6" s="1128"/>
      <c r="K6" s="1128"/>
      <c r="L6" s="1128"/>
    </row>
    <row r="7" spans="1:12" ht="16.5" thickBot="1" x14ac:dyDescent="0.3">
      <c r="A7" s="1902" t="s">
        <v>52</v>
      </c>
      <c r="B7" s="1903"/>
      <c r="C7" s="1904"/>
      <c r="D7" s="1036">
        <f>SUM(D3:D6)</f>
        <v>18468239</v>
      </c>
      <c r="E7" s="1092"/>
      <c r="F7" s="1010"/>
      <c r="G7" s="1011"/>
      <c r="H7" s="1128"/>
      <c r="I7" s="1128"/>
      <c r="J7" s="1128"/>
      <c r="K7" s="1128"/>
      <c r="L7" s="1128"/>
    </row>
    <row r="8" spans="1:12" ht="15.75" x14ac:dyDescent="0.25">
      <c r="A8" s="1905" t="s">
        <v>473</v>
      </c>
      <c r="B8" s="1906"/>
      <c r="C8" s="1906"/>
      <c r="D8" s="1906"/>
      <c r="E8" s="1147"/>
      <c r="F8" s="1038"/>
      <c r="G8" s="1148"/>
      <c r="H8" s="1045"/>
      <c r="I8" s="1045"/>
      <c r="J8" s="1045"/>
      <c r="K8" s="1128"/>
      <c r="L8" s="1128"/>
    </row>
    <row r="9" spans="1:12" s="1127" customFormat="1" ht="19.5" hidden="1" thickBot="1" x14ac:dyDescent="0.3">
      <c r="A9" s="1095">
        <v>44652</v>
      </c>
      <c r="B9" s="1156"/>
      <c r="C9" s="1157"/>
      <c r="D9" s="1163"/>
      <c r="E9" s="1093"/>
      <c r="F9" s="1045"/>
      <c r="G9" s="1045"/>
      <c r="H9" s="1045"/>
      <c r="I9" s="1045"/>
      <c r="J9" s="1045"/>
    </row>
    <row r="10" spans="1:12" s="1127" customFormat="1" ht="19.5" hidden="1" thickBot="1" x14ac:dyDescent="0.3">
      <c r="A10" s="1095">
        <v>44653</v>
      </c>
      <c r="B10" s="1156"/>
      <c r="C10" s="1157"/>
      <c r="D10" s="1163"/>
      <c r="E10" s="1093"/>
      <c r="F10" s="1045"/>
      <c r="G10" s="1045"/>
      <c r="H10" s="1045"/>
      <c r="I10" s="1045"/>
      <c r="J10" s="1045"/>
    </row>
    <row r="11" spans="1:12" s="1127" customFormat="1" ht="19.5" hidden="1" thickBot="1" x14ac:dyDescent="0.3">
      <c r="A11" s="1095">
        <v>44654</v>
      </c>
      <c r="B11" s="1156"/>
      <c r="C11" s="1157"/>
      <c r="D11" s="1163"/>
      <c r="E11" s="1093"/>
      <c r="F11" s="1045"/>
      <c r="G11" s="1045"/>
      <c r="H11" s="1045"/>
      <c r="I11" s="1045"/>
      <c r="J11" s="1045"/>
    </row>
    <row r="12" spans="1:12" s="1127" customFormat="1" ht="19.5" hidden="1" thickBot="1" x14ac:dyDescent="0.3">
      <c r="A12" s="1095">
        <v>44655</v>
      </c>
      <c r="B12" s="1156"/>
      <c r="C12" s="1157"/>
      <c r="D12" s="1163"/>
      <c r="E12" s="1093"/>
      <c r="F12" s="1045"/>
      <c r="G12" s="1045"/>
      <c r="H12" s="1045"/>
      <c r="I12" s="1045"/>
      <c r="J12" s="1045"/>
    </row>
    <row r="13" spans="1:12" s="1127" customFormat="1" ht="19.5" hidden="1" thickBot="1" x14ac:dyDescent="0.3">
      <c r="A13" s="1095">
        <v>44656</v>
      </c>
      <c r="B13" s="1156"/>
      <c r="C13" s="1157"/>
      <c r="D13" s="1163"/>
      <c r="E13" s="1093"/>
      <c r="F13" s="1045"/>
      <c r="G13" s="1045"/>
      <c r="H13" s="1045"/>
      <c r="I13" s="1045"/>
      <c r="J13" s="1045"/>
    </row>
    <row r="14" spans="1:12" s="1127" customFormat="1" ht="19.5" hidden="1" thickBot="1" x14ac:dyDescent="0.3">
      <c r="A14" s="1095">
        <v>44657</v>
      </c>
      <c r="B14" s="1156"/>
      <c r="C14" s="1157"/>
      <c r="D14" s="1163"/>
      <c r="E14" s="1093"/>
      <c r="F14" s="1045"/>
      <c r="G14" s="1045"/>
      <c r="H14" s="1045"/>
      <c r="I14" s="1045"/>
      <c r="J14" s="1045"/>
    </row>
    <row r="15" spans="1:12" s="1127" customFormat="1" ht="19.5" hidden="1" thickBot="1" x14ac:dyDescent="0.3">
      <c r="A15" s="1095">
        <v>44658</v>
      </c>
      <c r="B15" s="1156"/>
      <c r="C15" s="1157"/>
      <c r="D15" s="1163"/>
      <c r="E15" s="1093"/>
      <c r="F15" s="1045"/>
      <c r="G15" s="1045"/>
      <c r="H15" s="1045"/>
      <c r="I15" s="1045"/>
      <c r="J15" s="1045"/>
    </row>
    <row r="16" spans="1:12" s="1127" customFormat="1" ht="19.5" hidden="1" thickBot="1" x14ac:dyDescent="0.3">
      <c r="A16" s="1095">
        <v>44659</v>
      </c>
      <c r="B16" s="1156"/>
      <c r="C16" s="1157"/>
      <c r="D16" s="1163"/>
      <c r="E16" s="1093"/>
      <c r="F16" s="1045"/>
      <c r="G16" s="1045"/>
      <c r="H16" s="1045"/>
      <c r="I16" s="1045"/>
      <c r="J16" s="1045"/>
    </row>
    <row r="17" spans="1:10" s="1127" customFormat="1" ht="19.5" hidden="1" thickBot="1" x14ac:dyDescent="0.3">
      <c r="A17" s="1095">
        <v>44660</v>
      </c>
      <c r="B17" s="1156"/>
      <c r="C17" s="1157"/>
      <c r="D17" s="1163"/>
      <c r="E17" s="1093"/>
      <c r="F17" s="1045"/>
      <c r="G17" s="1045"/>
      <c r="H17" s="1045"/>
      <c r="I17" s="1045"/>
      <c r="J17" s="1045"/>
    </row>
    <row r="18" spans="1:10" s="1127" customFormat="1" ht="19.5" hidden="1" thickBot="1" x14ac:dyDescent="0.3">
      <c r="A18" s="1095">
        <v>44661</v>
      </c>
      <c r="B18" s="1156"/>
      <c r="C18" s="1157"/>
      <c r="D18" s="1163"/>
      <c r="E18" s="1093"/>
      <c r="F18" s="1045"/>
      <c r="G18" s="1045"/>
      <c r="H18" s="1045"/>
      <c r="I18" s="1045"/>
      <c r="J18" s="1045"/>
    </row>
    <row r="19" spans="1:10" s="1127" customFormat="1" ht="19.5" hidden="1" thickBot="1" x14ac:dyDescent="0.3">
      <c r="A19" s="1095">
        <v>44662</v>
      </c>
      <c r="B19" s="1156"/>
      <c r="C19" s="1157"/>
      <c r="D19" s="1163"/>
      <c r="E19" s="1093"/>
      <c r="F19" s="1045"/>
      <c r="G19" s="1045"/>
      <c r="H19" s="1045"/>
      <c r="I19" s="1045"/>
      <c r="J19" s="1045"/>
    </row>
    <row r="20" spans="1:10" s="1127" customFormat="1" ht="19.5" hidden="1" thickBot="1" x14ac:dyDescent="0.3">
      <c r="A20" s="1095">
        <v>44663</v>
      </c>
      <c r="B20" s="1156"/>
      <c r="C20" s="1157"/>
      <c r="D20" s="1163"/>
      <c r="E20" s="1093"/>
      <c r="F20" s="1045"/>
      <c r="G20" s="1045"/>
      <c r="H20" s="1045"/>
      <c r="I20" s="1045"/>
      <c r="J20" s="1045"/>
    </row>
    <row r="21" spans="1:10" s="1127" customFormat="1" ht="19.5" hidden="1" thickBot="1" x14ac:dyDescent="0.3">
      <c r="A21" s="1095">
        <v>44664</v>
      </c>
      <c r="B21" s="1156"/>
      <c r="C21" s="1157"/>
      <c r="D21" s="1163"/>
      <c r="E21" s="1093"/>
      <c r="F21" s="1045"/>
      <c r="G21" s="1045"/>
      <c r="H21" s="1045"/>
      <c r="I21" s="1045"/>
      <c r="J21" s="1045"/>
    </row>
    <row r="22" spans="1:10" s="1127" customFormat="1" ht="19.5" hidden="1" thickBot="1" x14ac:dyDescent="0.3">
      <c r="A22" s="1095">
        <v>44665</v>
      </c>
      <c r="B22" s="1156"/>
      <c r="C22" s="1157"/>
      <c r="D22" s="1163"/>
      <c r="E22" s="1093"/>
      <c r="F22" s="1045"/>
      <c r="G22" s="1045"/>
      <c r="H22" s="1045"/>
      <c r="I22" s="1045"/>
      <c r="J22" s="1045"/>
    </row>
    <row r="23" spans="1:10" s="1127" customFormat="1" ht="19.5" hidden="1" thickBot="1" x14ac:dyDescent="0.3">
      <c r="A23" s="1095">
        <v>44666</v>
      </c>
      <c r="B23" s="1156"/>
      <c r="C23" s="1157"/>
      <c r="D23" s="1163"/>
      <c r="E23" s="1093"/>
      <c r="F23" s="1045"/>
      <c r="G23" s="1045"/>
      <c r="H23" s="1045"/>
      <c r="I23" s="1045"/>
      <c r="J23" s="1045"/>
    </row>
    <row r="24" spans="1:10" s="1127" customFormat="1" ht="19.5" hidden="1" thickBot="1" x14ac:dyDescent="0.3">
      <c r="A24" s="1095">
        <v>44667</v>
      </c>
      <c r="B24" s="1156"/>
      <c r="C24" s="1157"/>
      <c r="D24" s="1163"/>
      <c r="E24" s="1093"/>
      <c r="F24" s="1045"/>
      <c r="G24" s="1045"/>
      <c r="H24" s="1045"/>
      <c r="I24" s="1045"/>
      <c r="J24" s="1045"/>
    </row>
    <row r="25" spans="1:10" s="1127" customFormat="1" ht="19.5" hidden="1" thickBot="1" x14ac:dyDescent="0.3">
      <c r="A25" s="1095">
        <v>44668</v>
      </c>
      <c r="B25" s="1156"/>
      <c r="C25" s="1157"/>
      <c r="D25" s="1163"/>
      <c r="E25" s="1093"/>
      <c r="F25" s="1045"/>
      <c r="G25" s="1045"/>
      <c r="H25" s="1045"/>
      <c r="I25" s="1045"/>
      <c r="J25" s="1045"/>
    </row>
    <row r="26" spans="1:10" s="1127" customFormat="1" ht="19.5" hidden="1" thickBot="1" x14ac:dyDescent="0.3">
      <c r="A26" s="1095">
        <v>44669</v>
      </c>
      <c r="B26" s="1156"/>
      <c r="C26" s="1157"/>
      <c r="D26" s="1163"/>
      <c r="E26" s="1093"/>
      <c r="F26" s="1045"/>
      <c r="G26" s="1045"/>
      <c r="H26" s="1045"/>
      <c r="I26" s="1045"/>
      <c r="J26" s="1045"/>
    </row>
    <row r="27" spans="1:10" s="1127" customFormat="1" ht="19.5" hidden="1" thickBot="1" x14ac:dyDescent="0.3">
      <c r="A27" s="1095">
        <v>44670</v>
      </c>
      <c r="B27" s="1156"/>
      <c r="C27" s="1157"/>
      <c r="D27" s="1163"/>
      <c r="E27" s="1093"/>
      <c r="F27" s="1045"/>
      <c r="G27" s="1045"/>
      <c r="H27" s="1045"/>
      <c r="I27" s="1045"/>
      <c r="J27" s="1045"/>
    </row>
    <row r="28" spans="1:10" s="1127" customFormat="1" ht="19.5" hidden="1" thickBot="1" x14ac:dyDescent="0.3">
      <c r="A28" s="1095">
        <v>44671</v>
      </c>
      <c r="B28" s="1156"/>
      <c r="C28" s="1157"/>
      <c r="D28" s="1163"/>
      <c r="E28" s="1149"/>
      <c r="F28" s="1149"/>
      <c r="G28" s="1045"/>
      <c r="H28" s="1045"/>
      <c r="I28" s="1045"/>
      <c r="J28" s="1045"/>
    </row>
    <row r="29" spans="1:10" s="1127" customFormat="1" ht="19.5" hidden="1" thickBot="1" x14ac:dyDescent="0.3">
      <c r="A29" s="1095">
        <v>44672</v>
      </c>
      <c r="B29" s="1156"/>
      <c r="C29" s="1157"/>
      <c r="D29" s="1163"/>
      <c r="E29" s="1093"/>
      <c r="F29" s="1045"/>
      <c r="G29" s="1045"/>
      <c r="H29" s="1045"/>
      <c r="I29" s="1045"/>
      <c r="J29" s="1045"/>
    </row>
    <row r="30" spans="1:10" s="1127" customFormat="1" ht="19.5" hidden="1" thickBot="1" x14ac:dyDescent="0.3">
      <c r="A30" s="1095">
        <v>44673</v>
      </c>
      <c r="B30" s="1156"/>
      <c r="C30" s="1157"/>
      <c r="D30" s="1163"/>
      <c r="E30" s="1149"/>
      <c r="F30" s="1149"/>
      <c r="G30" s="1045"/>
      <c r="H30" s="1045"/>
      <c r="I30" s="1045"/>
      <c r="J30" s="1045"/>
    </row>
    <row r="31" spans="1:10" s="1127" customFormat="1" ht="19.5" hidden="1" thickBot="1" x14ac:dyDescent="0.3">
      <c r="A31" s="1095">
        <v>44674</v>
      </c>
      <c r="B31" s="1156"/>
      <c r="C31" s="1157"/>
      <c r="D31" s="1163"/>
      <c r="E31" s="1093"/>
      <c r="F31" s="1045"/>
      <c r="G31" s="1045"/>
      <c r="H31" s="1045"/>
      <c r="I31" s="1045"/>
      <c r="J31" s="1045"/>
    </row>
    <row r="32" spans="1:10" s="1127" customFormat="1" ht="19.5" hidden="1" thickBot="1" x14ac:dyDescent="0.3">
      <c r="A32" s="1095">
        <v>44675</v>
      </c>
      <c r="B32" s="1156"/>
      <c r="C32" s="1157"/>
      <c r="D32" s="1163"/>
      <c r="E32" s="1093"/>
      <c r="F32" s="1045"/>
      <c r="G32" s="1045"/>
      <c r="H32" s="1045"/>
      <c r="I32" s="1045"/>
      <c r="J32" s="1045"/>
    </row>
    <row r="33" spans="1:10" s="1127" customFormat="1" ht="19.5" hidden="1" thickBot="1" x14ac:dyDescent="0.3">
      <c r="A33" s="1095">
        <v>44676</v>
      </c>
      <c r="B33" s="1156"/>
      <c r="C33" s="1157"/>
      <c r="D33" s="1163"/>
      <c r="E33" s="1093"/>
      <c r="F33" s="1045"/>
      <c r="G33" s="1045"/>
      <c r="H33" s="1045"/>
      <c r="I33" s="1045"/>
      <c r="J33" s="1045"/>
    </row>
    <row r="34" spans="1:10" s="1127" customFormat="1" ht="19.5" hidden="1" thickBot="1" x14ac:dyDescent="0.3">
      <c r="A34" s="1095">
        <v>44677</v>
      </c>
      <c r="B34" s="1156"/>
      <c r="C34" s="1157"/>
      <c r="D34" s="1163"/>
      <c r="E34" s="1093"/>
      <c r="F34" s="1045"/>
      <c r="G34" s="1045"/>
      <c r="H34" s="1045"/>
      <c r="I34" s="1045"/>
      <c r="J34" s="1045"/>
    </row>
    <row r="35" spans="1:10" s="1127" customFormat="1" ht="19.5" thickBot="1" x14ac:dyDescent="0.3">
      <c r="A35" s="1095">
        <v>44678</v>
      </c>
      <c r="B35" s="1156"/>
      <c r="C35" s="1157"/>
      <c r="D35" s="1163">
        <v>1609600</v>
      </c>
      <c r="E35" s="1093"/>
      <c r="F35" s="1045"/>
      <c r="G35" s="1045"/>
      <c r="H35" s="1045"/>
      <c r="I35" s="1045"/>
      <c r="J35" s="1045"/>
    </row>
    <row r="36" spans="1:10" s="1127" customFormat="1" ht="19.5" thickBot="1" x14ac:dyDescent="0.3">
      <c r="A36" s="1095">
        <v>44679</v>
      </c>
      <c r="B36" s="1156"/>
      <c r="C36" s="1157"/>
      <c r="D36" s="1163">
        <v>2348675</v>
      </c>
      <c r="E36" s="1093"/>
      <c r="F36" s="1045"/>
      <c r="G36" s="1045"/>
      <c r="H36" s="1045"/>
      <c r="I36" s="1045"/>
      <c r="J36" s="1045"/>
    </row>
    <row r="37" spans="1:10" s="1127" customFormat="1" ht="19.5" thickBot="1" x14ac:dyDescent="0.3">
      <c r="A37" s="1095">
        <v>44680</v>
      </c>
      <c r="B37" s="1156"/>
      <c r="C37" s="1157"/>
      <c r="D37" s="1163">
        <v>2231225</v>
      </c>
      <c r="E37" s="1093"/>
      <c r="F37" s="1045"/>
      <c r="G37" s="1045"/>
      <c r="H37" s="1045"/>
      <c r="I37" s="1045"/>
      <c r="J37" s="1045"/>
    </row>
    <row r="38" spans="1:10" s="1127" customFormat="1" ht="19.5" thickBot="1" x14ac:dyDescent="0.3">
      <c r="A38" s="1095">
        <v>44681</v>
      </c>
      <c r="B38" s="1156"/>
      <c r="C38" s="1157"/>
      <c r="D38" s="1163">
        <v>2366350</v>
      </c>
      <c r="E38" s="1093"/>
      <c r="F38" s="1045"/>
      <c r="G38" s="1045"/>
      <c r="H38" s="1045"/>
      <c r="I38" s="1045"/>
      <c r="J38" s="1045"/>
    </row>
    <row r="39" spans="1:10" s="1127" customFormat="1" ht="19.5" thickBot="1" x14ac:dyDescent="0.3">
      <c r="A39" s="1095">
        <v>44682</v>
      </c>
      <c r="B39" s="1156"/>
      <c r="C39" s="1157"/>
      <c r="D39" s="1163">
        <f>+'ETAT  KEKEM'!M6</f>
        <v>1484706</v>
      </c>
      <c r="E39" s="1093"/>
      <c r="F39" s="1045"/>
      <c r="G39" s="1045"/>
      <c r="H39" s="1045"/>
      <c r="I39" s="1045"/>
      <c r="J39" s="1045"/>
    </row>
    <row r="40" spans="1:10" s="1127" customFormat="1" ht="19.5" thickBot="1" x14ac:dyDescent="0.3">
      <c r="A40" s="1095">
        <v>44683</v>
      </c>
      <c r="B40" s="1156"/>
      <c r="C40" s="1157"/>
      <c r="D40" s="1163">
        <f>+'ETAT  KEKEM'!M7</f>
        <v>1964421</v>
      </c>
      <c r="E40" s="1093"/>
      <c r="F40" s="1045"/>
      <c r="G40" s="1045"/>
      <c r="H40" s="1045"/>
      <c r="I40" s="1045"/>
      <c r="J40" s="1045"/>
    </row>
    <row r="41" spans="1:10" s="1127" customFormat="1" ht="19.5" thickBot="1" x14ac:dyDescent="0.3">
      <c r="A41" s="1095">
        <v>44684</v>
      </c>
      <c r="B41" s="1156"/>
      <c r="C41" s="1157"/>
      <c r="D41" s="1163">
        <f>+'ETAT  KEKEM'!M8</f>
        <v>1698329</v>
      </c>
      <c r="E41" s="1093"/>
      <c r="F41" s="1045"/>
      <c r="G41" s="1045"/>
      <c r="H41" s="1045"/>
      <c r="I41" s="1045"/>
      <c r="J41" s="1045"/>
    </row>
    <row r="42" spans="1:10" s="1127" customFormat="1" ht="19.5" thickBot="1" x14ac:dyDescent="0.3">
      <c r="A42" s="1095">
        <v>44685</v>
      </c>
      <c r="B42" s="1156"/>
      <c r="C42" s="1157"/>
      <c r="D42" s="1163">
        <f>+'ETAT  KEKEM'!M9</f>
        <v>2249476</v>
      </c>
      <c r="E42" s="1093"/>
      <c r="F42" s="1045"/>
      <c r="G42" s="1045"/>
      <c r="H42" s="1045"/>
      <c r="I42" s="1045"/>
      <c r="J42" s="1045"/>
    </row>
    <row r="43" spans="1:10" s="1127" customFormat="1" ht="19.5" thickBot="1" x14ac:dyDescent="0.3">
      <c r="A43" s="1095">
        <v>44686</v>
      </c>
      <c r="B43" s="1156"/>
      <c r="C43" s="1157"/>
      <c r="D43" s="1163">
        <f>+'ETAT  KEKEM'!M10</f>
        <v>1752545</v>
      </c>
      <c r="E43" s="1093"/>
      <c r="F43" s="1045"/>
      <c r="G43" s="1045"/>
      <c r="H43" s="1045"/>
      <c r="I43" s="1045"/>
      <c r="J43" s="1045"/>
    </row>
    <row r="44" spans="1:10" s="1127" customFormat="1" ht="19.5" thickBot="1" x14ac:dyDescent="0.3">
      <c r="A44" s="1095">
        <v>44687</v>
      </c>
      <c r="B44" s="1156"/>
      <c r="C44" s="1157"/>
      <c r="D44" s="1163">
        <f>+'ETAT  KEKEM'!M11</f>
        <v>2331811</v>
      </c>
      <c r="E44" s="1093"/>
      <c r="F44" s="1045"/>
      <c r="G44" s="1045"/>
      <c r="H44" s="1045"/>
      <c r="I44" s="1045"/>
      <c r="J44" s="1045"/>
    </row>
    <row r="45" spans="1:10" s="1127" customFormat="1" ht="19.5" thickBot="1" x14ac:dyDescent="0.3">
      <c r="A45" s="1095">
        <v>44688</v>
      </c>
      <c r="B45" s="1156"/>
      <c r="C45" s="1157"/>
      <c r="D45" s="1163">
        <f>+'ETAT  KEKEM'!M12</f>
        <v>2274112</v>
      </c>
      <c r="E45" s="1093"/>
      <c r="F45" s="1045"/>
      <c r="G45" s="1045"/>
      <c r="H45" s="1045"/>
      <c r="I45" s="1045"/>
      <c r="J45" s="1045"/>
    </row>
    <row r="46" spans="1:10" s="1127" customFormat="1" ht="19.5" thickBot="1" x14ac:dyDescent="0.3">
      <c r="A46" s="1095">
        <v>44689</v>
      </c>
      <c r="B46" s="1156"/>
      <c r="C46" s="1157"/>
      <c r="D46" s="1163">
        <f>+'ETAT  KEKEM'!M13</f>
        <v>1761022</v>
      </c>
      <c r="E46" s="1093"/>
      <c r="F46" s="1045"/>
      <c r="G46" s="1045"/>
      <c r="H46" s="1045"/>
      <c r="I46" s="1045"/>
      <c r="J46" s="1045"/>
    </row>
    <row r="47" spans="1:10" s="1127" customFormat="1" ht="19.5" thickBot="1" x14ac:dyDescent="0.3">
      <c r="A47" s="1095">
        <v>44690</v>
      </c>
      <c r="B47" s="1156"/>
      <c r="C47" s="1157"/>
      <c r="D47" s="1163">
        <f>+'ETAT  KEKEM'!M14</f>
        <v>1536773</v>
      </c>
      <c r="E47" s="1093"/>
      <c r="F47" s="1045"/>
      <c r="G47" s="1045"/>
      <c r="H47" s="1045"/>
      <c r="I47" s="1045"/>
      <c r="J47" s="1045"/>
    </row>
    <row r="48" spans="1:10" s="1127" customFormat="1" ht="19.5" thickBot="1" x14ac:dyDescent="0.3">
      <c r="A48" s="1095">
        <v>44691</v>
      </c>
      <c r="B48" s="1156"/>
      <c r="C48" s="1157"/>
      <c r="D48" s="1163">
        <f>+'ETAT  KEKEM'!M15</f>
        <v>1932435</v>
      </c>
      <c r="E48" s="1093"/>
      <c r="F48" s="1045"/>
      <c r="G48" s="1045"/>
      <c r="H48" s="1045"/>
      <c r="I48" s="1045"/>
      <c r="J48" s="1045"/>
    </row>
    <row r="49" spans="1:10" s="1127" customFormat="1" ht="19.5" thickBot="1" x14ac:dyDescent="0.3">
      <c r="A49" s="1095">
        <v>44692</v>
      </c>
      <c r="B49" s="1156"/>
      <c r="C49" s="1157"/>
      <c r="D49" s="1163">
        <f>+'ETAT  KEKEM'!M16</f>
        <v>1455239</v>
      </c>
      <c r="E49" s="1093"/>
      <c r="F49" s="1045"/>
      <c r="G49" s="1045"/>
      <c r="H49" s="1045"/>
      <c r="I49" s="1045"/>
      <c r="J49" s="1045"/>
    </row>
    <row r="50" spans="1:10" s="1127" customFormat="1" ht="19.5" thickBot="1" x14ac:dyDescent="0.3">
      <c r="A50" s="1095">
        <v>44693</v>
      </c>
      <c r="B50" s="1156"/>
      <c r="C50" s="1157"/>
      <c r="D50" s="1163">
        <f>+'ETAT  KEKEM'!M17</f>
        <v>1722605</v>
      </c>
      <c r="E50" s="1093"/>
      <c r="F50" s="1045"/>
      <c r="G50" s="1045"/>
      <c r="H50" s="1045"/>
      <c r="I50" s="1045"/>
      <c r="J50" s="1045"/>
    </row>
    <row r="51" spans="1:10" s="1127" customFormat="1" ht="19.5" thickBot="1" x14ac:dyDescent="0.3">
      <c r="A51" s="1095">
        <v>44694</v>
      </c>
      <c r="B51" s="1156"/>
      <c r="C51" s="1157"/>
      <c r="D51" s="1163">
        <f>+'ETAT  KEKEM'!M18</f>
        <v>1793700</v>
      </c>
      <c r="E51" s="1093"/>
      <c r="F51" s="1045"/>
      <c r="G51" s="1045"/>
      <c r="H51" s="1045"/>
      <c r="I51" s="1045"/>
      <c r="J51" s="1045"/>
    </row>
    <row r="52" spans="1:10" s="1127" customFormat="1" ht="19.5" thickBot="1" x14ac:dyDescent="0.3">
      <c r="A52" s="1095">
        <v>44695</v>
      </c>
      <c r="B52" s="1156"/>
      <c r="C52" s="1157"/>
      <c r="D52" s="1163">
        <f>+'ETAT  KEKEM'!M19</f>
        <v>0</v>
      </c>
      <c r="E52" s="1093"/>
      <c r="F52" s="1045"/>
      <c r="G52" s="1045"/>
      <c r="H52" s="1045"/>
      <c r="I52" s="1045"/>
      <c r="J52" s="1045"/>
    </row>
    <row r="53" spans="1:10" s="1127" customFormat="1" ht="19.5" thickBot="1" x14ac:dyDescent="0.3">
      <c r="A53" s="1095">
        <v>44696</v>
      </c>
      <c r="B53" s="1156"/>
      <c r="C53" s="1157"/>
      <c r="D53" s="1163">
        <f>+'ETAT  KEKEM'!M20</f>
        <v>0</v>
      </c>
      <c r="E53" s="1093"/>
      <c r="F53" s="1045"/>
      <c r="G53" s="1045"/>
      <c r="H53" s="1045"/>
      <c r="I53" s="1045"/>
      <c r="J53" s="1045"/>
    </row>
    <row r="54" spans="1:10" s="1127" customFormat="1" ht="19.5" thickBot="1" x14ac:dyDescent="0.3">
      <c r="A54" s="1095">
        <v>44697</v>
      </c>
      <c r="B54" s="1156"/>
      <c r="C54" s="1157"/>
      <c r="D54" s="1163">
        <f>+'ETAT  KEKEM'!M21</f>
        <v>0</v>
      </c>
      <c r="E54" s="1093"/>
      <c r="F54" s="1045"/>
      <c r="G54" s="1045"/>
      <c r="H54" s="1045"/>
      <c r="I54" s="1045"/>
      <c r="J54" s="1045"/>
    </row>
    <row r="55" spans="1:10" s="1127" customFormat="1" ht="19.5" thickBot="1" x14ac:dyDescent="0.3">
      <c r="A55" s="1095">
        <v>44698</v>
      </c>
      <c r="B55" s="1156"/>
      <c r="C55" s="1157"/>
      <c r="D55" s="1163">
        <f>+'ETAT  KEKEM'!M22</f>
        <v>0</v>
      </c>
      <c r="E55" s="1093"/>
      <c r="F55" s="1045"/>
      <c r="G55" s="1045"/>
      <c r="H55" s="1045"/>
      <c r="I55" s="1045"/>
      <c r="J55" s="1045"/>
    </row>
    <row r="56" spans="1:10" s="1127" customFormat="1" ht="19.5" thickBot="1" x14ac:dyDescent="0.3">
      <c r="A56" s="1095">
        <v>44699</v>
      </c>
      <c r="B56" s="1156"/>
      <c r="C56" s="1157"/>
      <c r="D56" s="1163">
        <f>+'ETAT  KEKEM'!M23</f>
        <v>0</v>
      </c>
      <c r="E56" s="1093"/>
      <c r="F56" s="1045"/>
      <c r="G56" s="1045"/>
      <c r="H56" s="1045"/>
      <c r="I56" s="1045"/>
      <c r="J56" s="1045"/>
    </row>
    <row r="57" spans="1:10" s="1127" customFormat="1" ht="19.5" thickBot="1" x14ac:dyDescent="0.3">
      <c r="A57" s="1095">
        <v>44700</v>
      </c>
      <c r="B57" s="1156"/>
      <c r="C57" s="1157"/>
      <c r="D57" s="1163">
        <f>+'ETAT  KEKEM'!M24</f>
        <v>0</v>
      </c>
      <c r="E57" s="1093"/>
      <c r="F57" s="1045"/>
      <c r="G57" s="1045"/>
      <c r="H57" s="1045"/>
      <c r="I57" s="1045"/>
      <c r="J57" s="1045"/>
    </row>
    <row r="58" spans="1:10" s="1127" customFormat="1" ht="19.5" thickBot="1" x14ac:dyDescent="0.3">
      <c r="A58" s="1095">
        <v>44701</v>
      </c>
      <c r="B58" s="1156"/>
      <c r="C58" s="1157"/>
      <c r="D58" s="1163">
        <f>+'ETAT  KEKEM'!M25</f>
        <v>0</v>
      </c>
      <c r="E58" s="1093"/>
      <c r="F58" s="1045"/>
      <c r="G58" s="1045"/>
      <c r="H58" s="1045"/>
      <c r="I58" s="1045"/>
      <c r="J58" s="1045"/>
    </row>
    <row r="59" spans="1:10" s="1127" customFormat="1" ht="19.5" thickBot="1" x14ac:dyDescent="0.3">
      <c r="A59" s="1095">
        <v>44702</v>
      </c>
      <c r="B59" s="1156"/>
      <c r="C59" s="1157"/>
      <c r="D59" s="1163">
        <f>+'ETAT  KEKEM'!M26</f>
        <v>0</v>
      </c>
      <c r="E59" s="1093"/>
      <c r="F59" s="1045"/>
      <c r="G59" s="1045"/>
      <c r="H59" s="1045"/>
      <c r="I59" s="1045"/>
      <c r="J59" s="1045"/>
    </row>
    <row r="60" spans="1:10" s="1127" customFormat="1" ht="19.5" thickBot="1" x14ac:dyDescent="0.3">
      <c r="A60" s="1095">
        <v>44703</v>
      </c>
      <c r="B60" s="1156"/>
      <c r="C60" s="1157"/>
      <c r="D60" s="1163">
        <f>+'ETAT  KEKEM'!M27</f>
        <v>0</v>
      </c>
      <c r="E60" s="1093"/>
      <c r="F60" s="1045"/>
      <c r="G60" s="1045"/>
      <c r="H60" s="1045"/>
      <c r="I60" s="1045"/>
      <c r="J60" s="1045"/>
    </row>
    <row r="61" spans="1:10" s="1127" customFormat="1" ht="19.5" thickBot="1" x14ac:dyDescent="0.3">
      <c r="A61" s="1095">
        <v>44704</v>
      </c>
      <c r="B61" s="1156"/>
      <c r="C61" s="1157"/>
      <c r="D61" s="1163">
        <f>+'ETAT  KEKEM'!M28</f>
        <v>0</v>
      </c>
      <c r="E61" s="1093"/>
      <c r="F61" s="1045"/>
      <c r="G61" s="1045"/>
      <c r="H61" s="1045"/>
      <c r="I61" s="1045"/>
      <c r="J61" s="1045"/>
    </row>
    <row r="62" spans="1:10" s="1127" customFormat="1" ht="19.5" thickBot="1" x14ac:dyDescent="0.3">
      <c r="A62" s="1095">
        <v>44705</v>
      </c>
      <c r="B62" s="1156"/>
      <c r="C62" s="1157"/>
      <c r="D62" s="1163">
        <f>+'ETAT  KEKEM'!M29</f>
        <v>0</v>
      </c>
      <c r="E62" s="1093"/>
      <c r="F62" s="1045"/>
      <c r="G62" s="1045"/>
      <c r="H62" s="1045"/>
      <c r="I62" s="1045"/>
      <c r="J62" s="1045"/>
    </row>
    <row r="63" spans="1:10" s="1127" customFormat="1" ht="19.5" thickBot="1" x14ac:dyDescent="0.3">
      <c r="A63" s="1095">
        <v>44706</v>
      </c>
      <c r="B63" s="1156"/>
      <c r="C63" s="1157"/>
      <c r="D63" s="1163">
        <f>+'ETAT  KEKEM'!M30</f>
        <v>0</v>
      </c>
      <c r="E63" s="1093"/>
      <c r="F63" s="1045"/>
      <c r="G63" s="1045"/>
      <c r="H63" s="1045"/>
      <c r="I63" s="1045"/>
      <c r="J63" s="1045"/>
    </row>
    <row r="64" spans="1:10" s="1127" customFormat="1" ht="19.5" thickBot="1" x14ac:dyDescent="0.3">
      <c r="A64" s="1095">
        <v>44707</v>
      </c>
      <c r="B64" s="1156"/>
      <c r="C64" s="1157"/>
      <c r="D64" s="1163">
        <f>+'ETAT  KEKEM'!M31</f>
        <v>0</v>
      </c>
      <c r="E64" s="1093"/>
      <c r="F64" s="1045"/>
      <c r="G64" s="1045"/>
      <c r="H64" s="1045"/>
      <c r="I64" s="1045"/>
      <c r="J64" s="1045"/>
    </row>
    <row r="65" spans="1:11" s="1127" customFormat="1" ht="19.5" thickBot="1" x14ac:dyDescent="0.3">
      <c r="A65" s="1095">
        <v>44708</v>
      </c>
      <c r="B65" s="1156"/>
      <c r="C65" s="1157"/>
      <c r="D65" s="1163">
        <f>+'ETAT  KEKEM'!M32</f>
        <v>0</v>
      </c>
      <c r="E65" s="1093"/>
      <c r="F65" s="1045"/>
      <c r="G65" s="1045"/>
      <c r="H65" s="1045"/>
      <c r="I65" s="1045"/>
      <c r="J65" s="1045"/>
    </row>
    <row r="66" spans="1:11" s="1127" customFormat="1" ht="19.5" thickBot="1" x14ac:dyDescent="0.3">
      <c r="A66" s="1095">
        <v>44709</v>
      </c>
      <c r="B66" s="1156"/>
      <c r="C66" s="1157"/>
      <c r="D66" s="1163">
        <f>+'ETAT  KEKEM'!M33</f>
        <v>0</v>
      </c>
      <c r="E66" s="1093"/>
      <c r="F66" s="1045"/>
      <c r="G66" s="1045"/>
      <c r="H66" s="1045"/>
      <c r="I66" s="1045"/>
      <c r="J66" s="1045"/>
    </row>
    <row r="67" spans="1:11" s="1127" customFormat="1" ht="19.5" thickBot="1" x14ac:dyDescent="0.3">
      <c r="A67" s="1095">
        <v>44710</v>
      </c>
      <c r="B67" s="1156"/>
      <c r="C67" s="1157"/>
      <c r="D67" s="1163">
        <f>+'ETAT  KEKEM'!M34</f>
        <v>0</v>
      </c>
      <c r="E67" s="1093"/>
      <c r="F67" s="1045"/>
      <c r="G67" s="1045"/>
      <c r="H67" s="1045"/>
      <c r="I67" s="1045"/>
      <c r="J67" s="1045"/>
    </row>
    <row r="68" spans="1:11" s="1127" customFormat="1" ht="19.5" thickBot="1" x14ac:dyDescent="0.3">
      <c r="A68" s="1095">
        <v>44711</v>
      </c>
      <c r="B68" s="1156"/>
      <c r="C68" s="1157"/>
      <c r="D68" s="1163">
        <f>+'ETAT  KEKEM'!M35</f>
        <v>0</v>
      </c>
      <c r="E68" s="1093"/>
      <c r="F68" s="1045"/>
      <c r="G68" s="1045"/>
      <c r="H68" s="1045"/>
      <c r="I68" s="1045"/>
      <c r="J68" s="1045"/>
    </row>
    <row r="69" spans="1:11" s="1127" customFormat="1" ht="19.5" thickBot="1" x14ac:dyDescent="0.3">
      <c r="A69" s="1095">
        <v>44712</v>
      </c>
      <c r="B69" s="1156"/>
      <c r="C69" s="1157"/>
      <c r="D69" s="1163">
        <f>+'ETAT  KEKEM'!M36</f>
        <v>0</v>
      </c>
      <c r="E69" s="1093"/>
      <c r="F69" s="1045"/>
      <c r="G69" s="1045"/>
      <c r="H69" s="1045"/>
      <c r="I69" s="1045"/>
      <c r="J69" s="1045"/>
    </row>
    <row r="70" spans="1:11" ht="16.5" thickBot="1" x14ac:dyDescent="0.3">
      <c r="A70" s="1907" t="s">
        <v>256</v>
      </c>
      <c r="B70" s="1908"/>
      <c r="C70" s="1909"/>
      <c r="D70" s="1089">
        <f>SUM(D9:D69)</f>
        <v>32513024</v>
      </c>
      <c r="E70" s="1049"/>
      <c r="F70" s="1045"/>
    </row>
    <row r="71" spans="1:11" ht="16.5" thickBot="1" x14ac:dyDescent="0.3">
      <c r="A71" s="1893" t="s">
        <v>476</v>
      </c>
      <c r="B71" s="1894"/>
      <c r="C71" s="1894"/>
      <c r="D71" s="1895"/>
      <c r="E71" s="1049"/>
      <c r="F71" s="1195" t="s">
        <v>606</v>
      </c>
      <c r="G71" s="1196" t="s">
        <v>607</v>
      </c>
      <c r="H71" s="1196" t="s">
        <v>608</v>
      </c>
      <c r="I71" s="1197" t="s">
        <v>609</v>
      </c>
      <c r="J71" s="1198" t="s">
        <v>610</v>
      </c>
    </row>
    <row r="72" spans="1:11" ht="16.5" thickBot="1" x14ac:dyDescent="0.3">
      <c r="A72" s="1054" t="s">
        <v>199</v>
      </c>
      <c r="B72" s="1055"/>
      <c r="C72" s="1055"/>
      <c r="D72" s="1042">
        <f>+J72</f>
        <v>0</v>
      </c>
      <c r="E72" s="1056"/>
      <c r="F72" s="1199"/>
      <c r="G72" s="1194">
        <f>+'ETAT  KEKEM'!O38</f>
        <v>0</v>
      </c>
      <c r="H72" s="1044"/>
      <c r="I72" s="1057"/>
      <c r="J72" s="1200">
        <f>+F72+G72-H72-I72</f>
        <v>0</v>
      </c>
    </row>
    <row r="73" spans="1:11" ht="16.5" thickBot="1" x14ac:dyDescent="0.3">
      <c r="A73" s="1054" t="s">
        <v>611</v>
      </c>
      <c r="B73" s="1055"/>
      <c r="C73" s="1055"/>
      <c r="D73" s="1042">
        <f t="shared" ref="D73:D76" si="0">+J73</f>
        <v>0</v>
      </c>
      <c r="E73" s="1058"/>
      <c r="F73" s="1199"/>
      <c r="G73" s="1194">
        <f>+'ETAT  KEKEM'!U38</f>
        <v>0</v>
      </c>
      <c r="H73" s="1044"/>
      <c r="I73" s="1057"/>
      <c r="J73" s="1200">
        <f t="shared" ref="J73:J76" si="1">+F73+G73-H73-I73</f>
        <v>0</v>
      </c>
    </row>
    <row r="74" spans="1:11" ht="16.5" thickBot="1" x14ac:dyDescent="0.3">
      <c r="A74" s="1054" t="s">
        <v>177</v>
      </c>
      <c r="B74" s="71"/>
      <c r="C74" s="71"/>
      <c r="D74" s="1042">
        <f t="shared" si="0"/>
        <v>0</v>
      </c>
      <c r="E74" s="1059"/>
      <c r="F74" s="1199"/>
      <c r="G74" s="1194">
        <f>+'ETAT  KEKEM'!S38</f>
        <v>0</v>
      </c>
      <c r="H74" s="1102"/>
      <c r="I74" s="1057"/>
      <c r="J74" s="1200">
        <f t="shared" si="1"/>
        <v>0</v>
      </c>
    </row>
    <row r="75" spans="1:11" s="1104" customFormat="1" ht="16.5" thickBot="1" x14ac:dyDescent="0.3">
      <c r="A75" s="1054" t="s">
        <v>8</v>
      </c>
      <c r="B75" s="1105"/>
      <c r="C75" s="1105"/>
      <c r="D75" s="1042">
        <f t="shared" si="0"/>
        <v>139920</v>
      </c>
      <c r="E75" s="1059"/>
      <c r="F75" s="1199">
        <v>93280</v>
      </c>
      <c r="G75" s="1194">
        <f>+'ETAT  KEKEM'!Q38</f>
        <v>23320</v>
      </c>
      <c r="H75" s="1102">
        <f>'ETAT  KEKEM'!K38</f>
        <v>-23320</v>
      </c>
      <c r="I75" s="1057"/>
      <c r="J75" s="1200">
        <f t="shared" si="1"/>
        <v>139920</v>
      </c>
    </row>
    <row r="76" spans="1:11" ht="16.5" thickBot="1" x14ac:dyDescent="0.3">
      <c r="A76" s="1054" t="s">
        <v>650</v>
      </c>
      <c r="B76" s="71"/>
      <c r="C76" s="71"/>
      <c r="D76" s="1042">
        <f t="shared" si="0"/>
        <v>153775</v>
      </c>
      <c r="E76" s="1059"/>
      <c r="F76" s="1199">
        <v>112509</v>
      </c>
      <c r="G76" s="1194">
        <f>+'ETAT  KEKEM'!R38</f>
        <v>41266</v>
      </c>
      <c r="H76" s="1102"/>
      <c r="I76" s="1057"/>
      <c r="J76" s="1200">
        <f t="shared" si="1"/>
        <v>153775</v>
      </c>
    </row>
    <row r="77" spans="1:11" ht="16.5" thickBot="1" x14ac:dyDescent="0.3">
      <c r="A77" s="1867" t="s">
        <v>474</v>
      </c>
      <c r="B77" s="1868"/>
      <c r="C77" s="1869"/>
      <c r="D77" s="1046">
        <f>SUM(D72:D76)</f>
        <v>293695</v>
      </c>
      <c r="E77" s="1059"/>
      <c r="F77" s="1201">
        <f>SUM(F72:F76)</f>
        <v>205789</v>
      </c>
      <c r="G77" s="1202">
        <f>SUM(G72:G76)</f>
        <v>64586</v>
      </c>
      <c r="H77" s="1202">
        <f>SUM(H72:H74)</f>
        <v>0</v>
      </c>
      <c r="I77" s="1202">
        <f>SUM(I72:I74)</f>
        <v>0</v>
      </c>
      <c r="J77" s="1203">
        <f>SUM(J72:J76)</f>
        <v>293695</v>
      </c>
    </row>
    <row r="78" spans="1:11" ht="16.5" thickBot="1" x14ac:dyDescent="0.3">
      <c r="A78" s="1870" t="s">
        <v>145</v>
      </c>
      <c r="B78" s="1871"/>
      <c r="C78" s="1871"/>
      <c r="D78" s="1872"/>
      <c r="E78" s="1059"/>
    </row>
    <row r="79" spans="1:11" ht="17.25" customHeight="1" x14ac:dyDescent="0.25">
      <c r="A79" s="1098"/>
      <c r="B79" s="1099" t="s">
        <v>641</v>
      </c>
      <c r="C79" s="1099"/>
      <c r="D79" s="1100"/>
      <c r="E79" s="1059"/>
      <c r="F79" s="1011"/>
      <c r="G79" s="1011"/>
      <c r="H79" s="1011"/>
    </row>
    <row r="80" spans="1:11" ht="17.25" customHeight="1" x14ac:dyDescent="0.25">
      <c r="A80" s="1096" t="s">
        <v>636</v>
      </c>
      <c r="B80" s="1097"/>
      <c r="C80" s="1097"/>
      <c r="D80" s="1087">
        <v>8491</v>
      </c>
      <c r="E80" s="1204" t="s">
        <v>318</v>
      </c>
      <c r="F80" s="1205">
        <v>3017921</v>
      </c>
      <c r="G80" s="1205"/>
      <c r="H80" s="1205">
        <v>3018117</v>
      </c>
      <c r="I80" s="1206">
        <f>+H80-F80</f>
        <v>196</v>
      </c>
      <c r="J80" s="1206">
        <v>638</v>
      </c>
      <c r="K80" s="1206">
        <f>+I80*J80</f>
        <v>125048</v>
      </c>
    </row>
    <row r="81" spans="1:11" ht="17.25" customHeight="1" x14ac:dyDescent="0.25">
      <c r="A81" s="1096" t="s">
        <v>635</v>
      </c>
      <c r="B81" s="1097"/>
      <c r="C81" s="1097"/>
      <c r="D81" s="1087">
        <v>820100</v>
      </c>
      <c r="E81" s="1204" t="s">
        <v>319</v>
      </c>
      <c r="F81" s="1205">
        <v>2181386</v>
      </c>
      <c r="G81" s="1205"/>
      <c r="H81" s="1205">
        <v>2181521</v>
      </c>
      <c r="I81" s="1206">
        <f t="shared" ref="I81:I88" si="2">+H81-F81</f>
        <v>135</v>
      </c>
      <c r="J81" s="1206">
        <v>638</v>
      </c>
      <c r="K81" s="1206">
        <f t="shared" ref="K81:K88" si="3">+I81*J81</f>
        <v>86130</v>
      </c>
    </row>
    <row r="82" spans="1:11" s="1127" customFormat="1" ht="17.25" customHeight="1" x14ac:dyDescent="0.25">
      <c r="A82" s="1096" t="s">
        <v>553</v>
      </c>
      <c r="B82" s="1097"/>
      <c r="C82" s="1097"/>
      <c r="D82" s="1087">
        <f>+'ETAT  KEKEM'!V34</f>
        <v>0</v>
      </c>
      <c r="E82" s="1204" t="s">
        <v>320</v>
      </c>
      <c r="F82" s="1205">
        <v>2197240</v>
      </c>
      <c r="G82" s="1205"/>
      <c r="H82" s="1205">
        <v>2197426</v>
      </c>
      <c r="I82" s="1206">
        <f t="shared" si="2"/>
        <v>186</v>
      </c>
      <c r="J82" s="1206">
        <v>638</v>
      </c>
      <c r="K82" s="1206">
        <f t="shared" si="3"/>
        <v>118668</v>
      </c>
    </row>
    <row r="83" spans="1:11" ht="15.75" x14ac:dyDescent="0.25">
      <c r="A83" s="1098"/>
      <c r="B83" s="1099" t="s">
        <v>651</v>
      </c>
      <c r="C83" s="1099"/>
      <c r="D83" s="1100"/>
      <c r="E83" s="1207"/>
      <c r="F83" s="1208"/>
      <c r="G83" s="1208"/>
      <c r="H83" s="1205"/>
      <c r="I83" s="1206">
        <f t="shared" si="2"/>
        <v>0</v>
      </c>
      <c r="J83" s="1206"/>
      <c r="K83" s="1206">
        <f t="shared" si="3"/>
        <v>0</v>
      </c>
    </row>
    <row r="84" spans="1:11" ht="15.75" x14ac:dyDescent="0.25">
      <c r="A84" s="1096" t="s">
        <v>636</v>
      </c>
      <c r="B84" s="1097"/>
      <c r="C84" s="1097"/>
      <c r="D84" s="1087">
        <f>+'ETAT  KEKEM'!P38</f>
        <v>-7287</v>
      </c>
      <c r="E84" s="1207" t="s">
        <v>324</v>
      </c>
      <c r="F84" s="1209">
        <v>764198</v>
      </c>
      <c r="G84" s="1209"/>
      <c r="H84" s="1205">
        <v>764232</v>
      </c>
      <c r="I84" s="1206">
        <f t="shared" si="2"/>
        <v>34</v>
      </c>
      <c r="J84" s="1206">
        <v>583</v>
      </c>
      <c r="K84" s="1206">
        <f t="shared" si="3"/>
        <v>19822</v>
      </c>
    </row>
    <row r="85" spans="1:11" ht="15.75" x14ac:dyDescent="0.25">
      <c r="A85" s="1096" t="s">
        <v>635</v>
      </c>
      <c r="B85" s="1097"/>
      <c r="C85" s="1097"/>
      <c r="D85" s="1087">
        <f>+'ETAT  KEKEM'!W38</f>
        <v>0</v>
      </c>
      <c r="E85" s="1207" t="s">
        <v>325</v>
      </c>
      <c r="F85" s="1209">
        <v>498859</v>
      </c>
      <c r="G85" s="1209"/>
      <c r="H85" s="1205">
        <v>498885</v>
      </c>
      <c r="I85" s="1206">
        <f t="shared" si="2"/>
        <v>26</v>
      </c>
      <c r="J85" s="1206">
        <v>583</v>
      </c>
      <c r="K85" s="1206">
        <f t="shared" si="3"/>
        <v>15158</v>
      </c>
    </row>
    <row r="86" spans="1:11" ht="15.75" x14ac:dyDescent="0.25">
      <c r="A86" s="1096" t="s">
        <v>553</v>
      </c>
      <c r="B86" s="1097"/>
      <c r="C86" s="1097"/>
      <c r="D86" s="1087">
        <f>+'ETAT  KEKEM'!V38</f>
        <v>0</v>
      </c>
      <c r="E86" s="1207" t="s">
        <v>326</v>
      </c>
      <c r="F86" s="1209">
        <v>2142386</v>
      </c>
      <c r="G86" s="1205"/>
      <c r="H86" s="1205">
        <v>2142439</v>
      </c>
      <c r="I86" s="1206">
        <f t="shared" si="2"/>
        <v>53</v>
      </c>
      <c r="J86" s="1206">
        <v>583</v>
      </c>
      <c r="K86" s="1206">
        <f t="shared" si="3"/>
        <v>30899</v>
      </c>
    </row>
    <row r="87" spans="1:11" ht="16.5" thickBot="1" x14ac:dyDescent="0.3">
      <c r="A87" s="1873" t="s">
        <v>614</v>
      </c>
      <c r="B87" s="1874"/>
      <c r="C87" s="1875"/>
      <c r="D87" s="1189">
        <f>SUM(D80:D86)</f>
        <v>821304</v>
      </c>
      <c r="E87" s="1207"/>
      <c r="F87" s="1209"/>
      <c r="G87" s="1205"/>
      <c r="H87" s="1205"/>
      <c r="I87" s="1206">
        <f t="shared" si="2"/>
        <v>0</v>
      </c>
      <c r="J87" s="1206"/>
      <c r="K87" s="1206">
        <f t="shared" si="3"/>
        <v>0</v>
      </c>
    </row>
    <row r="88" spans="1:11" ht="16.5" thickBot="1" x14ac:dyDescent="0.3">
      <c r="A88" s="1882" t="s">
        <v>638</v>
      </c>
      <c r="B88" s="1883"/>
      <c r="C88" s="1883"/>
      <c r="D88" s="1884"/>
      <c r="E88" s="1207" t="s">
        <v>333</v>
      </c>
      <c r="F88" s="1209">
        <v>170881</v>
      </c>
      <c r="G88" s="1205"/>
      <c r="H88" s="1205">
        <v>170897</v>
      </c>
      <c r="I88" s="1206">
        <f t="shared" si="2"/>
        <v>16</v>
      </c>
      <c r="J88" s="1206">
        <v>358</v>
      </c>
      <c r="K88" s="1206">
        <f t="shared" si="3"/>
        <v>5728</v>
      </c>
    </row>
    <row r="89" spans="1:11" ht="15.75" x14ac:dyDescent="0.25">
      <c r="A89" s="1068" t="s">
        <v>0</v>
      </c>
      <c r="B89" s="1069">
        <v>-319</v>
      </c>
      <c r="C89" s="1069">
        <v>638</v>
      </c>
      <c r="D89" s="1070">
        <f>+B89*C89</f>
        <v>-203522</v>
      </c>
      <c r="E89" s="1207"/>
      <c r="F89" s="1209"/>
      <c r="G89" s="1210"/>
      <c r="H89" s="1210"/>
      <c r="I89" s="1211"/>
      <c r="J89" s="1211"/>
      <c r="K89" s="1211"/>
    </row>
    <row r="90" spans="1:11" ht="15.75" x14ac:dyDescent="0.25">
      <c r="A90" s="1073" t="s">
        <v>3</v>
      </c>
      <c r="B90" s="1069">
        <v>-65</v>
      </c>
      <c r="C90" s="1069">
        <v>583</v>
      </c>
      <c r="D90" s="1070">
        <f t="shared" ref="D90:D91" si="4">+B90*C90</f>
        <v>-37895</v>
      </c>
      <c r="E90" s="1207"/>
      <c r="F90" s="1209"/>
      <c r="G90" s="1210"/>
      <c r="H90" s="1210" t="s">
        <v>647</v>
      </c>
      <c r="I90" s="1211"/>
      <c r="J90" s="1211" t="s">
        <v>648</v>
      </c>
      <c r="K90" s="1211" t="s">
        <v>649</v>
      </c>
    </row>
    <row r="91" spans="1:11" ht="15.75" x14ac:dyDescent="0.25">
      <c r="A91" s="1074" t="s">
        <v>1</v>
      </c>
      <c r="B91" s="1075">
        <v>-13</v>
      </c>
      <c r="C91" s="1075">
        <v>358</v>
      </c>
      <c r="D91" s="1076">
        <f t="shared" si="4"/>
        <v>-4654</v>
      </c>
      <c r="E91" s="1207"/>
      <c r="F91" s="1209"/>
      <c r="G91" s="1210"/>
      <c r="H91" s="1212">
        <f>+K82+K86+K88</f>
        <v>155295</v>
      </c>
      <c r="I91" s="1211"/>
      <c r="J91" s="1213">
        <f>+K80+K84</f>
        <v>144870</v>
      </c>
      <c r="K91" s="1213">
        <f>+K81+K85</f>
        <v>101288</v>
      </c>
    </row>
    <row r="92" spans="1:11" ht="16.5" thickBot="1" x14ac:dyDescent="0.3">
      <c r="A92" s="1882" t="s">
        <v>638</v>
      </c>
      <c r="B92" s="1883"/>
      <c r="C92" s="1883"/>
      <c r="D92" s="1884"/>
      <c r="E92" s="1207"/>
      <c r="F92" s="1209"/>
      <c r="G92" s="1210"/>
      <c r="H92" s="1210">
        <f>30000+40000+50000+35000</f>
        <v>155000</v>
      </c>
      <c r="I92" s="1211"/>
      <c r="J92" s="1211">
        <f>120000+24825</f>
        <v>144825</v>
      </c>
      <c r="K92" s="1211">
        <f>60000+41250</f>
        <v>101250</v>
      </c>
    </row>
    <row r="93" spans="1:11" ht="15.75" x14ac:dyDescent="0.25">
      <c r="A93" s="1068" t="s">
        <v>0</v>
      </c>
      <c r="B93" s="1069">
        <f>+'equation de stock'!B27</f>
        <v>-215</v>
      </c>
      <c r="C93" s="1069">
        <v>638</v>
      </c>
      <c r="D93" s="1070">
        <f>+B93*C93</f>
        <v>-137170</v>
      </c>
      <c r="E93" s="1207"/>
      <c r="F93" s="1209"/>
      <c r="G93" s="1210"/>
      <c r="H93" s="1212">
        <f>+H91-H92</f>
        <v>295</v>
      </c>
      <c r="I93" s="1212">
        <f t="shared" ref="I93:K93" si="5">+I91-I92</f>
        <v>0</v>
      </c>
      <c r="J93" s="1212">
        <f t="shared" si="5"/>
        <v>45</v>
      </c>
      <c r="K93" s="1212">
        <f t="shared" si="5"/>
        <v>38</v>
      </c>
    </row>
    <row r="94" spans="1:11" ht="15.75" x14ac:dyDescent="0.25">
      <c r="A94" s="1073" t="s">
        <v>3</v>
      </c>
      <c r="B94" s="1069">
        <f>+'equation de stock'!C27</f>
        <v>-121</v>
      </c>
      <c r="C94" s="1069">
        <v>583</v>
      </c>
      <c r="D94" s="1070">
        <f t="shared" ref="D94:D95" si="6">+B94*C94</f>
        <v>-70543</v>
      </c>
      <c r="E94" s="1065"/>
      <c r="F94" s="1009"/>
      <c r="G94" s="1011"/>
      <c r="H94" s="1011"/>
    </row>
    <row r="95" spans="1:11" ht="16.5" thickBot="1" x14ac:dyDescent="0.3">
      <c r="A95" s="1074" t="s">
        <v>1</v>
      </c>
      <c r="B95" s="1075">
        <f>+'equation de stock'!D27</f>
        <v>7</v>
      </c>
      <c r="C95" s="1075">
        <v>358</v>
      </c>
      <c r="D95" s="1076">
        <f t="shared" si="6"/>
        <v>2506</v>
      </c>
      <c r="E95" s="1065"/>
      <c r="F95" s="1009"/>
      <c r="G95" s="1011"/>
      <c r="H95" s="1011"/>
    </row>
    <row r="96" spans="1:11" ht="16.5" thickBot="1" x14ac:dyDescent="0.3">
      <c r="A96" s="1876" t="s">
        <v>618</v>
      </c>
      <c r="B96" s="1877"/>
      <c r="C96" s="1878"/>
      <c r="D96" s="1077">
        <f>+SUM(D89:D95)</f>
        <v>-451278</v>
      </c>
      <c r="E96" s="1065"/>
      <c r="F96" s="1009"/>
      <c r="G96" s="1011"/>
      <c r="H96" s="1011"/>
    </row>
    <row r="97" spans="1:8" ht="16.5" thickBot="1" x14ac:dyDescent="0.3">
      <c r="A97" s="1123" t="s">
        <v>628</v>
      </c>
      <c r="B97" s="1122">
        <f>+'reception carburant'!D42</f>
        <v>29000</v>
      </c>
      <c r="C97" s="1069">
        <v>638</v>
      </c>
      <c r="D97" s="1070">
        <f>+B97*C97</f>
        <v>18502000</v>
      </c>
      <c r="E97" s="1065"/>
      <c r="F97" s="1009"/>
      <c r="G97" s="1011"/>
      <c r="H97" s="1011"/>
    </row>
    <row r="98" spans="1:8" ht="16.5" thickBot="1" x14ac:dyDescent="0.3">
      <c r="A98" s="1078" t="s">
        <v>629</v>
      </c>
      <c r="B98" s="1094">
        <f>+'reception carburant'!H42</f>
        <v>13000</v>
      </c>
      <c r="C98" s="1069">
        <v>583</v>
      </c>
      <c r="D98" s="1070">
        <f t="shared" ref="D98:D99" si="7">+B98*C98</f>
        <v>7579000</v>
      </c>
      <c r="E98" s="1065"/>
      <c r="F98" s="1009"/>
      <c r="G98" s="1011"/>
      <c r="H98" s="1011"/>
    </row>
    <row r="99" spans="1:8" ht="16.5" thickBot="1" x14ac:dyDescent="0.3">
      <c r="A99" s="1078" t="s">
        <v>634</v>
      </c>
      <c r="B99" s="1115">
        <f>+'reception carburant'!M42</f>
        <v>0</v>
      </c>
      <c r="C99" s="1075">
        <v>358</v>
      </c>
      <c r="D99" s="1070">
        <f t="shared" si="7"/>
        <v>0</v>
      </c>
      <c r="E99" s="1065"/>
      <c r="F99" s="1009"/>
      <c r="G99" s="1011"/>
      <c r="H99" s="1011"/>
    </row>
    <row r="100" spans="1:8" ht="16.5" thickBot="1" x14ac:dyDescent="0.3">
      <c r="A100" s="1078"/>
      <c r="B100" s="1114"/>
      <c r="C100" s="1114"/>
      <c r="D100" s="1150"/>
      <c r="E100" s="1065"/>
      <c r="F100" s="1009"/>
      <c r="G100" s="1011"/>
      <c r="H100" s="1011"/>
    </row>
    <row r="101" spans="1:8" ht="16.5" thickBot="1" x14ac:dyDescent="0.3">
      <c r="A101" s="1078" t="s">
        <v>637</v>
      </c>
      <c r="B101" s="1094"/>
      <c r="C101" s="1094"/>
      <c r="D101" s="1085"/>
      <c r="E101" s="1065"/>
      <c r="F101" s="1009"/>
      <c r="G101" s="1011"/>
      <c r="H101" s="1011"/>
    </row>
    <row r="102" spans="1:8" ht="16.5" thickBot="1" x14ac:dyDescent="0.3">
      <c r="A102" s="1078" t="s">
        <v>633</v>
      </c>
      <c r="B102" s="1094"/>
      <c r="C102" s="1094"/>
      <c r="D102" s="1085"/>
      <c r="E102" s="1065"/>
      <c r="F102" s="1009"/>
      <c r="G102" s="1011"/>
      <c r="H102" s="1011"/>
    </row>
    <row r="103" spans="1:8" ht="16.5" thickBot="1" x14ac:dyDescent="0.3">
      <c r="A103" s="1879" t="s">
        <v>48</v>
      </c>
      <c r="B103" s="1880"/>
      <c r="C103" s="1881"/>
      <c r="D103" s="1081">
        <f>D7+D70+D77+D87-D96-D97-D98-D101-D102+D100-D99</f>
        <v>26466540</v>
      </c>
      <c r="E103" s="1065"/>
      <c r="F103" s="1009"/>
      <c r="G103" s="1011"/>
      <c r="H103" s="1011"/>
    </row>
    <row r="104" spans="1:8" ht="16.5" thickBot="1" x14ac:dyDescent="0.3">
      <c r="A104" s="1861" t="s">
        <v>49</v>
      </c>
      <c r="B104" s="1862"/>
      <c r="C104" s="1863"/>
      <c r="D104" s="1083">
        <v>27039645</v>
      </c>
    </row>
    <row r="105" spans="1:8" ht="16.5" thickBot="1" x14ac:dyDescent="0.3">
      <c r="A105" s="1864" t="s">
        <v>605</v>
      </c>
      <c r="B105" s="1865"/>
      <c r="C105" s="1866"/>
      <c r="D105" s="1084">
        <f>+D103-D104</f>
        <v>-573105</v>
      </c>
    </row>
    <row r="120" spans="1:4" ht="15.75" thickBot="1" x14ac:dyDescent="0.3"/>
    <row r="121" spans="1:4" ht="21.75" thickBot="1" x14ac:dyDescent="0.4">
      <c r="A121" s="1858" t="s">
        <v>625</v>
      </c>
      <c r="B121" s="1859"/>
      <c r="C121" s="1859"/>
      <c r="D121" s="1860"/>
    </row>
    <row r="122" spans="1:4" ht="16.5" thickBot="1" x14ac:dyDescent="0.3">
      <c r="A122" s="1888" t="s">
        <v>624</v>
      </c>
      <c r="B122" s="1889"/>
      <c r="C122" s="1890"/>
      <c r="D122" s="1085">
        <f>4614500-4514500</f>
        <v>100000</v>
      </c>
    </row>
    <row r="123" spans="1:4" ht="16.5" thickBot="1" x14ac:dyDescent="0.3">
      <c r="A123" s="1888" t="s">
        <v>623</v>
      </c>
      <c r="B123" s="1889"/>
      <c r="C123" s="1890"/>
      <c r="D123" s="1085">
        <v>1691550</v>
      </c>
    </row>
    <row r="124" spans="1:4" ht="16.5" thickBot="1" x14ac:dyDescent="0.3">
      <c r="A124" s="1891" t="s">
        <v>619</v>
      </c>
      <c r="B124" s="1892"/>
      <c r="C124" s="1892"/>
      <c r="D124" s="1085">
        <v>6300000</v>
      </c>
    </row>
    <row r="125" spans="1:4" ht="16.5" thickBot="1" x14ac:dyDescent="0.3">
      <c r="A125" s="1888" t="s">
        <v>627</v>
      </c>
      <c r="B125" s="1889"/>
      <c r="C125" s="1890"/>
      <c r="D125" s="1080">
        <f>(10000*575+5000*630)-(10000*630+5000*575)</f>
        <v>-275000</v>
      </c>
    </row>
    <row r="126" spans="1:4" ht="16.5" thickBot="1" x14ac:dyDescent="0.3">
      <c r="A126" s="1876" t="s">
        <v>618</v>
      </c>
      <c r="B126" s="1877"/>
      <c r="C126" s="1878"/>
      <c r="D126" s="1077">
        <v>24532520</v>
      </c>
    </row>
    <row r="127" spans="1:4" ht="18.75" thickBot="1" x14ac:dyDescent="0.3">
      <c r="A127" s="1885" t="s">
        <v>626</v>
      </c>
      <c r="B127" s="1886"/>
      <c r="C127" s="1887"/>
      <c r="D127" s="1086">
        <f>+SUM(D122:D126)</f>
        <v>32349070</v>
      </c>
    </row>
    <row r="128" spans="1:4" ht="15.75" x14ac:dyDescent="0.25">
      <c r="D128" s="1151">
        <v>3000000</v>
      </c>
    </row>
    <row r="129" spans="4:4" x14ac:dyDescent="0.25">
      <c r="D129" s="1126">
        <f>D127-D128</f>
        <v>29349070</v>
      </c>
    </row>
  </sheetData>
  <mergeCells count="22">
    <mergeCell ref="A71:D71"/>
    <mergeCell ref="A1:D1"/>
    <mergeCell ref="A6:C6"/>
    <mergeCell ref="A7:C7"/>
    <mergeCell ref="A8:D8"/>
    <mergeCell ref="A70:C70"/>
    <mergeCell ref="A126:C126"/>
    <mergeCell ref="A127:C127"/>
    <mergeCell ref="A122:C122"/>
    <mergeCell ref="A123:C123"/>
    <mergeCell ref="A124:C124"/>
    <mergeCell ref="A125:C125"/>
    <mergeCell ref="A121:D121"/>
    <mergeCell ref="A104:C104"/>
    <mergeCell ref="A105:C105"/>
    <mergeCell ref="A77:C77"/>
    <mergeCell ref="A78:D78"/>
    <mergeCell ref="A87:C87"/>
    <mergeCell ref="A96:C96"/>
    <mergeCell ref="A103:C103"/>
    <mergeCell ref="A92:D92"/>
    <mergeCell ref="A88:D88"/>
  </mergeCells>
  <phoneticPr fontId="192" type="noConversion"/>
  <pageMargins left="0.7" right="0.7" top="0.75" bottom="0.75" header="0.3" footer="0.3"/>
  <pageSetup paperSize="9" scale="4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9"/>
  <sheetViews>
    <sheetView topLeftCell="A4" zoomScale="96" zoomScaleNormal="96" workbookViewId="0">
      <selection activeCell="J26" sqref="J26"/>
    </sheetView>
  </sheetViews>
  <sheetFormatPr baseColWidth="10" defaultColWidth="11.42578125" defaultRowHeight="15" x14ac:dyDescent="0.2"/>
  <cols>
    <col min="1" max="1" width="36.5703125" style="29" customWidth="1"/>
    <col min="2" max="2" width="15.85546875" style="29" customWidth="1"/>
    <col min="3" max="3" width="26.140625" style="29" bestFit="1" customWidth="1"/>
    <col min="4" max="4" width="23.85546875" style="29" bestFit="1" customWidth="1"/>
    <col min="5" max="5" width="11.42578125" style="29" customWidth="1"/>
    <col min="6" max="6" width="8.7109375" style="29" bestFit="1" customWidth="1"/>
    <col min="7" max="7" width="10.28515625" style="29" bestFit="1" customWidth="1"/>
    <col min="8" max="8" width="9.85546875" style="29" customWidth="1"/>
    <col min="9" max="9" width="11.140625" style="29" bestFit="1" customWidth="1"/>
    <col min="10" max="10" width="11.5703125" style="29" bestFit="1" customWidth="1"/>
    <col min="11" max="18" width="11.42578125" style="29"/>
    <col min="19" max="19" width="18.5703125" style="29" customWidth="1"/>
    <col min="20" max="16384" width="11.42578125" style="29"/>
  </cols>
  <sheetData>
    <row r="1" spans="1:22" ht="30" x14ac:dyDescent="0.4">
      <c r="A1" s="144" t="s">
        <v>643</v>
      </c>
      <c r="B1" s="26"/>
      <c r="D1" s="27"/>
      <c r="E1" s="178"/>
      <c r="F1" s="178"/>
    </row>
    <row r="2" spans="1:22" ht="33" x14ac:dyDescent="0.5">
      <c r="A2" s="146" t="s">
        <v>17</v>
      </c>
      <c r="B2" s="26"/>
      <c r="C2" s="27" t="s">
        <v>18</v>
      </c>
    </row>
    <row r="3" spans="1:22" ht="16.5" x14ac:dyDescent="0.3">
      <c r="A3" s="28"/>
      <c r="B3" s="28"/>
      <c r="C3" s="28"/>
      <c r="D3" s="28"/>
      <c r="F3" s="28"/>
      <c r="G3" s="28"/>
      <c r="H3" s="28"/>
      <c r="I3" s="28"/>
    </row>
    <row r="4" spans="1:22" ht="16.5" x14ac:dyDescent="0.3">
      <c r="C4" s="28" t="s">
        <v>20</v>
      </c>
      <c r="D4" s="28" t="s">
        <v>644</v>
      </c>
      <c r="G4" s="28"/>
    </row>
    <row r="5" spans="1:22" ht="16.5" x14ac:dyDescent="0.3">
      <c r="C5" s="28" t="s">
        <v>21</v>
      </c>
      <c r="D5" s="28" t="s">
        <v>645</v>
      </c>
      <c r="G5" s="28"/>
    </row>
    <row r="6" spans="1:22" ht="16.5" x14ac:dyDescent="0.3">
      <c r="C6" s="28" t="s">
        <v>22</v>
      </c>
      <c r="D6" s="28" t="s">
        <v>655</v>
      </c>
      <c r="F6" s="28" t="s">
        <v>121</v>
      </c>
      <c r="G6" s="1910">
        <v>699805536</v>
      </c>
      <c r="H6" s="1910"/>
    </row>
    <row r="7" spans="1:22" ht="16.5" x14ac:dyDescent="0.3">
      <c r="C7" s="28" t="s">
        <v>23</v>
      </c>
      <c r="D7" s="28" t="s">
        <v>24</v>
      </c>
      <c r="G7" s="28"/>
    </row>
    <row r="8" spans="1:22" ht="16.5" x14ac:dyDescent="0.3">
      <c r="C8" s="28" t="s">
        <v>25</v>
      </c>
      <c r="D8" s="489">
        <f>+'ETAT  KEKEM'!A6</f>
        <v>44682</v>
      </c>
      <c r="E8" s="181"/>
      <c r="F8" s="30"/>
      <c r="G8" s="28"/>
    </row>
    <row r="9" spans="1:22" ht="16.5" x14ac:dyDescent="0.3">
      <c r="A9" s="31"/>
      <c r="E9" s="31"/>
      <c r="G9" s="28"/>
      <c r="O9" s="231"/>
      <c r="P9" s="231"/>
      <c r="Q9" s="231"/>
      <c r="R9" s="231"/>
      <c r="S9" s="231"/>
      <c r="T9" s="231"/>
      <c r="U9" s="231"/>
      <c r="V9" s="231"/>
    </row>
    <row r="10" spans="1:22" ht="16.5" x14ac:dyDescent="0.3">
      <c r="A10" s="32"/>
      <c r="B10" s="33" t="s">
        <v>26</v>
      </c>
      <c r="C10" s="34"/>
      <c r="D10" s="35"/>
      <c r="E10" s="182"/>
      <c r="F10" s="1911" t="s">
        <v>122</v>
      </c>
      <c r="G10" s="1912"/>
      <c r="H10" s="1912"/>
      <c r="I10" s="1912"/>
      <c r="J10" s="1913"/>
      <c r="O10" s="231"/>
      <c r="P10" s="231"/>
      <c r="Q10" s="231"/>
      <c r="R10" s="231"/>
      <c r="S10" s="231"/>
      <c r="T10" s="231"/>
      <c r="U10" s="231"/>
      <c r="V10" s="231"/>
    </row>
    <row r="11" spans="1:22" ht="16.5" x14ac:dyDescent="0.3">
      <c r="A11" s="36"/>
      <c r="B11" s="32" t="s">
        <v>0</v>
      </c>
      <c r="C11" s="32" t="s">
        <v>3</v>
      </c>
      <c r="D11" s="33" t="s">
        <v>1</v>
      </c>
      <c r="E11" s="183"/>
      <c r="F11" s="36"/>
      <c r="G11" s="1911" t="s">
        <v>123</v>
      </c>
      <c r="H11" s="1912"/>
      <c r="I11" s="1913"/>
      <c r="J11" s="37"/>
      <c r="O11" s="1914"/>
      <c r="P11" s="1914"/>
      <c r="Q11" s="1914"/>
      <c r="R11" s="1914"/>
      <c r="S11" s="1914"/>
      <c r="T11" s="1914"/>
      <c r="U11" s="1914"/>
      <c r="V11" s="1914"/>
    </row>
    <row r="12" spans="1:22" ht="16.5" x14ac:dyDescent="0.3">
      <c r="A12" s="36" t="s">
        <v>27</v>
      </c>
      <c r="B12" s="222">
        <v>638</v>
      </c>
      <c r="C12" s="222">
        <v>583</v>
      </c>
      <c r="D12" s="223">
        <v>358</v>
      </c>
      <c r="E12" s="183"/>
      <c r="F12" s="37"/>
      <c r="G12" s="222">
        <v>638</v>
      </c>
      <c r="H12" s="222">
        <v>583</v>
      </c>
      <c r="I12" s="223">
        <v>358</v>
      </c>
      <c r="J12" s="37"/>
      <c r="O12" s="231"/>
      <c r="P12" s="231"/>
      <c r="Q12" s="231"/>
      <c r="R12" s="231"/>
      <c r="S12" s="231"/>
      <c r="T12" s="231"/>
      <c r="U12" s="231"/>
      <c r="V12" s="231"/>
    </row>
    <row r="13" spans="1:22" ht="16.5" x14ac:dyDescent="0.3">
      <c r="A13" s="36"/>
      <c r="B13" s="32"/>
      <c r="C13" s="32"/>
      <c r="D13" s="33"/>
      <c r="E13" s="183"/>
      <c r="F13" s="32" t="s">
        <v>4</v>
      </c>
      <c r="G13" s="32" t="s">
        <v>0</v>
      </c>
      <c r="H13" s="32" t="s">
        <v>3</v>
      </c>
      <c r="I13" s="32" t="s">
        <v>1</v>
      </c>
      <c r="J13" s="32" t="s">
        <v>87</v>
      </c>
      <c r="O13" s="231"/>
      <c r="P13" s="231"/>
      <c r="Q13" s="231"/>
      <c r="R13" s="231"/>
      <c r="S13" s="231"/>
      <c r="T13" s="231"/>
      <c r="U13" s="231"/>
      <c r="V13" s="231"/>
    </row>
    <row r="14" spans="1:22" ht="16.5" x14ac:dyDescent="0.3">
      <c r="A14" s="36" t="s">
        <v>28</v>
      </c>
      <c r="B14" s="328">
        <v>14585</v>
      </c>
      <c r="C14" s="328">
        <v>7862</v>
      </c>
      <c r="D14" s="328">
        <v>8555</v>
      </c>
      <c r="E14" s="182"/>
      <c r="F14" s="179">
        <f>+D8</f>
        <v>44682</v>
      </c>
      <c r="G14" s="1129">
        <v>-43</v>
      </c>
      <c r="H14" s="1129">
        <v>-32</v>
      </c>
      <c r="I14" s="1129">
        <v>-31</v>
      </c>
      <c r="J14" s="110">
        <f>G14*G$12+H14*H$12+I14*I$12</f>
        <v>-57188</v>
      </c>
      <c r="M14" s="1915"/>
      <c r="N14" s="1915"/>
      <c r="O14" s="231"/>
      <c r="P14" s="231"/>
      <c r="Q14" s="231"/>
      <c r="R14" s="231"/>
      <c r="S14" s="231"/>
      <c r="T14" s="231"/>
      <c r="U14" s="231"/>
      <c r="V14" s="231"/>
    </row>
    <row r="15" spans="1:22" ht="16.5" x14ac:dyDescent="0.3">
      <c r="A15" s="36" t="s">
        <v>29</v>
      </c>
      <c r="B15" s="136"/>
      <c r="C15" s="136"/>
      <c r="D15" s="137"/>
      <c r="E15" s="182"/>
      <c r="F15" s="179">
        <f>+F14+1</f>
        <v>44683</v>
      </c>
      <c r="G15" s="1129">
        <v>-36</v>
      </c>
      <c r="H15" s="1129">
        <v>29</v>
      </c>
      <c r="I15" s="1129">
        <v>6</v>
      </c>
      <c r="J15" s="110">
        <f t="shared" ref="J15:J26" si="0">G15*G$12+H15*H$12+I15*I$12</f>
        <v>-3913</v>
      </c>
      <c r="M15" s="1915"/>
      <c r="N15" s="1915"/>
      <c r="O15" s="231"/>
      <c r="P15" s="231"/>
      <c r="Q15" s="231"/>
      <c r="R15" s="231"/>
      <c r="S15" s="231"/>
      <c r="T15" s="231"/>
      <c r="U15" s="231"/>
      <c r="V15" s="231"/>
    </row>
    <row r="16" spans="1:22" ht="16.5" x14ac:dyDescent="0.3">
      <c r="A16" s="36"/>
      <c r="B16" s="138"/>
      <c r="C16" s="138"/>
      <c r="D16" s="139"/>
      <c r="E16" s="182"/>
      <c r="F16" s="179">
        <f t="shared" ref="F16:F44" si="1">+F15+1</f>
        <v>44684</v>
      </c>
      <c r="G16" s="1129">
        <v>7</v>
      </c>
      <c r="H16" s="1129">
        <v>33</v>
      </c>
      <c r="I16" s="1129">
        <v>30</v>
      </c>
      <c r="J16" s="110">
        <f t="shared" si="0"/>
        <v>34445</v>
      </c>
      <c r="M16" s="1915"/>
      <c r="N16" s="1915"/>
      <c r="O16" s="231"/>
      <c r="P16" s="231"/>
      <c r="Q16" s="231"/>
      <c r="R16" s="231"/>
      <c r="S16" s="231"/>
      <c r="T16" s="231"/>
      <c r="U16" s="231"/>
      <c r="V16" s="231"/>
    </row>
    <row r="17" spans="1:22" ht="16.5" x14ac:dyDescent="0.3">
      <c r="A17" s="36" t="s">
        <v>88</v>
      </c>
      <c r="B17" s="224">
        <f>'reception carburant'!D42</f>
        <v>29000</v>
      </c>
      <c r="C17" s="224">
        <f>'reception carburant'!I42</f>
        <v>12000</v>
      </c>
      <c r="D17" s="224">
        <f>+'reception carburant'!M42</f>
        <v>0</v>
      </c>
      <c r="E17" s="182"/>
      <c r="F17" s="179">
        <f t="shared" si="1"/>
        <v>44685</v>
      </c>
      <c r="G17" s="1129">
        <v>14</v>
      </c>
      <c r="H17" s="1129">
        <v>-143</v>
      </c>
      <c r="I17" s="1129">
        <v>-66</v>
      </c>
      <c r="J17" s="110">
        <f t="shared" si="0"/>
        <v>-98065</v>
      </c>
      <c r="M17" s="1915"/>
      <c r="N17" s="1915"/>
      <c r="O17" s="231"/>
      <c r="P17" s="231"/>
      <c r="Q17" s="231"/>
      <c r="R17" s="231"/>
      <c r="S17" s="231"/>
      <c r="T17" s="231"/>
      <c r="U17" s="231"/>
      <c r="V17" s="231"/>
    </row>
    <row r="18" spans="1:22" ht="16.5" x14ac:dyDescent="0.3">
      <c r="A18" s="36"/>
      <c r="B18" s="138"/>
      <c r="C18" s="138"/>
      <c r="D18" s="139"/>
      <c r="E18" s="182"/>
      <c r="F18" s="179">
        <f t="shared" si="1"/>
        <v>44686</v>
      </c>
      <c r="G18" s="1129">
        <v>0</v>
      </c>
      <c r="H18" s="1129">
        <v>-37</v>
      </c>
      <c r="I18" s="1129">
        <v>9</v>
      </c>
      <c r="J18" s="110">
        <f t="shared" si="0"/>
        <v>-18349</v>
      </c>
      <c r="M18" s="1915"/>
      <c r="N18" s="1915"/>
      <c r="O18" s="231"/>
      <c r="P18" s="231"/>
      <c r="Q18" s="231"/>
      <c r="R18" s="231"/>
      <c r="S18" s="231"/>
      <c r="T18" s="231"/>
      <c r="U18" s="231"/>
      <c r="V18" s="231"/>
    </row>
    <row r="19" spans="1:22" ht="16.5" x14ac:dyDescent="0.3">
      <c r="A19" s="36" t="s">
        <v>30</v>
      </c>
      <c r="B19" s="141">
        <f>'ETAT  KEKEM'!B38</f>
        <v>26544</v>
      </c>
      <c r="C19" s="141">
        <f>'ETAT  KEKEM'!C38</f>
        <v>10301</v>
      </c>
      <c r="D19" s="141">
        <f>+'ETAT  KEKEM'!D38</f>
        <v>2855</v>
      </c>
      <c r="E19" s="182"/>
      <c r="F19" s="179">
        <f t="shared" si="1"/>
        <v>44687</v>
      </c>
      <c r="G19" s="1129">
        <v>-12</v>
      </c>
      <c r="H19" s="1129">
        <v>-7</v>
      </c>
      <c r="I19" s="1129">
        <v>56</v>
      </c>
      <c r="J19" s="110">
        <f t="shared" si="0"/>
        <v>8311</v>
      </c>
      <c r="M19" s="1915"/>
      <c r="N19" s="1915"/>
      <c r="O19" s="231"/>
      <c r="P19" s="231"/>
      <c r="Q19" s="231"/>
      <c r="R19" s="231"/>
      <c r="S19" s="231"/>
      <c r="T19" s="231"/>
      <c r="U19" s="231"/>
      <c r="V19" s="231"/>
    </row>
    <row r="20" spans="1:22" ht="15.75" x14ac:dyDescent="0.25">
      <c r="A20" s="37"/>
      <c r="B20" s="37"/>
      <c r="C20" s="37"/>
      <c r="D20" s="37"/>
      <c r="E20" s="182"/>
      <c r="F20" s="179">
        <f t="shared" si="1"/>
        <v>44688</v>
      </c>
      <c r="G20" s="1129">
        <v>-47</v>
      </c>
      <c r="H20" s="1129">
        <v>7</v>
      </c>
      <c r="I20" s="1129">
        <v>-14</v>
      </c>
      <c r="J20" s="110">
        <f t="shared" si="0"/>
        <v>-30917</v>
      </c>
      <c r="M20" s="1915"/>
      <c r="N20" s="1915"/>
      <c r="O20" s="231"/>
      <c r="P20" s="231"/>
      <c r="Q20" s="231"/>
      <c r="R20" s="231"/>
      <c r="S20" s="231"/>
      <c r="T20" s="231"/>
      <c r="U20" s="231"/>
      <c r="V20" s="231"/>
    </row>
    <row r="21" spans="1:22" ht="16.5" x14ac:dyDescent="0.3">
      <c r="A21" s="36" t="s">
        <v>31</v>
      </c>
      <c r="B21" s="141">
        <f>+B14+B17-B19</f>
        <v>17041</v>
      </c>
      <c r="C21" s="141">
        <f>+C14+C17-C19</f>
        <v>9561</v>
      </c>
      <c r="D21" s="141">
        <f>+D14+D17-D19</f>
        <v>5700</v>
      </c>
      <c r="E21" s="182"/>
      <c r="F21" s="179">
        <f t="shared" si="1"/>
        <v>44689</v>
      </c>
      <c r="G21" s="1129">
        <v>-37</v>
      </c>
      <c r="H21" s="1129">
        <v>-14</v>
      </c>
      <c r="I21" s="1129">
        <v>-11</v>
      </c>
      <c r="J21" s="110">
        <f t="shared" si="0"/>
        <v>-35706</v>
      </c>
      <c r="M21" s="1915"/>
      <c r="N21" s="1915"/>
      <c r="O21" s="231"/>
      <c r="P21" s="231"/>
      <c r="Q21" s="231"/>
      <c r="R21" s="231"/>
      <c r="S21" s="231"/>
      <c r="T21" s="231"/>
      <c r="U21" s="231"/>
      <c r="V21" s="231"/>
    </row>
    <row r="22" spans="1:22" ht="15.75" x14ac:dyDescent="0.25">
      <c r="A22" s="37" t="s">
        <v>283</v>
      </c>
      <c r="B22" s="608">
        <f>+'ETAT  KEKEM'!B40</f>
        <v>2041.8461538461538</v>
      </c>
      <c r="C22" s="608">
        <f>+'ETAT  KEKEM'!C40</f>
        <v>792.38461538461536</v>
      </c>
      <c r="D22" s="608">
        <f>+'ETAT  KEKEM'!D40</f>
        <v>219.61538461538461</v>
      </c>
      <c r="E22" s="182"/>
      <c r="F22" s="179">
        <f t="shared" si="1"/>
        <v>44690</v>
      </c>
      <c r="G22" s="1129">
        <v>72</v>
      </c>
      <c r="H22" s="1129">
        <v>46</v>
      </c>
      <c r="I22" s="1129">
        <v>-8</v>
      </c>
      <c r="J22" s="110">
        <f t="shared" si="0"/>
        <v>69890</v>
      </c>
      <c r="M22" s="1915"/>
      <c r="N22" s="1915"/>
      <c r="O22" s="231"/>
      <c r="P22" s="231"/>
      <c r="Q22" s="231"/>
      <c r="R22" s="231"/>
      <c r="S22" s="231"/>
      <c r="T22" s="231"/>
      <c r="U22" s="231"/>
      <c r="V22" s="231"/>
    </row>
    <row r="23" spans="1:22" ht="20.25" x14ac:dyDescent="0.3">
      <c r="A23" s="36" t="s">
        <v>32</v>
      </c>
      <c r="B23" s="1562">
        <v>16826</v>
      </c>
      <c r="C23" s="1562">
        <v>9440</v>
      </c>
      <c r="D23" s="1563">
        <v>5707</v>
      </c>
      <c r="E23" s="182"/>
      <c r="F23" s="179">
        <f t="shared" si="1"/>
        <v>44691</v>
      </c>
      <c r="G23" s="1129">
        <v>50</v>
      </c>
      <c r="H23" s="1129">
        <v>-7</v>
      </c>
      <c r="I23" s="1129">
        <v>-9</v>
      </c>
      <c r="J23" s="110">
        <f t="shared" si="0"/>
        <v>24597</v>
      </c>
      <c r="M23" s="1915"/>
      <c r="N23" s="1915"/>
      <c r="O23" s="231"/>
      <c r="P23" s="231"/>
      <c r="Q23" s="231"/>
      <c r="R23" s="231"/>
      <c r="S23" s="231"/>
      <c r="T23" s="231"/>
      <c r="U23" s="231"/>
      <c r="V23" s="231"/>
    </row>
    <row r="24" spans="1:22" ht="16.5" x14ac:dyDescent="0.3">
      <c r="A24" s="36" t="s">
        <v>29</v>
      </c>
      <c r="B24" s="200">
        <f>+B12*B23</f>
        <v>10734988</v>
      </c>
      <c r="C24" s="200">
        <f>+C12*C23</f>
        <v>5503520</v>
      </c>
      <c r="D24" s="200">
        <f>+D12*D23</f>
        <v>2043106</v>
      </c>
      <c r="E24" s="182"/>
      <c r="F24" s="179">
        <f t="shared" si="1"/>
        <v>44692</v>
      </c>
      <c r="G24" s="1129">
        <v>-16</v>
      </c>
      <c r="H24" s="1129">
        <v>-22</v>
      </c>
      <c r="I24" s="1129">
        <v>2</v>
      </c>
      <c r="J24" s="110">
        <f t="shared" si="0"/>
        <v>-22318</v>
      </c>
      <c r="M24" s="1915"/>
      <c r="N24" s="1915"/>
    </row>
    <row r="25" spans="1:22" ht="16.5" x14ac:dyDescent="0.3">
      <c r="A25" s="36" t="s">
        <v>33</v>
      </c>
      <c r="B25" s="201"/>
      <c r="C25" s="201"/>
      <c r="D25" s="202">
        <f>+B24+C24+D24</f>
        <v>18281614</v>
      </c>
      <c r="E25" s="182"/>
      <c r="F25" s="179">
        <f t="shared" si="1"/>
        <v>44693</v>
      </c>
      <c r="G25" s="1129">
        <v>-86</v>
      </c>
      <c r="H25" s="1129">
        <v>6</v>
      </c>
      <c r="I25" s="1129">
        <v>15</v>
      </c>
      <c r="J25" s="110">
        <f t="shared" si="0"/>
        <v>-46000</v>
      </c>
      <c r="M25" s="1915"/>
      <c r="N25" s="1915"/>
    </row>
    <row r="26" spans="1:22" ht="16.5" x14ac:dyDescent="0.3">
      <c r="A26" s="36"/>
      <c r="B26" s="37"/>
      <c r="C26" s="37"/>
      <c r="D26" s="37"/>
      <c r="E26" s="182"/>
      <c r="F26" s="179">
        <f t="shared" si="1"/>
        <v>44694</v>
      </c>
      <c r="G26" s="1129">
        <v>-81</v>
      </c>
      <c r="H26" s="1129">
        <v>20</v>
      </c>
      <c r="I26" s="1129">
        <v>28</v>
      </c>
      <c r="J26" s="110">
        <f t="shared" si="0"/>
        <v>-29994</v>
      </c>
      <c r="M26" s="1915"/>
      <c r="N26" s="1915"/>
    </row>
    <row r="27" spans="1:22" ht="16.5" x14ac:dyDescent="0.3">
      <c r="A27" s="36" t="s">
        <v>34</v>
      </c>
      <c r="B27" s="141">
        <f>IF(B23=0,,B23-B21)</f>
        <v>-215</v>
      </c>
      <c r="C27" s="141">
        <f>IF(C23=0,,C23-C21)</f>
        <v>-121</v>
      </c>
      <c r="D27" s="141">
        <f>IF(D23=0,,D23-D21)</f>
        <v>7</v>
      </c>
      <c r="E27" s="182"/>
      <c r="F27" s="179">
        <f t="shared" si="1"/>
        <v>44695</v>
      </c>
      <c r="G27" s="1129"/>
      <c r="H27" s="1129"/>
      <c r="I27" s="1129"/>
      <c r="J27" s="110">
        <f>G27*G$12+H27*H$12+I27*I$12</f>
        <v>0</v>
      </c>
      <c r="M27" s="1915"/>
      <c r="N27" s="1915"/>
    </row>
    <row r="28" spans="1:22" ht="16.5" x14ac:dyDescent="0.3">
      <c r="A28" s="36" t="s">
        <v>29</v>
      </c>
      <c r="B28" s="136">
        <f>B27*B12</f>
        <v>-137170</v>
      </c>
      <c r="C28" s="136">
        <f>C27*C12</f>
        <v>-70543</v>
      </c>
      <c r="D28" s="136">
        <f>D27*D12</f>
        <v>2506</v>
      </c>
      <c r="E28" s="182"/>
      <c r="F28" s="179">
        <f t="shared" si="1"/>
        <v>44696</v>
      </c>
      <c r="G28" s="1129"/>
      <c r="H28" s="1129"/>
      <c r="I28" s="1129"/>
      <c r="J28" s="110">
        <f t="shared" ref="J28:J44" si="2">G28*G$12+H28*H$12+I28*I$12</f>
        <v>0</v>
      </c>
      <c r="M28" s="1915"/>
      <c r="N28" s="1915"/>
    </row>
    <row r="29" spans="1:22" ht="16.5" x14ac:dyDescent="0.3">
      <c r="A29" s="36" t="s">
        <v>33</v>
      </c>
      <c r="B29" s="140"/>
      <c r="C29" s="140"/>
      <c r="D29" s="140">
        <f>SUM(B28:D28)</f>
        <v>-205207</v>
      </c>
      <c r="E29" s="182"/>
      <c r="F29" s="179">
        <f t="shared" si="1"/>
        <v>44697</v>
      </c>
      <c r="G29" s="1129"/>
      <c r="H29" s="1129"/>
      <c r="I29" s="1129"/>
      <c r="J29" s="110">
        <f t="shared" si="2"/>
        <v>0</v>
      </c>
      <c r="M29" s="1915"/>
      <c r="N29" s="1915"/>
    </row>
    <row r="30" spans="1:22" ht="15.75" x14ac:dyDescent="0.25">
      <c r="A30" s="37"/>
      <c r="B30" s="37"/>
      <c r="C30" s="37"/>
      <c r="D30" s="37"/>
      <c r="E30" s="182"/>
      <c r="F30" s="179">
        <f t="shared" si="1"/>
        <v>44698</v>
      </c>
      <c r="G30" s="1129"/>
      <c r="H30" s="1129"/>
      <c r="I30" s="1129"/>
      <c r="J30" s="110">
        <f t="shared" si="2"/>
        <v>0</v>
      </c>
      <c r="M30" s="1915"/>
      <c r="N30" s="1915"/>
    </row>
    <row r="31" spans="1:22" ht="16.5" x14ac:dyDescent="0.3">
      <c r="A31" s="38" t="s">
        <v>35</v>
      </c>
      <c r="B31" s="225">
        <f>B19*0.3%</f>
        <v>79.632000000000005</v>
      </c>
      <c r="C31" s="225">
        <f>C19*0.3%</f>
        <v>30.903000000000002</v>
      </c>
      <c r="D31" s="225">
        <f>D19*0.3%</f>
        <v>8.5649999999999995</v>
      </c>
      <c r="E31" s="182"/>
      <c r="F31" s="179">
        <f t="shared" si="1"/>
        <v>44699</v>
      </c>
      <c r="G31" s="1129"/>
      <c r="H31" s="1129"/>
      <c r="I31" s="1129"/>
      <c r="J31" s="110">
        <f t="shared" si="2"/>
        <v>0</v>
      </c>
      <c r="L31" s="873"/>
      <c r="M31" s="1915"/>
      <c r="N31" s="1915"/>
    </row>
    <row r="32" spans="1:22" ht="15.75" x14ac:dyDescent="0.25">
      <c r="A32" s="37"/>
      <c r="B32" s="37"/>
      <c r="C32" s="37"/>
      <c r="D32" s="37"/>
      <c r="E32" s="182"/>
      <c r="F32" s="179">
        <f t="shared" si="1"/>
        <v>44700</v>
      </c>
      <c r="G32" s="1129"/>
      <c r="H32" s="1129"/>
      <c r="I32" s="1129"/>
      <c r="J32" s="110">
        <f t="shared" si="2"/>
        <v>0</v>
      </c>
      <c r="M32" s="1915"/>
      <c r="N32" s="1915"/>
    </row>
    <row r="33" spans="1:10" ht="16.5" x14ac:dyDescent="0.3">
      <c r="A33" s="38" t="s">
        <v>36</v>
      </c>
      <c r="B33" s="225">
        <f>IF(-B27-B31&lt;0,,-B27-B31)</f>
        <v>135.36799999999999</v>
      </c>
      <c r="C33" s="225">
        <f>IF(-C27-C31&lt;0,,-C27-C31)</f>
        <v>90.096999999999994</v>
      </c>
      <c r="D33" s="225">
        <f>IF(-D27-D31&lt;0,,-D27-D31)</f>
        <v>0</v>
      </c>
      <c r="E33" s="182"/>
      <c r="F33" s="179">
        <f t="shared" si="1"/>
        <v>44701</v>
      </c>
      <c r="G33" s="1129"/>
      <c r="H33" s="1129"/>
      <c r="I33" s="1129"/>
      <c r="J33" s="110">
        <f t="shared" si="2"/>
        <v>0</v>
      </c>
    </row>
    <row r="34" spans="1:10" ht="16.5" x14ac:dyDescent="0.3">
      <c r="A34" s="38" t="s">
        <v>29</v>
      </c>
      <c r="B34" s="39">
        <f>B33*B12</f>
        <v>86364.784</v>
      </c>
      <c r="C34" s="39">
        <f>C33*C12</f>
        <v>52526.550999999999</v>
      </c>
      <c r="D34" s="39">
        <f>D33*D12</f>
        <v>0</v>
      </c>
      <c r="E34" s="182"/>
      <c r="F34" s="179">
        <f t="shared" si="1"/>
        <v>44702</v>
      </c>
      <c r="G34" s="1129"/>
      <c r="H34" s="1129"/>
      <c r="I34" s="1129"/>
      <c r="J34" s="110">
        <f t="shared" si="2"/>
        <v>0</v>
      </c>
    </row>
    <row r="35" spans="1:10" ht="16.5" x14ac:dyDescent="0.3">
      <c r="A35" s="36" t="s">
        <v>33</v>
      </c>
      <c r="B35" s="140"/>
      <c r="C35" s="140"/>
      <c r="D35" s="140">
        <f>SUM(B34:D34)</f>
        <v>138891.33499999999</v>
      </c>
      <c r="E35" s="182"/>
      <c r="F35" s="179">
        <f t="shared" si="1"/>
        <v>44703</v>
      </c>
      <c r="G35" s="1129"/>
      <c r="H35" s="1129"/>
      <c r="I35" s="1129"/>
      <c r="J35" s="110">
        <f t="shared" si="2"/>
        <v>0</v>
      </c>
    </row>
    <row r="36" spans="1:10" ht="16.5" x14ac:dyDescent="0.3">
      <c r="A36" s="37"/>
      <c r="B36" s="40"/>
      <c r="C36" s="37"/>
      <c r="D36" s="37"/>
      <c r="E36" s="182"/>
      <c r="F36" s="179">
        <f t="shared" si="1"/>
        <v>44704</v>
      </c>
      <c r="G36" s="1129"/>
      <c r="H36" s="1129"/>
      <c r="I36" s="1129"/>
      <c r="J36" s="110">
        <f t="shared" si="2"/>
        <v>0</v>
      </c>
    </row>
    <row r="37" spans="1:10" ht="16.5" x14ac:dyDescent="0.3">
      <c r="A37" s="36" t="s">
        <v>37</v>
      </c>
      <c r="B37" s="41">
        <f>B27*1000/B19</f>
        <v>-8.0997588908981317</v>
      </c>
      <c r="C37" s="41">
        <f>C27*1000/C19</f>
        <v>-11.746432385205321</v>
      </c>
      <c r="D37" s="41">
        <f>D27*1000/D19</f>
        <v>2.4518388791593697</v>
      </c>
      <c r="E37" s="182"/>
      <c r="F37" s="179">
        <f t="shared" si="1"/>
        <v>44705</v>
      </c>
      <c r="G37" s="1129"/>
      <c r="H37" s="1129"/>
      <c r="I37" s="1129"/>
      <c r="J37" s="110">
        <f t="shared" si="2"/>
        <v>0</v>
      </c>
    </row>
    <row r="38" spans="1:10" ht="15.75" x14ac:dyDescent="0.25">
      <c r="A38" s="599" t="s">
        <v>275</v>
      </c>
      <c r="B38" s="600">
        <f>+B23/B22</f>
        <v>8.2405816757082579</v>
      </c>
      <c r="C38" s="600"/>
      <c r="D38" s="600">
        <f>+D23/D22</f>
        <v>25.986339754816111</v>
      </c>
      <c r="E38" s="31"/>
      <c r="F38" s="179">
        <f t="shared" si="1"/>
        <v>44706</v>
      </c>
      <c r="G38" s="1129"/>
      <c r="H38" s="1129"/>
      <c r="I38" s="1129"/>
      <c r="J38" s="110">
        <f t="shared" si="2"/>
        <v>0</v>
      </c>
    </row>
    <row r="39" spans="1:10" ht="15.75" x14ac:dyDescent="0.25">
      <c r="A39" s="601" t="s">
        <v>276</v>
      </c>
      <c r="B39" s="602">
        <v>20000</v>
      </c>
      <c r="C39" s="602">
        <v>10000</v>
      </c>
      <c r="D39" s="602">
        <v>10000</v>
      </c>
      <c r="E39" s="31"/>
      <c r="F39" s="179">
        <f t="shared" si="1"/>
        <v>44707</v>
      </c>
      <c r="G39" s="1129"/>
      <c r="H39" s="1129"/>
      <c r="I39" s="1129"/>
      <c r="J39" s="110">
        <f t="shared" si="2"/>
        <v>0</v>
      </c>
    </row>
    <row r="40" spans="1:10" ht="15.75" x14ac:dyDescent="0.25">
      <c r="A40" s="601" t="s">
        <v>277</v>
      </c>
      <c r="B40" s="602"/>
      <c r="C40" s="602"/>
      <c r="D40" s="602"/>
      <c r="E40" s="31"/>
      <c r="F40" s="179">
        <f t="shared" si="1"/>
        <v>44708</v>
      </c>
      <c r="G40" s="1129"/>
      <c r="H40" s="1129"/>
      <c r="I40" s="1129"/>
      <c r="J40" s="110">
        <f t="shared" si="2"/>
        <v>0</v>
      </c>
    </row>
    <row r="41" spans="1:10" ht="15.75" x14ac:dyDescent="0.25">
      <c r="A41" s="603" t="s">
        <v>278</v>
      </c>
      <c r="B41" s="604">
        <f>+B39-B27-B23</f>
        <v>3389</v>
      </c>
      <c r="C41" s="604">
        <f>+C39-C27-C23</f>
        <v>681</v>
      </c>
      <c r="D41" s="604">
        <f>+D39-D27-D23</f>
        <v>4286</v>
      </c>
      <c r="E41" s="31"/>
      <c r="F41" s="179">
        <f t="shared" si="1"/>
        <v>44709</v>
      </c>
      <c r="G41" s="1129"/>
      <c r="H41" s="1129"/>
      <c r="I41" s="1129"/>
      <c r="J41" s="110">
        <f t="shared" si="2"/>
        <v>0</v>
      </c>
    </row>
    <row r="42" spans="1:10" ht="15.75" x14ac:dyDescent="0.25">
      <c r="A42" s="603" t="s">
        <v>279</v>
      </c>
      <c r="B42" s="604">
        <f>+B22*3</f>
        <v>6125.538461538461</v>
      </c>
      <c r="C42" s="604">
        <f>+C22*3</f>
        <v>2377.1538461538462</v>
      </c>
      <c r="D42" s="604">
        <f>+D22*3</f>
        <v>658.84615384615381</v>
      </c>
      <c r="F42" s="179">
        <f t="shared" si="1"/>
        <v>44710</v>
      </c>
      <c r="G42" s="1129"/>
      <c r="H42" s="1129"/>
      <c r="I42" s="1129"/>
      <c r="J42" s="110">
        <f t="shared" si="2"/>
        <v>0</v>
      </c>
    </row>
    <row r="43" spans="1:10" ht="15.75" x14ac:dyDescent="0.25">
      <c r="A43" s="601" t="s">
        <v>280</v>
      </c>
      <c r="B43" s="601">
        <v>7</v>
      </c>
      <c r="C43" s="601">
        <v>7</v>
      </c>
      <c r="D43" s="601">
        <v>7</v>
      </c>
      <c r="F43" s="179">
        <f t="shared" si="1"/>
        <v>44711</v>
      </c>
      <c r="G43" s="1129"/>
      <c r="H43" s="1129"/>
      <c r="I43" s="1129"/>
      <c r="J43" s="110">
        <f t="shared" si="2"/>
        <v>0</v>
      </c>
    </row>
    <row r="44" spans="1:10" ht="15.75" x14ac:dyDescent="0.25">
      <c r="A44" s="605" t="s">
        <v>281</v>
      </c>
      <c r="B44" s="606" t="str">
        <f>IF(B38&lt;=B43,("cder"),("ne pas cder"))</f>
        <v>ne pas cder</v>
      </c>
      <c r="C44" s="606" t="str">
        <f>IF(C38&lt;=C43,("cder"),("ne pas cder"))</f>
        <v>cder</v>
      </c>
      <c r="D44" s="606" t="str">
        <f>IF(D38&lt;=D43,("cder"),("ne pas cder"))</f>
        <v>ne pas cder</v>
      </c>
      <c r="F44" s="179">
        <f t="shared" si="1"/>
        <v>44712</v>
      </c>
      <c r="G44" s="1129"/>
      <c r="H44" s="1129"/>
      <c r="I44" s="1129"/>
      <c r="J44" s="110">
        <f t="shared" si="2"/>
        <v>0</v>
      </c>
    </row>
    <row r="45" spans="1:10" ht="16.5" x14ac:dyDescent="0.3">
      <c r="A45" s="599" t="s">
        <v>282</v>
      </c>
      <c r="B45" s="607">
        <f>+B22*(B43-B38)</f>
        <v>-2533.0769230769229</v>
      </c>
      <c r="C45" s="607">
        <f>+C22*(C43-C38)</f>
        <v>5546.6923076923076</v>
      </c>
      <c r="D45" s="607">
        <f>+D22*(D43-D38)</f>
        <v>-4169.6923076923076</v>
      </c>
      <c r="F45" s="36" t="s">
        <v>2</v>
      </c>
      <c r="G45" s="226">
        <f>SUM(G14:G44)</f>
        <v>-215</v>
      </c>
      <c r="H45" s="226">
        <f>SUM(H14:H44)</f>
        <v>-121</v>
      </c>
      <c r="I45" s="226">
        <f>SUM(I14:I44)</f>
        <v>7</v>
      </c>
      <c r="J45" s="226">
        <f>SUM(J14:J44)</f>
        <v>-205207</v>
      </c>
    </row>
    <row r="46" spans="1:10" ht="15.75" x14ac:dyDescent="0.25">
      <c r="F46" s="31"/>
      <c r="G46" s="180"/>
      <c r="H46" s="180"/>
      <c r="I46" s="180"/>
      <c r="J46" s="31"/>
    </row>
    <row r="47" spans="1:10" x14ac:dyDescent="0.2">
      <c r="G47" s="327">
        <f>+B27-G45</f>
        <v>0</v>
      </c>
      <c r="H47" s="327">
        <f>+C27-H45</f>
        <v>0</v>
      </c>
      <c r="I47" s="327">
        <f>+D27-I45</f>
        <v>0</v>
      </c>
    </row>
    <row r="68" spans="9:19" x14ac:dyDescent="0.2">
      <c r="I68" s="230"/>
      <c r="J68" s="231"/>
      <c r="K68" s="231"/>
      <c r="L68" s="231"/>
      <c r="M68" s="231"/>
      <c r="N68" s="231"/>
      <c r="O68" s="231"/>
      <c r="P68" s="231"/>
      <c r="Q68" s="231"/>
      <c r="R68" s="231"/>
      <c r="S68" s="229"/>
    </row>
    <row r="69" spans="9:19" x14ac:dyDescent="0.2">
      <c r="I69" s="230"/>
      <c r="J69" s="1914"/>
      <c r="K69" s="1914"/>
      <c r="L69" s="1914"/>
      <c r="M69" s="1914"/>
      <c r="N69" s="1914"/>
      <c r="O69" s="1914"/>
      <c r="P69" s="1914"/>
      <c r="Q69" s="1914"/>
      <c r="R69" s="231"/>
      <c r="S69" s="229"/>
    </row>
    <row r="70" spans="9:19" x14ac:dyDescent="0.2">
      <c r="I70" s="230"/>
      <c r="J70" s="231"/>
      <c r="K70" s="231"/>
      <c r="L70" s="231"/>
      <c r="M70" s="231"/>
      <c r="N70" s="231"/>
      <c r="O70" s="231"/>
      <c r="P70" s="231"/>
      <c r="Q70" s="231"/>
      <c r="R70" s="231"/>
      <c r="S70" s="229"/>
    </row>
    <row r="71" spans="9:19" x14ac:dyDescent="0.2">
      <c r="I71" s="230"/>
      <c r="J71" s="231"/>
      <c r="K71" s="231"/>
      <c r="L71" s="231"/>
      <c r="M71" s="231"/>
      <c r="N71" s="231"/>
      <c r="O71" s="231"/>
      <c r="P71" s="231"/>
      <c r="Q71" s="231"/>
      <c r="R71" s="231"/>
      <c r="S71" s="229"/>
    </row>
    <row r="72" spans="9:19" x14ac:dyDescent="0.2">
      <c r="I72" s="230"/>
      <c r="J72" s="231"/>
      <c r="K72" s="231"/>
      <c r="L72" s="231"/>
      <c r="M72" s="231"/>
      <c r="N72" s="231"/>
      <c r="O72" s="231"/>
      <c r="P72" s="231"/>
      <c r="Q72" s="231"/>
      <c r="R72" s="231"/>
      <c r="S72" s="229"/>
    </row>
    <row r="73" spans="9:19" x14ac:dyDescent="0.2">
      <c r="I73" s="230"/>
      <c r="J73" s="231"/>
      <c r="K73" s="231"/>
      <c r="L73" s="231"/>
      <c r="M73" s="231"/>
      <c r="N73" s="231"/>
      <c r="O73" s="231"/>
      <c r="P73" s="231"/>
      <c r="Q73" s="231"/>
      <c r="R73" s="231"/>
      <c r="S73" s="229"/>
    </row>
    <row r="74" spans="9:19" x14ac:dyDescent="0.2">
      <c r="I74" s="230"/>
      <c r="J74" s="231"/>
      <c r="K74" s="231"/>
      <c r="L74" s="231"/>
      <c r="M74" s="231"/>
      <c r="N74" s="231"/>
      <c r="O74" s="231"/>
      <c r="P74" s="231"/>
      <c r="Q74" s="231"/>
      <c r="R74" s="231"/>
      <c r="S74" s="229"/>
    </row>
    <row r="75" spans="9:19" x14ac:dyDescent="0.2">
      <c r="I75" s="230"/>
      <c r="J75" s="231"/>
      <c r="K75" s="231"/>
      <c r="L75" s="231"/>
      <c r="M75" s="231"/>
      <c r="N75" s="231"/>
      <c r="O75" s="231"/>
      <c r="P75" s="231"/>
      <c r="Q75" s="231"/>
      <c r="R75" s="231"/>
      <c r="S75" s="229"/>
    </row>
    <row r="76" spans="9:19" x14ac:dyDescent="0.2">
      <c r="I76" s="230"/>
      <c r="J76" s="231"/>
      <c r="K76" s="231"/>
      <c r="L76" s="231"/>
      <c r="M76" s="231"/>
      <c r="N76" s="231"/>
      <c r="O76" s="231"/>
      <c r="P76" s="231"/>
      <c r="Q76" s="231"/>
      <c r="R76" s="231"/>
      <c r="S76" s="229"/>
    </row>
    <row r="77" spans="9:19" x14ac:dyDescent="0.2">
      <c r="I77" s="230"/>
      <c r="J77" s="231"/>
      <c r="K77" s="231"/>
      <c r="L77" s="231"/>
      <c r="M77" s="231"/>
      <c r="N77" s="231"/>
      <c r="O77" s="231"/>
      <c r="P77" s="231"/>
      <c r="Q77" s="231"/>
      <c r="R77" s="231"/>
      <c r="S77" s="229"/>
    </row>
    <row r="78" spans="9:19" x14ac:dyDescent="0.2">
      <c r="I78" s="230"/>
      <c r="J78" s="231"/>
      <c r="K78" s="231"/>
      <c r="L78" s="231"/>
      <c r="M78" s="231"/>
      <c r="N78" s="231"/>
      <c r="O78" s="231"/>
      <c r="P78" s="231"/>
      <c r="Q78" s="231"/>
      <c r="R78" s="231"/>
      <c r="S78" s="229"/>
    </row>
    <row r="79" spans="9:19" x14ac:dyDescent="0.2">
      <c r="I79" s="230"/>
      <c r="J79" s="231"/>
      <c r="K79" s="231"/>
      <c r="L79" s="231"/>
      <c r="M79" s="231"/>
      <c r="N79" s="231"/>
      <c r="O79" s="231"/>
      <c r="P79" s="231"/>
      <c r="Q79" s="231"/>
      <c r="R79" s="231"/>
      <c r="S79" s="229"/>
    </row>
  </sheetData>
  <mergeCells count="6">
    <mergeCell ref="G6:H6"/>
    <mergeCell ref="F10:J10"/>
    <mergeCell ref="G11:I11"/>
    <mergeCell ref="O11:V11"/>
    <mergeCell ref="J69:Q69"/>
    <mergeCell ref="M14:N32"/>
  </mergeCells>
  <pageMargins left="0.7" right="0.7" top="0.75" bottom="0.75" header="0.3" footer="0.3"/>
  <pageSetup paperSize="9" scale="3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56"/>
  <sheetViews>
    <sheetView topLeftCell="A28" zoomScale="93" zoomScaleNormal="93" workbookViewId="0">
      <selection activeCell="L23" sqref="L23"/>
    </sheetView>
  </sheetViews>
  <sheetFormatPr baseColWidth="10" defaultColWidth="11.42578125" defaultRowHeight="15" x14ac:dyDescent="0.25"/>
  <cols>
    <col min="1" max="1" width="11.42578125" style="43"/>
    <col min="2" max="2" width="16.28515625" style="43" customWidth="1"/>
    <col min="3" max="3" width="14.5703125" style="43" customWidth="1"/>
    <col min="4" max="4" width="19.7109375" style="43" customWidth="1"/>
    <col min="5" max="5" width="12" style="43" hidden="1" customWidth="1"/>
    <col min="6" max="6" width="2.28515625" style="43" hidden="1" customWidth="1"/>
    <col min="7" max="7" width="15.5703125" style="43" customWidth="1"/>
    <col min="8" max="8" width="15.7109375" style="43" customWidth="1"/>
    <col min="9" max="9" width="15.140625" style="43" customWidth="1"/>
    <col min="10" max="10" width="13.42578125" style="43" hidden="1" customWidth="1"/>
    <col min="11" max="11" width="7.7109375" style="43" hidden="1" customWidth="1"/>
    <col min="12" max="12" width="12.5703125" style="43" customWidth="1"/>
    <col min="13" max="13" width="10.7109375" style="43" bestFit="1" customWidth="1"/>
    <col min="14" max="14" width="11.42578125" style="43"/>
    <col min="15" max="15" width="16.7109375" style="43" hidden="1" customWidth="1"/>
    <col min="16" max="16" width="15.85546875" style="43" bestFit="1" customWidth="1"/>
    <col min="17" max="17" width="10.42578125" style="43" customWidth="1"/>
    <col min="18" max="18" width="7.28515625" style="43" customWidth="1"/>
    <col min="19" max="19" width="13" style="43" customWidth="1"/>
    <col min="20" max="20" width="12.28515625" style="43" bestFit="1" customWidth="1"/>
    <col min="21" max="21" width="6.7109375" style="43" customWidth="1"/>
    <col min="22" max="16384" width="11.42578125" style="43"/>
  </cols>
  <sheetData>
    <row r="1" spans="1:42" ht="30" x14ac:dyDescent="0.4">
      <c r="A1" s="144" t="s">
        <v>646</v>
      </c>
      <c r="B1" s="26"/>
      <c r="C1" s="26"/>
      <c r="D1" s="26"/>
      <c r="M1" s="145"/>
    </row>
    <row r="2" spans="1:42" ht="33.75" thickBot="1" x14ac:dyDescent="0.55000000000000004">
      <c r="A2" s="146" t="s">
        <v>17</v>
      </c>
      <c r="B2" s="26"/>
      <c r="C2" s="26"/>
      <c r="D2" s="26"/>
    </row>
    <row r="3" spans="1:42" ht="24" thickBot="1" x14ac:dyDescent="0.3">
      <c r="G3" s="1925" t="s">
        <v>93</v>
      </c>
      <c r="H3" s="1926"/>
      <c r="I3" s="1926"/>
      <c r="J3" s="1926"/>
      <c r="K3" s="1926"/>
      <c r="L3" s="1927"/>
    </row>
    <row r="4" spans="1:42" ht="15.75" x14ac:dyDescent="0.25">
      <c r="C4" s="147"/>
      <c r="D4" s="147"/>
      <c r="Q4" s="43">
        <v>6216034</v>
      </c>
    </row>
    <row r="5" spans="1:42" ht="16.5" x14ac:dyDescent="0.3">
      <c r="A5" s="148" t="s">
        <v>25</v>
      </c>
      <c r="B5" s="149">
        <f>+'equation de stock'!F14</f>
        <v>44682</v>
      </c>
      <c r="C5" s="150"/>
      <c r="D5" s="147"/>
      <c r="Q5" s="43">
        <v>1456917</v>
      </c>
    </row>
    <row r="6" spans="1:42" ht="16.5" x14ac:dyDescent="0.3">
      <c r="A6" s="148" t="s">
        <v>94</v>
      </c>
      <c r="B6" s="149"/>
      <c r="C6" s="150"/>
      <c r="D6" s="147"/>
      <c r="Q6" s="43">
        <v>2957796</v>
      </c>
    </row>
    <row r="7" spans="1:42" x14ac:dyDescent="0.25">
      <c r="Q7" s="689">
        <v>709189</v>
      </c>
    </row>
    <row r="8" spans="1:42" ht="16.5" x14ac:dyDescent="0.3">
      <c r="A8" s="84"/>
      <c r="B8" s="1921" t="s">
        <v>95</v>
      </c>
      <c r="C8" s="1922"/>
      <c r="D8" s="1922"/>
      <c r="E8" s="1923"/>
      <c r="F8" s="196"/>
      <c r="G8" s="1921" t="s">
        <v>96</v>
      </c>
      <c r="H8" s="1922"/>
      <c r="I8" s="1922"/>
      <c r="J8" s="1923"/>
      <c r="K8" s="196"/>
      <c r="L8" s="1921" t="s">
        <v>97</v>
      </c>
      <c r="M8" s="1922"/>
      <c r="N8" s="1922"/>
      <c r="O8" s="1923"/>
      <c r="P8" s="615"/>
      <c r="Q8" s="623"/>
    </row>
    <row r="9" spans="1:42" ht="15.75" x14ac:dyDescent="0.25">
      <c r="A9" s="84"/>
      <c r="B9" s="1918">
        <v>638</v>
      </c>
      <c r="C9" s="1919"/>
      <c r="D9" s="1919"/>
      <c r="E9" s="1920"/>
      <c r="F9" s="153"/>
      <c r="G9" s="1918">
        <v>583</v>
      </c>
      <c r="H9" s="1919"/>
      <c r="I9" s="1919"/>
      <c r="J9" s="1920"/>
      <c r="K9" s="153"/>
      <c r="L9" s="1918">
        <v>358</v>
      </c>
      <c r="M9" s="1919"/>
      <c r="N9" s="1919"/>
      <c r="O9" s="1920"/>
      <c r="P9" s="615"/>
      <c r="Q9" s="626"/>
      <c r="R9" s="1924" t="s">
        <v>287</v>
      </c>
      <c r="S9" s="1924"/>
      <c r="T9" s="1924"/>
      <c r="U9" s="1924"/>
      <c r="V9" s="1924"/>
      <c r="W9" s="1924"/>
    </row>
    <row r="10" spans="1:42" ht="16.5" x14ac:dyDescent="0.3">
      <c r="A10" s="206" t="s">
        <v>4</v>
      </c>
      <c r="B10" s="206" t="s">
        <v>98</v>
      </c>
      <c r="C10" s="206" t="s">
        <v>99</v>
      </c>
      <c r="D10" s="206" t="s">
        <v>100</v>
      </c>
      <c r="E10" s="151" t="s">
        <v>101</v>
      </c>
      <c r="F10" s="151"/>
      <c r="G10" s="1161" t="s">
        <v>98</v>
      </c>
      <c r="H10" s="1161" t="s">
        <v>102</v>
      </c>
      <c r="I10" s="154" t="s">
        <v>100</v>
      </c>
      <c r="J10" s="151" t="s">
        <v>103</v>
      </c>
      <c r="K10" s="151"/>
      <c r="L10" s="154" t="s">
        <v>98</v>
      </c>
      <c r="M10" s="154" t="s">
        <v>104</v>
      </c>
      <c r="N10" s="154" t="s">
        <v>100</v>
      </c>
      <c r="O10" s="151" t="s">
        <v>105</v>
      </c>
      <c r="P10" s="616" t="s">
        <v>106</v>
      </c>
      <c r="Q10" s="626"/>
      <c r="R10" s="639" t="s">
        <v>288</v>
      </c>
      <c r="S10" s="614" t="s">
        <v>289</v>
      </c>
      <c r="T10" s="614" t="s">
        <v>290</v>
      </c>
      <c r="U10" s="614" t="s">
        <v>291</v>
      </c>
      <c r="V10" s="628" t="s">
        <v>292</v>
      </c>
      <c r="W10" s="628" t="s">
        <v>293</v>
      </c>
    </row>
    <row r="11" spans="1:42" s="42" customFormat="1" ht="16.5" x14ac:dyDescent="0.3">
      <c r="A11" s="279">
        <f>+B5</f>
        <v>44682</v>
      </c>
      <c r="B11" s="1164"/>
      <c r="C11" s="1165"/>
      <c r="D11" s="1165"/>
      <c r="E11" s="155"/>
      <c r="F11" s="156"/>
      <c r="G11" s="1166"/>
      <c r="H11" s="1167"/>
      <c r="I11" s="1167"/>
      <c r="J11" s="155"/>
      <c r="K11" s="156"/>
      <c r="L11" s="1166"/>
      <c r="M11" s="1166"/>
      <c r="N11" s="1166"/>
      <c r="O11" s="155">
        <f t="shared" ref="O11:O41" si="0">+M11-N11</f>
        <v>0</v>
      </c>
      <c r="P11" s="617">
        <f t="shared" ref="P11:P41" si="1">C11*B$9+H11*G$9+M11*L$9</f>
        <v>0</v>
      </c>
      <c r="Q11" s="627"/>
      <c r="R11" s="640">
        <v>201</v>
      </c>
      <c r="S11" s="614">
        <v>211</v>
      </c>
      <c r="T11" s="614">
        <v>224</v>
      </c>
      <c r="U11" s="642">
        <v>200</v>
      </c>
      <c r="V11" s="638"/>
      <c r="W11" s="629"/>
    </row>
    <row r="12" spans="1:42" s="42" customFormat="1" ht="16.5" x14ac:dyDescent="0.3">
      <c r="A12" s="279">
        <f>+A11+1</f>
        <v>44683</v>
      </c>
      <c r="B12" s="1164"/>
      <c r="C12" s="1165"/>
      <c r="D12" s="1165"/>
      <c r="E12" s="155"/>
      <c r="F12" s="156"/>
      <c r="G12" s="1166"/>
      <c r="H12" s="1167"/>
      <c r="I12" s="1167"/>
      <c r="J12" s="155"/>
      <c r="K12" s="156"/>
      <c r="L12" s="1166"/>
      <c r="M12" s="1166"/>
      <c r="N12" s="1166"/>
      <c r="O12" s="155">
        <f t="shared" si="0"/>
        <v>0</v>
      </c>
      <c r="P12" s="617">
        <f t="shared" si="1"/>
        <v>0</v>
      </c>
      <c r="Q12" s="627"/>
      <c r="R12" s="641"/>
      <c r="S12" s="641"/>
      <c r="T12" s="641"/>
      <c r="U12" s="641"/>
      <c r="V12" s="626"/>
      <c r="W12" s="630"/>
    </row>
    <row r="13" spans="1:42" s="191" customFormat="1" ht="16.5" x14ac:dyDescent="0.3">
      <c r="A13" s="279">
        <f t="shared" ref="A13:A41" si="2">+A12+1</f>
        <v>44684</v>
      </c>
      <c r="B13" s="1164"/>
      <c r="C13" s="1165"/>
      <c r="D13" s="1165"/>
      <c r="E13" s="155"/>
      <c r="F13" s="156"/>
      <c r="G13" s="1164"/>
      <c r="H13" s="1167"/>
      <c r="I13" s="1167"/>
      <c r="J13" s="155"/>
      <c r="K13" s="156"/>
      <c r="L13" s="1166"/>
      <c r="M13" s="1166"/>
      <c r="N13" s="1166"/>
      <c r="O13" s="155">
        <f t="shared" si="0"/>
        <v>0</v>
      </c>
      <c r="P13" s="617">
        <f t="shared" si="1"/>
        <v>0</v>
      </c>
      <c r="Q13" s="627"/>
      <c r="R13" s="613">
        <v>200</v>
      </c>
      <c r="S13" s="612">
        <v>209</v>
      </c>
      <c r="T13" s="612">
        <v>224</v>
      </c>
      <c r="U13" s="643">
        <v>200</v>
      </c>
      <c r="V13" s="626"/>
      <c r="W13" s="630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</row>
    <row r="14" spans="1:42" s="42" customFormat="1" ht="16.5" x14ac:dyDescent="0.3">
      <c r="A14" s="279">
        <f t="shared" si="2"/>
        <v>44685</v>
      </c>
      <c r="B14" s="1164"/>
      <c r="C14" s="1168">
        <v>10000</v>
      </c>
      <c r="D14" s="1168">
        <v>10000</v>
      </c>
      <c r="E14" s="155"/>
      <c r="F14" s="157"/>
      <c r="G14" s="1166" t="s">
        <v>653</v>
      </c>
      <c r="H14" s="1170">
        <v>5000</v>
      </c>
      <c r="I14" s="1171">
        <v>5000</v>
      </c>
      <c r="J14" s="155"/>
      <c r="K14" s="157"/>
      <c r="L14" s="1172"/>
      <c r="M14" s="1173"/>
      <c r="N14" s="1173"/>
      <c r="O14" s="155">
        <f t="shared" si="0"/>
        <v>0</v>
      </c>
      <c r="P14" s="617">
        <f t="shared" si="1"/>
        <v>9295000</v>
      </c>
      <c r="Q14" s="627"/>
      <c r="R14" s="613">
        <v>202</v>
      </c>
      <c r="S14" s="612">
        <v>211</v>
      </c>
      <c r="T14" s="612">
        <v>224</v>
      </c>
      <c r="U14" s="643">
        <v>200</v>
      </c>
      <c r="V14" s="626"/>
      <c r="W14" s="630"/>
    </row>
    <row r="15" spans="1:42" s="42" customFormat="1" ht="15.75" x14ac:dyDescent="0.25">
      <c r="A15" s="279">
        <f t="shared" si="2"/>
        <v>44686</v>
      </c>
      <c r="B15" s="1190"/>
      <c r="C15" s="1168"/>
      <c r="D15" s="1168"/>
      <c r="E15" s="155"/>
      <c r="F15" s="157"/>
      <c r="G15" s="1174"/>
      <c r="H15" s="1170"/>
      <c r="I15" s="1171"/>
      <c r="J15" s="155"/>
      <c r="K15" s="158"/>
      <c r="L15" s="1174"/>
      <c r="M15" s="1170"/>
      <c r="N15" s="1170"/>
      <c r="O15" s="155">
        <f t="shared" si="0"/>
        <v>0</v>
      </c>
      <c r="P15" s="618">
        <f t="shared" si="1"/>
        <v>0</v>
      </c>
      <c r="Q15" s="627"/>
      <c r="R15" s="613">
        <v>200</v>
      </c>
      <c r="S15" s="612">
        <v>211</v>
      </c>
      <c r="T15" s="612">
        <v>225</v>
      </c>
      <c r="U15" s="643">
        <v>200</v>
      </c>
      <c r="V15" s="626"/>
      <c r="W15" s="630"/>
    </row>
    <row r="16" spans="1:42" s="42" customFormat="1" ht="15.75" x14ac:dyDescent="0.25">
      <c r="A16" s="279">
        <f t="shared" si="2"/>
        <v>44687</v>
      </c>
      <c r="B16" s="1168"/>
      <c r="C16" s="1169"/>
      <c r="D16" s="1169"/>
      <c r="E16" s="155"/>
      <c r="F16" s="157"/>
      <c r="G16" s="1175"/>
      <c r="H16" s="1170"/>
      <c r="I16" s="1171"/>
      <c r="J16" s="155"/>
      <c r="K16" s="158"/>
      <c r="L16" s="1174"/>
      <c r="M16" s="1170"/>
      <c r="N16" s="1170"/>
      <c r="O16" s="155">
        <f t="shared" si="0"/>
        <v>0</v>
      </c>
      <c r="P16" s="618">
        <f>C16*B$9+H16*G$9+M16*L$9</f>
        <v>0</v>
      </c>
      <c r="Q16" s="627"/>
      <c r="R16" s="613">
        <v>200</v>
      </c>
      <c r="S16" s="612">
        <v>213</v>
      </c>
      <c r="T16" s="612">
        <v>224</v>
      </c>
      <c r="U16" s="643">
        <v>200</v>
      </c>
      <c r="V16" s="626"/>
      <c r="W16" s="630"/>
    </row>
    <row r="17" spans="1:23" s="42" customFormat="1" ht="15.75" x14ac:dyDescent="0.25">
      <c r="A17" s="279">
        <f t="shared" si="2"/>
        <v>44688</v>
      </c>
      <c r="B17" s="1176"/>
      <c r="C17" s="1168"/>
      <c r="D17" s="1168"/>
      <c r="E17" s="155"/>
      <c r="F17" s="157"/>
      <c r="G17" s="1177"/>
      <c r="H17" s="1170"/>
      <c r="I17" s="1170"/>
      <c r="J17" s="155"/>
      <c r="K17" s="158"/>
      <c r="L17" s="1175"/>
      <c r="M17" s="1170"/>
      <c r="N17" s="1170"/>
      <c r="O17" s="155">
        <f t="shared" si="0"/>
        <v>0</v>
      </c>
      <c r="P17" s="618">
        <f t="shared" si="1"/>
        <v>0</v>
      </c>
      <c r="Q17" s="627"/>
      <c r="R17" s="613">
        <v>203</v>
      </c>
      <c r="S17" s="612">
        <v>211</v>
      </c>
      <c r="T17" s="612">
        <v>224</v>
      </c>
      <c r="U17" s="643">
        <v>200</v>
      </c>
      <c r="V17" s="632"/>
      <c r="W17" s="631"/>
    </row>
    <row r="18" spans="1:23" s="42" customFormat="1" ht="18" customHeight="1" x14ac:dyDescent="0.25">
      <c r="A18" s="279">
        <f t="shared" si="2"/>
        <v>44689</v>
      </c>
      <c r="B18" s="1176"/>
      <c r="C18" s="1168"/>
      <c r="D18" s="1168"/>
      <c r="E18" s="155"/>
      <c r="F18" s="157"/>
      <c r="G18" s="1178"/>
      <c r="H18" s="1170"/>
      <c r="I18" s="1170"/>
      <c r="J18" s="155"/>
      <c r="K18" s="158"/>
      <c r="L18" s="1174"/>
      <c r="M18" s="1170"/>
      <c r="N18" s="1170"/>
      <c r="O18" s="155">
        <f t="shared" si="0"/>
        <v>0</v>
      </c>
      <c r="P18" s="618">
        <f t="shared" si="1"/>
        <v>0</v>
      </c>
      <c r="Q18" s="627"/>
      <c r="R18" s="613">
        <v>203</v>
      </c>
      <c r="S18" s="612">
        <v>214</v>
      </c>
      <c r="T18" s="612">
        <v>228</v>
      </c>
      <c r="U18" s="612">
        <v>202</v>
      </c>
      <c r="V18" s="632"/>
      <c r="W18" s="632">
        <f>+T18-T11</f>
        <v>4</v>
      </c>
    </row>
    <row r="19" spans="1:23" s="42" customFormat="1" ht="15.75" x14ac:dyDescent="0.25">
      <c r="A19" s="279">
        <f t="shared" si="2"/>
        <v>44690</v>
      </c>
      <c r="B19" s="1176"/>
      <c r="C19" s="1168"/>
      <c r="D19" s="1168"/>
      <c r="E19" s="155"/>
      <c r="F19" s="157"/>
      <c r="G19" s="1178"/>
      <c r="H19" s="1170"/>
      <c r="I19" s="1170"/>
      <c r="J19" s="155"/>
      <c r="K19" s="158"/>
      <c r="L19" s="1174"/>
      <c r="M19" s="1170"/>
      <c r="N19" s="1170"/>
      <c r="O19" s="155">
        <f t="shared" si="0"/>
        <v>0</v>
      </c>
      <c r="P19" s="618">
        <f t="shared" si="1"/>
        <v>0</v>
      </c>
      <c r="Q19" s="624"/>
      <c r="R19" s="634"/>
      <c r="S19" s="634"/>
      <c r="T19" s="635"/>
      <c r="U19" s="635"/>
      <c r="V19" s="635"/>
      <c r="W19" s="635"/>
    </row>
    <row r="20" spans="1:23" s="42" customFormat="1" ht="15.75" x14ac:dyDescent="0.25">
      <c r="A20" s="279">
        <f t="shared" si="2"/>
        <v>44691</v>
      </c>
      <c r="B20" s="1176" t="s">
        <v>656</v>
      </c>
      <c r="C20" s="1179">
        <v>10000</v>
      </c>
      <c r="D20" s="1179">
        <v>10000</v>
      </c>
      <c r="E20" s="155"/>
      <c r="F20" s="155"/>
      <c r="G20" s="1178" t="s">
        <v>656</v>
      </c>
      <c r="H20" s="1180">
        <v>5000</v>
      </c>
      <c r="I20" s="1180">
        <v>5000</v>
      </c>
      <c r="J20" s="155"/>
      <c r="K20" s="158"/>
      <c r="L20" s="1174"/>
      <c r="M20" s="1180"/>
      <c r="N20" s="1180"/>
      <c r="O20" s="155">
        <f t="shared" si="0"/>
        <v>0</v>
      </c>
      <c r="P20" s="618">
        <f t="shared" si="1"/>
        <v>9295000</v>
      </c>
      <c r="Q20" s="624"/>
      <c r="R20" s="634"/>
      <c r="S20" s="634"/>
      <c r="T20" s="636">
        <v>8625</v>
      </c>
      <c r="U20" s="636"/>
      <c r="V20" s="636"/>
      <c r="W20" s="637"/>
    </row>
    <row r="21" spans="1:23" s="42" customFormat="1" ht="15.75" x14ac:dyDescent="0.25">
      <c r="A21" s="279">
        <f t="shared" si="2"/>
        <v>44692</v>
      </c>
      <c r="B21" s="1176"/>
      <c r="C21" s="1179"/>
      <c r="D21" s="1179"/>
      <c r="E21" s="155"/>
      <c r="F21" s="1181"/>
      <c r="G21" s="1178"/>
      <c r="H21" s="1180"/>
      <c r="I21" s="1180"/>
      <c r="J21" s="155"/>
      <c r="K21" s="158"/>
      <c r="L21" s="1174"/>
      <c r="M21" s="1180"/>
      <c r="N21" s="1180"/>
      <c r="O21" s="155">
        <f t="shared" si="0"/>
        <v>0</v>
      </c>
      <c r="P21" s="618">
        <f t="shared" si="1"/>
        <v>0</v>
      </c>
      <c r="Q21" s="624"/>
      <c r="R21" s="633"/>
      <c r="S21" s="621"/>
      <c r="T21" s="633">
        <v>57500</v>
      </c>
      <c r="U21" s="633"/>
      <c r="V21" s="633"/>
      <c r="W21" s="633"/>
    </row>
    <row r="22" spans="1:23" s="42" customFormat="1" ht="15.75" x14ac:dyDescent="0.25">
      <c r="A22" s="279">
        <f t="shared" si="2"/>
        <v>44693</v>
      </c>
      <c r="B22" s="1176"/>
      <c r="C22" s="1179"/>
      <c r="D22" s="1179"/>
      <c r="E22" s="155"/>
      <c r="F22" s="1181"/>
      <c r="G22" s="1177"/>
      <c r="H22" s="1180"/>
      <c r="I22" s="1180"/>
      <c r="J22" s="155"/>
      <c r="K22" s="158"/>
      <c r="L22" s="1174"/>
      <c r="M22" s="1180"/>
      <c r="N22" s="1180"/>
      <c r="O22" s="155">
        <f t="shared" si="0"/>
        <v>0</v>
      </c>
      <c r="P22" s="618">
        <f t="shared" si="1"/>
        <v>0</v>
      </c>
      <c r="Q22" s="624"/>
      <c r="R22" s="622"/>
      <c r="S22" s="622"/>
      <c r="T22" s="622">
        <v>57500</v>
      </c>
      <c r="U22" s="622"/>
      <c r="V22" s="622"/>
      <c r="W22" s="622"/>
    </row>
    <row r="23" spans="1:23" s="42" customFormat="1" ht="15.75" x14ac:dyDescent="0.25">
      <c r="A23" s="279">
        <f t="shared" si="2"/>
        <v>44694</v>
      </c>
      <c r="B23" s="1176" t="s">
        <v>707</v>
      </c>
      <c r="C23" s="1179">
        <v>9000</v>
      </c>
      <c r="D23" s="1179">
        <v>9000</v>
      </c>
      <c r="E23" s="155"/>
      <c r="F23" s="1181"/>
      <c r="G23" s="1175" t="s">
        <v>707</v>
      </c>
      <c r="H23" s="1180">
        <v>3000</v>
      </c>
      <c r="I23" s="1180">
        <v>2000</v>
      </c>
      <c r="J23" s="155"/>
      <c r="K23" s="158"/>
      <c r="L23" s="1175"/>
      <c r="M23" s="1180"/>
      <c r="N23" s="1180"/>
      <c r="O23" s="155">
        <f t="shared" si="0"/>
        <v>0</v>
      </c>
      <c r="P23" s="618">
        <f t="shared" si="1"/>
        <v>7491000</v>
      </c>
      <c r="Q23" s="624"/>
      <c r="R23" s="622"/>
      <c r="S23" s="622"/>
      <c r="T23" s="622">
        <v>8625</v>
      </c>
      <c r="U23" s="622"/>
      <c r="V23" s="622"/>
      <c r="W23" s="622"/>
    </row>
    <row r="24" spans="1:23" s="42" customFormat="1" ht="15.75" x14ac:dyDescent="0.25">
      <c r="A24" s="279">
        <f t="shared" si="2"/>
        <v>44695</v>
      </c>
      <c r="B24" s="1182"/>
      <c r="C24" s="1180"/>
      <c r="D24" s="1180"/>
      <c r="E24" s="155"/>
      <c r="F24" s="1181"/>
      <c r="G24" s="1177"/>
      <c r="H24" s="1180"/>
      <c r="I24" s="1180"/>
      <c r="J24" s="155"/>
      <c r="K24" s="158"/>
      <c r="L24" s="1174"/>
      <c r="M24" s="1180"/>
      <c r="N24" s="1180"/>
      <c r="O24" s="155">
        <f t="shared" si="0"/>
        <v>0</v>
      </c>
      <c r="P24" s="618">
        <f t="shared" si="1"/>
        <v>0</v>
      </c>
      <c r="Q24" s="624"/>
      <c r="R24" s="622"/>
      <c r="S24" s="622"/>
      <c r="T24" s="622">
        <v>57500</v>
      </c>
      <c r="U24" s="622"/>
      <c r="V24" s="622"/>
      <c r="W24" s="622"/>
    </row>
    <row r="25" spans="1:23" s="42" customFormat="1" ht="15.75" x14ac:dyDescent="0.25">
      <c r="A25" s="279">
        <f t="shared" si="2"/>
        <v>44696</v>
      </c>
      <c r="B25" s="1182"/>
      <c r="C25" s="1180"/>
      <c r="D25" s="1180"/>
      <c r="E25" s="155"/>
      <c r="F25" s="1181"/>
      <c r="G25" s="1177"/>
      <c r="H25" s="1180"/>
      <c r="I25" s="1180"/>
      <c r="J25" s="155"/>
      <c r="K25" s="158"/>
      <c r="L25" s="1178"/>
      <c r="M25" s="1180"/>
      <c r="N25" s="1180"/>
      <c r="O25" s="155">
        <f t="shared" si="0"/>
        <v>0</v>
      </c>
      <c r="P25" s="618">
        <f t="shared" si="1"/>
        <v>0</v>
      </c>
      <c r="Q25" s="624"/>
      <c r="R25" s="622"/>
      <c r="S25" s="622"/>
      <c r="T25" s="622">
        <v>32451</v>
      </c>
      <c r="U25" s="622"/>
      <c r="V25" s="622"/>
      <c r="W25" s="622"/>
    </row>
    <row r="26" spans="1:23" s="42" customFormat="1" ht="15.75" x14ac:dyDescent="0.25">
      <c r="A26" s="279">
        <f t="shared" si="2"/>
        <v>44697</v>
      </c>
      <c r="B26" s="1182"/>
      <c r="C26" s="1180"/>
      <c r="D26" s="1180"/>
      <c r="E26" s="155"/>
      <c r="F26" s="1181"/>
      <c r="G26" s="1182"/>
      <c r="H26" s="1180"/>
      <c r="I26" s="1180"/>
      <c r="J26" s="155"/>
      <c r="K26" s="158"/>
      <c r="L26" s="1178"/>
      <c r="M26" s="1180"/>
      <c r="N26" s="1180"/>
      <c r="O26" s="155">
        <f t="shared" si="0"/>
        <v>0</v>
      </c>
      <c r="P26" s="618">
        <f t="shared" si="1"/>
        <v>0</v>
      </c>
      <c r="Q26" s="624"/>
      <c r="R26" s="622"/>
      <c r="S26" s="622"/>
      <c r="T26" s="622">
        <v>8625</v>
      </c>
      <c r="U26" s="622"/>
      <c r="V26" s="622"/>
      <c r="W26" s="622"/>
    </row>
    <row r="27" spans="1:23" s="42" customFormat="1" ht="15.75" x14ac:dyDescent="0.25">
      <c r="A27" s="279">
        <f t="shared" si="2"/>
        <v>44698</v>
      </c>
      <c r="B27" s="1182"/>
      <c r="C27" s="1180"/>
      <c r="D27" s="1180"/>
      <c r="E27" s="155"/>
      <c r="F27" s="1181"/>
      <c r="G27" s="1177"/>
      <c r="H27" s="1180"/>
      <c r="I27" s="1180"/>
      <c r="J27" s="155"/>
      <c r="K27" s="158"/>
      <c r="L27" s="1178"/>
      <c r="M27" s="1180"/>
      <c r="N27" s="1180"/>
      <c r="O27" s="155">
        <f t="shared" si="0"/>
        <v>0</v>
      </c>
      <c r="P27" s="618">
        <f t="shared" si="1"/>
        <v>0</v>
      </c>
      <c r="Q27" s="624"/>
      <c r="R27" s="622"/>
      <c r="S27" s="622"/>
      <c r="T27" s="622">
        <v>57500</v>
      </c>
      <c r="U27" s="622"/>
      <c r="V27" s="622"/>
      <c r="W27" s="622"/>
    </row>
    <row r="28" spans="1:23" s="42" customFormat="1" ht="15.75" x14ac:dyDescent="0.25">
      <c r="A28" s="279">
        <f t="shared" si="2"/>
        <v>44699</v>
      </c>
      <c r="B28" s="1175"/>
      <c r="C28" s="1180"/>
      <c r="D28" s="1180"/>
      <c r="E28" s="155"/>
      <c r="F28" s="1181"/>
      <c r="G28" s="1177"/>
      <c r="H28" s="1180"/>
      <c r="I28" s="1180"/>
      <c r="J28" s="155"/>
      <c r="K28" s="158"/>
      <c r="L28" s="1178"/>
      <c r="M28" s="1180"/>
      <c r="N28" s="1180"/>
      <c r="O28" s="155">
        <f t="shared" si="0"/>
        <v>0</v>
      </c>
      <c r="P28" s="618">
        <f t="shared" si="1"/>
        <v>0</v>
      </c>
      <c r="Q28" s="624"/>
      <c r="R28" s="622"/>
      <c r="S28" s="622"/>
      <c r="T28" s="622">
        <v>8625</v>
      </c>
      <c r="U28" s="622"/>
      <c r="V28" s="622"/>
      <c r="W28" s="622"/>
    </row>
    <row r="29" spans="1:23" ht="15.75" x14ac:dyDescent="0.25">
      <c r="A29" s="279">
        <f t="shared" si="2"/>
        <v>44700</v>
      </c>
      <c r="B29" s="1175"/>
      <c r="C29" s="1180"/>
      <c r="D29" s="1180"/>
      <c r="E29" s="155"/>
      <c r="F29" s="1181"/>
      <c r="G29" s="1177"/>
      <c r="H29" s="1180"/>
      <c r="I29" s="1180"/>
      <c r="J29" s="155"/>
      <c r="K29" s="158"/>
      <c r="L29" s="1174"/>
      <c r="M29" s="1180"/>
      <c r="N29" s="1180"/>
      <c r="O29" s="155">
        <f t="shared" si="0"/>
        <v>0</v>
      </c>
      <c r="P29" s="618">
        <f t="shared" si="1"/>
        <v>0</v>
      </c>
      <c r="Q29" s="623"/>
      <c r="R29" s="622"/>
      <c r="S29" s="622"/>
      <c r="T29" s="622">
        <v>57500</v>
      </c>
      <c r="U29" s="622"/>
      <c r="V29" s="622"/>
      <c r="W29" s="622"/>
    </row>
    <row r="30" spans="1:23" ht="15.75" x14ac:dyDescent="0.25">
      <c r="A30" s="279">
        <f t="shared" si="2"/>
        <v>44701</v>
      </c>
      <c r="B30" s="1175"/>
      <c r="C30" s="1180"/>
      <c r="D30" s="1180"/>
      <c r="E30" s="155"/>
      <c r="F30" s="1181"/>
      <c r="G30" s="1175"/>
      <c r="H30" s="1180"/>
      <c r="I30" s="1180"/>
      <c r="J30" s="155"/>
      <c r="K30" s="158"/>
      <c r="L30" s="1174"/>
      <c r="M30" s="1180"/>
      <c r="N30" s="1180"/>
      <c r="O30" s="155">
        <f t="shared" si="0"/>
        <v>0</v>
      </c>
      <c r="P30" s="618">
        <f t="shared" si="1"/>
        <v>0</v>
      </c>
      <c r="Q30" s="623"/>
      <c r="R30" s="622"/>
      <c r="S30" s="622"/>
      <c r="T30" s="622">
        <v>86250</v>
      </c>
      <c r="U30" s="622"/>
      <c r="V30" s="622"/>
      <c r="W30" s="622"/>
    </row>
    <row r="31" spans="1:23" ht="15.75" x14ac:dyDescent="0.25">
      <c r="A31" s="279">
        <f t="shared" si="2"/>
        <v>44702</v>
      </c>
      <c r="B31" s="1175"/>
      <c r="C31" s="1180"/>
      <c r="D31" s="1180"/>
      <c r="E31" s="155"/>
      <c r="F31" s="1181"/>
      <c r="G31" s="1175"/>
      <c r="H31" s="1180"/>
      <c r="I31" s="1180"/>
      <c r="J31" s="155"/>
      <c r="K31" s="158"/>
      <c r="L31" s="1174"/>
      <c r="M31" s="1180"/>
      <c r="N31" s="1180"/>
      <c r="O31" s="155">
        <f t="shared" si="0"/>
        <v>0</v>
      </c>
      <c r="P31" s="618">
        <f t="shared" si="1"/>
        <v>0</v>
      </c>
      <c r="Q31" s="623"/>
      <c r="R31" s="622"/>
      <c r="S31" s="622"/>
      <c r="T31" s="622">
        <v>86250</v>
      </c>
      <c r="U31" s="622"/>
      <c r="V31" s="622"/>
      <c r="W31" s="622"/>
    </row>
    <row r="32" spans="1:23" ht="15.75" x14ac:dyDescent="0.25">
      <c r="A32" s="279">
        <f t="shared" si="2"/>
        <v>44703</v>
      </c>
      <c r="B32" s="1175"/>
      <c r="C32" s="1180"/>
      <c r="D32" s="1180"/>
      <c r="E32" s="155"/>
      <c r="F32" s="1181"/>
      <c r="G32" s="1175"/>
      <c r="H32" s="1180"/>
      <c r="I32" s="1180"/>
      <c r="J32" s="155"/>
      <c r="K32" s="158"/>
      <c r="L32" s="1174"/>
      <c r="M32" s="1180"/>
      <c r="N32" s="1180"/>
      <c r="O32" s="155">
        <f t="shared" si="0"/>
        <v>0</v>
      </c>
      <c r="P32" s="618">
        <f t="shared" si="1"/>
        <v>0</v>
      </c>
      <c r="Q32" s="623"/>
      <c r="R32" s="622"/>
      <c r="S32" s="622"/>
      <c r="T32" s="622">
        <v>57500</v>
      </c>
      <c r="U32" s="622"/>
      <c r="V32" s="622"/>
      <c r="W32" s="622"/>
    </row>
    <row r="33" spans="1:23" ht="15.75" x14ac:dyDescent="0.25">
      <c r="A33" s="279">
        <f t="shared" si="2"/>
        <v>44704</v>
      </c>
      <c r="B33" s="1175"/>
      <c r="C33" s="1180"/>
      <c r="D33" s="1180"/>
      <c r="E33" s="155"/>
      <c r="F33" s="1181"/>
      <c r="G33" s="1175"/>
      <c r="H33" s="1180"/>
      <c r="I33" s="1180"/>
      <c r="J33" s="155"/>
      <c r="K33" s="158"/>
      <c r="L33" s="1174"/>
      <c r="M33" s="1180"/>
      <c r="N33" s="1180"/>
      <c r="O33" s="155">
        <f t="shared" si="0"/>
        <v>0</v>
      </c>
      <c r="P33" s="619">
        <f t="shared" si="1"/>
        <v>0</v>
      </c>
      <c r="Q33" s="623"/>
      <c r="R33" s="622"/>
      <c r="S33" s="622"/>
      <c r="T33" s="622">
        <v>8625</v>
      </c>
      <c r="U33" s="622"/>
      <c r="V33" s="622"/>
      <c r="W33" s="622"/>
    </row>
    <row r="34" spans="1:23" ht="15.75" x14ac:dyDescent="0.25">
      <c r="A34" s="279">
        <f t="shared" si="2"/>
        <v>44705</v>
      </c>
      <c r="B34" s="1175"/>
      <c r="C34" s="1180"/>
      <c r="D34" s="1180"/>
      <c r="E34" s="155"/>
      <c r="F34" s="1181"/>
      <c r="G34" s="1175"/>
      <c r="H34" s="1180"/>
      <c r="I34" s="1180"/>
      <c r="J34" s="155"/>
      <c r="K34" s="158"/>
      <c r="L34" s="1174"/>
      <c r="M34" s="1180"/>
      <c r="N34" s="1180"/>
      <c r="O34" s="155">
        <f t="shared" si="0"/>
        <v>0</v>
      </c>
      <c r="P34" s="619">
        <f t="shared" si="1"/>
        <v>0</v>
      </c>
      <c r="Q34" s="623"/>
      <c r="R34" s="622"/>
      <c r="S34" s="622"/>
      <c r="T34" s="622">
        <v>57500</v>
      </c>
      <c r="U34" s="622"/>
      <c r="V34" s="622"/>
      <c r="W34" s="622"/>
    </row>
    <row r="35" spans="1:23" s="161" customFormat="1" ht="15.75" x14ac:dyDescent="0.25">
      <c r="A35" s="279">
        <f t="shared" si="2"/>
        <v>44706</v>
      </c>
      <c r="B35" s="1175"/>
      <c r="C35" s="1180"/>
      <c r="D35" s="1180"/>
      <c r="E35" s="155"/>
      <c r="F35" s="1181"/>
      <c r="G35" s="1175"/>
      <c r="H35" s="1180"/>
      <c r="I35" s="1180"/>
      <c r="J35" s="155"/>
      <c r="K35" s="158"/>
      <c r="L35" s="1174"/>
      <c r="M35" s="1180"/>
      <c r="N35" s="1180"/>
      <c r="O35" s="155">
        <f t="shared" si="0"/>
        <v>0</v>
      </c>
      <c r="P35" s="619">
        <f t="shared" si="1"/>
        <v>0</v>
      </c>
      <c r="Q35" s="625"/>
      <c r="R35" s="231"/>
      <c r="S35" s="231"/>
      <c r="T35" s="231">
        <v>57500</v>
      </c>
      <c r="U35" s="231"/>
      <c r="V35" s="231"/>
      <c r="W35" s="231"/>
    </row>
    <row r="36" spans="1:23" ht="15.75" x14ac:dyDescent="0.25">
      <c r="A36" s="279">
        <f t="shared" si="2"/>
        <v>44707</v>
      </c>
      <c r="B36" s="1175"/>
      <c r="C36" s="1180"/>
      <c r="D36" s="1180"/>
      <c r="E36" s="155"/>
      <c r="F36" s="1181"/>
      <c r="G36" s="1175"/>
      <c r="H36" s="1180"/>
      <c r="I36" s="1180"/>
      <c r="J36" s="155"/>
      <c r="K36" s="158"/>
      <c r="L36" s="1174"/>
      <c r="M36" s="1180"/>
      <c r="N36" s="1180"/>
      <c r="O36" s="155">
        <f t="shared" si="0"/>
        <v>0</v>
      </c>
      <c r="P36" s="619">
        <f t="shared" si="1"/>
        <v>0</v>
      </c>
      <c r="T36" s="622">
        <v>8625</v>
      </c>
    </row>
    <row r="37" spans="1:23" ht="15.75" x14ac:dyDescent="0.25">
      <c r="A37" s="279">
        <f t="shared" si="2"/>
        <v>44708</v>
      </c>
      <c r="B37" s="1175"/>
      <c r="C37" s="1180"/>
      <c r="D37" s="1180"/>
      <c r="E37" s="155"/>
      <c r="F37" s="1181"/>
      <c r="G37" s="1175"/>
      <c r="H37" s="1180"/>
      <c r="I37" s="1180"/>
      <c r="J37" s="155"/>
      <c r="K37" s="158"/>
      <c r="L37" s="1174"/>
      <c r="M37" s="1180"/>
      <c r="N37" s="1193">
        <v>8000</v>
      </c>
      <c r="O37" s="155">
        <f t="shared" si="0"/>
        <v>-8000</v>
      </c>
      <c r="P37" s="619">
        <f t="shared" si="1"/>
        <v>0</v>
      </c>
      <c r="T37" s="622">
        <v>57500</v>
      </c>
    </row>
    <row r="38" spans="1:23" ht="15.75" x14ac:dyDescent="0.25">
      <c r="A38" s="279">
        <f t="shared" si="2"/>
        <v>44709</v>
      </c>
      <c r="B38" s="1183"/>
      <c r="C38" s="1180"/>
      <c r="D38" s="1180"/>
      <c r="E38" s="155"/>
      <c r="F38" s="1181"/>
      <c r="G38" s="1183"/>
      <c r="H38" s="1180"/>
      <c r="I38" s="1180"/>
      <c r="J38" s="155"/>
      <c r="K38" s="158"/>
      <c r="L38" s="1174"/>
      <c r="M38" s="1180"/>
      <c r="N38" s="1180"/>
      <c r="O38" s="155">
        <f t="shared" si="0"/>
        <v>0</v>
      </c>
      <c r="P38" s="619">
        <f t="shared" si="1"/>
        <v>0</v>
      </c>
      <c r="T38" s="622">
        <v>57500</v>
      </c>
    </row>
    <row r="39" spans="1:23" ht="15.75" x14ac:dyDescent="0.25">
      <c r="A39" s="279">
        <f t="shared" si="2"/>
        <v>44710</v>
      </c>
      <c r="B39" s="1175"/>
      <c r="C39" s="1180"/>
      <c r="D39" s="1180"/>
      <c r="E39" s="155"/>
      <c r="F39" s="1181"/>
      <c r="G39" s="1175"/>
      <c r="H39" s="1180"/>
      <c r="I39" s="1180"/>
      <c r="J39" s="155"/>
      <c r="K39" s="158"/>
      <c r="L39" s="1174"/>
      <c r="M39" s="1180"/>
      <c r="N39" s="1180"/>
      <c r="O39" s="155">
        <f t="shared" si="0"/>
        <v>0</v>
      </c>
      <c r="P39" s="619">
        <f t="shared" si="1"/>
        <v>0</v>
      </c>
      <c r="T39" s="622">
        <v>57500</v>
      </c>
    </row>
    <row r="40" spans="1:23" ht="15.75" x14ac:dyDescent="0.25">
      <c r="A40" s="279">
        <f t="shared" si="2"/>
        <v>44711</v>
      </c>
      <c r="B40" s="1175"/>
      <c r="C40" s="1180"/>
      <c r="D40" s="1180"/>
      <c r="E40" s="155"/>
      <c r="F40" s="1181"/>
      <c r="G40" s="1175"/>
      <c r="H40" s="1180"/>
      <c r="I40" s="1180"/>
      <c r="J40" s="155"/>
      <c r="K40" s="158"/>
      <c r="L40" s="1174"/>
      <c r="M40" s="1180"/>
      <c r="N40" s="1180"/>
      <c r="O40" s="155">
        <f t="shared" si="0"/>
        <v>0</v>
      </c>
      <c r="P40" s="619">
        <f t="shared" si="1"/>
        <v>0</v>
      </c>
      <c r="T40" s="622">
        <v>8625</v>
      </c>
    </row>
    <row r="41" spans="1:23" ht="15.75" x14ac:dyDescent="0.25">
      <c r="A41" s="279">
        <f t="shared" si="2"/>
        <v>44712</v>
      </c>
      <c r="B41" s="1175"/>
      <c r="C41" s="1180"/>
      <c r="D41" s="1180"/>
      <c r="E41" s="155"/>
      <c r="F41" s="1181"/>
      <c r="G41" s="1175"/>
      <c r="H41" s="1180"/>
      <c r="I41" s="1180"/>
      <c r="J41" s="155"/>
      <c r="K41" s="158"/>
      <c r="L41" s="1174"/>
      <c r="M41" s="1180"/>
      <c r="N41" s="1180"/>
      <c r="O41" s="155">
        <f t="shared" si="0"/>
        <v>0</v>
      </c>
      <c r="P41" s="619">
        <f t="shared" si="1"/>
        <v>0</v>
      </c>
      <c r="T41" s="622">
        <v>57500</v>
      </c>
    </row>
    <row r="42" spans="1:23" ht="16.5" x14ac:dyDescent="0.3">
      <c r="A42" s="154" t="s">
        <v>107</v>
      </c>
      <c r="B42" s="154"/>
      <c r="C42" s="159">
        <f>SUM(C11:C41)</f>
        <v>29000</v>
      </c>
      <c r="D42" s="159">
        <f>SUM(D11:D41)</f>
        <v>29000</v>
      </c>
      <c r="E42" s="159">
        <f>SUM(E11:E41)</f>
        <v>0</v>
      </c>
      <c r="F42" s="160"/>
      <c r="G42" s="160"/>
      <c r="H42" s="159">
        <f>SUM(H11:H41)</f>
        <v>13000</v>
      </c>
      <c r="I42" s="159">
        <f>SUM(I11:I41)</f>
        <v>12000</v>
      </c>
      <c r="J42" s="159">
        <f>SUM(J11:J41)</f>
        <v>0</v>
      </c>
      <c r="K42" s="159">
        <f>SUM(K14:K41)</f>
        <v>0</v>
      </c>
      <c r="L42" s="160"/>
      <c r="M42" s="159">
        <f>SUM(M11:M41)</f>
        <v>0</v>
      </c>
      <c r="N42" s="159">
        <f>SUM(N11:N41)</f>
        <v>8000</v>
      </c>
      <c r="O42" s="159">
        <f>SUM(O11:O41)</f>
        <v>-8000</v>
      </c>
      <c r="P42" s="620">
        <f>SUM(P11:P41)</f>
        <v>26081000</v>
      </c>
      <c r="T42" s="622">
        <v>57500</v>
      </c>
    </row>
    <row r="43" spans="1:23" x14ac:dyDescent="0.25">
      <c r="T43" s="622">
        <v>8625</v>
      </c>
    </row>
    <row r="44" spans="1:23" x14ac:dyDescent="0.25">
      <c r="A44" s="162" t="s">
        <v>108</v>
      </c>
      <c r="B44" s="162"/>
      <c r="C44" s="162"/>
      <c r="D44" s="162"/>
      <c r="P44" s="228"/>
      <c r="T44" s="622">
        <v>57500</v>
      </c>
    </row>
    <row r="45" spans="1:23" ht="15.75" thickBot="1" x14ac:dyDescent="0.3">
      <c r="Q45" s="84" t="s">
        <v>119</v>
      </c>
      <c r="R45" s="84" t="s">
        <v>39</v>
      </c>
      <c r="S45" s="84" t="s">
        <v>87</v>
      </c>
      <c r="T45" s="622">
        <v>8625</v>
      </c>
    </row>
    <row r="46" spans="1:23" ht="15.75" thickBot="1" x14ac:dyDescent="0.3">
      <c r="B46" s="1931" t="s">
        <v>109</v>
      </c>
      <c r="C46" s="1932"/>
      <c r="D46" s="1933"/>
      <c r="G46" s="1934" t="s">
        <v>110</v>
      </c>
      <c r="H46" s="1935"/>
      <c r="I46" s="1936"/>
      <c r="L46" s="1931" t="s">
        <v>111</v>
      </c>
      <c r="M46" s="1932"/>
      <c r="N46" s="1933"/>
      <c r="Q46" s="278">
        <f>+'equation de stock'!B14</f>
        <v>14585</v>
      </c>
      <c r="R46" s="85">
        <v>630</v>
      </c>
      <c r="S46" s="85">
        <f>+Q46*R46</f>
        <v>9188550</v>
      </c>
      <c r="T46" s="622">
        <v>57500</v>
      </c>
    </row>
    <row r="47" spans="1:23" x14ac:dyDescent="0.25">
      <c r="B47" s="163" t="s">
        <v>112</v>
      </c>
      <c r="C47" s="164" t="s">
        <v>39</v>
      </c>
      <c r="D47" s="163" t="s">
        <v>113</v>
      </c>
      <c r="G47" s="165" t="s">
        <v>114</v>
      </c>
      <c r="H47" s="165" t="s">
        <v>115</v>
      </c>
      <c r="I47" s="151" t="s">
        <v>116</v>
      </c>
      <c r="L47" s="163" t="s">
        <v>112</v>
      </c>
      <c r="M47" s="163" t="s">
        <v>117</v>
      </c>
      <c r="N47" s="163" t="s">
        <v>113</v>
      </c>
      <c r="Q47" s="278">
        <f>+'equation de stock'!C14</f>
        <v>7862</v>
      </c>
      <c r="R47" s="85">
        <v>575</v>
      </c>
      <c r="S47" s="85">
        <f>+Q47*R47</f>
        <v>4520650</v>
      </c>
      <c r="T47" s="622">
        <v>57500</v>
      </c>
    </row>
    <row r="48" spans="1:23" x14ac:dyDescent="0.25">
      <c r="A48" s="166" t="s">
        <v>0</v>
      </c>
      <c r="B48" s="167">
        <f>C42</f>
        <v>29000</v>
      </c>
      <c r="C48" s="168">
        <v>630</v>
      </c>
      <c r="D48" s="169">
        <f>B48*B9</f>
        <v>18502000</v>
      </c>
      <c r="G48" s="165" t="s">
        <v>0</v>
      </c>
      <c r="H48" s="170"/>
      <c r="I48" s="1928"/>
      <c r="K48" s="165" t="s">
        <v>0</v>
      </c>
      <c r="L48" s="168">
        <f>+E42</f>
        <v>0</v>
      </c>
      <c r="M48" s="168">
        <v>630</v>
      </c>
      <c r="N48" s="171">
        <f>+L48*M48</f>
        <v>0</v>
      </c>
      <c r="Q48" s="278">
        <f>+'equation de stock'!D14</f>
        <v>8555</v>
      </c>
      <c r="R48" s="85">
        <v>350</v>
      </c>
      <c r="S48" s="85">
        <f>+Q48*R48</f>
        <v>2994250</v>
      </c>
      <c r="T48" s="622">
        <v>57500</v>
      </c>
    </row>
    <row r="49" spans="1:20" x14ac:dyDescent="0.25">
      <c r="A49" s="166" t="s">
        <v>3</v>
      </c>
      <c r="B49" s="167">
        <f>H42</f>
        <v>13000</v>
      </c>
      <c r="C49" s="172">
        <v>575</v>
      </c>
      <c r="D49" s="169">
        <f>B49*G9</f>
        <v>7579000</v>
      </c>
      <c r="G49" s="165" t="s">
        <v>19</v>
      </c>
      <c r="H49" s="170"/>
      <c r="I49" s="1929"/>
      <c r="K49" s="165" t="s">
        <v>19</v>
      </c>
      <c r="L49" s="172">
        <f>+J42</f>
        <v>0</v>
      </c>
      <c r="M49" s="172">
        <v>575</v>
      </c>
      <c r="N49" s="171">
        <f>+L49*M49</f>
        <v>0</v>
      </c>
      <c r="Q49" s="649"/>
      <c r="R49" s="649"/>
      <c r="S49" s="85"/>
      <c r="T49" s="622">
        <v>8625</v>
      </c>
    </row>
    <row r="50" spans="1:20" x14ac:dyDescent="0.25">
      <c r="A50" s="166" t="s">
        <v>1</v>
      </c>
      <c r="B50" s="167">
        <f>M42</f>
        <v>0</v>
      </c>
      <c r="C50" s="168">
        <v>350</v>
      </c>
      <c r="D50" s="169">
        <f>B50*L9</f>
        <v>0</v>
      </c>
      <c r="G50" s="165" t="s">
        <v>1</v>
      </c>
      <c r="H50" s="170"/>
      <c r="I50" s="1930"/>
      <c r="K50" s="165" t="s">
        <v>1</v>
      </c>
      <c r="L50" s="168">
        <f>+O42</f>
        <v>-8000</v>
      </c>
      <c r="M50" s="168">
        <v>350</v>
      </c>
      <c r="N50" s="171">
        <f>+L50*M50</f>
        <v>-2800000</v>
      </c>
      <c r="S50" s="203">
        <f>+S46+S47+S48+S49</f>
        <v>16703450</v>
      </c>
      <c r="T50" s="1162">
        <f>SUM(T20:T49)</f>
        <v>1268701</v>
      </c>
    </row>
    <row r="51" spans="1:20" x14ac:dyDescent="0.25">
      <c r="A51" s="152" t="s">
        <v>2</v>
      </c>
      <c r="B51" s="167">
        <f>SUM(B48:B50)</f>
        <v>42000</v>
      </c>
      <c r="C51" s="132"/>
      <c r="D51" s="204">
        <f>SUM(D48:D50)</f>
        <v>26081000</v>
      </c>
      <c r="I51" s="174"/>
      <c r="J51" s="164" t="s">
        <v>118</v>
      </c>
      <c r="K51" s="1916" t="s">
        <v>2</v>
      </c>
      <c r="L51" s="1917"/>
      <c r="M51" s="168"/>
      <c r="N51" s="171">
        <f>SUM(N48:N50)</f>
        <v>-2800000</v>
      </c>
    </row>
    <row r="52" spans="1:20" x14ac:dyDescent="0.25">
      <c r="K52" s="173"/>
      <c r="P52" s="84"/>
    </row>
    <row r="53" spans="1:20" x14ac:dyDescent="0.25">
      <c r="N53" s="212"/>
      <c r="O53" s="213"/>
      <c r="P53" s="84" t="s">
        <v>0</v>
      </c>
    </row>
    <row r="54" spans="1:20" x14ac:dyDescent="0.25">
      <c r="P54" s="84" t="s">
        <v>19</v>
      </c>
    </row>
    <row r="55" spans="1:20" x14ac:dyDescent="0.25">
      <c r="P55" s="84" t="s">
        <v>1</v>
      </c>
    </row>
    <row r="56" spans="1:20" x14ac:dyDescent="0.25">
      <c r="P56" s="649" t="s">
        <v>120</v>
      </c>
    </row>
  </sheetData>
  <mergeCells count="13">
    <mergeCell ref="K51:L51"/>
    <mergeCell ref="B9:E9"/>
    <mergeCell ref="B8:E8"/>
    <mergeCell ref="R9:W9"/>
    <mergeCell ref="G3:L3"/>
    <mergeCell ref="G8:J8"/>
    <mergeCell ref="L8:O8"/>
    <mergeCell ref="I48:I50"/>
    <mergeCell ref="L9:O9"/>
    <mergeCell ref="G9:J9"/>
    <mergeCell ref="B46:D46"/>
    <mergeCell ref="G46:I46"/>
    <mergeCell ref="L46:N46"/>
  </mergeCells>
  <pageMargins left="0.7" right="0.7" top="0.75" bottom="0.75" header="0.3" footer="0.3"/>
  <pageSetup paperSize="9" scale="2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zoomScale="98" zoomScaleNormal="98" workbookViewId="0">
      <pane xSplit="2" topLeftCell="I1" activePane="topRight" state="frozen"/>
      <selection pane="topRight" activeCell="O28" sqref="O28"/>
    </sheetView>
  </sheetViews>
  <sheetFormatPr baseColWidth="10" defaultColWidth="11.42578125" defaultRowHeight="15" x14ac:dyDescent="0.25"/>
  <cols>
    <col min="1" max="1" width="26.7109375" customWidth="1"/>
    <col min="2" max="2" width="19.140625" bestFit="1" customWidth="1"/>
    <col min="3" max="3" width="14.140625" customWidth="1"/>
    <col min="4" max="4" width="15.85546875" customWidth="1"/>
    <col min="5" max="17" width="14.140625" customWidth="1"/>
    <col min="18" max="18" width="16.140625" customWidth="1"/>
    <col min="19" max="20" width="13.28515625" bestFit="1" customWidth="1"/>
    <col min="21" max="21" width="13" customWidth="1"/>
    <col min="22" max="32" width="12.85546875" customWidth="1"/>
    <col min="33" max="33" width="14.5703125" bestFit="1" customWidth="1"/>
    <col min="34" max="35" width="14.42578125" customWidth="1"/>
    <col min="36" max="36" width="17.85546875" bestFit="1" customWidth="1"/>
    <col min="37" max="37" width="19.5703125" customWidth="1"/>
    <col min="38" max="38" width="12.85546875" bestFit="1" customWidth="1"/>
  </cols>
  <sheetData>
    <row r="1" spans="1:38" x14ac:dyDescent="0.25">
      <c r="A1" s="72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4"/>
    </row>
    <row r="2" spans="1:38" x14ac:dyDescent="0.25">
      <c r="A2" s="60" t="s">
        <v>4</v>
      </c>
      <c r="B2" s="60" t="s">
        <v>51</v>
      </c>
      <c r="C2" s="75">
        <f>+'reception carburant'!A11</f>
        <v>44682</v>
      </c>
      <c r="D2" s="75">
        <f>+C2+1</f>
        <v>44683</v>
      </c>
      <c r="E2" s="75">
        <f t="shared" ref="E2:AG2" si="0">+D2+1</f>
        <v>44684</v>
      </c>
      <c r="F2" s="75">
        <f t="shared" si="0"/>
        <v>44685</v>
      </c>
      <c r="G2" s="75">
        <f t="shared" si="0"/>
        <v>44686</v>
      </c>
      <c r="H2" s="75">
        <f t="shared" si="0"/>
        <v>44687</v>
      </c>
      <c r="I2" s="75">
        <f t="shared" si="0"/>
        <v>44688</v>
      </c>
      <c r="J2" s="75">
        <f t="shared" si="0"/>
        <v>44689</v>
      </c>
      <c r="K2" s="75">
        <f t="shared" si="0"/>
        <v>44690</v>
      </c>
      <c r="L2" s="75">
        <f t="shared" si="0"/>
        <v>44691</v>
      </c>
      <c r="M2" s="75">
        <f t="shared" si="0"/>
        <v>44692</v>
      </c>
      <c r="N2" s="75">
        <f t="shared" si="0"/>
        <v>44693</v>
      </c>
      <c r="O2" s="75">
        <f t="shared" si="0"/>
        <v>44694</v>
      </c>
      <c r="P2" s="75">
        <f t="shared" si="0"/>
        <v>44695</v>
      </c>
      <c r="Q2" s="75">
        <f t="shared" si="0"/>
        <v>44696</v>
      </c>
      <c r="R2" s="75">
        <f t="shared" si="0"/>
        <v>44697</v>
      </c>
      <c r="S2" s="75">
        <f t="shared" si="0"/>
        <v>44698</v>
      </c>
      <c r="T2" s="75">
        <f t="shared" si="0"/>
        <v>44699</v>
      </c>
      <c r="U2" s="75">
        <f t="shared" si="0"/>
        <v>44700</v>
      </c>
      <c r="V2" s="75">
        <f t="shared" si="0"/>
        <v>44701</v>
      </c>
      <c r="W2" s="75">
        <f t="shared" si="0"/>
        <v>44702</v>
      </c>
      <c r="X2" s="75">
        <f t="shared" si="0"/>
        <v>44703</v>
      </c>
      <c r="Y2" s="75">
        <f t="shared" si="0"/>
        <v>44704</v>
      </c>
      <c r="Z2" s="75">
        <f t="shared" si="0"/>
        <v>44705</v>
      </c>
      <c r="AA2" s="75">
        <f t="shared" si="0"/>
        <v>44706</v>
      </c>
      <c r="AB2" s="75">
        <f t="shared" si="0"/>
        <v>44707</v>
      </c>
      <c r="AC2" s="75">
        <f t="shared" si="0"/>
        <v>44708</v>
      </c>
      <c r="AD2" s="75">
        <f t="shared" si="0"/>
        <v>44709</v>
      </c>
      <c r="AE2" s="75">
        <f t="shared" si="0"/>
        <v>44710</v>
      </c>
      <c r="AF2" s="75">
        <f t="shared" si="0"/>
        <v>44711</v>
      </c>
      <c r="AG2" s="75">
        <f t="shared" si="0"/>
        <v>44712</v>
      </c>
      <c r="AH2" s="60" t="s">
        <v>52</v>
      </c>
      <c r="AI2" s="60" t="s">
        <v>53</v>
      </c>
      <c r="AJ2" s="60" t="s">
        <v>39</v>
      </c>
      <c r="AK2" s="60" t="s">
        <v>54</v>
      </c>
      <c r="AL2" s="76"/>
    </row>
    <row r="3" spans="1:38" x14ac:dyDescent="0.25">
      <c r="A3" s="931" t="s">
        <v>518</v>
      </c>
      <c r="B3" s="932" t="s">
        <v>69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80">
        <f>SUM(C3:AG3)</f>
        <v>0</v>
      </c>
      <c r="AI3" s="80"/>
      <c r="AJ3" s="197">
        <v>34000</v>
      </c>
      <c r="AK3" s="82">
        <f>+AH3*AJ3</f>
        <v>0</v>
      </c>
      <c r="AL3" s="83"/>
    </row>
    <row r="4" spans="1:38" ht="12" customHeight="1" x14ac:dyDescent="0.25">
      <c r="A4" s="931" t="s">
        <v>519</v>
      </c>
      <c r="B4" s="932" t="s">
        <v>69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80">
        <f t="shared" ref="AH4:AH29" si="1">SUM(C4:AG4)</f>
        <v>0</v>
      </c>
      <c r="AI4" s="80"/>
      <c r="AJ4" s="197">
        <v>25000</v>
      </c>
      <c r="AK4" s="82">
        <f t="shared" ref="AK4:AK29" si="2">+AH4*AJ4</f>
        <v>0</v>
      </c>
      <c r="AL4" s="83"/>
    </row>
    <row r="5" spans="1:38" s="190" customFormat="1" x14ac:dyDescent="0.25">
      <c r="A5" s="931" t="s">
        <v>520</v>
      </c>
      <c r="B5" s="932" t="s">
        <v>69</v>
      </c>
      <c r="C5" s="186"/>
      <c r="D5" s="186"/>
      <c r="E5" s="186"/>
      <c r="F5" s="186"/>
      <c r="G5" s="186"/>
      <c r="H5" s="79"/>
      <c r="I5" s="79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80">
        <f t="shared" si="1"/>
        <v>0</v>
      </c>
      <c r="AI5" s="186"/>
      <c r="AJ5" s="197">
        <v>17000</v>
      </c>
      <c r="AK5" s="82">
        <f t="shared" si="2"/>
        <v>0</v>
      </c>
      <c r="AL5" s="189"/>
    </row>
    <row r="6" spans="1:38" x14ac:dyDescent="0.25">
      <c r="A6" s="931" t="s">
        <v>521</v>
      </c>
      <c r="B6" s="932" t="s">
        <v>69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80">
        <f t="shared" si="1"/>
        <v>0</v>
      </c>
      <c r="AI6" s="80"/>
      <c r="AJ6" s="197">
        <v>24000</v>
      </c>
      <c r="AK6" s="82">
        <f t="shared" si="2"/>
        <v>0</v>
      </c>
      <c r="AL6" s="83"/>
    </row>
    <row r="7" spans="1:38" s="190" customFormat="1" x14ac:dyDescent="0.25">
      <c r="A7" s="931" t="s">
        <v>522</v>
      </c>
      <c r="B7" s="932" t="s">
        <v>75</v>
      </c>
      <c r="C7" s="186"/>
      <c r="D7" s="186"/>
      <c r="E7" s="186"/>
      <c r="F7" s="186"/>
      <c r="G7" s="186"/>
      <c r="H7" s="79"/>
      <c r="I7" s="79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80">
        <f t="shared" si="1"/>
        <v>0</v>
      </c>
      <c r="AI7" s="186"/>
      <c r="AJ7" s="197">
        <v>2500</v>
      </c>
      <c r="AK7" s="82">
        <f t="shared" si="2"/>
        <v>0</v>
      </c>
      <c r="AL7" s="189"/>
    </row>
    <row r="8" spans="1:38" x14ac:dyDescent="0.25">
      <c r="A8" s="931" t="s">
        <v>523</v>
      </c>
      <c r="B8" s="932" t="s">
        <v>69</v>
      </c>
      <c r="C8" s="79"/>
      <c r="D8" s="79"/>
      <c r="E8" s="79"/>
      <c r="F8" s="79"/>
      <c r="G8" s="79"/>
      <c r="H8" s="79"/>
      <c r="I8" s="79"/>
      <c r="J8" s="79"/>
      <c r="K8" s="79"/>
      <c r="L8" s="79">
        <v>1</v>
      </c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80">
        <f t="shared" si="1"/>
        <v>1</v>
      </c>
      <c r="AI8" s="80"/>
      <c r="AJ8" s="197">
        <v>16000</v>
      </c>
      <c r="AK8" s="82">
        <f t="shared" si="2"/>
        <v>16000</v>
      </c>
      <c r="AL8" s="83"/>
    </row>
    <row r="9" spans="1:38" s="190" customFormat="1" x14ac:dyDescent="0.25">
      <c r="A9" s="931" t="s">
        <v>524</v>
      </c>
      <c r="B9" s="932" t="s">
        <v>75</v>
      </c>
      <c r="C9" s="186"/>
      <c r="D9" s="186"/>
      <c r="E9" s="186"/>
      <c r="F9" s="186"/>
      <c r="G9" s="186"/>
      <c r="H9" s="79"/>
      <c r="I9" s="79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80">
        <f t="shared" si="1"/>
        <v>0</v>
      </c>
      <c r="AI9" s="186"/>
      <c r="AJ9" s="197">
        <v>3250</v>
      </c>
      <c r="AK9" s="82">
        <f t="shared" si="2"/>
        <v>0</v>
      </c>
      <c r="AL9" s="189"/>
    </row>
    <row r="10" spans="1:38" s="190" customFormat="1" x14ac:dyDescent="0.25">
      <c r="A10" s="931" t="s">
        <v>525</v>
      </c>
      <c r="B10" s="932" t="s">
        <v>69</v>
      </c>
      <c r="C10" s="186"/>
      <c r="D10" s="186"/>
      <c r="E10" s="186"/>
      <c r="F10" s="186"/>
      <c r="G10" s="186"/>
      <c r="H10" s="79"/>
      <c r="I10" s="79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80">
        <f t="shared" si="1"/>
        <v>0</v>
      </c>
      <c r="AI10" s="186"/>
      <c r="AJ10" s="611">
        <v>17000</v>
      </c>
      <c r="AK10" s="82">
        <f t="shared" si="2"/>
        <v>0</v>
      </c>
      <c r="AL10" s="189"/>
    </row>
    <row r="11" spans="1:38" x14ac:dyDescent="0.25">
      <c r="A11" s="931" t="s">
        <v>526</v>
      </c>
      <c r="B11" s="932" t="s">
        <v>527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186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80">
        <f t="shared" si="1"/>
        <v>0</v>
      </c>
      <c r="AI11" s="80"/>
      <c r="AJ11" s="197">
        <v>1775</v>
      </c>
      <c r="AK11" s="82">
        <f t="shared" si="2"/>
        <v>0</v>
      </c>
      <c r="AL11" s="83"/>
    </row>
    <row r="12" spans="1:38" x14ac:dyDescent="0.25">
      <c r="A12" s="931" t="s">
        <v>528</v>
      </c>
      <c r="B12" s="932" t="s">
        <v>310</v>
      </c>
      <c r="C12" s="78"/>
      <c r="D12" s="78">
        <v>1</v>
      </c>
      <c r="E12" s="78"/>
      <c r="F12" s="78"/>
      <c r="G12" s="78"/>
      <c r="H12" s="79"/>
      <c r="I12" s="79"/>
      <c r="J12" s="78"/>
      <c r="K12" s="78"/>
      <c r="L12" s="78"/>
      <c r="M12" s="78"/>
      <c r="N12" s="78"/>
      <c r="O12" s="1124"/>
      <c r="P12" s="78"/>
      <c r="Q12" s="78"/>
      <c r="R12" s="78"/>
      <c r="S12" s="78"/>
      <c r="T12" s="78"/>
      <c r="U12" s="78"/>
      <c r="V12" s="78"/>
      <c r="W12" s="186"/>
      <c r="X12" s="78"/>
      <c r="Y12" s="78"/>
      <c r="Z12" s="79"/>
      <c r="AA12" s="79"/>
      <c r="AB12" s="79"/>
      <c r="AC12" s="79"/>
      <c r="AD12" s="79"/>
      <c r="AE12" s="79"/>
      <c r="AF12" s="79"/>
      <c r="AG12" s="79"/>
      <c r="AH12" s="80">
        <f t="shared" si="1"/>
        <v>1</v>
      </c>
      <c r="AI12" s="80"/>
      <c r="AJ12" s="197">
        <v>3350</v>
      </c>
      <c r="AK12" s="82">
        <f t="shared" si="2"/>
        <v>3350</v>
      </c>
      <c r="AL12" s="83"/>
    </row>
    <row r="13" spans="1:38" x14ac:dyDescent="0.25">
      <c r="A13" s="931" t="s">
        <v>529</v>
      </c>
      <c r="B13" s="932" t="s">
        <v>136</v>
      </c>
      <c r="C13" s="1185"/>
      <c r="D13" s="1185"/>
      <c r="E13" s="1185"/>
      <c r="F13" s="1185"/>
      <c r="G13" s="1185"/>
      <c r="H13" s="1185"/>
      <c r="I13" s="1185"/>
      <c r="J13" s="1185"/>
      <c r="K13" s="1185"/>
      <c r="L13" s="1185"/>
      <c r="M13" s="1185"/>
      <c r="N13" s="1185"/>
      <c r="O13" s="1186"/>
      <c r="P13" s="1185"/>
      <c r="Q13" s="1185"/>
      <c r="R13" s="1185"/>
      <c r="S13" s="1185"/>
      <c r="T13" s="1185"/>
      <c r="U13" s="1185"/>
      <c r="V13" s="1185"/>
      <c r="W13" s="1187"/>
      <c r="X13" s="1185"/>
      <c r="Y13" s="1185"/>
      <c r="Z13" s="1185"/>
      <c r="AA13" s="1185"/>
      <c r="AB13" s="1185"/>
      <c r="AC13" s="1185"/>
      <c r="AD13" s="1185"/>
      <c r="AE13" s="1185"/>
      <c r="AF13" s="1185"/>
      <c r="AG13" s="1185"/>
      <c r="AH13" s="80">
        <f t="shared" si="1"/>
        <v>0</v>
      </c>
      <c r="AI13" s="80"/>
      <c r="AJ13" s="197">
        <v>2400</v>
      </c>
      <c r="AK13" s="82">
        <f t="shared" si="2"/>
        <v>0</v>
      </c>
      <c r="AL13" s="83"/>
    </row>
    <row r="14" spans="1:38" x14ac:dyDescent="0.25">
      <c r="A14" s="931" t="s">
        <v>530</v>
      </c>
      <c r="B14" s="932" t="s">
        <v>70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186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80">
        <f t="shared" si="1"/>
        <v>0</v>
      </c>
      <c r="AI14" s="80"/>
      <c r="AJ14" s="197">
        <v>60000</v>
      </c>
      <c r="AK14" s="82">
        <f t="shared" si="2"/>
        <v>0</v>
      </c>
      <c r="AL14" s="83"/>
    </row>
    <row r="15" spans="1:38" s="190" customFormat="1" x14ac:dyDescent="0.25">
      <c r="A15" s="931" t="s">
        <v>522</v>
      </c>
      <c r="B15" s="934" t="s">
        <v>69</v>
      </c>
      <c r="C15" s="186"/>
      <c r="D15" s="186"/>
      <c r="E15" s="186"/>
      <c r="F15" s="186"/>
      <c r="G15" s="186"/>
      <c r="H15" s="79"/>
      <c r="I15" s="79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80">
        <f t="shared" si="1"/>
        <v>0</v>
      </c>
      <c r="AI15" s="186"/>
      <c r="AJ15" s="197">
        <v>20000</v>
      </c>
      <c r="AK15" s="82">
        <f t="shared" si="2"/>
        <v>0</v>
      </c>
      <c r="AL15" s="189"/>
    </row>
    <row r="16" spans="1:38" x14ac:dyDescent="0.25">
      <c r="A16" s="931" t="s">
        <v>531</v>
      </c>
      <c r="B16" s="932" t="s">
        <v>69</v>
      </c>
      <c r="C16" s="85"/>
      <c r="D16" s="85"/>
      <c r="E16" s="85"/>
      <c r="F16" s="85"/>
      <c r="G16" s="85"/>
      <c r="H16" s="79"/>
      <c r="I16" s="79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286"/>
      <c r="W16" s="1184"/>
      <c r="X16" s="286"/>
      <c r="Y16" s="286"/>
      <c r="Z16" s="286"/>
      <c r="AA16" s="286"/>
      <c r="AB16" s="286"/>
      <c r="AC16" s="286"/>
      <c r="AD16" s="286"/>
      <c r="AE16" s="286"/>
      <c r="AF16" s="286"/>
      <c r="AG16" s="286"/>
      <c r="AH16" s="80">
        <f t="shared" si="1"/>
        <v>0</v>
      </c>
      <c r="AI16" s="80"/>
      <c r="AJ16" s="197">
        <v>20000</v>
      </c>
      <c r="AK16" s="82">
        <f t="shared" si="2"/>
        <v>0</v>
      </c>
      <c r="AL16" s="83"/>
    </row>
    <row r="17" spans="1:38" x14ac:dyDescent="0.25">
      <c r="A17" s="931" t="s">
        <v>532</v>
      </c>
      <c r="B17" s="932" t="s">
        <v>533</v>
      </c>
      <c r="C17" s="85"/>
      <c r="D17" s="85"/>
      <c r="E17" s="85"/>
      <c r="F17" s="85"/>
      <c r="G17" s="85"/>
      <c r="H17" s="79"/>
      <c r="I17" s="79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186"/>
      <c r="X17" s="85"/>
      <c r="Y17" s="79"/>
      <c r="Z17" s="79"/>
      <c r="AA17" s="79"/>
      <c r="AB17" s="79"/>
      <c r="AC17" s="79"/>
      <c r="AD17" s="79"/>
      <c r="AE17" s="79"/>
      <c r="AF17" s="79"/>
      <c r="AG17" s="79"/>
      <c r="AH17" s="80">
        <f t="shared" si="1"/>
        <v>0</v>
      </c>
      <c r="AI17" s="80"/>
      <c r="AJ17" s="197">
        <v>4350</v>
      </c>
      <c r="AK17" s="82">
        <f t="shared" si="2"/>
        <v>0</v>
      </c>
      <c r="AL17" s="83"/>
    </row>
    <row r="18" spans="1:38" x14ac:dyDescent="0.25">
      <c r="A18" s="931" t="s">
        <v>534</v>
      </c>
      <c r="B18" s="932" t="s">
        <v>75</v>
      </c>
      <c r="C18" s="85"/>
      <c r="D18" s="85"/>
      <c r="E18" s="85"/>
      <c r="F18" s="85"/>
      <c r="G18" s="85"/>
      <c r="H18" s="79"/>
      <c r="I18" s="79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186"/>
      <c r="X18" s="85"/>
      <c r="Y18" s="79"/>
      <c r="Z18" s="79"/>
      <c r="AA18" s="79"/>
      <c r="AB18" s="79"/>
      <c r="AC18" s="79"/>
      <c r="AD18" s="79"/>
      <c r="AE18" s="79"/>
      <c r="AF18" s="79"/>
      <c r="AG18" s="79"/>
      <c r="AH18" s="80">
        <f t="shared" si="1"/>
        <v>0</v>
      </c>
      <c r="AI18" s="80"/>
      <c r="AJ18" s="197">
        <v>1700</v>
      </c>
      <c r="AK18" s="82">
        <f t="shared" si="2"/>
        <v>0</v>
      </c>
      <c r="AL18" s="83"/>
    </row>
    <row r="19" spans="1:38" x14ac:dyDescent="0.25">
      <c r="A19" s="931" t="s">
        <v>535</v>
      </c>
      <c r="B19" s="932" t="s">
        <v>75</v>
      </c>
      <c r="C19" s="85"/>
      <c r="D19" s="85"/>
      <c r="E19" s="85"/>
      <c r="F19" s="85"/>
      <c r="G19" s="85"/>
      <c r="H19" s="79"/>
      <c r="I19" s="79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186"/>
      <c r="X19" s="85"/>
      <c r="Y19" s="79"/>
      <c r="Z19" s="79"/>
      <c r="AA19" s="79"/>
      <c r="AB19" s="79"/>
      <c r="AC19" s="79"/>
      <c r="AD19" s="79"/>
      <c r="AE19" s="79"/>
      <c r="AF19" s="79"/>
      <c r="AG19" s="79"/>
      <c r="AH19" s="80">
        <f t="shared" si="1"/>
        <v>0</v>
      </c>
      <c r="AI19" s="80"/>
      <c r="AJ19" s="197">
        <v>1750</v>
      </c>
      <c r="AK19" s="82">
        <f t="shared" si="2"/>
        <v>0</v>
      </c>
      <c r="AL19" s="83"/>
    </row>
    <row r="20" spans="1:38" x14ac:dyDescent="0.25">
      <c r="A20" s="931" t="s">
        <v>536</v>
      </c>
      <c r="B20" s="932" t="s">
        <v>75</v>
      </c>
      <c r="C20" s="85"/>
      <c r="D20" s="85"/>
      <c r="E20" s="85"/>
      <c r="F20" s="85"/>
      <c r="G20" s="85"/>
      <c r="H20" s="79"/>
      <c r="I20" s="79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186"/>
      <c r="X20" s="85"/>
      <c r="Y20" s="79"/>
      <c r="Z20" s="79"/>
      <c r="AA20" s="79"/>
      <c r="AB20" s="79"/>
      <c r="AC20" s="79"/>
      <c r="AD20" s="79"/>
      <c r="AE20" s="79"/>
      <c r="AF20" s="79"/>
      <c r="AG20" s="79"/>
      <c r="AH20" s="80">
        <f t="shared" si="1"/>
        <v>0</v>
      </c>
      <c r="AI20" s="80"/>
      <c r="AJ20" s="197">
        <v>1900</v>
      </c>
      <c r="AK20" s="82">
        <f t="shared" si="2"/>
        <v>0</v>
      </c>
      <c r="AL20" s="83"/>
    </row>
    <row r="21" spans="1:38" x14ac:dyDescent="0.25">
      <c r="A21" s="931" t="s">
        <v>537</v>
      </c>
      <c r="B21" s="932" t="s">
        <v>285</v>
      </c>
      <c r="C21" s="85"/>
      <c r="D21" s="188"/>
      <c r="E21" s="85"/>
      <c r="F21" s="85"/>
      <c r="G21" s="85"/>
      <c r="H21" s="79"/>
      <c r="I21" s="79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186"/>
      <c r="X21" s="85"/>
      <c r="Y21" s="79"/>
      <c r="Z21" s="79"/>
      <c r="AA21" s="79"/>
      <c r="AB21" s="79"/>
      <c r="AC21" s="79"/>
      <c r="AD21" s="79"/>
      <c r="AE21" s="79"/>
      <c r="AF21" s="79"/>
      <c r="AG21" s="79"/>
      <c r="AH21" s="80">
        <f t="shared" si="1"/>
        <v>0</v>
      </c>
      <c r="AI21" s="80"/>
      <c r="AJ21" s="197">
        <v>4100</v>
      </c>
      <c r="AK21" s="82">
        <f t="shared" si="2"/>
        <v>0</v>
      </c>
      <c r="AL21" s="83"/>
    </row>
    <row r="22" spans="1:38" s="190" customFormat="1" x14ac:dyDescent="0.25">
      <c r="A22" s="935" t="s">
        <v>538</v>
      </c>
      <c r="B22" s="932" t="s">
        <v>70</v>
      </c>
      <c r="C22" s="188"/>
      <c r="D22" s="184"/>
      <c r="E22" s="188"/>
      <c r="F22" s="188"/>
      <c r="G22" s="188"/>
      <c r="H22" s="79"/>
      <c r="I22" s="79"/>
      <c r="J22" s="188"/>
      <c r="K22" s="188"/>
      <c r="L22" s="188"/>
      <c r="M22" s="188"/>
      <c r="N22" s="188"/>
      <c r="O22" s="1125"/>
      <c r="P22" s="188"/>
      <c r="Q22" s="188"/>
      <c r="R22" s="188"/>
      <c r="S22" s="188"/>
      <c r="T22" s="188"/>
      <c r="U22" s="188"/>
      <c r="V22" s="188"/>
      <c r="W22" s="186"/>
      <c r="X22" s="188"/>
      <c r="Y22" s="186"/>
      <c r="Z22" s="186"/>
      <c r="AA22" s="186"/>
      <c r="AB22" s="186"/>
      <c r="AC22" s="186"/>
      <c r="AD22" s="186"/>
      <c r="AE22" s="186"/>
      <c r="AF22" s="186"/>
      <c r="AG22" s="186"/>
      <c r="AH22" s="80">
        <f t="shared" si="1"/>
        <v>0</v>
      </c>
      <c r="AI22" s="186"/>
      <c r="AJ22" s="198">
        <v>72000</v>
      </c>
      <c r="AK22" s="82">
        <f t="shared" si="2"/>
        <v>0</v>
      </c>
      <c r="AL22" s="189"/>
    </row>
    <row r="23" spans="1:38" s="190" customFormat="1" x14ac:dyDescent="0.25">
      <c r="A23" s="935" t="s">
        <v>539</v>
      </c>
      <c r="B23" s="932" t="s">
        <v>285</v>
      </c>
      <c r="C23" s="188"/>
      <c r="D23" s="184"/>
      <c r="E23" s="188"/>
      <c r="F23" s="188"/>
      <c r="G23" s="188"/>
      <c r="H23" s="79"/>
      <c r="I23" s="79"/>
      <c r="J23" s="188"/>
      <c r="K23" s="188"/>
      <c r="L23" s="188"/>
      <c r="M23" s="188"/>
      <c r="N23" s="188"/>
      <c r="O23" s="1125"/>
      <c r="P23" s="188"/>
      <c r="Q23" s="188"/>
      <c r="R23" s="188"/>
      <c r="S23" s="188"/>
      <c r="T23" s="188"/>
      <c r="U23" s="188"/>
      <c r="V23" s="188"/>
      <c r="W23" s="186"/>
      <c r="X23" s="188"/>
      <c r="Y23" s="186"/>
      <c r="Z23" s="186"/>
      <c r="AA23" s="186"/>
      <c r="AB23" s="186"/>
      <c r="AC23" s="186"/>
      <c r="AD23" s="186"/>
      <c r="AE23" s="186"/>
      <c r="AF23" s="186"/>
      <c r="AG23" s="186"/>
      <c r="AH23" s="80">
        <f t="shared" si="1"/>
        <v>0</v>
      </c>
      <c r="AI23" s="186"/>
      <c r="AJ23" s="610">
        <v>3500</v>
      </c>
      <c r="AK23" s="82">
        <f t="shared" si="2"/>
        <v>0</v>
      </c>
      <c r="AL23" s="189"/>
    </row>
    <row r="24" spans="1:38" s="190" customFormat="1" x14ac:dyDescent="0.25">
      <c r="A24" s="935" t="s">
        <v>540</v>
      </c>
      <c r="B24" s="932" t="s">
        <v>285</v>
      </c>
      <c r="C24" s="188"/>
      <c r="D24" s="188"/>
      <c r="E24" s="188"/>
      <c r="F24" s="188"/>
      <c r="G24" s="188"/>
      <c r="H24" s="79"/>
      <c r="I24" s="79"/>
      <c r="J24" s="188"/>
      <c r="K24" s="188"/>
      <c r="L24" s="188"/>
      <c r="M24" s="188"/>
      <c r="N24" s="188"/>
      <c r="O24" s="1125"/>
      <c r="P24" s="188"/>
      <c r="Q24" s="188"/>
      <c r="R24" s="188"/>
      <c r="S24" s="188"/>
      <c r="T24" s="188"/>
      <c r="U24" s="188"/>
      <c r="V24" s="188"/>
      <c r="W24" s="186"/>
      <c r="X24" s="188"/>
      <c r="Y24" s="186"/>
      <c r="Z24" s="186"/>
      <c r="AA24" s="186"/>
      <c r="AB24" s="186"/>
      <c r="AC24" s="186"/>
      <c r="AD24" s="186"/>
      <c r="AE24" s="186"/>
      <c r="AF24" s="186"/>
      <c r="AG24" s="186"/>
      <c r="AH24" s="80">
        <f t="shared" si="1"/>
        <v>0</v>
      </c>
      <c r="AI24" s="186"/>
      <c r="AJ24" s="198">
        <v>3800</v>
      </c>
      <c r="AK24" s="82">
        <f t="shared" si="2"/>
        <v>0</v>
      </c>
      <c r="AL24" s="189"/>
    </row>
    <row r="25" spans="1:38" s="190" customFormat="1" ht="16.5" customHeight="1" x14ac:dyDescent="0.25">
      <c r="A25" s="935" t="s">
        <v>541</v>
      </c>
      <c r="B25" s="932" t="s">
        <v>285</v>
      </c>
      <c r="C25" s="188"/>
      <c r="D25" s="188"/>
      <c r="E25" s="188"/>
      <c r="F25" s="188"/>
      <c r="G25" s="188"/>
      <c r="H25" s="79"/>
      <c r="I25" s="79"/>
      <c r="J25" s="188"/>
      <c r="K25" s="188"/>
      <c r="L25" s="188"/>
      <c r="M25" s="188"/>
      <c r="N25" s="188"/>
      <c r="O25" s="1125"/>
      <c r="P25" s="188"/>
      <c r="Q25" s="188"/>
      <c r="R25" s="188"/>
      <c r="S25" s="188"/>
      <c r="T25" s="188"/>
      <c r="U25" s="188"/>
      <c r="V25" s="188"/>
      <c r="W25" s="186"/>
      <c r="X25" s="188"/>
      <c r="Y25" s="186"/>
      <c r="Z25" s="186"/>
      <c r="AA25" s="186"/>
      <c r="AB25" s="186"/>
      <c r="AC25" s="186"/>
      <c r="AD25" s="186"/>
      <c r="AE25" s="186"/>
      <c r="AF25" s="186"/>
      <c r="AG25" s="186"/>
      <c r="AH25" s="80">
        <f t="shared" si="1"/>
        <v>0</v>
      </c>
      <c r="AI25" s="186"/>
      <c r="AJ25" s="610">
        <v>3900</v>
      </c>
      <c r="AK25" s="82">
        <f t="shared" si="2"/>
        <v>0</v>
      </c>
      <c r="AL25" s="189"/>
    </row>
    <row r="26" spans="1:38" s="190" customFormat="1" x14ac:dyDescent="0.25">
      <c r="A26" s="935" t="s">
        <v>542</v>
      </c>
      <c r="B26" s="932" t="s">
        <v>286</v>
      </c>
      <c r="C26" s="188"/>
      <c r="D26" s="188"/>
      <c r="E26" s="188"/>
      <c r="F26" s="188"/>
      <c r="G26" s="188">
        <v>1</v>
      </c>
      <c r="H26" s="79"/>
      <c r="I26" s="79"/>
      <c r="J26" s="188"/>
      <c r="K26" s="188"/>
      <c r="L26" s="188"/>
      <c r="M26" s="188"/>
      <c r="N26" s="188"/>
      <c r="O26" s="1125"/>
      <c r="P26" s="188"/>
      <c r="Q26" s="188"/>
      <c r="R26" s="188"/>
      <c r="S26" s="188"/>
      <c r="T26" s="188"/>
      <c r="U26" s="188"/>
      <c r="V26" s="188"/>
      <c r="W26" s="186"/>
      <c r="X26" s="188"/>
      <c r="Y26" s="186"/>
      <c r="Z26" s="186"/>
      <c r="AA26" s="186"/>
      <c r="AB26" s="186"/>
      <c r="AC26" s="186"/>
      <c r="AD26" s="186"/>
      <c r="AE26" s="186"/>
      <c r="AF26" s="186"/>
      <c r="AG26" s="186"/>
      <c r="AH26" s="80">
        <f t="shared" si="1"/>
        <v>1</v>
      </c>
      <c r="AI26" s="186"/>
      <c r="AJ26" s="610">
        <v>1725</v>
      </c>
      <c r="AK26" s="82">
        <f t="shared" si="2"/>
        <v>1725</v>
      </c>
      <c r="AL26" s="189"/>
    </row>
    <row r="27" spans="1:38" s="190" customFormat="1" x14ac:dyDescent="0.25">
      <c r="A27" s="935" t="s">
        <v>543</v>
      </c>
      <c r="B27" s="932" t="s">
        <v>544</v>
      </c>
      <c r="C27" s="188"/>
      <c r="D27" s="188"/>
      <c r="E27" s="188"/>
      <c r="F27" s="188"/>
      <c r="G27" s="188"/>
      <c r="H27" s="79"/>
      <c r="I27" s="79"/>
      <c r="J27" s="188"/>
      <c r="K27" s="188"/>
      <c r="L27" s="188"/>
      <c r="M27" s="188"/>
      <c r="N27" s="188"/>
      <c r="O27" s="1125"/>
      <c r="P27" s="188"/>
      <c r="Q27" s="188"/>
      <c r="R27" s="188"/>
      <c r="S27" s="188"/>
      <c r="T27" s="188"/>
      <c r="U27" s="188"/>
      <c r="V27" s="188"/>
      <c r="W27" s="186"/>
      <c r="X27" s="188"/>
      <c r="Y27" s="186"/>
      <c r="Z27" s="186"/>
      <c r="AA27" s="186"/>
      <c r="AB27" s="186"/>
      <c r="AC27" s="186"/>
      <c r="AD27" s="186"/>
      <c r="AE27" s="186"/>
      <c r="AF27" s="186"/>
      <c r="AG27" s="186"/>
      <c r="AH27" s="80">
        <f t="shared" si="1"/>
        <v>0</v>
      </c>
      <c r="AI27" s="186"/>
      <c r="AJ27" s="198">
        <v>4300</v>
      </c>
      <c r="AK27" s="82">
        <f t="shared" si="2"/>
        <v>0</v>
      </c>
      <c r="AL27" s="189"/>
    </row>
    <row r="28" spans="1:38" s="190" customFormat="1" x14ac:dyDescent="0.25">
      <c r="A28" s="184" t="s">
        <v>659</v>
      </c>
      <c r="B28" s="185" t="s">
        <v>658</v>
      </c>
      <c r="C28" s="188">
        <v>1</v>
      </c>
      <c r="D28" s="188">
        <v>6</v>
      </c>
      <c r="E28" s="188">
        <v>3</v>
      </c>
      <c r="F28" s="188"/>
      <c r="G28" s="188">
        <v>1</v>
      </c>
      <c r="H28" s="79">
        <v>2</v>
      </c>
      <c r="I28" s="79"/>
      <c r="J28" s="188">
        <v>0.5</v>
      </c>
      <c r="K28" s="188"/>
      <c r="L28" s="188">
        <v>2</v>
      </c>
      <c r="M28" s="188">
        <v>3</v>
      </c>
      <c r="N28" s="188">
        <v>2</v>
      </c>
      <c r="O28" s="188">
        <v>3.5</v>
      </c>
      <c r="P28" s="188"/>
      <c r="Q28" s="188"/>
      <c r="R28" s="188"/>
      <c r="S28" s="188"/>
      <c r="T28" s="188"/>
      <c r="U28" s="188"/>
      <c r="V28" s="188"/>
      <c r="W28" s="186"/>
      <c r="X28" s="188"/>
      <c r="Y28" s="186"/>
      <c r="Z28" s="186"/>
      <c r="AA28" s="186"/>
      <c r="AB28" s="186"/>
      <c r="AC28" s="186"/>
      <c r="AD28" s="186"/>
      <c r="AE28" s="186"/>
      <c r="AF28" s="186"/>
      <c r="AG28" s="186"/>
      <c r="AH28" s="80">
        <f t="shared" si="1"/>
        <v>24</v>
      </c>
      <c r="AI28" s="186"/>
      <c r="AJ28" s="198"/>
      <c r="AK28" s="82">
        <f t="shared" si="2"/>
        <v>0</v>
      </c>
      <c r="AL28" s="189"/>
    </row>
    <row r="29" spans="1:38" x14ac:dyDescent="0.25">
      <c r="A29" s="184"/>
      <c r="B29" s="185"/>
      <c r="C29" s="188"/>
      <c r="D29" s="188"/>
      <c r="E29" s="188"/>
      <c r="F29" s="188"/>
      <c r="G29" s="188"/>
      <c r="H29" s="79"/>
      <c r="I29" s="79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6"/>
      <c r="X29" s="188"/>
      <c r="Y29" s="186"/>
      <c r="Z29" s="186"/>
      <c r="AA29" s="186"/>
      <c r="AB29" s="186"/>
      <c r="AC29" s="186"/>
      <c r="AD29" s="186"/>
      <c r="AE29" s="186"/>
      <c r="AF29" s="186"/>
      <c r="AG29" s="186"/>
      <c r="AH29" s="80">
        <f t="shared" si="1"/>
        <v>0</v>
      </c>
      <c r="AI29" s="186"/>
      <c r="AJ29" s="198"/>
      <c r="AK29" s="82">
        <f t="shared" si="2"/>
        <v>0</v>
      </c>
      <c r="AL29" s="189"/>
    </row>
    <row r="30" spans="1:38" ht="23.25" x14ac:dyDescent="0.35">
      <c r="A30" s="86" t="s">
        <v>2</v>
      </c>
      <c r="B30" s="86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O30" s="284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84"/>
      <c r="AB30" s="284"/>
      <c r="AC30" s="284"/>
      <c r="AD30" s="284"/>
      <c r="AE30" s="284"/>
      <c r="AF30" s="284"/>
      <c r="AG30" s="284"/>
      <c r="AH30" s="285">
        <f>SUM(C30:AG30)</f>
        <v>0</v>
      </c>
      <c r="AI30" s="86"/>
      <c r="AJ30" s="86"/>
      <c r="AK30" s="87">
        <f>SUM(AK3:AK29)</f>
        <v>21075</v>
      </c>
    </row>
    <row r="31" spans="1:38" ht="15.75" thickBot="1" x14ac:dyDescent="0.3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8"/>
    </row>
    <row r="32" spans="1:38" x14ac:dyDescent="0.25">
      <c r="A32" s="90" t="s">
        <v>78</v>
      </c>
      <c r="C32" s="91">
        <f>+(C3*$AJ3)+(C4*$AJ4)+(C5*$AJ5)+(C6*$AJ6)+(C7*$AJ7)+(C8*$AJ8)+(C9*$AJ9)+(C10*$AJ10)+(C11*$AJ11)+(C12*$AJ12)+(C13*$AJ13)+(C14*$AJ14)+(C15*$AJ15)+(C16*$AJ16)+(C17*$AJ17)+(C18*$AJ18)+(C19*$AJ19)+(C20*$AJ20)+(C21*$AJ21)+(C22*$AJ22)+(C27*$AJ27)+(C28*$AJ28)+(C24*$AJ24)+(C23*$AJ23)+(C25*$AJ25)+(C26*$AJ26)+(C29*$AJ29)</f>
        <v>0</v>
      </c>
      <c r="D32" s="91">
        <f>+(D3*$AJ3)+(D4*$AJ4)+(D5*$AJ5)+(D6*$AJ6)+(D7*$AJ7)+(D8*$AJ8)+(D9*$AJ9)+(D10*$AJ10)+(D11*$AJ11)+(D12*$AJ12)+(D13*$AJ13)+(D14*$AJ14)+(D15*$AJ15)+(D16*$AJ16)+(D17*$AJ17)+(D18*$AJ18)+(D19*$AJ19)+(D20*$AJ20)+(D21*$AJ21)+(D22*$AJ22)+(D27*$AJ27)+(D28*$AJ28)+(D24*$AJ24)+(D23*$AJ23)+(D25*$AJ25)+(D26*$AJ26)+(D29*$AJ29)</f>
        <v>3350</v>
      </c>
      <c r="E32" s="91">
        <f t="shared" ref="E32:AG32" si="3">+(E3*$AJ3)+(E4*$AJ4)+(E5*$AJ5)+(E6*$AJ6)+(E7*$AJ7)+(E8*$AJ8)+(E9*$AJ9)+(E10*$AJ10)+(E11*$AJ11)+(E12*$AJ12)+(E13*$AJ13)+(E14*$AJ14)+(E15*$AJ15)+(E16*$AJ16)+(E17*$AJ17)+(E18*$AJ18)+(E19*$AJ19)+(E20*$AJ20)+(E21*$AJ21)+(E22*$AJ22)+(E27*$AJ27)+(E28*$AJ28)+(E24*$AJ24)+(E23*$AJ23)+(E25*$AJ25)+(E26*$AJ26)+(E29*$AJ29)</f>
        <v>0</v>
      </c>
      <c r="F32" s="91">
        <f t="shared" si="3"/>
        <v>0</v>
      </c>
      <c r="G32" s="91">
        <f t="shared" si="3"/>
        <v>1725</v>
      </c>
      <c r="H32" s="91">
        <f t="shared" si="3"/>
        <v>0</v>
      </c>
      <c r="I32" s="91">
        <f t="shared" si="3"/>
        <v>0</v>
      </c>
      <c r="J32" s="91">
        <f t="shared" si="3"/>
        <v>0</v>
      </c>
      <c r="K32" s="91">
        <f t="shared" si="3"/>
        <v>0</v>
      </c>
      <c r="L32" s="91">
        <f t="shared" si="3"/>
        <v>16000</v>
      </c>
      <c r="M32" s="91">
        <f t="shared" si="3"/>
        <v>0</v>
      </c>
      <c r="N32" s="91">
        <f t="shared" si="3"/>
        <v>0</v>
      </c>
      <c r="O32" s="91">
        <f t="shared" si="3"/>
        <v>0</v>
      </c>
      <c r="P32" s="91">
        <f t="shared" si="3"/>
        <v>0</v>
      </c>
      <c r="Q32" s="91">
        <f t="shared" si="3"/>
        <v>0</v>
      </c>
      <c r="R32" s="91">
        <f t="shared" si="3"/>
        <v>0</v>
      </c>
      <c r="S32" s="91">
        <f t="shared" si="3"/>
        <v>0</v>
      </c>
      <c r="T32" s="91">
        <f t="shared" si="3"/>
        <v>0</v>
      </c>
      <c r="U32" s="91">
        <f t="shared" si="3"/>
        <v>0</v>
      </c>
      <c r="V32" s="91">
        <f t="shared" si="3"/>
        <v>0</v>
      </c>
      <c r="W32" s="91">
        <f t="shared" si="3"/>
        <v>0</v>
      </c>
      <c r="X32" s="91">
        <f t="shared" si="3"/>
        <v>0</v>
      </c>
      <c r="Y32" s="91">
        <f t="shared" si="3"/>
        <v>0</v>
      </c>
      <c r="Z32" s="91">
        <f t="shared" si="3"/>
        <v>0</v>
      </c>
      <c r="AA32" s="91">
        <f t="shared" si="3"/>
        <v>0</v>
      </c>
      <c r="AB32" s="91">
        <f t="shared" si="3"/>
        <v>0</v>
      </c>
      <c r="AC32" s="91">
        <f t="shared" si="3"/>
        <v>0</v>
      </c>
      <c r="AD32" s="91">
        <f t="shared" si="3"/>
        <v>0</v>
      </c>
      <c r="AE32" s="91">
        <f t="shared" si="3"/>
        <v>0</v>
      </c>
      <c r="AF32" s="91">
        <f t="shared" si="3"/>
        <v>0</v>
      </c>
      <c r="AG32" s="91">
        <f t="shared" si="3"/>
        <v>0</v>
      </c>
      <c r="AH32" s="1126"/>
      <c r="AK32">
        <v>939700</v>
      </c>
    </row>
    <row r="33" spans="3:37" x14ac:dyDescent="0.25">
      <c r="AH33" s="70" t="s">
        <v>79</v>
      </c>
      <c r="AI33" s="70"/>
      <c r="AJ33" s="70"/>
      <c r="AK33" s="92"/>
    </row>
    <row r="34" spans="3:37" x14ac:dyDescent="0.25">
      <c r="C34" s="1133">
        <v>2400</v>
      </c>
      <c r="D34" s="1133">
        <v>17750</v>
      </c>
      <c r="E34" s="1133">
        <v>7200</v>
      </c>
      <c r="F34" s="1133"/>
      <c r="G34" s="1133">
        <v>4125</v>
      </c>
      <c r="H34" s="1133">
        <v>4800</v>
      </c>
      <c r="I34" s="1133"/>
      <c r="J34" s="1133"/>
      <c r="K34" s="1133"/>
      <c r="L34" s="1133"/>
      <c r="M34" s="1133"/>
      <c r="N34" s="1133"/>
      <c r="O34" s="1133"/>
      <c r="P34" s="1133"/>
      <c r="Q34" s="1133"/>
      <c r="R34" s="1133"/>
      <c r="S34" s="973"/>
      <c r="T34" s="1133"/>
      <c r="U34" s="1133"/>
      <c r="V34" s="1133"/>
      <c r="W34" s="1133"/>
      <c r="X34" s="1133"/>
      <c r="Y34" s="1133"/>
      <c r="Z34" s="1133"/>
      <c r="AA34" s="1133"/>
      <c r="AB34" s="1133"/>
      <c r="AC34" s="1133"/>
      <c r="AD34" s="1133"/>
      <c r="AE34" s="1133"/>
      <c r="AF34" s="1133"/>
      <c r="AG34" s="1133"/>
    </row>
    <row r="35" spans="3:37" x14ac:dyDescent="0.25">
      <c r="C35" s="1126">
        <f>C32-C34</f>
        <v>-2400</v>
      </c>
      <c r="D35" s="1126">
        <f t="shared" ref="D35:AG35" si="4">D32-D34</f>
        <v>-14400</v>
      </c>
      <c r="E35" s="1126">
        <f t="shared" si="4"/>
        <v>-7200</v>
      </c>
      <c r="F35" s="1126">
        <f t="shared" si="4"/>
        <v>0</v>
      </c>
      <c r="G35" s="1126">
        <f t="shared" si="4"/>
        <v>-2400</v>
      </c>
      <c r="H35" s="1126">
        <f t="shared" si="4"/>
        <v>-4800</v>
      </c>
      <c r="I35" s="1126">
        <f t="shared" si="4"/>
        <v>0</v>
      </c>
      <c r="J35" s="1126">
        <f t="shared" si="4"/>
        <v>0</v>
      </c>
      <c r="K35" s="1126">
        <f t="shared" si="4"/>
        <v>0</v>
      </c>
      <c r="L35" s="1126">
        <f t="shared" si="4"/>
        <v>16000</v>
      </c>
      <c r="M35" s="1126">
        <f t="shared" si="4"/>
        <v>0</v>
      </c>
      <c r="N35" s="1126">
        <f t="shared" si="4"/>
        <v>0</v>
      </c>
      <c r="O35" s="1126">
        <f t="shared" si="4"/>
        <v>0</v>
      </c>
      <c r="P35" s="1126">
        <f t="shared" si="4"/>
        <v>0</v>
      </c>
      <c r="Q35" s="1126">
        <f t="shared" si="4"/>
        <v>0</v>
      </c>
      <c r="R35" s="1126">
        <f t="shared" si="4"/>
        <v>0</v>
      </c>
      <c r="S35" s="1126">
        <f t="shared" si="4"/>
        <v>0</v>
      </c>
      <c r="T35" s="1126">
        <f t="shared" si="4"/>
        <v>0</v>
      </c>
      <c r="U35" s="1126">
        <f t="shared" si="4"/>
        <v>0</v>
      </c>
      <c r="V35" s="1126">
        <f t="shared" si="4"/>
        <v>0</v>
      </c>
      <c r="W35" s="1126">
        <f t="shared" si="4"/>
        <v>0</v>
      </c>
      <c r="X35" s="1126">
        <f t="shared" si="4"/>
        <v>0</v>
      </c>
      <c r="Y35" s="1126">
        <f t="shared" si="4"/>
        <v>0</v>
      </c>
      <c r="Z35" s="1126">
        <f t="shared" si="4"/>
        <v>0</v>
      </c>
      <c r="AA35" s="1126">
        <f t="shared" si="4"/>
        <v>0</v>
      </c>
      <c r="AB35" s="1126">
        <f t="shared" si="4"/>
        <v>0</v>
      </c>
      <c r="AC35" s="1126">
        <f t="shared" si="4"/>
        <v>0</v>
      </c>
      <c r="AD35" s="1126">
        <f t="shared" si="4"/>
        <v>0</v>
      </c>
      <c r="AE35" s="1126">
        <f t="shared" si="4"/>
        <v>0</v>
      </c>
      <c r="AF35" s="1126">
        <f t="shared" si="4"/>
        <v>0</v>
      </c>
      <c r="AG35" s="1126">
        <f t="shared" si="4"/>
        <v>0</v>
      </c>
    </row>
    <row r="36" spans="3:37" x14ac:dyDescent="0.25">
      <c r="G36" t="s">
        <v>50</v>
      </c>
    </row>
    <row r="38" spans="3:37" x14ac:dyDescent="0.25">
      <c r="C38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31</vt:i4>
      </vt:variant>
      <vt:variant>
        <vt:lpstr>Plages nommées</vt:lpstr>
      </vt:variant>
      <vt:variant>
        <vt:i4>3</vt:i4>
      </vt:variant>
    </vt:vector>
  </HeadingPairs>
  <TitlesOfParts>
    <vt:vector size="34" baseType="lpstr">
      <vt:lpstr>ETAT  KEKEM</vt:lpstr>
      <vt:lpstr>analyse ventes</vt:lpstr>
      <vt:lpstr>RECAP INDEX</vt:lpstr>
      <vt:lpstr>MTN JUILLET 2019</vt:lpstr>
      <vt:lpstr>OM JUILLET 2019</vt:lpstr>
      <vt:lpstr>DECOUVERT KEKEM MAI  2022</vt:lpstr>
      <vt:lpstr>equation de stock</vt:lpstr>
      <vt:lpstr>reception carburant</vt:lpstr>
      <vt:lpstr>SUIVI LUBRIFIANT</vt:lpstr>
      <vt:lpstr>INVENTAIRE LUB</vt:lpstr>
      <vt:lpstr>DECOUVERT KENA AOUT RECTIF</vt:lpstr>
      <vt:lpstr>decouvert</vt:lpstr>
      <vt:lpstr>SUVI GROUPE ELECTROGENE</vt:lpstr>
      <vt:lpstr>ETAT  NKOLAFAMBA (2)</vt:lpstr>
      <vt:lpstr>INVENTAIRE LUB (2)</vt:lpstr>
      <vt:lpstr>REPORTING LUB</vt:lpstr>
      <vt:lpstr>C I C</vt:lpstr>
      <vt:lpstr>kàlitàs</vt:lpstr>
      <vt:lpstr>SUIVI JOURNALIER GAZ</vt:lpstr>
      <vt:lpstr>INVENTAIRE GAZ aout 2018</vt:lpstr>
      <vt:lpstr>Présences</vt:lpstr>
      <vt:lpstr>Manquants</vt:lpstr>
      <vt:lpstr>Recap</vt:lpstr>
      <vt:lpstr>presences</vt:lpstr>
      <vt:lpstr>manquant</vt:lpstr>
      <vt:lpstr>récap</vt:lpstr>
      <vt:lpstr>INDEX KEKEM</vt:lpstr>
      <vt:lpstr>presence p</vt:lpstr>
      <vt:lpstr>manquant p</vt:lpstr>
      <vt:lpstr>recap p</vt:lpstr>
      <vt:lpstr>rapport</vt:lpstr>
      <vt:lpstr>'INVENTAIRE LUB (2)'!Zone_d_impression</vt:lpstr>
      <vt:lpstr>Recap!Zone_d_impression</vt:lpstr>
      <vt:lpstr>récap!Zone_d_impression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2022-05-14T07:47:20Z</dcterms:modified>
</cp:coreProperties>
</file>