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filterPrivacy="1" autoCompressPictures="0"/>
  <xr:revisionPtr revIDLastSave="0" documentId="13_ncr:1_{653F601B-18E2-124B-9650-27E798EBEE90}" xr6:coauthVersionLast="46" xr6:coauthVersionMax="46" xr10:uidLastSave="{00000000-0000-0000-0000-000000000000}"/>
  <bookViews>
    <workbookView xWindow="0" yWindow="500" windowWidth="29560" windowHeight="18700" activeTab="6" xr2:uid="{00000000-000D-0000-FFFF-FFFF00000000}"/>
  </bookViews>
  <sheets>
    <sheet name="Sheet1" sheetId="2" state="hidden" r:id="rId1"/>
    <sheet name="Matran tf" sheetId="3" r:id="rId2"/>
    <sheet name="Matran idf" sheetId="4" r:id="rId3"/>
    <sheet name="Matran tf-idf" sheetId="5" r:id="rId4"/>
    <sheet name="XulyQuery" sheetId="6" r:id="rId5"/>
    <sheet name="Evaluation" sheetId="7" r:id="rId6"/>
    <sheet name="k-means" sheetId="8" r:id="rId7"/>
    <sheet name="Distances" sheetId="9" r:id="rId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1" i="9" l="1"/>
  <c r="Q4" i="9"/>
  <c r="Q5" i="9"/>
  <c r="Q6" i="9"/>
  <c r="Q7" i="9"/>
  <c r="Q8" i="9"/>
  <c r="Q9" i="9"/>
  <c r="Q10" i="9"/>
  <c r="Q11" i="9"/>
  <c r="Q12" i="9"/>
  <c r="Q3" i="9"/>
  <c r="Q18" i="9"/>
  <c r="Q19" i="9"/>
  <c r="Q20" i="9"/>
  <c r="Q21" i="9"/>
  <c r="Q22" i="9"/>
  <c r="Q23" i="9"/>
  <c r="Q24" i="9"/>
  <c r="Q25" i="9"/>
  <c r="Q26" i="9"/>
  <c r="Q17" i="9"/>
  <c r="Q32" i="9"/>
  <c r="Q33" i="9"/>
  <c r="Q34" i="9"/>
  <c r="Q35" i="9"/>
  <c r="Q36" i="9"/>
  <c r="Q37" i="9"/>
  <c r="Q38" i="9"/>
  <c r="Q39" i="9"/>
  <c r="Q40" i="9"/>
  <c r="J12" i="9"/>
  <c r="I12" i="9"/>
  <c r="H12" i="9"/>
  <c r="Q13" i="9" l="1"/>
  <c r="Q27" i="9"/>
  <c r="Q41" i="9"/>
  <c r="C15" i="8"/>
  <c r="D15" i="8"/>
  <c r="E15" i="8"/>
  <c r="F15" i="8"/>
  <c r="B15" i="8"/>
  <c r="C14" i="8"/>
  <c r="D14" i="8"/>
  <c r="E14" i="8"/>
  <c r="F14" i="8"/>
  <c r="B14" i="8"/>
  <c r="C13" i="8"/>
  <c r="D13" i="8"/>
  <c r="E13" i="8"/>
  <c r="F13" i="8"/>
  <c r="B13" i="8"/>
  <c r="G2" i="8" l="1"/>
  <c r="I8" i="8"/>
  <c r="C20" i="8"/>
  <c r="I2" i="8" l="1"/>
  <c r="G3" i="8"/>
  <c r="H2" i="8"/>
  <c r="H9" i="9"/>
  <c r="I26" i="9" l="1"/>
  <c r="J26" i="9"/>
  <c r="K26" i="9"/>
  <c r="L26" i="9"/>
  <c r="H26" i="9"/>
  <c r="H27" i="9" l="1"/>
  <c r="H8" i="8"/>
  <c r="G6" i="8" l="1"/>
  <c r="I4" i="8"/>
  <c r="I7" i="8"/>
  <c r="H10" i="8"/>
  <c r="H3" i="8"/>
  <c r="H9" i="8"/>
  <c r="H4" i="8"/>
  <c r="I11" i="8"/>
  <c r="I3" i="8"/>
  <c r="H7" i="8"/>
  <c r="H6" i="8"/>
  <c r="H5" i="8"/>
  <c r="I6" i="8"/>
  <c r="I10" i="8"/>
  <c r="I5" i="8"/>
  <c r="I9" i="8"/>
  <c r="H11" i="8"/>
  <c r="G5" i="8"/>
  <c r="G10" i="8"/>
  <c r="G4" i="8"/>
  <c r="G11" i="8"/>
  <c r="G9" i="8"/>
  <c r="G8" i="8"/>
  <c r="G7" i="8"/>
  <c r="H26" i="7"/>
  <c r="G26" i="7"/>
  <c r="I26" i="7" s="1"/>
  <c r="H25" i="7"/>
  <c r="G25" i="7"/>
  <c r="H2" i="7"/>
  <c r="H15" i="7" s="1"/>
  <c r="G2" i="7"/>
  <c r="G21" i="7" s="1"/>
  <c r="F2" i="7"/>
  <c r="F16" i="7" s="1"/>
  <c r="E2" i="7"/>
  <c r="E19" i="7" s="1"/>
  <c r="D2" i="7"/>
  <c r="D22" i="7" s="1"/>
  <c r="L2" i="6"/>
  <c r="L9" i="6" s="1"/>
  <c r="K2" i="6"/>
  <c r="K10" i="6" s="1"/>
  <c r="J2" i="6"/>
  <c r="J13" i="6" s="1"/>
  <c r="I2" i="6"/>
  <c r="I11" i="6" s="1"/>
  <c r="H2" i="6"/>
  <c r="H11" i="6" s="1"/>
  <c r="H13" i="6"/>
  <c r="G2" i="6"/>
  <c r="G13" i="6" s="1"/>
  <c r="F2" i="6"/>
  <c r="F13" i="6" s="1"/>
  <c r="E2" i="6"/>
  <c r="E12" i="6" s="1"/>
  <c r="D2" i="6"/>
  <c r="D9" i="6" s="1"/>
  <c r="D13" i="6"/>
  <c r="C2" i="6"/>
  <c r="C10" i="6" s="1"/>
  <c r="B2" i="6"/>
  <c r="B13" i="6" s="1"/>
  <c r="L12" i="6"/>
  <c r="K12" i="6"/>
  <c r="D12" i="6"/>
  <c r="B12" i="6"/>
  <c r="K11" i="6"/>
  <c r="G11" i="6"/>
  <c r="D11" i="6"/>
  <c r="J10" i="6"/>
  <c r="H10" i="6"/>
  <c r="G10" i="6"/>
  <c r="D10" i="6"/>
  <c r="B10" i="6"/>
  <c r="K9" i="6"/>
  <c r="E9" i="6"/>
  <c r="C9" i="6"/>
  <c r="B9" i="6"/>
  <c r="F10" i="5"/>
  <c r="C11" i="5"/>
  <c r="F12" i="5"/>
  <c r="C13" i="5"/>
  <c r="E13" i="5"/>
  <c r="K13" i="5"/>
  <c r="L2" i="5"/>
  <c r="L10" i="5" s="1"/>
  <c r="K2" i="5"/>
  <c r="K10" i="5" s="1"/>
  <c r="J2" i="5"/>
  <c r="J11" i="5" s="1"/>
  <c r="I2" i="5"/>
  <c r="I11" i="5" s="1"/>
  <c r="H2" i="5"/>
  <c r="H12" i="5" s="1"/>
  <c r="G2" i="5"/>
  <c r="G12" i="5" s="1"/>
  <c r="F2" i="5"/>
  <c r="F13" i="5" s="1"/>
  <c r="E2" i="5"/>
  <c r="E10" i="5" s="1"/>
  <c r="D2" i="5"/>
  <c r="D10" i="5" s="1"/>
  <c r="C2" i="5"/>
  <c r="C10" i="5" s="1"/>
  <c r="B2" i="5"/>
  <c r="B11" i="5" s="1"/>
  <c r="C2" i="4"/>
  <c r="D2" i="4"/>
  <c r="E2" i="4"/>
  <c r="F2" i="4"/>
  <c r="G2" i="4"/>
  <c r="H2" i="4"/>
  <c r="I2" i="4"/>
  <c r="J2" i="4"/>
  <c r="K2" i="4"/>
  <c r="L2" i="4"/>
  <c r="B2" i="4"/>
  <c r="C5" i="2"/>
  <c r="K5" i="2"/>
  <c r="D5" i="2"/>
  <c r="E5" i="2"/>
  <c r="M5" i="2" s="1"/>
  <c r="F5" i="2"/>
  <c r="N5" i="2" s="1"/>
  <c r="G5" i="2"/>
  <c r="O5" i="2" s="1"/>
  <c r="C13" i="2"/>
  <c r="D13" i="2"/>
  <c r="E13" i="2"/>
  <c r="M13" i="2" s="1"/>
  <c r="F13" i="2"/>
  <c r="N13" i="2" s="1"/>
  <c r="G13" i="2"/>
  <c r="O13" i="2" s="1"/>
  <c r="C12" i="2"/>
  <c r="D12" i="2"/>
  <c r="H34" i="2" s="1"/>
  <c r="E12" i="2"/>
  <c r="G12" i="2"/>
  <c r="C10" i="2"/>
  <c r="F10" i="2"/>
  <c r="H33" i="2" s="1"/>
  <c r="G10" i="2"/>
  <c r="C8" i="2"/>
  <c r="H70" i="2" s="1"/>
  <c r="D8" i="2"/>
  <c r="E8" i="2"/>
  <c r="M8" i="2" s="1"/>
  <c r="F8" i="2"/>
  <c r="G8" i="2"/>
  <c r="K13" i="2"/>
  <c r="K12" i="2"/>
  <c r="M12" i="2"/>
  <c r="N12" i="2"/>
  <c r="O12" i="2"/>
  <c r="L10" i="2"/>
  <c r="M10" i="2"/>
  <c r="O10" i="2"/>
  <c r="L8" i="2"/>
  <c r="N8" i="2"/>
  <c r="O8" i="2"/>
  <c r="O6" i="2"/>
  <c r="O7" i="2"/>
  <c r="O9" i="2"/>
  <c r="O14" i="2"/>
  <c r="N9" i="2"/>
  <c r="L7" i="2"/>
  <c r="K7" i="2"/>
  <c r="K11" i="2"/>
  <c r="G19" i="2"/>
  <c r="F19" i="2"/>
  <c r="C19" i="2"/>
  <c r="F14" i="2"/>
  <c r="N14" i="2" s="1"/>
  <c r="E14" i="2"/>
  <c r="M14" i="2"/>
  <c r="D14" i="2"/>
  <c r="L14" i="2" s="1"/>
  <c r="C14" i="2"/>
  <c r="K14" i="2"/>
  <c r="G11" i="2"/>
  <c r="O11" i="2"/>
  <c r="F11" i="2"/>
  <c r="N11" i="2"/>
  <c r="E11" i="2"/>
  <c r="M11" i="2" s="1"/>
  <c r="D11" i="2"/>
  <c r="L11" i="2" s="1"/>
  <c r="E9" i="2"/>
  <c r="M9" i="2" s="1"/>
  <c r="D9" i="2"/>
  <c r="L9" i="2" s="1"/>
  <c r="C9" i="2"/>
  <c r="K9" i="2" s="1"/>
  <c r="F7" i="2"/>
  <c r="N7" i="2"/>
  <c r="E7" i="2"/>
  <c r="M7" i="2"/>
  <c r="F6" i="2"/>
  <c r="N6" i="2"/>
  <c r="E6" i="2"/>
  <c r="D6" i="2"/>
  <c r="L6" i="2"/>
  <c r="C6" i="2"/>
  <c r="K6" i="2" s="1"/>
  <c r="H32" i="2"/>
  <c r="J12" i="6" l="1"/>
  <c r="H31" i="2"/>
  <c r="K8" i="2"/>
  <c r="L12" i="2"/>
  <c r="H72" i="2"/>
  <c r="I10" i="5"/>
  <c r="H51" i="2"/>
  <c r="H55" i="2"/>
  <c r="N10" i="2"/>
  <c r="K12" i="5"/>
  <c r="L11" i="6"/>
  <c r="H71" i="2"/>
  <c r="H54" i="2"/>
  <c r="K9" i="5"/>
  <c r="C12" i="5"/>
  <c r="C12" i="6"/>
  <c r="C72" i="2"/>
  <c r="H49" i="2"/>
  <c r="F9" i="5"/>
  <c r="K11" i="5"/>
  <c r="G9" i="6"/>
  <c r="L10" i="6"/>
  <c r="I25" i="7"/>
  <c r="H50" i="2"/>
  <c r="C9" i="5"/>
  <c r="F11" i="5"/>
  <c r="J9" i="6"/>
  <c r="C11" i="6"/>
  <c r="F12" i="6"/>
  <c r="L13" i="6"/>
  <c r="C52" i="2"/>
  <c r="C32" i="2"/>
  <c r="C55" i="2"/>
  <c r="H9" i="5"/>
  <c r="J13" i="5"/>
  <c r="B13" i="5"/>
  <c r="E12" i="5"/>
  <c r="H11" i="5"/>
  <c r="H9" i="6"/>
  <c r="E10" i="6"/>
  <c r="M10" i="6" s="1"/>
  <c r="B11" i="6"/>
  <c r="J11" i="6"/>
  <c r="G12" i="6"/>
  <c r="C13" i="6"/>
  <c r="K13" i="6"/>
  <c r="F14" i="7"/>
  <c r="F21" i="7"/>
  <c r="D19" i="7"/>
  <c r="E16" i="7"/>
  <c r="G20" i="7"/>
  <c r="H22" i="7"/>
  <c r="I22" i="7" s="1"/>
  <c r="H52" i="2"/>
  <c r="K10" i="2"/>
  <c r="H29" i="2"/>
  <c r="C36" i="2"/>
  <c r="L5" i="2"/>
  <c r="G9" i="5"/>
  <c r="I13" i="5"/>
  <c r="L12" i="5"/>
  <c r="D12" i="5"/>
  <c r="G11" i="5"/>
  <c r="J10" i="5"/>
  <c r="B10" i="5"/>
  <c r="I9" i="6"/>
  <c r="F10" i="6"/>
  <c r="H12" i="6"/>
  <c r="E14" i="7"/>
  <c r="E21" i="7"/>
  <c r="F18" i="7"/>
  <c r="D16" i="7"/>
  <c r="G19" i="7"/>
  <c r="H21" i="7"/>
  <c r="F23" i="7"/>
  <c r="D21" i="7"/>
  <c r="E18" i="7"/>
  <c r="F15" i="7"/>
  <c r="G18" i="7"/>
  <c r="H20" i="7"/>
  <c r="H13" i="5"/>
  <c r="B9" i="5"/>
  <c r="E9" i="5"/>
  <c r="G13" i="5"/>
  <c r="J12" i="5"/>
  <c r="B12" i="5"/>
  <c r="E11" i="5"/>
  <c r="H10" i="5"/>
  <c r="E11" i="6"/>
  <c r="E23" i="7"/>
  <c r="F20" i="7"/>
  <c r="D18" i="7"/>
  <c r="E15" i="7"/>
  <c r="G17" i="7"/>
  <c r="H19" i="7"/>
  <c r="H30" i="2"/>
  <c r="I12" i="6"/>
  <c r="H53" i="2"/>
  <c r="L13" i="2"/>
  <c r="H36" i="2"/>
  <c r="H35" i="2"/>
  <c r="M6" i="2"/>
  <c r="C50" i="2" s="1"/>
  <c r="H73" i="2"/>
  <c r="L9" i="5"/>
  <c r="D9" i="5"/>
  <c r="I12" i="5"/>
  <c r="L11" i="5"/>
  <c r="D11" i="5"/>
  <c r="G10" i="5"/>
  <c r="I10" i="6"/>
  <c r="F11" i="6"/>
  <c r="E13" i="6"/>
  <c r="I13" i="6"/>
  <c r="D23" i="7"/>
  <c r="E20" i="7"/>
  <c r="F17" i="7"/>
  <c r="D15" i="7"/>
  <c r="I15" i="7" s="1"/>
  <c r="G16" i="7"/>
  <c r="H18" i="7"/>
  <c r="F22" i="7"/>
  <c r="D20" i="7"/>
  <c r="I20" i="7" s="1"/>
  <c r="E17" i="7"/>
  <c r="G23" i="7"/>
  <c r="G15" i="7"/>
  <c r="H17" i="7"/>
  <c r="J9" i="5"/>
  <c r="L13" i="5"/>
  <c r="D13" i="5"/>
  <c r="F9" i="6"/>
  <c r="M9" i="6" s="1"/>
  <c r="D14" i="7"/>
  <c r="E22" i="7"/>
  <c r="F19" i="7"/>
  <c r="D17" i="7"/>
  <c r="I17" i="7" s="1"/>
  <c r="G22" i="7"/>
  <c r="H14" i="7"/>
  <c r="H16" i="7"/>
  <c r="I9" i="5"/>
  <c r="G14" i="7"/>
  <c r="H23" i="7"/>
  <c r="M12" i="6" l="1"/>
  <c r="C53" i="2"/>
  <c r="C34" i="2"/>
  <c r="C51" i="2"/>
  <c r="C70" i="2"/>
  <c r="C31" i="2"/>
  <c r="M13" i="6"/>
  <c r="I14" i="7"/>
  <c r="I23" i="7"/>
  <c r="I19" i="7"/>
  <c r="C29" i="2"/>
  <c r="C49" i="2"/>
  <c r="I16" i="7"/>
  <c r="C71" i="2"/>
  <c r="C33" i="2"/>
  <c r="C30" i="2"/>
  <c r="I18" i="7"/>
  <c r="I21" i="7"/>
  <c r="C73" i="2"/>
  <c r="C35" i="2"/>
  <c r="C54" i="2"/>
  <c r="M11" i="6"/>
</calcChain>
</file>

<file path=xl/sharedStrings.xml><?xml version="1.0" encoding="utf-8"?>
<sst xmlns="http://schemas.openxmlformats.org/spreadsheetml/2006/main" count="415" uniqueCount="120">
  <si>
    <t>A</t>
  </si>
  <si>
    <t>B</t>
  </si>
  <si>
    <t>C</t>
  </si>
  <si>
    <t>D</t>
  </si>
  <si>
    <t>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</si>
  <si>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</si>
  <si>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</si>
  <si>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</si>
  <si>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</si>
  <si>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</si>
  <si>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</si>
  <si>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</si>
  <si>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</si>
  <si>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</si>
  <si>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</si>
  <si>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idf</t>
  </si>
  <si>
    <t xml:space="preserve">a) Ma trận tf.idf </t>
  </si>
  <si>
    <t>Khoảng cách Euclide</t>
  </si>
  <si>
    <t>Qi</t>
  </si>
  <si>
    <t>Qii</t>
  </si>
  <si>
    <t xml:space="preserve">d(Qi, D1) </t>
  </si>
  <si>
    <t xml:space="preserve">d(Qi, D2) </t>
  </si>
  <si>
    <t xml:space="preserve">d(Qi, D4) </t>
  </si>
  <si>
    <t xml:space="preserve">d(Qi, D5) </t>
  </si>
  <si>
    <t xml:space="preserve">d(Qi, D6) </t>
  </si>
  <si>
    <t xml:space="preserve">d(Qi, D8) </t>
  </si>
  <si>
    <t xml:space="preserve">d(Qi, D9) </t>
  </si>
  <si>
    <t xml:space="preserve">d(Qi, D10) </t>
  </si>
  <si>
    <t xml:space="preserve">d(Qii, D1) </t>
  </si>
  <si>
    <t xml:space="preserve">d(Qii, D2) </t>
  </si>
  <si>
    <t xml:space="preserve">d(Qii, D4) </t>
  </si>
  <si>
    <t xml:space="preserve">d(Qii, D5) </t>
  </si>
  <si>
    <t xml:space="preserve">d(Qii, D6) </t>
  </si>
  <si>
    <t xml:space="preserve">d(Qii, D8) </t>
  </si>
  <si>
    <t xml:space="preserve">d(Qii, D9) </t>
  </si>
  <si>
    <t xml:space="preserve">d(Qii, D10) </t>
  </si>
  <si>
    <t>Rank theo Qii</t>
  </si>
  <si>
    <t>Rank theo Qi</t>
  </si>
  <si>
    <t>Biểu diễn tf</t>
  </si>
  <si>
    <t>Biểu diễn idf</t>
  </si>
  <si>
    <t xml:space="preserve">d(Qi, 10) </t>
  </si>
  <si>
    <t>b) 1. Các tài liệu chứa A</t>
  </si>
  <si>
    <t>2. Các tài liệu chứa A và B</t>
  </si>
  <si>
    <t>3. Các tài liệu chứa A và E</t>
  </si>
  <si>
    <t>Không xếp hạng D3 vì trong Document 3 không có chứa tài liệu A</t>
  </si>
  <si>
    <t>Không xếp hạng D7 vì trong Document 7 không có chứa tài liệu A</t>
  </si>
  <si>
    <t>Không xếp hạng D3 vì trong Document 3 không có chứa tài liệu A và B</t>
  </si>
  <si>
    <t>Không xếp hạng D6 vì trong Document 6 không có chứa tài liệu A và B</t>
  </si>
  <si>
    <t>Không xếp hạng D7 vì trong Document 7 không có chứa tài liệu A và B</t>
  </si>
  <si>
    <t>Không xếp hạng D1 vì trong Document 1 không có chứa tài liệu A và E</t>
  </si>
  <si>
    <t>Không xếp hạng D2 vì trong Document 2 không có chứa tài liệu A và E</t>
  </si>
  <si>
    <t>Không xếp hạng D3 vì trong Document 3 không có chứa tài liệu A và E</t>
  </si>
  <si>
    <t>Không xếp hạng D5 vì trong Document 5 không có chứa tài liệu A và E</t>
  </si>
  <si>
    <t>Không xếp hạng D7 vì trong Document 7 không có chứa tài liệu A và E</t>
  </si>
  <si>
    <t>Không xếp hạng D10 vì trong Document 10 không có chứa tài liệu A và E</t>
  </si>
  <si>
    <t xml:space="preserve">Tôi </t>
  </si>
  <si>
    <t xml:space="preserve">yêu </t>
  </si>
  <si>
    <t>search</t>
  </si>
  <si>
    <t>engine</t>
  </si>
  <si>
    <t>Google</t>
  </si>
  <si>
    <t xml:space="preserve">ghét </t>
  </si>
  <si>
    <t>Bing</t>
  </si>
  <si>
    <t>là</t>
  </si>
  <si>
    <t>số</t>
  </si>
  <si>
    <t>một</t>
  </si>
  <si>
    <t>Pushkin</t>
  </si>
  <si>
    <t>df</t>
  </si>
  <si>
    <t>Google, Bing</t>
  </si>
  <si>
    <t>(Google)Inner Product</t>
  </si>
  <si>
    <t xml:space="preserve">Google </t>
  </si>
  <si>
    <t>D1: 1.3219</t>
  </si>
  <si>
    <t>D2: 0</t>
  </si>
  <si>
    <t>D3: 1.3219</t>
  </si>
  <si>
    <t>D4: 0</t>
  </si>
  <si>
    <t>D5: 0</t>
  </si>
  <si>
    <t>D2:2.32</t>
  </si>
  <si>
    <t>(Google,Bing)Inner Product</t>
  </si>
  <si>
    <t>AABAAABBBAACD</t>
  </si>
  <si>
    <t>ACDAAABBBCCCDDD</t>
  </si>
  <si>
    <t>CCDDDCDDDDDCCC</t>
  </si>
  <si>
    <t>ABCDEABCDEABCDE</t>
  </si>
  <si>
    <t>ABCCCCCCCCCCBC</t>
  </si>
  <si>
    <t>DEADEADDDDDE</t>
  </si>
  <si>
    <t>BEBBBBEEECBBBC</t>
  </si>
  <si>
    <t>ABCAAAABBE</t>
  </si>
  <si>
    <t>AEEEEABCEEA</t>
  </si>
  <si>
    <t>ABCBCBCBCDDD</t>
  </si>
  <si>
    <t>A,E</t>
  </si>
  <si>
    <t>Ranking1</t>
  </si>
  <si>
    <t>Ranking2</t>
  </si>
  <si>
    <t>D1,D2,D3,D4,D5</t>
  </si>
  <si>
    <t>D8,D9,D7,D4,D6</t>
  </si>
  <si>
    <t>R/P/F</t>
  </si>
  <si>
    <t>C1</t>
  </si>
  <si>
    <t>C2</t>
  </si>
  <si>
    <t>C3</t>
  </si>
  <si>
    <t>D4,D5,D8,D9,D10</t>
  </si>
  <si>
    <t>D2,D6</t>
  </si>
  <si>
    <t>D1,D3,D7</t>
  </si>
  <si>
    <t>D3,D4,D5,D9,D10</t>
  </si>
  <si>
    <t>D1,D7,D8</t>
  </si>
  <si>
    <t>a</t>
  </si>
  <si>
    <t>b</t>
  </si>
  <si>
    <t>s</t>
  </si>
  <si>
    <t>Avg Sum</t>
  </si>
  <si>
    <t>Score3</t>
  </si>
  <si>
    <t>Score 2</t>
  </si>
  <si>
    <t>Score 1</t>
  </si>
  <si>
    <t>Tính a: D1 cùng nhóm D4, a là trung bình kc cùng nhóm</t>
  </si>
  <si>
    <t>Tính b: D1 khác nhóm, là 678, 235910, tính kc giữa 2 nhóm, nhóm nào nhỏ hơn là b</t>
  </si>
  <si>
    <t>Tính s:</t>
  </si>
  <si>
    <t>Nếu a&lt;b: 1-a/b</t>
  </si>
  <si>
    <t>Nếu a&gt;b: b/a-1</t>
  </si>
  <si>
    <t>Avg-sum: lấy TB tổng s</t>
  </si>
  <si>
    <t>Cách tính:</t>
  </si>
  <si>
    <t>Clustering</t>
  </si>
  <si>
    <t>Cách tính (Xét cho Score 3)</t>
  </si>
  <si>
    <t>B1: Hàng C1, C2, C3 cho sẵn</t>
  </si>
  <si>
    <t>B2: Tính C1D1, C1D2,… (Euclide 5tp)</t>
  </si>
  <si>
    <t xml:space="preserve">B3: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</si>
</sst>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rgb="FF0000FF"/>
      <name val="Times New Roman"/>
      <family val="1"/>
    </font>
    <font>
      <sz val="14"/>
      <color rgb="FF0000FF"/>
      <name val="Times New Roman"/>
      <family val="1"/>
    </font>
    <font>
      <b/>
      <sz val="14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1"/>
      <color rgb="FF0432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/>
    <xf numFmtId="0" fontId="3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Medium9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80"/>
  <sheetViews>
    <sheetView topLeftCell="F3" workbookViewId="0">
      <selection activeCell="J11" sqref="J11:O11"/>
    </sheetView>
  </sheetViews>
  <sheetFormatPr baseColWidth="10" defaultColWidth="8.83203125" defaultRowHeight="18" x14ac:dyDescent="0.2"/>
  <cols>
    <col min="1" max="1" width="8.83203125" style="1"/>
    <col min="2" max="2" width="13.5" style="1" customWidth="1"/>
    <col min="3" max="3" width="8.83203125" style="1"/>
    <col min="4" max="4" width="10.1640625" style="1" customWidth="1"/>
    <col min="5" max="6" width="8.83203125" style="1"/>
    <col min="7" max="7" width="12.6640625" style="1" customWidth="1"/>
    <col min="8" max="16384" width="8.83203125" style="1"/>
  </cols>
  <sheetData>
    <row r="3" spans="1:15" x14ac:dyDescent="0.2">
      <c r="B3" s="34" t="s">
        <v>38</v>
      </c>
      <c r="C3" s="34"/>
      <c r="D3" s="34"/>
      <c r="E3" s="34"/>
      <c r="F3" s="34"/>
      <c r="G3" s="34"/>
      <c r="J3" s="35" t="s">
        <v>16</v>
      </c>
      <c r="K3" s="35"/>
      <c r="L3" s="35"/>
      <c r="M3" s="35"/>
      <c r="N3" s="35"/>
      <c r="O3" s="35"/>
    </row>
    <row r="4" spans="1:15" x14ac:dyDescent="0.2">
      <c r="B4" s="4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J4" s="5"/>
      <c r="K4" s="5" t="s">
        <v>0</v>
      </c>
      <c r="L4" s="5" t="s">
        <v>1</v>
      </c>
      <c r="M4" s="5" t="s">
        <v>2</v>
      </c>
      <c r="N4" s="5" t="s">
        <v>3</v>
      </c>
      <c r="O4" s="5" t="s">
        <v>4</v>
      </c>
    </row>
    <row r="5" spans="1:15" x14ac:dyDescent="0.2">
      <c r="A5" s="14"/>
      <c r="B5" s="5" t="s">
        <v>5</v>
      </c>
      <c r="C5" s="9">
        <f>7/7</f>
        <v>1</v>
      </c>
      <c r="D5" s="8">
        <f>ROUND(4/7,3)</f>
        <v>0.57099999999999995</v>
      </c>
      <c r="E5" s="8">
        <f>ROUND(1/7,3)</f>
        <v>0.14299999999999999</v>
      </c>
      <c r="F5" s="8">
        <f>ROUND(1/7,3)</f>
        <v>0.14299999999999999</v>
      </c>
      <c r="G5" s="9">
        <f>0</f>
        <v>0</v>
      </c>
      <c r="J5" s="18" t="s">
        <v>5</v>
      </c>
      <c r="K5" s="19">
        <f t="shared" ref="K5:K14" si="0">ROUND(C5*0.097,3)</f>
        <v>9.7000000000000003E-2</v>
      </c>
      <c r="L5" s="19">
        <f t="shared" ref="L5:L14" si="1">ROUND(D5*0.097,3)</f>
        <v>5.5E-2</v>
      </c>
      <c r="M5" s="19">
        <f t="shared" ref="M5:M14" si="2">ROUND(E5*0.046,3)</f>
        <v>7.0000000000000001E-3</v>
      </c>
      <c r="N5" s="19">
        <f t="shared" ref="N5:N14" si="3">ROUND(F5*0.222,3)</f>
        <v>3.2000000000000001E-2</v>
      </c>
      <c r="O5" s="20">
        <f t="shared" ref="O5:O14" si="4">ROUND(G5*0.301,3)</f>
        <v>0</v>
      </c>
    </row>
    <row r="6" spans="1:15" x14ac:dyDescent="0.2">
      <c r="A6" s="14"/>
      <c r="B6" s="5" t="s">
        <v>6</v>
      </c>
      <c r="C6" s="9">
        <f>4/4</f>
        <v>1</v>
      </c>
      <c r="D6" s="8">
        <f>ROUND(3/4,3)</f>
        <v>0.75</v>
      </c>
      <c r="E6" s="9">
        <f>4/4</f>
        <v>1</v>
      </c>
      <c r="F6" s="9">
        <f>4/4</f>
        <v>1</v>
      </c>
      <c r="G6" s="9">
        <v>0</v>
      </c>
      <c r="J6" s="5" t="s">
        <v>6</v>
      </c>
      <c r="K6" s="8">
        <f t="shared" si="0"/>
        <v>9.7000000000000003E-2</v>
      </c>
      <c r="L6" s="8">
        <f t="shared" si="1"/>
        <v>7.2999999999999995E-2</v>
      </c>
      <c r="M6" s="8">
        <f t="shared" si="2"/>
        <v>4.5999999999999999E-2</v>
      </c>
      <c r="N6" s="8">
        <f t="shared" si="3"/>
        <v>0.222</v>
      </c>
      <c r="O6" s="9">
        <f t="shared" si="4"/>
        <v>0</v>
      </c>
    </row>
    <row r="7" spans="1:15" x14ac:dyDescent="0.2">
      <c r="A7" s="14"/>
      <c r="B7" s="5" t="s">
        <v>7</v>
      </c>
      <c r="C7" s="9">
        <v>0</v>
      </c>
      <c r="D7" s="9">
        <v>0</v>
      </c>
      <c r="E7" s="8">
        <f>ROUND(6/8,3)</f>
        <v>0.75</v>
      </c>
      <c r="F7" s="9">
        <f>8/8</f>
        <v>1</v>
      </c>
      <c r="G7" s="9">
        <v>0</v>
      </c>
      <c r="J7" s="21" t="s">
        <v>7</v>
      </c>
      <c r="K7" s="22">
        <f t="shared" si="0"/>
        <v>0</v>
      </c>
      <c r="L7" s="22">
        <f t="shared" si="1"/>
        <v>0</v>
      </c>
      <c r="M7" s="23">
        <f t="shared" si="2"/>
        <v>3.5000000000000003E-2</v>
      </c>
      <c r="N7" s="23">
        <f t="shared" si="3"/>
        <v>0.222</v>
      </c>
      <c r="O7" s="22">
        <f t="shared" si="4"/>
        <v>0</v>
      </c>
    </row>
    <row r="8" spans="1:15" x14ac:dyDescent="0.2">
      <c r="A8" s="14"/>
      <c r="B8" s="5" t="s">
        <v>8</v>
      </c>
      <c r="C8" s="9">
        <f>3/3</f>
        <v>1</v>
      </c>
      <c r="D8" s="9">
        <f>3/3</f>
        <v>1</v>
      </c>
      <c r="E8" s="9">
        <f>3/3</f>
        <v>1</v>
      </c>
      <c r="F8" s="9">
        <f>3/3</f>
        <v>1</v>
      </c>
      <c r="G8" s="9">
        <f>3/3</f>
        <v>1</v>
      </c>
      <c r="J8" s="5" t="s">
        <v>8</v>
      </c>
      <c r="K8" s="8">
        <f t="shared" si="0"/>
        <v>9.7000000000000003E-2</v>
      </c>
      <c r="L8" s="8">
        <f t="shared" si="1"/>
        <v>9.7000000000000003E-2</v>
      </c>
      <c r="M8" s="8">
        <f t="shared" si="2"/>
        <v>4.5999999999999999E-2</v>
      </c>
      <c r="N8" s="8">
        <f t="shared" si="3"/>
        <v>0.222</v>
      </c>
      <c r="O8" s="8">
        <f t="shared" si="4"/>
        <v>0.30099999999999999</v>
      </c>
    </row>
    <row r="9" spans="1:15" x14ac:dyDescent="0.2">
      <c r="A9" s="14"/>
      <c r="B9" s="5" t="s">
        <v>9</v>
      </c>
      <c r="C9" s="8">
        <f>ROUND(1/11,3)</f>
        <v>9.0999999999999998E-2</v>
      </c>
      <c r="D9" s="8">
        <f>ROUND(2/11,3)</f>
        <v>0.182</v>
      </c>
      <c r="E9" s="9">
        <f>11/11</f>
        <v>1</v>
      </c>
      <c r="F9" s="9">
        <v>0</v>
      </c>
      <c r="G9" s="9">
        <v>0</v>
      </c>
      <c r="J9" s="5" t="s">
        <v>9</v>
      </c>
      <c r="K9" s="8">
        <f t="shared" si="0"/>
        <v>8.9999999999999993E-3</v>
      </c>
      <c r="L9" s="8">
        <f t="shared" si="1"/>
        <v>1.7999999999999999E-2</v>
      </c>
      <c r="M9" s="8">
        <f t="shared" si="2"/>
        <v>4.5999999999999999E-2</v>
      </c>
      <c r="N9" s="9">
        <f t="shared" si="3"/>
        <v>0</v>
      </c>
      <c r="O9" s="9">
        <f t="shared" si="4"/>
        <v>0</v>
      </c>
    </row>
    <row r="10" spans="1:15" x14ac:dyDescent="0.2">
      <c r="A10" s="14"/>
      <c r="B10" s="5" t="s">
        <v>10</v>
      </c>
      <c r="C10" s="9">
        <f>ROUND(2/7,3)</f>
        <v>0.28599999999999998</v>
      </c>
      <c r="D10" s="9">
        <v>0</v>
      </c>
      <c r="E10" s="9">
        <v>0</v>
      </c>
      <c r="F10" s="9">
        <f>7/7</f>
        <v>1</v>
      </c>
      <c r="G10" s="8">
        <f>ROUND(3/7,3)</f>
        <v>0.42899999999999999</v>
      </c>
      <c r="J10" s="5" t="s">
        <v>10</v>
      </c>
      <c r="K10" s="8">
        <f t="shared" si="0"/>
        <v>2.8000000000000001E-2</v>
      </c>
      <c r="L10" s="9">
        <f t="shared" si="1"/>
        <v>0</v>
      </c>
      <c r="M10" s="9">
        <f t="shared" si="2"/>
        <v>0</v>
      </c>
      <c r="N10" s="8">
        <f t="shared" si="3"/>
        <v>0.222</v>
      </c>
      <c r="O10" s="8">
        <f t="shared" si="4"/>
        <v>0.129</v>
      </c>
    </row>
    <row r="11" spans="1:15" x14ac:dyDescent="0.2">
      <c r="A11" s="14"/>
      <c r="B11" s="5" t="s">
        <v>11</v>
      </c>
      <c r="C11" s="9">
        <v>0</v>
      </c>
      <c r="D11" s="9">
        <f>8/8</f>
        <v>1</v>
      </c>
      <c r="E11" s="8">
        <f>ROUND(2/8,3)</f>
        <v>0.25</v>
      </c>
      <c r="F11" s="9">
        <f>0</f>
        <v>0</v>
      </c>
      <c r="G11" s="8">
        <f>ROUND(4/8,3)</f>
        <v>0.5</v>
      </c>
      <c r="J11" s="21" t="s">
        <v>11</v>
      </c>
      <c r="K11" s="22">
        <f t="shared" si="0"/>
        <v>0</v>
      </c>
      <c r="L11" s="23">
        <f t="shared" si="1"/>
        <v>9.7000000000000003E-2</v>
      </c>
      <c r="M11" s="23">
        <f t="shared" si="2"/>
        <v>1.2E-2</v>
      </c>
      <c r="N11" s="22">
        <f t="shared" si="3"/>
        <v>0</v>
      </c>
      <c r="O11" s="23">
        <f t="shared" si="4"/>
        <v>0.151</v>
      </c>
    </row>
    <row r="12" spans="1:15" x14ac:dyDescent="0.2">
      <c r="A12" s="14"/>
      <c r="B12" s="5" t="s">
        <v>12</v>
      </c>
      <c r="C12" s="9">
        <f>5/5</f>
        <v>1</v>
      </c>
      <c r="D12" s="8">
        <f>ROUND(3/5,3)</f>
        <v>0.6</v>
      </c>
      <c r="E12" s="8">
        <f>ROUND(1/5,3)</f>
        <v>0.2</v>
      </c>
      <c r="F12" s="9">
        <v>0</v>
      </c>
      <c r="G12" s="8">
        <f>ROUND(1/5,3)</f>
        <v>0.2</v>
      </c>
      <c r="J12" s="18" t="s">
        <v>12</v>
      </c>
      <c r="K12" s="19">
        <f t="shared" si="0"/>
        <v>9.7000000000000003E-2</v>
      </c>
      <c r="L12" s="19">
        <f t="shared" si="1"/>
        <v>5.8000000000000003E-2</v>
      </c>
      <c r="M12" s="19">
        <f t="shared" si="2"/>
        <v>8.9999999999999993E-3</v>
      </c>
      <c r="N12" s="20">
        <f t="shared" si="3"/>
        <v>0</v>
      </c>
      <c r="O12" s="19">
        <f t="shared" si="4"/>
        <v>0.06</v>
      </c>
    </row>
    <row r="13" spans="1:15" x14ac:dyDescent="0.2">
      <c r="A13" s="14"/>
      <c r="B13" s="5" t="s">
        <v>13</v>
      </c>
      <c r="C13" s="8">
        <f>ROUND(3/6,3)</f>
        <v>0.5</v>
      </c>
      <c r="D13" s="8">
        <f>ROUND(1/6,3)</f>
        <v>0.16700000000000001</v>
      </c>
      <c r="E13" s="8">
        <f>ROUND(1/6,3)</f>
        <v>0.16700000000000001</v>
      </c>
      <c r="F13" s="9">
        <f>0</f>
        <v>0</v>
      </c>
      <c r="G13" s="9">
        <f>6/6</f>
        <v>1</v>
      </c>
      <c r="J13" s="5" t="s">
        <v>13</v>
      </c>
      <c r="K13" s="8">
        <f t="shared" si="0"/>
        <v>4.9000000000000002E-2</v>
      </c>
      <c r="L13" s="8">
        <f t="shared" si="1"/>
        <v>1.6E-2</v>
      </c>
      <c r="M13" s="8">
        <f t="shared" si="2"/>
        <v>8.0000000000000002E-3</v>
      </c>
      <c r="N13" s="9">
        <f t="shared" si="3"/>
        <v>0</v>
      </c>
      <c r="O13" s="8">
        <f t="shared" si="4"/>
        <v>0.30099999999999999</v>
      </c>
    </row>
    <row r="14" spans="1:15" x14ac:dyDescent="0.2">
      <c r="A14" s="14"/>
      <c r="B14" s="5" t="s">
        <v>14</v>
      </c>
      <c r="C14" s="8">
        <f>ROUND(1/4,3)</f>
        <v>0.25</v>
      </c>
      <c r="D14" s="9">
        <f>4/4</f>
        <v>1</v>
      </c>
      <c r="E14" s="9">
        <f>4/4</f>
        <v>1</v>
      </c>
      <c r="F14" s="8">
        <f>ROUND(3/4,3)</f>
        <v>0.75</v>
      </c>
      <c r="G14" s="9">
        <v>0</v>
      </c>
      <c r="J14" s="5" t="s">
        <v>14</v>
      </c>
      <c r="K14" s="8">
        <f t="shared" si="0"/>
        <v>2.4E-2</v>
      </c>
      <c r="L14" s="8">
        <f t="shared" si="1"/>
        <v>9.7000000000000003E-2</v>
      </c>
      <c r="M14" s="8">
        <f t="shared" si="2"/>
        <v>4.5999999999999999E-2</v>
      </c>
      <c r="N14" s="8">
        <f t="shared" si="3"/>
        <v>0.16700000000000001</v>
      </c>
      <c r="O14" s="9">
        <f t="shared" si="4"/>
        <v>0</v>
      </c>
    </row>
    <row r="16" spans="1:15" x14ac:dyDescent="0.2">
      <c r="B16" s="34" t="s">
        <v>39</v>
      </c>
      <c r="C16" s="34"/>
      <c r="D16" s="34"/>
      <c r="E16" s="34"/>
      <c r="F16" s="34"/>
      <c r="G16" s="34"/>
    </row>
    <row r="17" spans="1:10" x14ac:dyDescent="0.2">
      <c r="B17" s="5"/>
      <c r="C17" s="5" t="s">
        <v>0</v>
      </c>
      <c r="D17" s="5" t="s">
        <v>1</v>
      </c>
      <c r="E17" s="5" t="s">
        <v>2</v>
      </c>
      <c r="F17" s="5" t="s">
        <v>3</v>
      </c>
      <c r="G17" s="5" t="s">
        <v>4</v>
      </c>
    </row>
    <row r="18" spans="1:10" x14ac:dyDescent="0.2">
      <c r="A18" s="3"/>
      <c r="B18" s="7"/>
      <c r="C18" s="11">
        <v>8</v>
      </c>
      <c r="D18" s="11">
        <v>8</v>
      </c>
      <c r="E18" s="11">
        <v>9</v>
      </c>
      <c r="F18" s="11">
        <v>6</v>
      </c>
      <c r="G18" s="11">
        <v>5</v>
      </c>
    </row>
    <row r="19" spans="1:10" x14ac:dyDescent="0.2">
      <c r="A19" s="3"/>
      <c r="B19" s="5" t="s">
        <v>15</v>
      </c>
      <c r="C19" s="11">
        <f>0.097</f>
        <v>9.7000000000000003E-2</v>
      </c>
      <c r="D19" s="11">
        <v>9.7000000000000003E-2</v>
      </c>
      <c r="E19" s="11">
        <v>4.5999999999999999E-2</v>
      </c>
      <c r="F19" s="11">
        <f>0.222</f>
        <v>0.222</v>
      </c>
      <c r="G19" s="11">
        <f>0.301</f>
        <v>0.30099999999999999</v>
      </c>
    </row>
    <row r="21" spans="1:10" x14ac:dyDescent="0.2">
      <c r="B21" s="10" t="s">
        <v>41</v>
      </c>
      <c r="C21" s="15"/>
      <c r="D21" s="15"/>
      <c r="E21" s="15"/>
      <c r="F21" s="15"/>
    </row>
    <row r="22" spans="1:10" x14ac:dyDescent="0.2">
      <c r="B22" s="9"/>
      <c r="C22" s="17" t="s">
        <v>0</v>
      </c>
      <c r="D22" s="17" t="s">
        <v>1</v>
      </c>
      <c r="E22" s="17" t="s">
        <v>2</v>
      </c>
      <c r="F22" s="17" t="s">
        <v>3</v>
      </c>
      <c r="G22" s="17" t="s">
        <v>4</v>
      </c>
    </row>
    <row r="23" spans="1:10" x14ac:dyDescent="0.2">
      <c r="B23" s="17" t="s">
        <v>18</v>
      </c>
      <c r="C23" s="9">
        <v>1</v>
      </c>
      <c r="D23" s="9">
        <v>0</v>
      </c>
      <c r="E23" s="9">
        <v>0</v>
      </c>
      <c r="F23" s="9">
        <v>0</v>
      </c>
      <c r="G23" s="9">
        <v>0</v>
      </c>
    </row>
    <row r="24" spans="1:10" x14ac:dyDescent="0.2">
      <c r="B24" s="17" t="s">
        <v>19</v>
      </c>
      <c r="C24" s="9">
        <v>9.7000000000000003E-2</v>
      </c>
      <c r="D24" s="9">
        <v>0</v>
      </c>
      <c r="E24" s="9">
        <v>0</v>
      </c>
      <c r="F24" s="9">
        <v>0</v>
      </c>
      <c r="G24" s="9">
        <v>0</v>
      </c>
    </row>
    <row r="26" spans="1:10" x14ac:dyDescent="0.2">
      <c r="B26" s="36" t="s">
        <v>17</v>
      </c>
      <c r="C26" s="36"/>
      <c r="D26" s="36"/>
      <c r="E26" s="36"/>
      <c r="F26" s="36"/>
      <c r="G26" s="36"/>
      <c r="H26" s="36"/>
      <c r="I26" s="36"/>
    </row>
    <row r="28" spans="1:10" x14ac:dyDescent="0.2">
      <c r="B28" s="7"/>
      <c r="C28" s="16"/>
      <c r="D28" s="33" t="s">
        <v>36</v>
      </c>
      <c r="E28" s="33"/>
      <c r="G28" s="7"/>
      <c r="H28" s="7"/>
      <c r="I28" s="33" t="s">
        <v>37</v>
      </c>
      <c r="J28" s="33"/>
    </row>
    <row r="29" spans="1:10" x14ac:dyDescent="0.2">
      <c r="B29" s="12" t="s">
        <v>28</v>
      </c>
      <c r="C29" s="6">
        <f>SQRT((K5-C24)^2+(L5-D24)^2+(M5-E24)^2+(N5-F24)^2+(O5-G24)^2)</f>
        <v>6.4015623093116883E-2</v>
      </c>
      <c r="D29" s="32" t="s">
        <v>28</v>
      </c>
      <c r="E29" s="32"/>
      <c r="G29" s="12" t="s">
        <v>20</v>
      </c>
      <c r="H29" s="6">
        <f>SQRT((C5-C23)^2+(D5-D23)^2+(E5-E23)^2+(F5-F23)^2+(G5-G23)^2)</f>
        <v>0.60575490092941053</v>
      </c>
      <c r="I29" s="32" t="s">
        <v>20</v>
      </c>
      <c r="J29" s="32"/>
    </row>
    <row r="30" spans="1:10" x14ac:dyDescent="0.2">
      <c r="B30" s="12" t="s">
        <v>29</v>
      </c>
      <c r="C30" s="6">
        <f>SQRT((K6-C24)^2+(L6-D24)^2+(M6-E24)^2+(N6-F24)^2+(O6-G24)^2)</f>
        <v>0.23817850448770561</v>
      </c>
      <c r="D30" s="32" t="s">
        <v>33</v>
      </c>
      <c r="E30" s="32"/>
      <c r="G30" s="12" t="s">
        <v>21</v>
      </c>
      <c r="H30" s="6">
        <f>SQRT((C6-C23)^2+(D6-D23)^2+(E6-E23)^2+(F6-F23)^2+(G6-G23)^2)</f>
        <v>1.6007810593582121</v>
      </c>
      <c r="I30" s="32" t="s">
        <v>25</v>
      </c>
      <c r="J30" s="32"/>
    </row>
    <row r="31" spans="1:10" x14ac:dyDescent="0.2">
      <c r="B31" s="12" t="s">
        <v>30</v>
      </c>
      <c r="C31" s="6">
        <f>SQRT((K8-C24)^2+(L8-D24)^2+(M8-E24)^2+(N8-F24)^2+(O8-G24)^2)</f>
        <v>0.3891143790712443</v>
      </c>
      <c r="D31" s="32" t="s">
        <v>31</v>
      </c>
      <c r="E31" s="32"/>
      <c r="G31" s="12" t="s">
        <v>22</v>
      </c>
      <c r="H31" s="6">
        <f>SQRT((C8-C23)^2+(D8-D23)^2+(E8-E23)^2+(F8-F23)^2+(G8-G23)^2)</f>
        <v>2</v>
      </c>
      <c r="I31" s="32" t="s">
        <v>26</v>
      </c>
      <c r="J31" s="32"/>
    </row>
    <row r="32" spans="1:10" x14ac:dyDescent="0.2">
      <c r="B32" s="12" t="s">
        <v>31</v>
      </c>
      <c r="C32" s="6">
        <f>SQRT((K9-C24)^2+(L9-D24)^2+(M9-E24)^2+(N9-F24)^2+(O9-G24)^2)</f>
        <v>0.10091580649234293</v>
      </c>
      <c r="D32" s="32" t="s">
        <v>35</v>
      </c>
      <c r="E32" s="32"/>
      <c r="G32" s="12" t="s">
        <v>23</v>
      </c>
      <c r="H32" s="6">
        <f>SQRT((C9-C23)^2+(D9-D23)^2+(E9-E23)^2+(F9-F23)^2+(G9-G23)^2)</f>
        <v>1.3636000146670577</v>
      </c>
      <c r="I32" s="32" t="s">
        <v>24</v>
      </c>
      <c r="J32" s="32"/>
    </row>
    <row r="33" spans="2:10" x14ac:dyDescent="0.2">
      <c r="B33" s="12" t="s">
        <v>32</v>
      </c>
      <c r="C33" s="6">
        <f>SQRT((K10-C24)^2+(L10-D24)^2+(M10-E24)^2+(N10-F24)^2+(O10-G24)^2)</f>
        <v>0.26586838849325428</v>
      </c>
      <c r="D33" s="32" t="s">
        <v>29</v>
      </c>
      <c r="E33" s="32"/>
      <c r="G33" s="12" t="s">
        <v>24</v>
      </c>
      <c r="H33" s="6">
        <f>SQRT((C10-C23)^2+(D10-D23)^2+(E10-E23)^2+(F10-F23)^2+(G10-G23)^2)</f>
        <v>1.3014749325284756</v>
      </c>
      <c r="I33" s="32" t="s">
        <v>23</v>
      </c>
      <c r="J33" s="32"/>
    </row>
    <row r="34" spans="2:10" x14ac:dyDescent="0.2">
      <c r="B34" s="12" t="s">
        <v>33</v>
      </c>
      <c r="C34" s="6">
        <f>SQRT((K12-C24)^2+(L12-D24)^2+(M12-E24)^2+(N12-F24)^2+(O12-G24)^2)</f>
        <v>8.3934498270973185E-2</v>
      </c>
      <c r="D34" s="32" t="s">
        <v>32</v>
      </c>
      <c r="E34" s="32"/>
      <c r="G34" s="12" t="s">
        <v>25</v>
      </c>
      <c r="H34" s="6">
        <f>SQRT((C12-C23)^2+(D12-D23)^2+(E12-E23)^2+(F12-F23)^2+(G12-G23)^2)</f>
        <v>0.66332495807108005</v>
      </c>
      <c r="I34" s="32" t="s">
        <v>21</v>
      </c>
      <c r="J34" s="32"/>
    </row>
    <row r="35" spans="2:10" x14ac:dyDescent="0.2">
      <c r="B35" s="12" t="s">
        <v>34</v>
      </c>
      <c r="C35" s="6">
        <f>SQRT((K13-C24)^2+(L13-D24)^2+(M13-E24)^2+(N13-F24)^2+(O13-G24)^2)</f>
        <v>0.30532769281544048</v>
      </c>
      <c r="D35" s="32" t="s">
        <v>34</v>
      </c>
      <c r="E35" s="32"/>
      <c r="G35" s="12" t="s">
        <v>26</v>
      </c>
      <c r="H35" s="6">
        <f>SQRT((C13-C23)^2+(D13-D23)^2+(E13-E23)^2+(F13-F23)^2+(G13-G23)^2)</f>
        <v>1.1427064364918929</v>
      </c>
      <c r="I35" s="32" t="s">
        <v>27</v>
      </c>
      <c r="J35" s="32"/>
    </row>
    <row r="36" spans="2:10" x14ac:dyDescent="0.2">
      <c r="B36" s="12" t="s">
        <v>35</v>
      </c>
      <c r="C36" s="6">
        <f>SQRT((K14-C24)^2+(L14-D24)^2+(M14-E24)^2+(N14-F24)^2+(O14-G24)^2)</f>
        <v>0.2115254121849193</v>
      </c>
      <c r="D36" s="32" t="s">
        <v>30</v>
      </c>
      <c r="E36" s="32"/>
      <c r="G36" s="12" t="s">
        <v>27</v>
      </c>
      <c r="H36" s="6">
        <f>SQRT((C14-C23)^2+(D14-D23)^2+(E14-E23)^2+(F14-F23)^2+(G14-G23)^2)</f>
        <v>1.7677669529663689</v>
      </c>
      <c r="I36" s="32" t="s">
        <v>22</v>
      </c>
      <c r="J36" s="32"/>
    </row>
    <row r="38" spans="2:10" x14ac:dyDescent="0.2">
      <c r="B38" s="13" t="s">
        <v>44</v>
      </c>
    </row>
    <row r="39" spans="2:10" x14ac:dyDescent="0.2">
      <c r="B39" s="13" t="s">
        <v>45</v>
      </c>
    </row>
    <row r="41" spans="2:10" x14ac:dyDescent="0.2">
      <c r="B41" s="2" t="s">
        <v>42</v>
      </c>
    </row>
    <row r="42" spans="2:10" x14ac:dyDescent="0.2">
      <c r="B42" s="9"/>
      <c r="C42" s="17" t="s">
        <v>0</v>
      </c>
      <c r="D42" s="17" t="s">
        <v>1</v>
      </c>
      <c r="E42" s="17" t="s">
        <v>2</v>
      </c>
      <c r="F42" s="17" t="s">
        <v>3</v>
      </c>
      <c r="G42" s="17" t="s">
        <v>4</v>
      </c>
    </row>
    <row r="43" spans="2:10" x14ac:dyDescent="0.2">
      <c r="B43" s="17" t="s">
        <v>18</v>
      </c>
      <c r="C43" s="9">
        <v>1</v>
      </c>
      <c r="D43" s="9">
        <v>1</v>
      </c>
      <c r="E43" s="9">
        <v>0</v>
      </c>
      <c r="F43" s="9">
        <v>0</v>
      </c>
      <c r="G43" s="9">
        <v>0</v>
      </c>
    </row>
    <row r="44" spans="2:10" x14ac:dyDescent="0.2">
      <c r="B44" s="17" t="s">
        <v>19</v>
      </c>
      <c r="C44" s="9">
        <v>9.7000000000000003E-2</v>
      </c>
      <c r="D44" s="9">
        <v>9.7000000000000003E-2</v>
      </c>
      <c r="E44" s="9">
        <v>0</v>
      </c>
      <c r="F44" s="9">
        <v>0</v>
      </c>
      <c r="G44" s="9">
        <v>0</v>
      </c>
    </row>
    <row r="46" spans="2:10" x14ac:dyDescent="0.2">
      <c r="B46" s="36" t="s">
        <v>17</v>
      </c>
      <c r="C46" s="36"/>
      <c r="D46" s="36"/>
      <c r="E46" s="36"/>
      <c r="F46" s="36"/>
      <c r="G46" s="36"/>
      <c r="H46" s="36"/>
      <c r="I46" s="36"/>
    </row>
    <row r="48" spans="2:10" x14ac:dyDescent="0.2">
      <c r="B48" s="7"/>
      <c r="C48" s="16"/>
      <c r="D48" s="33" t="s">
        <v>36</v>
      </c>
      <c r="E48" s="33"/>
      <c r="G48" s="7"/>
      <c r="H48" s="7"/>
      <c r="I48" s="33" t="s">
        <v>37</v>
      </c>
      <c r="J48" s="33"/>
    </row>
    <row r="49" spans="2:10" x14ac:dyDescent="0.2">
      <c r="B49" s="12" t="s">
        <v>28</v>
      </c>
      <c r="C49" s="6">
        <f>SQRT((K5-C44)^2+(L5-D44)^2+(M5-E44)^2+(N5-F44)^2+(O5-G44)^2)</f>
        <v>5.32634959423431E-2</v>
      </c>
      <c r="D49" s="32" t="s">
        <v>28</v>
      </c>
      <c r="E49" s="32"/>
      <c r="G49" s="12" t="s">
        <v>20</v>
      </c>
      <c r="H49" s="6">
        <f>SQRT((C5-C43)^2+(D5-D43)^2+(E5-E43)^2+(F5-F43)^2+(G5-G43)^2)</f>
        <v>0.47427734502082219</v>
      </c>
      <c r="I49" s="32" t="s">
        <v>20</v>
      </c>
      <c r="J49" s="32"/>
    </row>
    <row r="50" spans="2:10" x14ac:dyDescent="0.2">
      <c r="B50" s="12" t="s">
        <v>29</v>
      </c>
      <c r="C50" s="6">
        <f>SQRT((K6-C44)^2+(L6-D44)^2+(M6-E44)^2+(N6-F44)^2+(O6-G44)^2)</f>
        <v>0.22798245546532742</v>
      </c>
      <c r="D50" s="32" t="s">
        <v>33</v>
      </c>
      <c r="E50" s="32"/>
      <c r="G50" s="12" t="s">
        <v>21</v>
      </c>
      <c r="H50" s="6">
        <f>SQRT((C6-C43)^2+(D6-D43)^2+(E6-E43)^2+(F6-F43)^2+(G6-G43)^2)</f>
        <v>1.4361406616345072</v>
      </c>
      <c r="I50" s="32" t="s">
        <v>25</v>
      </c>
      <c r="J50" s="32"/>
    </row>
    <row r="51" spans="2:10" x14ac:dyDescent="0.2">
      <c r="B51" s="12" t="s">
        <v>30</v>
      </c>
      <c r="C51" s="6">
        <f>SQRT((K8-C44)^2+(L8-D44)^2+(M8-E44)^2+(N8-F44)^2+(O8-G44)^2)</f>
        <v>0.37683020048823052</v>
      </c>
      <c r="D51" s="32" t="s">
        <v>31</v>
      </c>
      <c r="E51" s="32"/>
      <c r="G51" s="12" t="s">
        <v>22</v>
      </c>
      <c r="H51" s="6">
        <f>SQRT((C8-C43)^2+(D8-D43)^2+(E8-E43)^2+(F8-F43)^2+(G8-G43)^2)</f>
        <v>1.7320508075688772</v>
      </c>
      <c r="I51" s="32" t="s">
        <v>26</v>
      </c>
      <c r="J51" s="32"/>
    </row>
    <row r="52" spans="2:10" x14ac:dyDescent="0.2">
      <c r="B52" s="12" t="s">
        <v>31</v>
      </c>
      <c r="C52" s="6">
        <f>SQRT((K9-C44)^2+(L9-D44)^2+(M9-E44)^2+(N9-F44)^2+(O9-G44)^2)</f>
        <v>0.12688971589533959</v>
      </c>
      <c r="D52" s="32" t="s">
        <v>35</v>
      </c>
      <c r="E52" s="32"/>
      <c r="G52" s="12" t="s">
        <v>23</v>
      </c>
      <c r="H52" s="6">
        <f>SQRT((C9-C43)^2+(D9-D43)^2+(E9-E43)^2+(F9-F43)^2+(G9-G43)^2)</f>
        <v>1.5796850952009391</v>
      </c>
      <c r="I52" s="32" t="s">
        <v>21</v>
      </c>
      <c r="J52" s="32"/>
    </row>
    <row r="53" spans="2:10" x14ac:dyDescent="0.2">
      <c r="B53" s="12" t="s">
        <v>33</v>
      </c>
      <c r="C53" s="6">
        <f>SQRT((K12-C44)^2+(L12-D44)^2+(M12-E44)^2+(N12-F44)^2+(O12-G44)^2)</f>
        <v>7.2124891681027842E-2</v>
      </c>
      <c r="D53" s="37" t="s">
        <v>29</v>
      </c>
      <c r="E53" s="38"/>
      <c r="G53" s="12" t="s">
        <v>25</v>
      </c>
      <c r="H53" s="6">
        <f>SQRT((C12-C43)^2+(D12-D43)^2+(E12-E43)^2+(F12-F43)^2+(G12-G43)^2)</f>
        <v>0.48989794855663565</v>
      </c>
      <c r="I53" s="37" t="s">
        <v>40</v>
      </c>
      <c r="J53" s="38"/>
    </row>
    <row r="54" spans="2:10" x14ac:dyDescent="0.2">
      <c r="B54" s="12" t="s">
        <v>34</v>
      </c>
      <c r="C54" s="6">
        <f>SQRT((K13-C44)^2+(L13-D44)^2+(M13-E44)^2+(N13-F44)^2+(O13-G44)^2)</f>
        <v>0.31548375552474961</v>
      </c>
      <c r="D54" s="37" t="s">
        <v>34</v>
      </c>
      <c r="E54" s="38"/>
      <c r="G54" s="12" t="s">
        <v>26</v>
      </c>
      <c r="H54" s="6">
        <f>SQRT((C13-C43)^2+(D13-D43)^2+(E13-E43)^2+(F13-F43)^2+(G13-G43)^2)</f>
        <v>1.4042001281868621</v>
      </c>
      <c r="I54" s="37" t="s">
        <v>23</v>
      </c>
      <c r="J54" s="38"/>
    </row>
    <row r="55" spans="2:10" x14ac:dyDescent="0.2">
      <c r="B55" s="12" t="s">
        <v>35</v>
      </c>
      <c r="C55" s="6">
        <f>SQRT((K14-C44)^2+(L14-D44)^2+(M14-E44)^2+(N14-F44)^2+(O14-G44)^2)</f>
        <v>0.18797340237384652</v>
      </c>
      <c r="D55" s="37" t="s">
        <v>30</v>
      </c>
      <c r="E55" s="38"/>
      <c r="G55" s="12" t="s">
        <v>27</v>
      </c>
      <c r="H55" s="6">
        <f>SQRT((C14-C43)^2+(D14-D43)^2+(E14-E43)^2+(F14-F43)^2+(G14-G43)^2)</f>
        <v>1.4577379737113252</v>
      </c>
      <c r="I55" s="37" t="s">
        <v>22</v>
      </c>
      <c r="J55" s="38"/>
    </row>
    <row r="57" spans="2:10" x14ac:dyDescent="0.2">
      <c r="B57" s="13" t="s">
        <v>46</v>
      </c>
    </row>
    <row r="58" spans="2:10" x14ac:dyDescent="0.2">
      <c r="B58" s="13" t="s">
        <v>47</v>
      </c>
    </row>
    <row r="59" spans="2:10" x14ac:dyDescent="0.2">
      <c r="B59" s="13" t="s">
        <v>48</v>
      </c>
    </row>
    <row r="61" spans="2:10" x14ac:dyDescent="0.2">
      <c r="B61" s="2" t="s">
        <v>43</v>
      </c>
    </row>
    <row r="63" spans="2:10" x14ac:dyDescent="0.2">
      <c r="B63" s="9"/>
      <c r="C63" s="17" t="s">
        <v>0</v>
      </c>
      <c r="D63" s="17" t="s">
        <v>1</v>
      </c>
      <c r="E63" s="17" t="s">
        <v>2</v>
      </c>
      <c r="F63" s="17" t="s">
        <v>3</v>
      </c>
      <c r="G63" s="17" t="s">
        <v>4</v>
      </c>
    </row>
    <row r="64" spans="2:10" x14ac:dyDescent="0.2">
      <c r="B64" s="17" t="s">
        <v>18</v>
      </c>
      <c r="C64" s="9">
        <v>1</v>
      </c>
      <c r="D64" s="9">
        <v>0</v>
      </c>
      <c r="E64" s="9">
        <v>0</v>
      </c>
      <c r="F64" s="9">
        <v>0</v>
      </c>
      <c r="G64" s="9">
        <v>1</v>
      </c>
    </row>
    <row r="65" spans="2:10" x14ac:dyDescent="0.2">
      <c r="B65" s="17" t="s">
        <v>19</v>
      </c>
      <c r="C65" s="9">
        <v>9.7000000000000003E-2</v>
      </c>
      <c r="D65" s="9">
        <v>0</v>
      </c>
      <c r="E65" s="9">
        <v>0</v>
      </c>
      <c r="F65" s="9">
        <v>0</v>
      </c>
      <c r="G65" s="9">
        <v>0.30099999999999999</v>
      </c>
    </row>
    <row r="67" spans="2:10" x14ac:dyDescent="0.2">
      <c r="B67" s="36" t="s">
        <v>17</v>
      </c>
      <c r="C67" s="36"/>
      <c r="D67" s="36"/>
      <c r="E67" s="36"/>
      <c r="F67" s="36"/>
      <c r="G67" s="36"/>
      <c r="H67" s="36"/>
      <c r="I67" s="36"/>
    </row>
    <row r="69" spans="2:10" x14ac:dyDescent="0.2">
      <c r="B69" s="7"/>
      <c r="C69" s="16"/>
      <c r="D69" s="39" t="s">
        <v>36</v>
      </c>
      <c r="E69" s="40"/>
      <c r="G69" s="7"/>
      <c r="H69" s="7"/>
      <c r="I69" s="39" t="s">
        <v>37</v>
      </c>
      <c r="J69" s="40"/>
    </row>
    <row r="70" spans="2:10" x14ac:dyDescent="0.2">
      <c r="B70" s="12" t="s">
        <v>30</v>
      </c>
      <c r="C70" s="6">
        <f>SQRT((K8-C65)^2+(L8-D65)^2+(M8-E65)^2+(N8-F65)^2+(O8-G65)^2)</f>
        <v>0.24659480935331951</v>
      </c>
      <c r="D70" s="37" t="s">
        <v>34</v>
      </c>
      <c r="E70" s="38"/>
      <c r="G70" s="12" t="s">
        <v>22</v>
      </c>
      <c r="H70" s="6">
        <f>SQRT((C8-C64)^2+(D8-D64)^2+(E8-E64)^2+(F8-F64)^2+(G8-G64)^2)</f>
        <v>1.7320508075688772</v>
      </c>
      <c r="I70" s="37" t="s">
        <v>26</v>
      </c>
      <c r="J70" s="38"/>
    </row>
    <row r="71" spans="2:10" x14ac:dyDescent="0.2">
      <c r="B71" s="12" t="s">
        <v>32</v>
      </c>
      <c r="C71" s="6">
        <f>SQRT((K10-C65)^2+(L10-D65)^2+(M10-E65)^2+(N10-F65)^2+(O10-G65)^2)</f>
        <v>0.2891867908463317</v>
      </c>
      <c r="D71" s="37" t="s">
        <v>30</v>
      </c>
      <c r="E71" s="38"/>
      <c r="G71" s="12" t="s">
        <v>24</v>
      </c>
      <c r="H71" s="6">
        <f>SQRT((C10-C64)^2+(D10-D64)^2+(E10-E64)^2+(F10-F64)^2+(G10-G64)^2)</f>
        <v>1.3549306255303257</v>
      </c>
      <c r="I71" s="37" t="s">
        <v>25</v>
      </c>
      <c r="J71" s="38"/>
    </row>
    <row r="72" spans="2:10" x14ac:dyDescent="0.2">
      <c r="B72" s="12" t="s">
        <v>33</v>
      </c>
      <c r="C72" s="6">
        <f>SQRT((K12-C65)^2+(L12-D65)^2+(M12-E65)^2+(N12-F65)^2+(O12-G65)^2)</f>
        <v>0.24804435087298399</v>
      </c>
      <c r="D72" s="37" t="s">
        <v>33</v>
      </c>
      <c r="E72" s="38"/>
      <c r="G72" s="12" t="s">
        <v>25</v>
      </c>
      <c r="H72" s="6">
        <f>SQRT((C12-C64)^2+(D12-D64)^2+(E12-E64)^2+(F12-F64)^2+(G12-G64)^2)</f>
        <v>1.019803902718557</v>
      </c>
      <c r="I72" s="37" t="s">
        <v>24</v>
      </c>
      <c r="J72" s="38"/>
    </row>
    <row r="73" spans="2:10" x14ac:dyDescent="0.2">
      <c r="B73" s="12" t="s">
        <v>34</v>
      </c>
      <c r="C73" s="6">
        <f>SQRT((K13-C65)^2+(L13-D65)^2+(M13-E65)^2+(N13-F65)^2+(O13-G65)^2)</f>
        <v>5.1224993899462792E-2</v>
      </c>
      <c r="D73" s="37" t="s">
        <v>32</v>
      </c>
      <c r="E73" s="38"/>
      <c r="G73" s="12" t="s">
        <v>26</v>
      </c>
      <c r="H73" s="6">
        <f>SQRT((C13-C64)^2+(D13-D64)^2+(E13-E64)^2+(F13-F64)^2+(G13-G64)^2)</f>
        <v>0.55297197035654533</v>
      </c>
      <c r="I73" s="37" t="s">
        <v>22</v>
      </c>
      <c r="J73" s="38"/>
    </row>
    <row r="75" spans="2:10" x14ac:dyDescent="0.2">
      <c r="B75" s="13" t="s">
        <v>49</v>
      </c>
    </row>
    <row r="76" spans="2:10" x14ac:dyDescent="0.2">
      <c r="B76" s="13" t="s">
        <v>50</v>
      </c>
    </row>
    <row r="77" spans="2:10" x14ac:dyDescent="0.2">
      <c r="B77" s="13" t="s">
        <v>51</v>
      </c>
    </row>
    <row r="78" spans="2:10" x14ac:dyDescent="0.2">
      <c r="B78" s="13" t="s">
        <v>52</v>
      </c>
    </row>
    <row r="79" spans="2:10" x14ac:dyDescent="0.2">
      <c r="B79" s="13" t="s">
        <v>53</v>
      </c>
    </row>
    <row r="80" spans="2:10" x14ac:dyDescent="0.2">
      <c r="B80" s="13" t="s">
        <v>54</v>
      </c>
    </row>
  </sheetData>
  <mergeCells count="50">
    <mergeCell ref="D72:E72"/>
    <mergeCell ref="I72:J72"/>
    <mergeCell ref="D73:E73"/>
    <mergeCell ref="I73:J73"/>
    <mergeCell ref="B67:I67"/>
    <mergeCell ref="D69:E69"/>
    <mergeCell ref="I69:J69"/>
    <mergeCell ref="D70:E70"/>
    <mergeCell ref="I70:J70"/>
    <mergeCell ref="D71:E71"/>
    <mergeCell ref="I71:J71"/>
    <mergeCell ref="D53:E53"/>
    <mergeCell ref="I53:J53"/>
    <mergeCell ref="D54:E54"/>
    <mergeCell ref="I54:J54"/>
    <mergeCell ref="D55:E55"/>
    <mergeCell ref="I55:J55"/>
    <mergeCell ref="D51:E51"/>
    <mergeCell ref="I51:J51"/>
    <mergeCell ref="D52:E52"/>
    <mergeCell ref="I52:J52"/>
    <mergeCell ref="B46:I46"/>
    <mergeCell ref="D48:E48"/>
    <mergeCell ref="I48:J48"/>
    <mergeCell ref="D49:E49"/>
    <mergeCell ref="I49:J49"/>
    <mergeCell ref="D50:E50"/>
    <mergeCell ref="I50:J50"/>
    <mergeCell ref="I36:J36"/>
    <mergeCell ref="D31:E31"/>
    <mergeCell ref="D32:E32"/>
    <mergeCell ref="D33:E33"/>
    <mergeCell ref="D34:E34"/>
    <mergeCell ref="D35:E35"/>
    <mergeCell ref="D36:E36"/>
    <mergeCell ref="I31:J31"/>
    <mergeCell ref="I32:J32"/>
    <mergeCell ref="I33:J33"/>
    <mergeCell ref="I34:J34"/>
    <mergeCell ref="I35:J35"/>
    <mergeCell ref="B3:G3"/>
    <mergeCell ref="B16:G16"/>
    <mergeCell ref="J3:O3"/>
    <mergeCell ref="B26:I26"/>
    <mergeCell ref="D29:E29"/>
    <mergeCell ref="D30:E30"/>
    <mergeCell ref="D28:E28"/>
    <mergeCell ref="I29:J29"/>
    <mergeCell ref="I30:J30"/>
    <mergeCell ref="I28:J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7"/>
  <sheetViews>
    <sheetView zoomScale="150" zoomScaleNormal="150" zoomScalePageLayoutView="150" workbookViewId="0">
      <selection activeCell="D13" sqref="D13"/>
    </sheetView>
  </sheetViews>
  <sheetFormatPr baseColWidth="10" defaultRowHeight="15" x14ac:dyDescent="0.2"/>
  <cols>
    <col min="2" max="2" width="6.33203125" customWidth="1"/>
    <col min="3" max="3" width="7.1640625" customWidth="1"/>
    <col min="4" max="4" width="6.6640625" customWidth="1"/>
    <col min="5" max="5" width="7" customWidth="1"/>
    <col min="6" max="6" width="7.33203125" customWidth="1"/>
    <col min="7" max="7" width="5.5" customWidth="1"/>
    <col min="8" max="8" width="5" customWidth="1"/>
    <col min="9" max="9" width="3.6640625" customWidth="1"/>
    <col min="10" max="10" width="4.5" customWidth="1"/>
    <col min="11" max="11" width="5" customWidth="1"/>
    <col min="12" max="12" width="7.5" customWidth="1"/>
  </cols>
  <sheetData>
    <row r="2" spans="1:12" x14ac:dyDescent="0.2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</row>
    <row r="3" spans="1:12" x14ac:dyDescent="0.2">
      <c r="A3" t="s">
        <v>5</v>
      </c>
      <c r="B3">
        <v>1</v>
      </c>
      <c r="C3">
        <v>1</v>
      </c>
      <c r="D3">
        <v>1</v>
      </c>
      <c r="E3">
        <v>1</v>
      </c>
      <c r="F3">
        <v>1</v>
      </c>
    </row>
    <row r="4" spans="1:12" x14ac:dyDescent="0.2">
      <c r="A4" t="s">
        <v>6</v>
      </c>
      <c r="B4">
        <v>1</v>
      </c>
      <c r="G4">
        <v>1</v>
      </c>
      <c r="H4">
        <v>1</v>
      </c>
    </row>
    <row r="5" spans="1:12" x14ac:dyDescent="0.2">
      <c r="A5" t="s">
        <v>7</v>
      </c>
      <c r="D5">
        <v>1</v>
      </c>
      <c r="E5">
        <v>1</v>
      </c>
      <c r="F5">
        <v>1</v>
      </c>
      <c r="I5">
        <v>1</v>
      </c>
      <c r="J5">
        <v>1</v>
      </c>
      <c r="K5">
        <v>1</v>
      </c>
    </row>
    <row r="6" spans="1:12" x14ac:dyDescent="0.2">
      <c r="A6" t="s">
        <v>8</v>
      </c>
      <c r="B6">
        <v>1</v>
      </c>
      <c r="C6">
        <v>1</v>
      </c>
      <c r="L6">
        <v>1</v>
      </c>
    </row>
    <row r="7" spans="1:12" x14ac:dyDescent="0.2">
      <c r="A7" t="s">
        <v>9</v>
      </c>
      <c r="I7">
        <v>1</v>
      </c>
      <c r="J7">
        <v>1</v>
      </c>
      <c r="K7">
        <v>1</v>
      </c>
      <c r="L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zoomScale="150" zoomScaleNormal="150" zoomScalePageLayoutView="150" workbookViewId="0">
      <selection activeCell="B2" sqref="B2:L2"/>
    </sheetView>
  </sheetViews>
  <sheetFormatPr baseColWidth="10" defaultRowHeight="15" x14ac:dyDescent="0.2"/>
  <cols>
    <col min="2" max="2" width="6.33203125" customWidth="1"/>
    <col min="3" max="3" width="7.1640625" customWidth="1"/>
    <col min="4" max="4" width="6.6640625" customWidth="1"/>
    <col min="5" max="5" width="7" customWidth="1"/>
    <col min="6" max="6" width="7.33203125" customWidth="1"/>
    <col min="7" max="7" width="5.5" customWidth="1"/>
    <col min="8" max="8" width="5" customWidth="1"/>
    <col min="9" max="9" width="3.6640625" customWidth="1"/>
    <col min="10" max="10" width="4.5" customWidth="1"/>
    <col min="11" max="11" width="5" customWidth="1"/>
    <col min="12" max="12" width="7.5" customWidth="1"/>
  </cols>
  <sheetData>
    <row r="1" spans="1:12" x14ac:dyDescent="0.2">
      <c r="A1" t="s">
        <v>66</v>
      </c>
      <c r="B1">
        <v>3</v>
      </c>
      <c r="C1">
        <v>2</v>
      </c>
      <c r="D1">
        <v>2</v>
      </c>
      <c r="E1">
        <v>2</v>
      </c>
      <c r="F1">
        <v>2</v>
      </c>
      <c r="G1">
        <v>1</v>
      </c>
      <c r="H1">
        <v>1</v>
      </c>
      <c r="I1">
        <v>2</v>
      </c>
      <c r="J1">
        <v>2</v>
      </c>
      <c r="K1">
        <v>2</v>
      </c>
      <c r="L1">
        <v>2</v>
      </c>
    </row>
    <row r="2" spans="1:12" x14ac:dyDescent="0.2">
      <c r="A2" t="s">
        <v>15</v>
      </c>
      <c r="B2">
        <f>LOG(5/B1,2)</f>
        <v>0.73696559416620622</v>
      </c>
      <c r="C2">
        <f t="shared" ref="C2:L2" si="0">LOG(5/C1,2)</f>
        <v>1.3219280948873624</v>
      </c>
      <c r="D2">
        <f t="shared" si="0"/>
        <v>1.3219280948873624</v>
      </c>
      <c r="E2">
        <f t="shared" si="0"/>
        <v>1.3219280948873624</v>
      </c>
      <c r="F2">
        <f t="shared" si="0"/>
        <v>1.3219280948873624</v>
      </c>
      <c r="G2">
        <f t="shared" si="0"/>
        <v>2.3219280948873622</v>
      </c>
      <c r="H2">
        <f t="shared" si="0"/>
        <v>2.3219280948873622</v>
      </c>
      <c r="I2">
        <f t="shared" si="0"/>
        <v>1.3219280948873624</v>
      </c>
      <c r="J2">
        <f t="shared" si="0"/>
        <v>1.3219280948873624</v>
      </c>
      <c r="K2">
        <f t="shared" si="0"/>
        <v>1.3219280948873624</v>
      </c>
      <c r="L2">
        <f t="shared" si="0"/>
        <v>1.3219280948873624</v>
      </c>
    </row>
    <row r="3" spans="1:12" x14ac:dyDescent="0.2"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</row>
    <row r="4" spans="1:12" x14ac:dyDescent="0.2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</row>
    <row r="5" spans="1:12" x14ac:dyDescent="0.2">
      <c r="A5" t="s">
        <v>6</v>
      </c>
      <c r="B5">
        <v>1</v>
      </c>
      <c r="G5">
        <v>1</v>
      </c>
      <c r="H5">
        <v>1</v>
      </c>
    </row>
    <row r="6" spans="1:12" x14ac:dyDescent="0.2">
      <c r="A6" t="s">
        <v>7</v>
      </c>
      <c r="D6">
        <v>1</v>
      </c>
      <c r="E6">
        <v>1</v>
      </c>
      <c r="F6">
        <v>1</v>
      </c>
      <c r="I6">
        <v>1</v>
      </c>
      <c r="J6">
        <v>1</v>
      </c>
      <c r="K6">
        <v>1</v>
      </c>
    </row>
    <row r="7" spans="1:12" x14ac:dyDescent="0.2">
      <c r="A7" t="s">
        <v>8</v>
      </c>
      <c r="B7">
        <v>1</v>
      </c>
      <c r="C7">
        <v>1</v>
      </c>
      <c r="L7">
        <v>1</v>
      </c>
    </row>
    <row r="8" spans="1:12" x14ac:dyDescent="0.2">
      <c r="A8" t="s">
        <v>9</v>
      </c>
      <c r="I8">
        <v>1</v>
      </c>
      <c r="J8">
        <v>1</v>
      </c>
      <c r="K8">
        <v>1</v>
      </c>
      <c r="L8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zoomScale="150" zoomScaleNormal="150" zoomScalePageLayoutView="150" workbookViewId="0">
      <selection activeCell="I18" sqref="I18"/>
    </sheetView>
  </sheetViews>
  <sheetFormatPr baseColWidth="10" defaultRowHeight="15" x14ac:dyDescent="0.2"/>
  <cols>
    <col min="2" max="2" width="6.33203125" customWidth="1"/>
    <col min="3" max="3" width="7.1640625" customWidth="1"/>
    <col min="4" max="4" width="6.6640625" customWidth="1"/>
    <col min="5" max="5" width="7" customWidth="1"/>
    <col min="6" max="6" width="7.33203125" customWidth="1"/>
    <col min="7" max="7" width="5.5" customWidth="1"/>
    <col min="8" max="8" width="5" customWidth="1"/>
    <col min="9" max="9" width="3.6640625" customWidth="1"/>
    <col min="10" max="10" width="4.5" customWidth="1"/>
    <col min="11" max="11" width="5" customWidth="1"/>
    <col min="12" max="12" width="7.5" customWidth="1"/>
  </cols>
  <sheetData>
    <row r="1" spans="1:12" x14ac:dyDescent="0.2">
      <c r="A1" t="s">
        <v>66</v>
      </c>
      <c r="B1">
        <v>3</v>
      </c>
      <c r="C1">
        <v>2</v>
      </c>
      <c r="D1">
        <v>2</v>
      </c>
      <c r="E1">
        <v>2</v>
      </c>
      <c r="F1">
        <v>2</v>
      </c>
      <c r="G1">
        <v>1</v>
      </c>
      <c r="H1">
        <v>1</v>
      </c>
      <c r="I1">
        <v>2</v>
      </c>
      <c r="J1">
        <v>2</v>
      </c>
      <c r="K1">
        <v>2</v>
      </c>
      <c r="L1">
        <v>2</v>
      </c>
    </row>
    <row r="2" spans="1:12" x14ac:dyDescent="0.2">
      <c r="A2" t="s">
        <v>15</v>
      </c>
      <c r="B2">
        <f>LOG(5/B1,2)</f>
        <v>0.73696559416620622</v>
      </c>
      <c r="C2">
        <f t="shared" ref="C2:L2" si="0">LOG(5/C1,2)</f>
        <v>1.3219280948873624</v>
      </c>
      <c r="D2">
        <f t="shared" si="0"/>
        <v>1.3219280948873624</v>
      </c>
      <c r="E2">
        <f t="shared" si="0"/>
        <v>1.3219280948873624</v>
      </c>
      <c r="F2">
        <f t="shared" si="0"/>
        <v>1.3219280948873624</v>
      </c>
      <c r="G2">
        <f t="shared" si="0"/>
        <v>2.3219280948873622</v>
      </c>
      <c r="H2">
        <f t="shared" si="0"/>
        <v>2.3219280948873622</v>
      </c>
      <c r="I2">
        <f t="shared" si="0"/>
        <v>1.3219280948873624</v>
      </c>
      <c r="J2">
        <f t="shared" si="0"/>
        <v>1.3219280948873624</v>
      </c>
      <c r="K2">
        <f t="shared" si="0"/>
        <v>1.3219280948873624</v>
      </c>
      <c r="L2">
        <f t="shared" si="0"/>
        <v>1.3219280948873624</v>
      </c>
    </row>
    <row r="3" spans="1:12" x14ac:dyDescent="0.2"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</row>
    <row r="4" spans="1:12" x14ac:dyDescent="0.2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</row>
    <row r="5" spans="1:12" x14ac:dyDescent="0.2">
      <c r="A5" t="s">
        <v>6</v>
      </c>
      <c r="B5">
        <v>1</v>
      </c>
      <c r="G5">
        <v>1</v>
      </c>
      <c r="H5">
        <v>1</v>
      </c>
    </row>
    <row r="6" spans="1:12" x14ac:dyDescent="0.2">
      <c r="A6" t="s">
        <v>7</v>
      </c>
      <c r="D6">
        <v>1</v>
      </c>
      <c r="E6">
        <v>1</v>
      </c>
      <c r="F6">
        <v>1</v>
      </c>
      <c r="I6">
        <v>1</v>
      </c>
      <c r="J6">
        <v>1</v>
      </c>
      <c r="K6">
        <v>1</v>
      </c>
    </row>
    <row r="7" spans="1:12" x14ac:dyDescent="0.2">
      <c r="A7" t="s">
        <v>8</v>
      </c>
      <c r="B7">
        <v>1</v>
      </c>
      <c r="C7">
        <v>1</v>
      </c>
      <c r="L7">
        <v>1</v>
      </c>
    </row>
    <row r="8" spans="1:12" x14ac:dyDescent="0.2">
      <c r="A8" t="s">
        <v>9</v>
      </c>
      <c r="I8">
        <v>1</v>
      </c>
      <c r="J8">
        <v>1</v>
      </c>
      <c r="K8">
        <v>1</v>
      </c>
      <c r="L8">
        <v>1</v>
      </c>
    </row>
    <row r="9" spans="1:12" x14ac:dyDescent="0.2">
      <c r="A9" s="24" t="s">
        <v>5</v>
      </c>
      <c r="B9" s="24">
        <f>B4*B$2</f>
        <v>0.73696559416620622</v>
      </c>
      <c r="C9" s="24">
        <f t="shared" ref="C9:L9" si="1">C4*C$2</f>
        <v>1.3219280948873624</v>
      </c>
      <c r="D9" s="24">
        <f t="shared" si="1"/>
        <v>1.3219280948873624</v>
      </c>
      <c r="E9" s="24">
        <f t="shared" si="1"/>
        <v>1.3219280948873624</v>
      </c>
      <c r="F9" s="24">
        <f t="shared" si="1"/>
        <v>1.3219280948873624</v>
      </c>
      <c r="G9" s="24">
        <f t="shared" si="1"/>
        <v>0</v>
      </c>
      <c r="H9" s="24">
        <f t="shared" si="1"/>
        <v>0</v>
      </c>
      <c r="I9" s="24">
        <f t="shared" si="1"/>
        <v>0</v>
      </c>
      <c r="J9" s="24">
        <f t="shared" si="1"/>
        <v>0</v>
      </c>
      <c r="K9" s="24">
        <f t="shared" si="1"/>
        <v>0</v>
      </c>
      <c r="L9" s="24">
        <f t="shared" si="1"/>
        <v>0</v>
      </c>
    </row>
    <row r="10" spans="1:12" x14ac:dyDescent="0.2">
      <c r="A10" s="24" t="s">
        <v>6</v>
      </c>
      <c r="B10" s="24">
        <f t="shared" ref="B10:L10" si="2">B5*B$2</f>
        <v>0.73696559416620622</v>
      </c>
      <c r="C10" s="24">
        <f t="shared" si="2"/>
        <v>0</v>
      </c>
      <c r="D10" s="24">
        <f t="shared" si="2"/>
        <v>0</v>
      </c>
      <c r="E10" s="24">
        <f t="shared" si="2"/>
        <v>0</v>
      </c>
      <c r="F10" s="24">
        <f t="shared" si="2"/>
        <v>0</v>
      </c>
      <c r="G10" s="24">
        <f t="shared" si="2"/>
        <v>2.3219280948873622</v>
      </c>
      <c r="H10" s="24">
        <f t="shared" si="2"/>
        <v>2.3219280948873622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</row>
    <row r="11" spans="1:12" x14ac:dyDescent="0.2">
      <c r="A11" s="24" t="s">
        <v>7</v>
      </c>
      <c r="B11" s="24">
        <f t="shared" ref="B11:L11" si="3">B6*B$2</f>
        <v>0</v>
      </c>
      <c r="C11" s="24">
        <f t="shared" si="3"/>
        <v>0</v>
      </c>
      <c r="D11" s="24">
        <f t="shared" si="3"/>
        <v>1.3219280948873624</v>
      </c>
      <c r="E11" s="24">
        <f t="shared" si="3"/>
        <v>1.3219280948873624</v>
      </c>
      <c r="F11" s="24">
        <f t="shared" si="3"/>
        <v>1.3219280948873624</v>
      </c>
      <c r="G11" s="24">
        <f t="shared" si="3"/>
        <v>0</v>
      </c>
      <c r="H11" s="24">
        <f t="shared" si="3"/>
        <v>0</v>
      </c>
      <c r="I11" s="24">
        <f t="shared" si="3"/>
        <v>1.3219280948873624</v>
      </c>
      <c r="J11" s="24">
        <f t="shared" si="3"/>
        <v>1.3219280948873624</v>
      </c>
      <c r="K11" s="24">
        <f t="shared" si="3"/>
        <v>1.3219280948873624</v>
      </c>
      <c r="L11" s="24">
        <f t="shared" si="3"/>
        <v>0</v>
      </c>
    </row>
    <row r="12" spans="1:12" x14ac:dyDescent="0.2">
      <c r="A12" s="24" t="s">
        <v>8</v>
      </c>
      <c r="B12" s="24">
        <f t="shared" ref="B12:L12" si="4">B7*B$2</f>
        <v>0.73696559416620622</v>
      </c>
      <c r="C12" s="24">
        <f t="shared" si="4"/>
        <v>1.3219280948873624</v>
      </c>
      <c r="D12" s="24">
        <f t="shared" si="4"/>
        <v>0</v>
      </c>
      <c r="E12" s="24">
        <f t="shared" si="4"/>
        <v>0</v>
      </c>
      <c r="F12" s="24">
        <f t="shared" si="4"/>
        <v>0</v>
      </c>
      <c r="G12" s="24">
        <f t="shared" si="4"/>
        <v>0</v>
      </c>
      <c r="H12" s="24">
        <f t="shared" si="4"/>
        <v>0</v>
      </c>
      <c r="I12" s="24">
        <f t="shared" si="4"/>
        <v>0</v>
      </c>
      <c r="J12" s="24">
        <f t="shared" si="4"/>
        <v>0</v>
      </c>
      <c r="K12" s="24">
        <f t="shared" si="4"/>
        <v>0</v>
      </c>
      <c r="L12" s="24">
        <f t="shared" si="4"/>
        <v>1.3219280948873624</v>
      </c>
    </row>
    <row r="13" spans="1:12" x14ac:dyDescent="0.2">
      <c r="A13" s="24" t="s">
        <v>9</v>
      </c>
      <c r="B13" s="24">
        <f t="shared" ref="B13:L13" si="5">B8*B$2</f>
        <v>0</v>
      </c>
      <c r="C13" s="24">
        <f t="shared" si="5"/>
        <v>0</v>
      </c>
      <c r="D13" s="24">
        <f t="shared" si="5"/>
        <v>0</v>
      </c>
      <c r="E13" s="24">
        <f t="shared" si="5"/>
        <v>0</v>
      </c>
      <c r="F13" s="24">
        <f t="shared" si="5"/>
        <v>0</v>
      </c>
      <c r="G13" s="24">
        <f t="shared" si="5"/>
        <v>0</v>
      </c>
      <c r="H13" s="24">
        <f t="shared" si="5"/>
        <v>0</v>
      </c>
      <c r="I13" s="24">
        <f t="shared" si="5"/>
        <v>1.3219280948873624</v>
      </c>
      <c r="J13" s="24">
        <f t="shared" si="5"/>
        <v>1.3219280948873624</v>
      </c>
      <c r="K13" s="24">
        <f t="shared" si="5"/>
        <v>1.3219280948873624</v>
      </c>
      <c r="L13" s="24">
        <f t="shared" si="5"/>
        <v>1.3219280948873624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topLeftCell="A5" zoomScale="150" zoomScaleNormal="150" zoomScalePageLayoutView="150" workbookViewId="0">
      <selection activeCell="B17" sqref="B17"/>
    </sheetView>
  </sheetViews>
  <sheetFormatPr baseColWidth="10" defaultRowHeight="15" x14ac:dyDescent="0.2"/>
  <cols>
    <col min="2" max="2" width="6.33203125" customWidth="1"/>
    <col min="3" max="3" width="7.1640625" customWidth="1"/>
    <col min="4" max="4" width="6.6640625" customWidth="1"/>
    <col min="5" max="5" width="7" customWidth="1"/>
    <col min="6" max="6" width="7.33203125" customWidth="1"/>
    <col min="7" max="7" width="5.5" customWidth="1"/>
    <col min="8" max="8" width="5" customWidth="1"/>
    <col min="9" max="9" width="3.6640625" customWidth="1"/>
    <col min="10" max="10" width="4.5" customWidth="1"/>
    <col min="11" max="11" width="5" customWidth="1"/>
    <col min="12" max="12" width="7.5" customWidth="1"/>
  </cols>
  <sheetData>
    <row r="1" spans="1:13" x14ac:dyDescent="0.2">
      <c r="A1" t="s">
        <v>66</v>
      </c>
      <c r="B1">
        <v>3</v>
      </c>
      <c r="C1">
        <v>2</v>
      </c>
      <c r="D1">
        <v>2</v>
      </c>
      <c r="E1">
        <v>2</v>
      </c>
      <c r="F1">
        <v>2</v>
      </c>
      <c r="G1">
        <v>1</v>
      </c>
      <c r="H1">
        <v>1</v>
      </c>
      <c r="I1">
        <v>2</v>
      </c>
      <c r="J1">
        <v>2</v>
      </c>
      <c r="K1">
        <v>2</v>
      </c>
      <c r="L1">
        <v>2</v>
      </c>
    </row>
    <row r="2" spans="1:13" x14ac:dyDescent="0.2">
      <c r="A2" t="s">
        <v>15</v>
      </c>
      <c r="B2">
        <f>LOG(5/B1,2)</f>
        <v>0.73696559416620622</v>
      </c>
      <c r="C2">
        <f t="shared" ref="C2:L2" si="0">LOG(5/C1,2)</f>
        <v>1.3219280948873624</v>
      </c>
      <c r="D2">
        <f t="shared" si="0"/>
        <v>1.3219280948873624</v>
      </c>
      <c r="E2">
        <f t="shared" si="0"/>
        <v>1.3219280948873624</v>
      </c>
      <c r="F2">
        <f t="shared" si="0"/>
        <v>1.3219280948873624</v>
      </c>
      <c r="G2">
        <f t="shared" si="0"/>
        <v>2.3219280948873622</v>
      </c>
      <c r="H2">
        <f t="shared" si="0"/>
        <v>2.3219280948873622</v>
      </c>
      <c r="I2">
        <f t="shared" si="0"/>
        <v>1.3219280948873624</v>
      </c>
      <c r="J2">
        <f t="shared" si="0"/>
        <v>1.3219280948873624</v>
      </c>
      <c r="K2">
        <f t="shared" si="0"/>
        <v>1.3219280948873624</v>
      </c>
      <c r="L2">
        <f t="shared" si="0"/>
        <v>1.3219280948873624</v>
      </c>
    </row>
    <row r="3" spans="1:13" x14ac:dyDescent="0.2"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</row>
    <row r="4" spans="1:13" x14ac:dyDescent="0.2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</row>
    <row r="5" spans="1:13" x14ac:dyDescent="0.2">
      <c r="A5" t="s">
        <v>6</v>
      </c>
      <c r="B5">
        <v>1</v>
      </c>
      <c r="G5">
        <v>1</v>
      </c>
      <c r="H5">
        <v>1</v>
      </c>
    </row>
    <row r="6" spans="1:13" x14ac:dyDescent="0.2">
      <c r="A6" t="s">
        <v>7</v>
      </c>
      <c r="D6">
        <v>1</v>
      </c>
      <c r="E6">
        <v>1</v>
      </c>
      <c r="F6">
        <v>1</v>
      </c>
      <c r="I6">
        <v>1</v>
      </c>
      <c r="J6">
        <v>1</v>
      </c>
      <c r="K6">
        <v>1</v>
      </c>
    </row>
    <row r="7" spans="1:13" x14ac:dyDescent="0.2">
      <c r="A7" t="s">
        <v>8</v>
      </c>
      <c r="B7">
        <v>1</v>
      </c>
      <c r="C7">
        <v>1</v>
      </c>
      <c r="L7">
        <v>1</v>
      </c>
    </row>
    <row r="8" spans="1:13" x14ac:dyDescent="0.2">
      <c r="A8" t="s">
        <v>9</v>
      </c>
      <c r="I8">
        <v>1</v>
      </c>
      <c r="J8">
        <v>1</v>
      </c>
      <c r="K8">
        <v>1</v>
      </c>
      <c r="L8">
        <v>1</v>
      </c>
    </row>
    <row r="9" spans="1:13" x14ac:dyDescent="0.2">
      <c r="A9" s="24" t="s">
        <v>5</v>
      </c>
      <c r="B9" s="24">
        <f>B4*B$2</f>
        <v>0.73696559416620622</v>
      </c>
      <c r="C9" s="24">
        <f t="shared" ref="C9:L9" si="1">C4*C$2</f>
        <v>1.3219280948873624</v>
      </c>
      <c r="D9" s="24">
        <f t="shared" si="1"/>
        <v>1.3219280948873624</v>
      </c>
      <c r="E9" s="24">
        <f t="shared" si="1"/>
        <v>1.3219280948873624</v>
      </c>
      <c r="F9" s="24">
        <f t="shared" si="1"/>
        <v>1.3219280948873624</v>
      </c>
      <c r="G9" s="24">
        <f t="shared" si="1"/>
        <v>0</v>
      </c>
      <c r="H9" s="24">
        <f t="shared" si="1"/>
        <v>0</v>
      </c>
      <c r="I9" s="24">
        <f t="shared" si="1"/>
        <v>0</v>
      </c>
      <c r="J9" s="24">
        <f t="shared" si="1"/>
        <v>0</v>
      </c>
      <c r="K9" s="24">
        <f t="shared" si="1"/>
        <v>0</v>
      </c>
      <c r="L9" s="24">
        <f t="shared" si="1"/>
        <v>0</v>
      </c>
      <c r="M9" s="24">
        <f>SQRT((B9-B$14)*(B9-B$14)+(C9-C$14)*(C9-C$14)+(D9-D$14)*(D9-D$14)+(E9-E$14)*(E9-E$14)+(F9-F$14)*(F9-F$14)+(G9-G$14)*(G9-G$14)+(H9-H$14)*(H9-H$14)+(I9-I$14)*(I9-I$14)+(J9-J$14)*(J9-J$14)+(K9-K$14)*(K9-K$14)+(L9-L$14)*(L9-L$14))</f>
        <v>2.4267751542778226</v>
      </c>
    </row>
    <row r="10" spans="1:13" x14ac:dyDescent="0.2">
      <c r="A10" s="24" t="s">
        <v>6</v>
      </c>
      <c r="B10" s="24">
        <f t="shared" ref="B10:L13" si="2">B5*B$2</f>
        <v>0.73696559416620622</v>
      </c>
      <c r="C10" s="24">
        <f t="shared" si="2"/>
        <v>0</v>
      </c>
      <c r="D10" s="24">
        <f t="shared" si="2"/>
        <v>0</v>
      </c>
      <c r="E10" s="24">
        <f t="shared" si="2"/>
        <v>0</v>
      </c>
      <c r="F10" s="24">
        <f t="shared" si="2"/>
        <v>0</v>
      </c>
      <c r="G10" s="24">
        <f t="shared" si="2"/>
        <v>2.3219280948873622</v>
      </c>
      <c r="H10" s="24">
        <f t="shared" si="2"/>
        <v>2.3219280948873622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ref="M10:M13" si="3">SQRT((B10-B$14)*(B10-B$14)+(C10-C$14)*(C10-C$14)+(D10-D$14)*(D10-D$14)+(E10-E$14)*(E10-E$14)+(F10-F$14)*(F10-F$14)+(G10-G$14)*(G10-G$14)+(H10-H$14)*(H10-H$14)+(I10-I$14)*(I10-I$14)+(J10-J$14)*(J10-J$14)+(K10-K$14)*(K10-K$14)+(L10-L$14)*(L10-L$14))</f>
        <v>3.510814498466027</v>
      </c>
    </row>
    <row r="11" spans="1:13" x14ac:dyDescent="0.2">
      <c r="A11" s="24" t="s">
        <v>7</v>
      </c>
      <c r="B11" s="24">
        <f t="shared" si="2"/>
        <v>0</v>
      </c>
      <c r="C11" s="24">
        <f t="shared" si="2"/>
        <v>0</v>
      </c>
      <c r="D11" s="24">
        <f t="shared" si="2"/>
        <v>1.3219280948873624</v>
      </c>
      <c r="E11" s="24">
        <f t="shared" si="2"/>
        <v>1.3219280948873624</v>
      </c>
      <c r="F11" s="24">
        <f t="shared" si="2"/>
        <v>1.3219280948873624</v>
      </c>
      <c r="G11" s="24">
        <f t="shared" si="2"/>
        <v>0</v>
      </c>
      <c r="H11" s="24">
        <f t="shared" si="2"/>
        <v>0</v>
      </c>
      <c r="I11" s="24">
        <f t="shared" si="2"/>
        <v>1.3219280948873624</v>
      </c>
      <c r="J11" s="24">
        <f t="shared" si="2"/>
        <v>1.3219280948873624</v>
      </c>
      <c r="K11" s="24">
        <f t="shared" si="2"/>
        <v>1.3219280948873624</v>
      </c>
      <c r="L11" s="24">
        <f t="shared" si="2"/>
        <v>0</v>
      </c>
      <c r="M11" s="24">
        <f t="shared" si="3"/>
        <v>2.9733999291283477</v>
      </c>
    </row>
    <row r="12" spans="1:13" x14ac:dyDescent="0.2">
      <c r="A12" s="24" t="s">
        <v>8</v>
      </c>
      <c r="B12" s="24">
        <f t="shared" si="2"/>
        <v>0.73696559416620622</v>
      </c>
      <c r="C12" s="24">
        <f t="shared" si="2"/>
        <v>1.3219280948873624</v>
      </c>
      <c r="D12" s="24">
        <f t="shared" si="2"/>
        <v>0</v>
      </c>
      <c r="E12" s="24">
        <f t="shared" si="2"/>
        <v>0</v>
      </c>
      <c r="F12" s="24">
        <f t="shared" si="2"/>
        <v>0</v>
      </c>
      <c r="G12" s="24">
        <f t="shared" si="2"/>
        <v>0</v>
      </c>
      <c r="H12" s="24">
        <f t="shared" si="2"/>
        <v>0</v>
      </c>
      <c r="I12" s="24">
        <f t="shared" si="2"/>
        <v>0</v>
      </c>
      <c r="J12" s="24">
        <f t="shared" si="2"/>
        <v>0</v>
      </c>
      <c r="K12" s="24">
        <f t="shared" si="2"/>
        <v>0</v>
      </c>
      <c r="L12" s="24">
        <f t="shared" si="2"/>
        <v>1.3219280948873624</v>
      </c>
      <c r="M12" s="24">
        <f t="shared" si="3"/>
        <v>2.2445725791539495</v>
      </c>
    </row>
    <row r="13" spans="1:13" x14ac:dyDescent="0.2">
      <c r="A13" s="24" t="s">
        <v>9</v>
      </c>
      <c r="B13" s="24">
        <f t="shared" si="2"/>
        <v>0</v>
      </c>
      <c r="C13" s="24">
        <f t="shared" si="2"/>
        <v>0</v>
      </c>
      <c r="D13" s="24">
        <f t="shared" si="2"/>
        <v>0</v>
      </c>
      <c r="E13" s="24">
        <f t="shared" si="2"/>
        <v>0</v>
      </c>
      <c r="F13" s="24">
        <f t="shared" si="2"/>
        <v>0</v>
      </c>
      <c r="G13" s="24">
        <f t="shared" si="2"/>
        <v>0</v>
      </c>
      <c r="H13" s="24">
        <f t="shared" si="2"/>
        <v>0</v>
      </c>
      <c r="I13" s="24">
        <f t="shared" si="2"/>
        <v>1.3219280948873624</v>
      </c>
      <c r="J13" s="24">
        <f t="shared" si="2"/>
        <v>1.3219280948873624</v>
      </c>
      <c r="K13" s="24">
        <f t="shared" si="2"/>
        <v>1.3219280948873624</v>
      </c>
      <c r="L13" s="24">
        <f t="shared" si="2"/>
        <v>1.3219280948873624</v>
      </c>
      <c r="M13" s="24">
        <f t="shared" si="3"/>
        <v>2.826654480514045</v>
      </c>
    </row>
    <row r="14" spans="1:13" x14ac:dyDescent="0.2">
      <c r="A14" s="24" t="s">
        <v>69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3" x14ac:dyDescent="0.2">
      <c r="A15" s="24" t="s">
        <v>67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</row>
    <row r="16" spans="1:13" x14ac:dyDescent="0.2">
      <c r="A16" s="24" t="s">
        <v>68</v>
      </c>
      <c r="D16" t="s">
        <v>70</v>
      </c>
      <c r="F16" t="s">
        <v>71</v>
      </c>
      <c r="G16" t="s">
        <v>72</v>
      </c>
      <c r="I16" t="s">
        <v>73</v>
      </c>
      <c r="K16" t="s">
        <v>74</v>
      </c>
    </row>
    <row r="17" spans="1:11" x14ac:dyDescent="0.2">
      <c r="A17" t="s">
        <v>76</v>
      </c>
      <c r="D17" t="s">
        <v>70</v>
      </c>
      <c r="F17" t="s">
        <v>75</v>
      </c>
      <c r="G17" t="s">
        <v>72</v>
      </c>
      <c r="I17" t="s">
        <v>73</v>
      </c>
      <c r="K17" t="s">
        <v>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6"/>
  <sheetViews>
    <sheetView topLeftCell="B8" zoomScale="150" zoomScaleNormal="150" zoomScalePageLayoutView="150" workbookViewId="0">
      <selection activeCell="H21" sqref="H21"/>
    </sheetView>
  </sheetViews>
  <sheetFormatPr baseColWidth="10" defaultRowHeight="15" x14ac:dyDescent="0.2"/>
  <cols>
    <col min="2" max="2" width="31.33203125" customWidth="1"/>
    <col min="10" max="10" width="4.6640625" customWidth="1"/>
  </cols>
  <sheetData>
    <row r="2" spans="2:10" x14ac:dyDescent="0.2">
      <c r="C2" t="s">
        <v>15</v>
      </c>
      <c r="D2">
        <f>LOG(10/8,2)</f>
        <v>0.32192809488736235</v>
      </c>
      <c r="E2">
        <f t="shared" ref="E2" si="0">LOG(10/8,2)</f>
        <v>0.32192809488736235</v>
      </c>
      <c r="F2">
        <f>LOG(10/9,2)</f>
        <v>0.15200309344505006</v>
      </c>
      <c r="G2">
        <f>LOG(10/7,2)</f>
        <v>0.51457317282975823</v>
      </c>
      <c r="H2">
        <f>LOG(10/5,2)</f>
        <v>1</v>
      </c>
    </row>
    <row r="3" spans="2:10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2:10" ht="16" x14ac:dyDescent="0.2">
      <c r="B4" s="25" t="s">
        <v>77</v>
      </c>
      <c r="C4" t="s">
        <v>5</v>
      </c>
      <c r="D4">
        <v>7</v>
      </c>
      <c r="E4">
        <v>4</v>
      </c>
      <c r="F4">
        <v>1</v>
      </c>
      <c r="G4">
        <v>1</v>
      </c>
    </row>
    <row r="5" spans="2:10" ht="16" x14ac:dyDescent="0.2">
      <c r="B5" s="25" t="s">
        <v>78</v>
      </c>
      <c r="C5" t="s">
        <v>6</v>
      </c>
      <c r="D5">
        <v>4</v>
      </c>
      <c r="E5">
        <v>3</v>
      </c>
      <c r="F5">
        <v>4</v>
      </c>
      <c r="G5">
        <v>5</v>
      </c>
    </row>
    <row r="6" spans="2:10" ht="16" x14ac:dyDescent="0.2">
      <c r="B6" s="25" t="s">
        <v>79</v>
      </c>
      <c r="C6" t="s">
        <v>7</v>
      </c>
      <c r="F6">
        <v>6</v>
      </c>
      <c r="G6">
        <v>8</v>
      </c>
    </row>
    <row r="7" spans="2:10" ht="16" x14ac:dyDescent="0.2">
      <c r="B7" s="25" t="s">
        <v>80</v>
      </c>
      <c r="C7" t="s">
        <v>8</v>
      </c>
      <c r="D7">
        <v>3</v>
      </c>
      <c r="E7">
        <v>3</v>
      </c>
      <c r="F7">
        <v>3</v>
      </c>
      <c r="G7">
        <v>3</v>
      </c>
      <c r="H7">
        <v>3</v>
      </c>
    </row>
    <row r="8" spans="2:10" ht="16" x14ac:dyDescent="0.2">
      <c r="B8" s="25" t="s">
        <v>81</v>
      </c>
      <c r="C8" t="s">
        <v>9</v>
      </c>
      <c r="D8">
        <v>1</v>
      </c>
      <c r="E8">
        <v>2</v>
      </c>
      <c r="F8">
        <v>11</v>
      </c>
    </row>
    <row r="9" spans="2:10" ht="16" x14ac:dyDescent="0.2">
      <c r="B9" s="25" t="s">
        <v>82</v>
      </c>
      <c r="C9" t="s">
        <v>10</v>
      </c>
      <c r="D9">
        <v>1</v>
      </c>
      <c r="G9">
        <v>7</v>
      </c>
      <c r="H9">
        <v>3</v>
      </c>
    </row>
    <row r="10" spans="2:10" ht="16" x14ac:dyDescent="0.2">
      <c r="B10" s="25" t="s">
        <v>83</v>
      </c>
      <c r="C10" t="s">
        <v>11</v>
      </c>
      <c r="E10">
        <v>8</v>
      </c>
      <c r="F10">
        <v>2</v>
      </c>
      <c r="H10">
        <v>4</v>
      </c>
    </row>
    <row r="11" spans="2:10" ht="16" x14ac:dyDescent="0.2">
      <c r="B11" s="25" t="s">
        <v>84</v>
      </c>
      <c r="C11" t="s">
        <v>12</v>
      </c>
      <c r="D11">
        <v>5</v>
      </c>
      <c r="E11">
        <v>3</v>
      </c>
      <c r="F11">
        <v>1</v>
      </c>
      <c r="G11">
        <v>0</v>
      </c>
      <c r="H11">
        <v>7</v>
      </c>
    </row>
    <row r="12" spans="2:10" ht="16" x14ac:dyDescent="0.2">
      <c r="B12" s="25" t="s">
        <v>85</v>
      </c>
      <c r="C12" t="s">
        <v>13</v>
      </c>
      <c r="D12">
        <v>3</v>
      </c>
      <c r="E12">
        <v>1</v>
      </c>
      <c r="F12">
        <v>1</v>
      </c>
      <c r="G12">
        <v>0</v>
      </c>
      <c r="H12">
        <v>5</v>
      </c>
    </row>
    <row r="13" spans="2:10" ht="16" x14ac:dyDescent="0.2">
      <c r="B13" s="25" t="s">
        <v>86</v>
      </c>
      <c r="C13" t="s">
        <v>14</v>
      </c>
      <c r="D13">
        <v>1</v>
      </c>
      <c r="E13">
        <v>4</v>
      </c>
      <c r="F13">
        <v>3</v>
      </c>
      <c r="G13">
        <v>3</v>
      </c>
      <c r="H13">
        <v>0</v>
      </c>
    </row>
    <row r="14" spans="2:10" ht="16" x14ac:dyDescent="0.2">
      <c r="B14" s="26" t="s">
        <v>77</v>
      </c>
      <c r="C14" s="24" t="s">
        <v>5</v>
      </c>
      <c r="D14" s="24">
        <f>D4*D$2</f>
        <v>2.2534966642115366</v>
      </c>
      <c r="E14" s="24">
        <f t="shared" ref="E14:H14" si="1">E4*E$2</f>
        <v>1.2877123795494494</v>
      </c>
      <c r="F14" s="24">
        <f t="shared" si="1"/>
        <v>0.15200309344505006</v>
      </c>
      <c r="G14" s="24">
        <f t="shared" si="1"/>
        <v>0.51457317282975823</v>
      </c>
      <c r="H14" s="24">
        <f t="shared" si="1"/>
        <v>0</v>
      </c>
      <c r="I14" s="24">
        <f>D14*1+H14*1</f>
        <v>2.2534966642115366</v>
      </c>
      <c r="J14">
        <v>6</v>
      </c>
    </row>
    <row r="15" spans="2:10" ht="16" x14ac:dyDescent="0.2">
      <c r="B15" s="26" t="s">
        <v>78</v>
      </c>
      <c r="C15" s="24" t="s">
        <v>6</v>
      </c>
      <c r="D15" s="24">
        <f t="shared" ref="D15:H15" si="2">D5*D$2</f>
        <v>1.2877123795494494</v>
      </c>
      <c r="E15" s="24">
        <f t="shared" si="2"/>
        <v>0.96578428466208699</v>
      </c>
      <c r="F15" s="24">
        <f t="shared" si="2"/>
        <v>0.60801237378020023</v>
      </c>
      <c r="G15" s="24">
        <f t="shared" si="2"/>
        <v>2.5728658641487909</v>
      </c>
      <c r="H15" s="24">
        <f t="shared" si="2"/>
        <v>0</v>
      </c>
      <c r="I15" s="24">
        <f t="shared" ref="I15:I23" si="3">D15*1+H15*1</f>
        <v>1.2877123795494494</v>
      </c>
      <c r="J15">
        <v>7</v>
      </c>
    </row>
    <row r="16" spans="2:10" ht="16" x14ac:dyDescent="0.2">
      <c r="B16" s="26" t="s">
        <v>79</v>
      </c>
      <c r="C16" s="27" t="s">
        <v>7</v>
      </c>
      <c r="D16" s="24">
        <f t="shared" ref="D16:H16" si="4">D6*D$2</f>
        <v>0</v>
      </c>
      <c r="E16" s="24">
        <f t="shared" si="4"/>
        <v>0</v>
      </c>
      <c r="F16" s="24">
        <f t="shared" si="4"/>
        <v>0.9120185606703004</v>
      </c>
      <c r="G16" s="24">
        <f t="shared" si="4"/>
        <v>4.1165853826380658</v>
      </c>
      <c r="H16" s="24">
        <f t="shared" si="4"/>
        <v>0</v>
      </c>
      <c r="I16" s="24">
        <f t="shared" si="3"/>
        <v>0</v>
      </c>
      <c r="J16">
        <v>10</v>
      </c>
    </row>
    <row r="17" spans="2:10" ht="16" x14ac:dyDescent="0.2">
      <c r="B17" s="26" t="s">
        <v>80</v>
      </c>
      <c r="C17" s="24" t="s">
        <v>8</v>
      </c>
      <c r="D17" s="24">
        <f t="shared" ref="D17:H17" si="5">D7*D$2</f>
        <v>0.96578428466208699</v>
      </c>
      <c r="E17" s="24">
        <f t="shared" si="5"/>
        <v>0.96578428466208699</v>
      </c>
      <c r="F17" s="24">
        <f t="shared" si="5"/>
        <v>0.4560092803351502</v>
      </c>
      <c r="G17" s="24">
        <f t="shared" si="5"/>
        <v>1.5437195184892747</v>
      </c>
      <c r="H17" s="24">
        <f t="shared" si="5"/>
        <v>3</v>
      </c>
      <c r="I17" s="24">
        <f t="shared" si="3"/>
        <v>3.965784284662087</v>
      </c>
      <c r="J17">
        <v>4</v>
      </c>
    </row>
    <row r="18" spans="2:10" ht="16" x14ac:dyDescent="0.2">
      <c r="B18" s="26" t="s">
        <v>81</v>
      </c>
      <c r="C18" s="24" t="s">
        <v>9</v>
      </c>
      <c r="D18" s="24">
        <f t="shared" ref="D18:H18" si="6">D8*D$2</f>
        <v>0.32192809488736235</v>
      </c>
      <c r="E18" s="24">
        <f t="shared" si="6"/>
        <v>0.6438561897747247</v>
      </c>
      <c r="F18" s="24">
        <f t="shared" si="6"/>
        <v>1.6720340278955506</v>
      </c>
      <c r="G18" s="24">
        <f t="shared" si="6"/>
        <v>0</v>
      </c>
      <c r="H18" s="24">
        <f t="shared" si="6"/>
        <v>0</v>
      </c>
      <c r="I18" s="24">
        <f t="shared" si="3"/>
        <v>0.32192809488736235</v>
      </c>
      <c r="J18">
        <v>8</v>
      </c>
    </row>
    <row r="19" spans="2:10" ht="16" x14ac:dyDescent="0.2">
      <c r="B19" s="26" t="s">
        <v>82</v>
      </c>
      <c r="C19" s="24" t="s">
        <v>10</v>
      </c>
      <c r="D19" s="24">
        <f t="shared" ref="D19:H19" si="7">D9*D$2</f>
        <v>0.32192809488736235</v>
      </c>
      <c r="E19" s="24">
        <f t="shared" si="7"/>
        <v>0</v>
      </c>
      <c r="F19" s="24">
        <f t="shared" si="7"/>
        <v>0</v>
      </c>
      <c r="G19" s="24">
        <f t="shared" si="7"/>
        <v>3.6020122098083078</v>
      </c>
      <c r="H19" s="24">
        <f t="shared" si="7"/>
        <v>3</v>
      </c>
      <c r="I19" s="24">
        <f t="shared" si="3"/>
        <v>3.3219280948873622</v>
      </c>
      <c r="J19">
        <v>5</v>
      </c>
    </row>
    <row r="20" spans="2:10" ht="16" x14ac:dyDescent="0.2">
      <c r="B20" s="26" t="s">
        <v>83</v>
      </c>
      <c r="C20" s="24" t="s">
        <v>11</v>
      </c>
      <c r="D20" s="24">
        <f t="shared" ref="D20:H20" si="8">D10*D$2</f>
        <v>0</v>
      </c>
      <c r="E20" s="24">
        <f t="shared" si="8"/>
        <v>2.5754247590988988</v>
      </c>
      <c r="F20" s="24">
        <f t="shared" si="8"/>
        <v>0.30400618689010012</v>
      </c>
      <c r="G20" s="24">
        <f t="shared" si="8"/>
        <v>0</v>
      </c>
      <c r="H20" s="24">
        <f t="shared" si="8"/>
        <v>4</v>
      </c>
      <c r="I20" s="24">
        <f t="shared" si="3"/>
        <v>4</v>
      </c>
      <c r="J20">
        <v>3</v>
      </c>
    </row>
    <row r="21" spans="2:10" ht="16" x14ac:dyDescent="0.2">
      <c r="B21" s="26" t="s">
        <v>84</v>
      </c>
      <c r="C21" s="24" t="s">
        <v>12</v>
      </c>
      <c r="D21" s="24">
        <f t="shared" ref="D21:H21" si="9">D11*D$2</f>
        <v>1.6096404744368118</v>
      </c>
      <c r="E21" s="24">
        <f t="shared" si="9"/>
        <v>0.96578428466208699</v>
      </c>
      <c r="F21" s="24">
        <f t="shared" si="9"/>
        <v>0.15200309344505006</v>
      </c>
      <c r="G21" s="24">
        <f t="shared" si="9"/>
        <v>0</v>
      </c>
      <c r="H21" s="24">
        <f t="shared" si="9"/>
        <v>7</v>
      </c>
      <c r="I21" s="24">
        <f t="shared" si="3"/>
        <v>8.6096404744368122</v>
      </c>
      <c r="J21">
        <v>1</v>
      </c>
    </row>
    <row r="22" spans="2:10" ht="16" x14ac:dyDescent="0.2">
      <c r="B22" s="26" t="s">
        <v>85</v>
      </c>
      <c r="C22" s="24" t="s">
        <v>13</v>
      </c>
      <c r="D22" s="24">
        <f t="shared" ref="D22:H22" si="10">D12*D$2</f>
        <v>0.96578428466208699</v>
      </c>
      <c r="E22" s="24">
        <f t="shared" si="10"/>
        <v>0.32192809488736235</v>
      </c>
      <c r="F22" s="24">
        <f t="shared" si="10"/>
        <v>0.15200309344505006</v>
      </c>
      <c r="G22" s="24">
        <f t="shared" si="10"/>
        <v>0</v>
      </c>
      <c r="H22" s="24">
        <f t="shared" si="10"/>
        <v>5</v>
      </c>
      <c r="I22" s="24">
        <f t="shared" si="3"/>
        <v>5.965784284662087</v>
      </c>
      <c r="J22">
        <v>2</v>
      </c>
    </row>
    <row r="23" spans="2:10" ht="16" x14ac:dyDescent="0.2">
      <c r="B23" s="26" t="s">
        <v>86</v>
      </c>
      <c r="C23" s="24" t="s">
        <v>14</v>
      </c>
      <c r="D23" s="24">
        <f t="shared" ref="D23:H23" si="11">D13*D$2</f>
        <v>0.32192809488736235</v>
      </c>
      <c r="E23" s="24">
        <f t="shared" si="11"/>
        <v>1.2877123795494494</v>
      </c>
      <c r="F23" s="24">
        <f t="shared" si="11"/>
        <v>0.4560092803351502</v>
      </c>
      <c r="G23" s="24">
        <f t="shared" si="11"/>
        <v>1.5437195184892747</v>
      </c>
      <c r="H23" s="24">
        <f t="shared" si="11"/>
        <v>0</v>
      </c>
      <c r="I23" s="24">
        <f t="shared" si="3"/>
        <v>0.32192809488736235</v>
      </c>
      <c r="J23">
        <v>8</v>
      </c>
    </row>
    <row r="24" spans="2:10" ht="16" x14ac:dyDescent="0.2">
      <c r="B24" s="26"/>
      <c r="D24">
        <v>1</v>
      </c>
      <c r="E24">
        <v>0</v>
      </c>
      <c r="F24">
        <v>0</v>
      </c>
      <c r="G24">
        <v>0</v>
      </c>
      <c r="H24">
        <v>1</v>
      </c>
      <c r="I24" t="s">
        <v>87</v>
      </c>
    </row>
    <row r="25" spans="2:10" x14ac:dyDescent="0.2">
      <c r="C25" s="24" t="s">
        <v>88</v>
      </c>
      <c r="D25" t="s">
        <v>90</v>
      </c>
      <c r="F25" t="s">
        <v>92</v>
      </c>
      <c r="G25" s="24">
        <f>4/9</f>
        <v>0.44444444444444442</v>
      </c>
      <c r="H25" s="24">
        <f>4/5</f>
        <v>0.8</v>
      </c>
      <c r="I25" s="24">
        <f>2*G25*H25/(G25+H25)</f>
        <v>0.5714285714285714</v>
      </c>
    </row>
    <row r="26" spans="2:10" x14ac:dyDescent="0.2">
      <c r="C26" s="24" t="s">
        <v>89</v>
      </c>
      <c r="D26" t="s">
        <v>91</v>
      </c>
      <c r="F26" t="s">
        <v>92</v>
      </c>
      <c r="G26">
        <f>5/9</f>
        <v>0.55555555555555558</v>
      </c>
      <c r="H26">
        <f>5/5</f>
        <v>1</v>
      </c>
      <c r="I26" s="24">
        <f>2*G26*H26/(G26+H26)</f>
        <v>0.7142857142857143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2DBA-773D-764D-90A9-DD2C91A06A6F}">
  <dimension ref="A1:L20"/>
  <sheetViews>
    <sheetView tabSelected="1" zoomScale="107" zoomScaleNormal="107" workbookViewId="0">
      <selection activeCell="M8" sqref="M8"/>
    </sheetView>
  </sheetViews>
  <sheetFormatPr baseColWidth="10" defaultRowHeight="15" x14ac:dyDescent="0.2"/>
  <sheetData>
    <row r="1" spans="1:12" x14ac:dyDescent="0.2">
      <c r="G1" s="27" t="s">
        <v>93</v>
      </c>
      <c r="H1" s="28" t="s">
        <v>94</v>
      </c>
      <c r="I1" s="29" t="s">
        <v>95</v>
      </c>
      <c r="L1" t="s">
        <v>114</v>
      </c>
    </row>
    <row r="2" spans="1:12" x14ac:dyDescent="0.2">
      <c r="A2" t="s">
        <v>5</v>
      </c>
      <c r="B2" s="28">
        <v>6.36</v>
      </c>
      <c r="C2" s="28">
        <v>6.94</v>
      </c>
      <c r="D2" s="28">
        <v>0.68</v>
      </c>
      <c r="E2" s="28">
        <v>1.39</v>
      </c>
      <c r="F2" s="28">
        <v>5.58</v>
      </c>
      <c r="G2" s="27">
        <f>(B2-$B$13)*(B2-$B$13)+(C2-$C$13)*(C2-$C$13)+(D2-$D$13)*(D2-$D$13)+(E2-$E$13)*(E2-$E$13)+(F2-$F$13)*(F2-$F$13)</f>
        <v>46.926772000000007</v>
      </c>
      <c r="H2" s="28">
        <f>(B2-$B$14)*(B2-$B$14)+(C2-$C$14)*(C2-$C$14)+(D2-$D$14)*(D2-$D$14)+(E2-$E$14)*(E2-$E$14)+(F2-$F$14)*(F2-$F$14)</f>
        <v>24.548055555555553</v>
      </c>
      <c r="I2" s="29">
        <f>(B2-$B$15)*(B2-$B$15)+(C2-$C$15)*(C2-$C$15)+(D2-$D$15)*(D2-$D$15)+(E2-$E$15)*(E2-$E$15)+(F2-$F$15)*(F2-$F$15)</f>
        <v>36.454549999999998</v>
      </c>
      <c r="L2" t="s">
        <v>117</v>
      </c>
    </row>
    <row r="3" spans="1:12" x14ac:dyDescent="0.2">
      <c r="A3" t="s">
        <v>6</v>
      </c>
      <c r="B3" s="29">
        <v>4.17</v>
      </c>
      <c r="C3" s="29">
        <v>5.43</v>
      </c>
      <c r="D3" s="29">
        <v>3.76</v>
      </c>
      <c r="E3" s="29">
        <v>6.32</v>
      </c>
      <c r="F3" s="29">
        <v>2.09</v>
      </c>
      <c r="G3" s="27">
        <f>(B3-$B$13)*(B3-$B$13)+(C3-$C$13)*(C3-$C$13)+(D3-$D$13)*(D3-$D$13)+(E3-$E$13)*(E3-$E$13)+(F3-$F$13)*(F3-$F$13)</f>
        <v>28.899491999999999</v>
      </c>
      <c r="H3" s="28">
        <f t="shared" ref="H3:H11" si="0">(B3-$B$14)*(B3-$B$14)+(C3-$C$14)*(C3-$C$14)+(D3-$D$14)*(D3-$D$14)+(E3-$E$14)*(E3-$E$14)+(F3-$F$14)*(F3-$F$14)</f>
        <v>31.99358888888889</v>
      </c>
      <c r="I3" s="29">
        <f t="shared" ref="I3:I11" si="1">(B3-$B$15)*(B3-$B$15)+(C3-$C$15)*(C3-$C$15)+(D3-$D$15)*(D3-$D$15)+(E3-$E$15)*(E3-$E$15)+(F3-$F$15)*(F3-$F$15)</f>
        <v>7.7371499999999997</v>
      </c>
      <c r="L3" t="s">
        <v>118</v>
      </c>
    </row>
    <row r="4" spans="1:12" x14ac:dyDescent="0.2">
      <c r="A4" t="s">
        <v>7</v>
      </c>
      <c r="B4" s="27">
        <v>1.79</v>
      </c>
      <c r="C4" s="27">
        <v>3.58</v>
      </c>
      <c r="D4" s="27">
        <v>2.48</v>
      </c>
      <c r="E4" s="27">
        <v>1.17</v>
      </c>
      <c r="F4" s="27">
        <v>0.92</v>
      </c>
      <c r="G4" s="27">
        <f>(B4-$B$13)*(B4-$B$13)+(C4-$C$13)*(C4-$C$13)+(D4-$D$13)*(D4-$D$13)+(E4-$E$13)*(E4-$E$13)+(F4-$F$13)*(F4-$F$13)</f>
        <v>10.044032000000001</v>
      </c>
      <c r="H4" s="28">
        <f>(B4-$B$14)*(B4-$B$14)+(C4-$C$14)*(C4-$C$14)+(D4-$D$14)*(D4-$D$14)+(E4-$E$14)*(E4-$E$14)+(F4-$F$14)*(F4-$F$14)</f>
        <v>32.316622222222222</v>
      </c>
      <c r="I4" s="29">
        <f t="shared" si="1"/>
        <v>57.428649999999998</v>
      </c>
      <c r="L4" t="s">
        <v>119</v>
      </c>
    </row>
    <row r="5" spans="1:12" x14ac:dyDescent="0.2">
      <c r="A5" t="s">
        <v>8</v>
      </c>
      <c r="B5" s="27">
        <v>5.17</v>
      </c>
      <c r="C5" s="27">
        <v>0.85</v>
      </c>
      <c r="D5" s="27">
        <v>2.15</v>
      </c>
      <c r="E5" s="27">
        <v>1.1000000000000001</v>
      </c>
      <c r="F5" s="27">
        <v>3.36</v>
      </c>
      <c r="G5" s="27">
        <f t="shared" ref="G5:G11" si="2">(B5-$B$13)*(B5-$B$13)+(C5-$C$13)*(C5-$C$13)+(D5-$D$13)*(D5-$D$13)+(E5-$E$13)*(E5-$E$13)+(F5-$F$13)*(F5-$F$13)</f>
        <v>7.0138919999999976</v>
      </c>
      <c r="H5" s="28">
        <f t="shared" si="0"/>
        <v>19.758255555555557</v>
      </c>
      <c r="I5" s="29">
        <f t="shared" si="1"/>
        <v>50.661450000000009</v>
      </c>
    </row>
    <row r="6" spans="1:12" x14ac:dyDescent="0.2">
      <c r="A6" t="s">
        <v>9</v>
      </c>
      <c r="B6" s="27">
        <v>2.13</v>
      </c>
      <c r="C6" s="27">
        <v>0.57999999999999996</v>
      </c>
      <c r="D6" s="27">
        <v>2.93</v>
      </c>
      <c r="E6" s="27">
        <v>3.82</v>
      </c>
      <c r="F6" s="27">
        <v>2.75</v>
      </c>
      <c r="G6" s="27">
        <f t="shared" si="2"/>
        <v>5.8165320000000014</v>
      </c>
      <c r="H6" s="28">
        <f t="shared" si="0"/>
        <v>33.420522222222225</v>
      </c>
      <c r="I6" s="29">
        <f t="shared" si="1"/>
        <v>43.440849999999998</v>
      </c>
    </row>
    <row r="7" spans="1:12" x14ac:dyDescent="0.2">
      <c r="A7" t="s">
        <v>10</v>
      </c>
      <c r="B7" s="29">
        <v>6.81</v>
      </c>
      <c r="C7" s="29">
        <v>5.18</v>
      </c>
      <c r="D7" s="29">
        <v>2.7</v>
      </c>
      <c r="E7" s="29">
        <v>6.52</v>
      </c>
      <c r="F7" s="29">
        <v>6.86</v>
      </c>
      <c r="G7" s="27">
        <f t="shared" si="2"/>
        <v>56.552812000000003</v>
      </c>
      <c r="H7" s="28">
        <f t="shared" si="0"/>
        <v>33.321522222222221</v>
      </c>
      <c r="I7" s="29">
        <f>(B7-$B$15)*(B7-$B$15)+(C7-$C$15)*(C7-$C$15)+(D7-$D$15)*(D7-$D$15)+(E7-$E$15)*(E7-$E$15)+(F7-$F$15)*(F7-$F$15)</f>
        <v>7.7371500000000015</v>
      </c>
    </row>
    <row r="8" spans="1:12" x14ac:dyDescent="0.2">
      <c r="A8" t="s">
        <v>11</v>
      </c>
      <c r="B8" s="28">
        <v>3.1</v>
      </c>
      <c r="C8" s="28">
        <v>3.94</v>
      </c>
      <c r="D8" s="28">
        <v>6.94</v>
      </c>
      <c r="E8" s="28">
        <v>0.8</v>
      </c>
      <c r="F8" s="28">
        <v>4.78</v>
      </c>
      <c r="G8" s="27">
        <f t="shared" si="2"/>
        <v>34.796751999999998</v>
      </c>
      <c r="H8" s="28">
        <f t="shared" si="0"/>
        <v>10.883222222222226</v>
      </c>
      <c r="I8" s="29">
        <f>(B8-$B$15)*(B8-$B$15)+(C8-$C$15)*(C8-$C$15)+(D8-$D$15)*(D8-$D$15)+(E8-$E$15)*(E8-$E$15)+(F8-$F$15)*(F8-$F$15)</f>
        <v>53.016850000000005</v>
      </c>
    </row>
    <row r="9" spans="1:12" x14ac:dyDescent="0.2">
      <c r="A9" t="s">
        <v>12</v>
      </c>
      <c r="B9" s="28">
        <v>5.85</v>
      </c>
      <c r="C9" s="28">
        <v>1.64</v>
      </c>
      <c r="D9" s="28">
        <v>5.96</v>
      </c>
      <c r="E9" s="28">
        <v>3.14</v>
      </c>
      <c r="F9" s="28">
        <v>4.5599999999999996</v>
      </c>
      <c r="G9" s="27">
        <f t="shared" si="2"/>
        <v>24.053691999999995</v>
      </c>
      <c r="H9" s="28">
        <f t="shared" si="0"/>
        <v>11.059255555555559</v>
      </c>
      <c r="I9" s="29">
        <f t="shared" si="1"/>
        <v>31.780349999999995</v>
      </c>
    </row>
    <row r="10" spans="1:12" x14ac:dyDescent="0.2">
      <c r="A10" t="s">
        <v>13</v>
      </c>
      <c r="B10" s="27">
        <v>4.38</v>
      </c>
      <c r="C10" s="27">
        <v>1.34</v>
      </c>
      <c r="D10" s="27">
        <v>1.5</v>
      </c>
      <c r="E10" s="27">
        <v>3.19</v>
      </c>
      <c r="F10" s="27">
        <v>1.78</v>
      </c>
      <c r="G10" s="27">
        <f t="shared" si="2"/>
        <v>2.4726919999999994</v>
      </c>
      <c r="H10" s="28">
        <f t="shared" si="0"/>
        <v>29.906588888888884</v>
      </c>
      <c r="I10" s="29">
        <f t="shared" si="1"/>
        <v>37.642149999999994</v>
      </c>
    </row>
    <row r="11" spans="1:12" x14ac:dyDescent="0.2">
      <c r="A11" t="s">
        <v>14</v>
      </c>
      <c r="B11" s="27">
        <v>4.0999999999999996</v>
      </c>
      <c r="C11" s="27">
        <v>3.34</v>
      </c>
      <c r="D11" s="27">
        <v>2.23</v>
      </c>
      <c r="E11" s="27">
        <v>3.68</v>
      </c>
      <c r="F11" s="27">
        <v>3.38</v>
      </c>
      <c r="G11" s="27">
        <f t="shared" si="2"/>
        <v>4.3808919999999993</v>
      </c>
      <c r="H11" s="28">
        <f t="shared" si="0"/>
        <v>13.13718888888889</v>
      </c>
      <c r="I11" s="29">
        <f t="shared" si="1"/>
        <v>15.499949999999998</v>
      </c>
    </row>
    <row r="13" spans="1:12" x14ac:dyDescent="0.2">
      <c r="A13" s="27" t="s">
        <v>93</v>
      </c>
      <c r="B13" s="27">
        <f>(B4+B5+B6+B10+B11)/5</f>
        <v>3.5140000000000002</v>
      </c>
      <c r="C13" s="27">
        <f t="shared" ref="C13:F13" si="3">(C4+C5+C6+C10+C11)/5</f>
        <v>1.9379999999999999</v>
      </c>
      <c r="D13" s="27">
        <f t="shared" si="3"/>
        <v>2.258</v>
      </c>
      <c r="E13" s="27">
        <f t="shared" si="3"/>
        <v>2.5919999999999996</v>
      </c>
      <c r="F13" s="27">
        <f t="shared" si="3"/>
        <v>2.4380000000000002</v>
      </c>
      <c r="H13" t="s">
        <v>96</v>
      </c>
      <c r="J13" t="s">
        <v>99</v>
      </c>
    </row>
    <row r="14" spans="1:12" x14ac:dyDescent="0.2">
      <c r="A14" s="28" t="s">
        <v>94</v>
      </c>
      <c r="B14" s="28">
        <f>(B2+B8+B9)/3</f>
        <v>5.1033333333333335</v>
      </c>
      <c r="C14" s="28">
        <f t="shared" ref="C14:F14" si="4">(C2+C8+C9)/3</f>
        <v>4.1733333333333338</v>
      </c>
      <c r="D14" s="28">
        <f t="shared" si="4"/>
        <v>4.5266666666666664</v>
      </c>
      <c r="E14" s="28">
        <f t="shared" si="4"/>
        <v>1.7766666666666666</v>
      </c>
      <c r="F14" s="28">
        <f t="shared" si="4"/>
        <v>4.9733333333333327</v>
      </c>
      <c r="H14" t="s">
        <v>97</v>
      </c>
      <c r="J14" t="s">
        <v>100</v>
      </c>
    </row>
    <row r="15" spans="1:12" x14ac:dyDescent="0.2">
      <c r="A15" s="29" t="s">
        <v>95</v>
      </c>
      <c r="B15" s="29">
        <f>(B3+B7)/2</f>
        <v>5.49</v>
      </c>
      <c r="C15" s="29">
        <f t="shared" ref="C15:F15" si="5">(C3+C7)/2</f>
        <v>5.3049999999999997</v>
      </c>
      <c r="D15" s="29">
        <f t="shared" si="5"/>
        <v>3.23</v>
      </c>
      <c r="E15" s="29">
        <f t="shared" si="5"/>
        <v>6.42</v>
      </c>
      <c r="F15" s="29">
        <f t="shared" si="5"/>
        <v>4.4749999999999996</v>
      </c>
      <c r="H15" t="s">
        <v>98</v>
      </c>
      <c r="J15" t="s">
        <v>97</v>
      </c>
    </row>
    <row r="20" spans="3:3" x14ac:dyDescent="0.2">
      <c r="C20">
        <f ca="1">RANDBETWEEN(1,10)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E453-0BD8-DF41-9DC2-9EF3E0087ADB}">
  <dimension ref="A1:R41"/>
  <sheetViews>
    <sheetView zoomScaleNormal="100" workbookViewId="0">
      <selection activeCell="J38" sqref="J38"/>
    </sheetView>
  </sheetViews>
  <sheetFormatPr baseColWidth="10" defaultRowHeight="15" x14ac:dyDescent="0.2"/>
  <sheetData>
    <row r="1" spans="1:18" x14ac:dyDescent="0.2">
      <c r="N1" t="s">
        <v>107</v>
      </c>
    </row>
    <row r="2" spans="1:18" x14ac:dyDescent="0.2">
      <c r="O2" t="s">
        <v>101</v>
      </c>
      <c r="P2" t="s">
        <v>102</v>
      </c>
      <c r="Q2" t="s">
        <v>103</v>
      </c>
      <c r="R2">
        <v>1357810</v>
      </c>
    </row>
    <row r="3" spans="1:18" x14ac:dyDescent="0.2">
      <c r="A3" t="s">
        <v>5</v>
      </c>
      <c r="B3">
        <v>2.2534966642115366</v>
      </c>
      <c r="C3">
        <v>1.2877123795494494</v>
      </c>
      <c r="D3">
        <v>0.15200309344505006</v>
      </c>
      <c r="E3">
        <v>0.51457317282975823</v>
      </c>
      <c r="F3">
        <v>0</v>
      </c>
      <c r="N3" t="s">
        <v>5</v>
      </c>
      <c r="O3">
        <v>4.226</v>
      </c>
      <c r="P3">
        <v>3.6150000000000002</v>
      </c>
      <c r="Q3">
        <f t="shared" ref="Q3:Q12" si="0">IF(O3&lt;P3,1-O3/P3,P3/O3-1)</f>
        <v>-0.14458116422148604</v>
      </c>
      <c r="R3">
        <v>26</v>
      </c>
    </row>
    <row r="4" spans="1:18" x14ac:dyDescent="0.2">
      <c r="A4" t="s">
        <v>6</v>
      </c>
      <c r="B4">
        <v>1.2877123795494494</v>
      </c>
      <c r="C4">
        <v>0.96578428466208699</v>
      </c>
      <c r="D4">
        <v>0.60801237378020023</v>
      </c>
      <c r="E4">
        <v>2.5728658641487909</v>
      </c>
      <c r="F4">
        <v>0</v>
      </c>
      <c r="N4" t="s">
        <v>6</v>
      </c>
      <c r="O4">
        <v>3.5</v>
      </c>
      <c r="P4">
        <v>3.6116000000000001</v>
      </c>
      <c r="Q4">
        <f t="shared" si="0"/>
        <v>3.0900431941521811E-2</v>
      </c>
      <c r="R4">
        <v>49</v>
      </c>
    </row>
    <row r="5" spans="1:18" x14ac:dyDescent="0.2">
      <c r="A5" t="s">
        <v>7</v>
      </c>
      <c r="B5">
        <v>0</v>
      </c>
      <c r="C5">
        <v>0</v>
      </c>
      <c r="D5">
        <v>0.9120185606703004</v>
      </c>
      <c r="E5">
        <v>4.1165853826380658</v>
      </c>
      <c r="F5">
        <v>0</v>
      </c>
      <c r="N5" t="s">
        <v>7</v>
      </c>
      <c r="O5">
        <v>5.27</v>
      </c>
      <c r="P5">
        <v>3.9849999999999999</v>
      </c>
      <c r="Q5">
        <f t="shared" si="0"/>
        <v>-0.24383301707779881</v>
      </c>
    </row>
    <row r="6" spans="1:18" x14ac:dyDescent="0.2">
      <c r="A6" t="s">
        <v>8</v>
      </c>
      <c r="B6">
        <v>0.96578428466208699</v>
      </c>
      <c r="C6">
        <v>0.96578428466208699</v>
      </c>
      <c r="D6">
        <v>0.4560092803351502</v>
      </c>
      <c r="E6">
        <v>1.5437195184892747</v>
      </c>
      <c r="F6">
        <v>3</v>
      </c>
      <c r="N6" t="s">
        <v>8</v>
      </c>
      <c r="O6">
        <v>2.62</v>
      </c>
      <c r="P6">
        <v>3.5579999999999998</v>
      </c>
      <c r="Q6">
        <f t="shared" si="0"/>
        <v>0.2636312535132096</v>
      </c>
    </row>
    <row r="7" spans="1:18" x14ac:dyDescent="0.2">
      <c r="A7" t="s">
        <v>9</v>
      </c>
      <c r="B7">
        <v>0.32192809488736235</v>
      </c>
      <c r="C7">
        <v>0.6438561897747247</v>
      </c>
      <c r="D7">
        <v>1.6720340278955506</v>
      </c>
      <c r="E7">
        <v>0</v>
      </c>
      <c r="F7">
        <v>0</v>
      </c>
      <c r="N7" t="s">
        <v>9</v>
      </c>
      <c r="O7">
        <v>4.1639999999999997</v>
      </c>
      <c r="P7">
        <v>3.9849999999999999</v>
      </c>
      <c r="Q7">
        <f t="shared" si="0"/>
        <v>-4.2987512007684914E-2</v>
      </c>
    </row>
    <row r="8" spans="1:18" x14ac:dyDescent="0.2">
      <c r="A8" t="s">
        <v>10</v>
      </c>
      <c r="B8">
        <v>0.32192809488736235</v>
      </c>
      <c r="C8">
        <v>0</v>
      </c>
      <c r="D8">
        <v>0</v>
      </c>
      <c r="E8">
        <v>3.6020122098083078</v>
      </c>
      <c r="F8">
        <v>3</v>
      </c>
      <c r="N8" t="s">
        <v>10</v>
      </c>
      <c r="O8">
        <v>3.5</v>
      </c>
      <c r="P8">
        <v>3.29</v>
      </c>
      <c r="Q8">
        <f t="shared" si="0"/>
        <v>-5.9999999999999942E-2</v>
      </c>
    </row>
    <row r="9" spans="1:18" x14ac:dyDescent="0.2">
      <c r="A9" t="s">
        <v>11</v>
      </c>
      <c r="B9">
        <v>0</v>
      </c>
      <c r="C9">
        <v>2.5754247590988988</v>
      </c>
      <c r="D9">
        <v>0.30400618689010012</v>
      </c>
      <c r="E9">
        <v>0</v>
      </c>
      <c r="F9">
        <v>4</v>
      </c>
      <c r="H9">
        <f>(3.45+4.89+7.05+5.27)/4</f>
        <v>5.165</v>
      </c>
      <c r="N9" t="s">
        <v>11</v>
      </c>
      <c r="O9">
        <v>4.806</v>
      </c>
      <c r="P9">
        <v>2.64</v>
      </c>
      <c r="Q9">
        <f t="shared" si="0"/>
        <v>-0.45068664169787764</v>
      </c>
    </row>
    <row r="10" spans="1:18" x14ac:dyDescent="0.2">
      <c r="A10" t="s">
        <v>12</v>
      </c>
      <c r="B10">
        <v>1.6096404744368118</v>
      </c>
      <c r="C10">
        <v>0.96578428466208699</v>
      </c>
      <c r="D10">
        <v>0.15200309344505006</v>
      </c>
      <c r="E10">
        <v>0</v>
      </c>
      <c r="F10">
        <v>7</v>
      </c>
      <c r="N10" t="s">
        <v>12</v>
      </c>
      <c r="O10">
        <v>6.7519999999999998</v>
      </c>
      <c r="P10">
        <v>3.2650000000000001</v>
      </c>
      <c r="Q10">
        <f t="shared" si="0"/>
        <v>-0.51643957345971558</v>
      </c>
    </row>
    <row r="11" spans="1:18" x14ac:dyDescent="0.2">
      <c r="A11" t="s">
        <v>13</v>
      </c>
      <c r="B11">
        <v>0.96578428466208699</v>
      </c>
      <c r="C11">
        <v>0.32192809488736235</v>
      </c>
      <c r="D11">
        <v>0.15200309344505006</v>
      </c>
      <c r="E11">
        <v>0</v>
      </c>
      <c r="F11">
        <v>5</v>
      </c>
      <c r="N11" t="s">
        <v>13</v>
      </c>
      <c r="O11">
        <v>2.62</v>
      </c>
      <c r="P11">
        <v>4.5570000000000004</v>
      </c>
      <c r="Q11">
        <f t="shared" si="0"/>
        <v>0.4250603467193329</v>
      </c>
    </row>
    <row r="12" spans="1:18" x14ac:dyDescent="0.2">
      <c r="A12" t="s">
        <v>14</v>
      </c>
      <c r="B12">
        <v>0.32192809488736235</v>
      </c>
      <c r="C12">
        <v>1.2877123795494494</v>
      </c>
      <c r="D12">
        <v>0.4560092803351502</v>
      </c>
      <c r="E12">
        <v>1.5437195184892747</v>
      </c>
      <c r="F12">
        <v>0</v>
      </c>
      <c r="H12">
        <f>(4.5+3.45+2.59+5.27+2.2)/5</f>
        <v>3.6019999999999994</v>
      </c>
      <c r="I12">
        <f>(2.34+4.89)/2</f>
        <v>3.6149999999999998</v>
      </c>
      <c r="J12">
        <f>3.6/5.92 -1</f>
        <v>-0.39189189189189189</v>
      </c>
      <c r="N12" t="s">
        <v>14</v>
      </c>
      <c r="O12">
        <v>3.794</v>
      </c>
      <c r="P12">
        <v>2.665</v>
      </c>
      <c r="Q12">
        <f t="shared" si="0"/>
        <v>-0.29757511860832897</v>
      </c>
    </row>
    <row r="13" spans="1:18" x14ac:dyDescent="0.2">
      <c r="N13" t="s">
        <v>104</v>
      </c>
      <c r="Q13">
        <f xml:space="preserve"> SUM(Q3:Q12)/10</f>
        <v>-0.10365109948988276</v>
      </c>
    </row>
    <row r="14" spans="1:18" x14ac:dyDescent="0.2">
      <c r="A14" s="30"/>
      <c r="B14" s="30" t="s">
        <v>5</v>
      </c>
      <c r="C14" s="30" t="s">
        <v>6</v>
      </c>
      <c r="D14" s="30" t="s">
        <v>7</v>
      </c>
      <c r="E14" s="30" t="s">
        <v>8</v>
      </c>
      <c r="F14" s="30" t="s">
        <v>9</v>
      </c>
      <c r="G14" s="30" t="s">
        <v>10</v>
      </c>
      <c r="H14" s="30" t="s">
        <v>11</v>
      </c>
      <c r="I14" s="30" t="s">
        <v>12</v>
      </c>
      <c r="J14" s="30" t="s">
        <v>13</v>
      </c>
      <c r="K14" s="30" t="s">
        <v>14</v>
      </c>
    </row>
    <row r="15" spans="1:18" x14ac:dyDescent="0.2">
      <c r="A15" s="30" t="s">
        <v>5</v>
      </c>
      <c r="B15" s="31"/>
      <c r="C15" s="30">
        <v>2.34</v>
      </c>
      <c r="D15" s="30">
        <v>4.5</v>
      </c>
      <c r="E15" s="30">
        <v>3.45</v>
      </c>
      <c r="F15" s="30">
        <v>2.59</v>
      </c>
      <c r="G15" s="30">
        <v>4.8899999999999997</v>
      </c>
      <c r="H15" s="30">
        <v>4.79</v>
      </c>
      <c r="I15" s="30">
        <v>7.05</v>
      </c>
      <c r="J15" s="30">
        <v>5.27</v>
      </c>
      <c r="K15" s="30">
        <v>2.2000000000000002</v>
      </c>
      <c r="N15" t="s">
        <v>106</v>
      </c>
      <c r="R15">
        <v>67</v>
      </c>
    </row>
    <row r="16" spans="1:18" x14ac:dyDescent="0.2">
      <c r="A16" s="30" t="s">
        <v>6</v>
      </c>
      <c r="B16" s="30"/>
      <c r="C16" s="31"/>
      <c r="D16" s="30">
        <v>2.25</v>
      </c>
      <c r="E16" s="30">
        <v>3.19</v>
      </c>
      <c r="F16" s="30">
        <v>2.96</v>
      </c>
      <c r="G16" s="30">
        <v>3.5</v>
      </c>
      <c r="H16" s="30">
        <v>5.19</v>
      </c>
      <c r="I16" s="30">
        <v>7.48</v>
      </c>
      <c r="J16" s="30">
        <v>5.68</v>
      </c>
      <c r="K16" s="30">
        <v>1.45</v>
      </c>
      <c r="O16" t="s">
        <v>101</v>
      </c>
      <c r="P16" t="s">
        <v>102</v>
      </c>
      <c r="Q16" t="s">
        <v>103</v>
      </c>
      <c r="R16">
        <v>2358910</v>
      </c>
    </row>
    <row r="17" spans="1:18" x14ac:dyDescent="0.2">
      <c r="A17" s="30" t="s">
        <v>7</v>
      </c>
      <c r="B17" s="30"/>
      <c r="C17" s="30"/>
      <c r="D17" s="30"/>
      <c r="E17" s="30">
        <v>4.2</v>
      </c>
      <c r="F17" s="30">
        <v>4.24</v>
      </c>
      <c r="G17" s="30">
        <v>3.19</v>
      </c>
      <c r="H17" s="30">
        <v>6.32</v>
      </c>
      <c r="I17" s="30">
        <v>8.36</v>
      </c>
      <c r="J17" s="30">
        <v>6.6</v>
      </c>
      <c r="K17" s="30">
        <v>2.93</v>
      </c>
      <c r="N17" t="s">
        <v>5</v>
      </c>
      <c r="O17">
        <v>3.45</v>
      </c>
      <c r="P17">
        <v>3.992</v>
      </c>
      <c r="Q17">
        <f t="shared" ref="Q17:Q26" si="1">IF(O17&lt;P17,1-O17/P17,P17/O17-1)</f>
        <v>0.13577154308617234</v>
      </c>
      <c r="R17">
        <v>14</v>
      </c>
    </row>
    <row r="18" spans="1:18" x14ac:dyDescent="0.2">
      <c r="A18" s="30" t="s">
        <v>8</v>
      </c>
      <c r="B18" s="30"/>
      <c r="C18" s="30"/>
      <c r="D18" s="30"/>
      <c r="E18" s="30"/>
      <c r="F18" s="30">
        <v>3.65</v>
      </c>
      <c r="G18" s="30">
        <v>2.4</v>
      </c>
      <c r="H18" s="30">
        <v>2.63</v>
      </c>
      <c r="I18" s="30">
        <v>4.34</v>
      </c>
      <c r="J18" s="30">
        <v>2.62</v>
      </c>
      <c r="K18" s="30">
        <v>3.08</v>
      </c>
      <c r="N18" t="s">
        <v>6</v>
      </c>
      <c r="O18">
        <v>3.964</v>
      </c>
      <c r="P18">
        <v>2.7650000000000001</v>
      </c>
      <c r="Q18">
        <f t="shared" si="1"/>
        <v>-0.30247225025227042</v>
      </c>
    </row>
    <row r="19" spans="1:18" x14ac:dyDescent="0.2">
      <c r="A19" s="30" t="s">
        <v>9</v>
      </c>
      <c r="B19" s="30"/>
      <c r="C19" s="30"/>
      <c r="D19" s="30"/>
      <c r="E19" s="30"/>
      <c r="F19" s="30"/>
      <c r="G19" s="30">
        <v>5.01</v>
      </c>
      <c r="H19" s="30">
        <v>4.6500000000000004</v>
      </c>
      <c r="I19" s="30">
        <v>7.28</v>
      </c>
      <c r="J19" s="30">
        <v>5.27</v>
      </c>
      <c r="K19" s="30">
        <v>2.06</v>
      </c>
      <c r="N19" t="s">
        <v>7</v>
      </c>
      <c r="O19">
        <v>4.8760000000000003</v>
      </c>
      <c r="P19">
        <v>4.3499999999999996</v>
      </c>
      <c r="Q19">
        <f t="shared" si="1"/>
        <v>-0.10787530762920439</v>
      </c>
    </row>
    <row r="20" spans="1:18" x14ac:dyDescent="0.2">
      <c r="A20" s="30" t="s">
        <v>10</v>
      </c>
      <c r="B20" s="30"/>
      <c r="C20" s="30"/>
      <c r="D20" s="30"/>
      <c r="E20" s="30"/>
      <c r="F20" s="30"/>
      <c r="G20" s="30"/>
      <c r="H20" s="30">
        <v>4.5599999999999996</v>
      </c>
      <c r="I20" s="30">
        <v>5.62</v>
      </c>
      <c r="J20" s="30">
        <v>4.18</v>
      </c>
      <c r="K20" s="30">
        <v>3.88</v>
      </c>
      <c r="N20" t="s">
        <v>8</v>
      </c>
      <c r="O20">
        <v>3.45</v>
      </c>
      <c r="P20">
        <v>2.5150000000000001</v>
      </c>
      <c r="Q20">
        <f t="shared" si="1"/>
        <v>-0.27101449275362322</v>
      </c>
    </row>
    <row r="21" spans="1:18" x14ac:dyDescent="0.2">
      <c r="A21" s="30" t="s">
        <v>11</v>
      </c>
      <c r="B21" s="30"/>
      <c r="C21" s="30"/>
      <c r="D21" s="30"/>
      <c r="E21" s="30"/>
      <c r="F21" s="30"/>
      <c r="G21" s="30"/>
      <c r="H21" s="30"/>
      <c r="I21" s="30">
        <v>3.78</v>
      </c>
      <c r="J21" s="30">
        <v>2.65</v>
      </c>
      <c r="K21" s="30">
        <v>4.49</v>
      </c>
      <c r="N21" t="s">
        <v>9</v>
      </c>
      <c r="O21">
        <v>4.3620000000000001</v>
      </c>
      <c r="P21">
        <v>3.12</v>
      </c>
      <c r="Q21">
        <f t="shared" si="1"/>
        <v>-0.28473177441540576</v>
      </c>
    </row>
    <row r="22" spans="1:18" x14ac:dyDescent="0.2">
      <c r="A22" s="30" t="s">
        <v>12</v>
      </c>
      <c r="B22" s="30"/>
      <c r="C22" s="30"/>
      <c r="D22" s="30"/>
      <c r="E22" s="30"/>
      <c r="F22" s="30"/>
      <c r="G22" s="30"/>
      <c r="H22" s="30"/>
      <c r="I22" s="30"/>
      <c r="J22" s="30">
        <v>2.19</v>
      </c>
      <c r="K22" s="30">
        <v>7.29</v>
      </c>
      <c r="N22" t="s">
        <v>10</v>
      </c>
      <c r="O22">
        <v>4.5599999999999996</v>
      </c>
      <c r="P22">
        <v>3.645</v>
      </c>
      <c r="Q22">
        <f t="shared" si="1"/>
        <v>-0.20065789473684204</v>
      </c>
    </row>
    <row r="23" spans="1:18" x14ac:dyDescent="0.2">
      <c r="A23" s="30" t="s">
        <v>13</v>
      </c>
      <c r="B23" s="30"/>
      <c r="C23" s="30"/>
      <c r="D23" s="30"/>
      <c r="E23" s="30"/>
      <c r="F23" s="30"/>
      <c r="G23" s="30"/>
      <c r="H23" s="30"/>
      <c r="I23" s="30"/>
      <c r="J23" s="30"/>
      <c r="K23" s="30">
        <v>5.36</v>
      </c>
      <c r="N23" t="s">
        <v>11</v>
      </c>
      <c r="O23">
        <v>4.5599999999999996</v>
      </c>
      <c r="P23">
        <v>3.71</v>
      </c>
      <c r="Q23">
        <f t="shared" si="1"/>
        <v>-0.18640350877192979</v>
      </c>
    </row>
    <row r="24" spans="1:18" x14ac:dyDescent="0.2">
      <c r="A24" s="30" t="s">
        <v>14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N24" t="s">
        <v>12</v>
      </c>
      <c r="O24">
        <v>6.52</v>
      </c>
      <c r="P24">
        <v>4.7</v>
      </c>
      <c r="Q24">
        <f t="shared" si="1"/>
        <v>-0.27914110429447847</v>
      </c>
    </row>
    <row r="25" spans="1:18" x14ac:dyDescent="0.2">
      <c r="N25" t="s">
        <v>13</v>
      </c>
      <c r="O25">
        <v>5.0199999999999996</v>
      </c>
      <c r="P25">
        <v>3.415</v>
      </c>
      <c r="Q25">
        <f t="shared" si="1"/>
        <v>-0.31972111553784854</v>
      </c>
    </row>
    <row r="26" spans="1:18" x14ac:dyDescent="0.2">
      <c r="B26">
        <v>0.96578428466208699</v>
      </c>
      <c r="C26">
        <v>0.96578428466208699</v>
      </c>
      <c r="D26">
        <v>0.4560092803351502</v>
      </c>
      <c r="E26">
        <v>1.5437195184892747</v>
      </c>
      <c r="F26">
        <v>3</v>
      </c>
      <c r="H26">
        <f>(B26-B27)*(B26-B27)</f>
        <v>0.41455079311122617</v>
      </c>
      <c r="I26">
        <f t="shared" ref="I26:L26" si="2">(C26-C27)*(C26-C27)</f>
        <v>0.10363769827780661</v>
      </c>
      <c r="J26">
        <f t="shared" si="2"/>
        <v>0</v>
      </c>
      <c r="K26">
        <f t="shared" si="2"/>
        <v>0</v>
      </c>
      <c r="L26">
        <f t="shared" si="2"/>
        <v>9</v>
      </c>
      <c r="N26" t="s">
        <v>14</v>
      </c>
      <c r="O26">
        <v>3.8180000000000001</v>
      </c>
      <c r="P26">
        <v>2.64</v>
      </c>
      <c r="Q26">
        <f t="shared" si="1"/>
        <v>-0.30853850183342058</v>
      </c>
    </row>
    <row r="27" spans="1:18" x14ac:dyDescent="0.2">
      <c r="B27">
        <v>0.32192809488736235</v>
      </c>
      <c r="C27">
        <v>1.2877123795494494</v>
      </c>
      <c r="D27">
        <v>0.4560092803351502</v>
      </c>
      <c r="E27">
        <v>1.5437195184892747</v>
      </c>
      <c r="F27">
        <v>0</v>
      </c>
      <c r="H27">
        <f>SQRT(H26+I26+J26+K26+L26)</f>
        <v>3.0851561534854333</v>
      </c>
      <c r="N27" t="s">
        <v>104</v>
      </c>
      <c r="Q27">
        <f xml:space="preserve"> SUM(Q17:Q26)/10</f>
        <v>-0.21247844071388505</v>
      </c>
    </row>
    <row r="29" spans="1:18" x14ac:dyDescent="0.2">
      <c r="H29" t="s">
        <v>116</v>
      </c>
      <c r="N29" t="s">
        <v>105</v>
      </c>
      <c r="R29" t="s">
        <v>115</v>
      </c>
    </row>
    <row r="30" spans="1:18" x14ac:dyDescent="0.2">
      <c r="H30" t="s">
        <v>108</v>
      </c>
      <c r="O30" t="s">
        <v>101</v>
      </c>
      <c r="P30" t="s">
        <v>102</v>
      </c>
      <c r="Q30" t="s">
        <v>103</v>
      </c>
    </row>
    <row r="31" spans="1:18" x14ac:dyDescent="0.2">
      <c r="H31" t="s">
        <v>109</v>
      </c>
      <c r="N31" t="s">
        <v>5</v>
      </c>
      <c r="O31">
        <v>3.45</v>
      </c>
      <c r="P31">
        <v>3.38</v>
      </c>
      <c r="Q31">
        <f t="shared" ref="Q31:Q40" si="3">IF(O31&lt;P31,1-O31/P31,P31/O31-1)</f>
        <v>-2.0289855072463836E-2</v>
      </c>
      <c r="R31">
        <v>678</v>
      </c>
    </row>
    <row r="32" spans="1:18" x14ac:dyDescent="0.2">
      <c r="H32" t="s">
        <v>110</v>
      </c>
      <c r="N32" t="s">
        <v>6</v>
      </c>
      <c r="O32">
        <v>3.085</v>
      </c>
      <c r="P32">
        <v>2.7650000000000001</v>
      </c>
      <c r="Q32">
        <f t="shared" si="3"/>
        <v>-0.10372771474878439</v>
      </c>
      <c r="R32">
        <v>235910</v>
      </c>
    </row>
    <row r="33" spans="8:18" x14ac:dyDescent="0.2">
      <c r="H33" t="s">
        <v>111</v>
      </c>
      <c r="N33" t="s">
        <v>7</v>
      </c>
      <c r="O33">
        <v>4.0049999999999999</v>
      </c>
      <c r="P33">
        <v>4.3499999999999996</v>
      </c>
      <c r="Q33">
        <f t="shared" si="3"/>
        <v>7.9310344827586143E-2</v>
      </c>
      <c r="R33">
        <v>14</v>
      </c>
    </row>
    <row r="34" spans="8:18" x14ac:dyDescent="0.2">
      <c r="H34" t="s">
        <v>112</v>
      </c>
      <c r="N34" t="s">
        <v>8</v>
      </c>
      <c r="O34">
        <v>3.45</v>
      </c>
      <c r="P34">
        <v>3.12</v>
      </c>
      <c r="Q34">
        <f t="shared" si="3"/>
        <v>-9.5652173913043481E-2</v>
      </c>
    </row>
    <row r="35" spans="8:18" x14ac:dyDescent="0.2">
      <c r="H35" t="s">
        <v>113</v>
      </c>
      <c r="N35" t="s">
        <v>9</v>
      </c>
      <c r="O35">
        <v>3.6324999999999998</v>
      </c>
      <c r="P35">
        <v>3.12</v>
      </c>
      <c r="Q35">
        <f t="shared" si="3"/>
        <v>-0.14108740536820363</v>
      </c>
    </row>
    <row r="36" spans="8:18" x14ac:dyDescent="0.2">
      <c r="N36" t="s">
        <v>10</v>
      </c>
      <c r="O36">
        <v>5.09</v>
      </c>
      <c r="P36">
        <v>3.645</v>
      </c>
      <c r="Q36">
        <f t="shared" si="3"/>
        <v>-0.28388998035363455</v>
      </c>
    </row>
    <row r="37" spans="8:18" x14ac:dyDescent="0.2">
      <c r="N37" t="s">
        <v>11</v>
      </c>
      <c r="O37">
        <v>4.17</v>
      </c>
      <c r="P37">
        <v>4.6500000000000004</v>
      </c>
      <c r="Q37">
        <f t="shared" si="3"/>
        <v>0.10322580645161294</v>
      </c>
    </row>
    <row r="38" spans="8:18" x14ac:dyDescent="0.2">
      <c r="N38" t="s">
        <v>12</v>
      </c>
      <c r="O38">
        <v>4.7</v>
      </c>
      <c r="P38">
        <v>5.6950000000000003</v>
      </c>
      <c r="Q38">
        <f t="shared" si="3"/>
        <v>0.17471466198419672</v>
      </c>
    </row>
    <row r="39" spans="8:18" x14ac:dyDescent="0.2">
      <c r="N39" t="s">
        <v>13</v>
      </c>
      <c r="O39">
        <v>6.21</v>
      </c>
      <c r="P39">
        <v>3.0070000000000001</v>
      </c>
      <c r="Q39">
        <f t="shared" si="3"/>
        <v>-0.51578099838969405</v>
      </c>
    </row>
    <row r="40" spans="8:18" x14ac:dyDescent="0.2">
      <c r="N40" t="s">
        <v>14</v>
      </c>
      <c r="O40">
        <v>3.43</v>
      </c>
      <c r="P40">
        <v>2.64</v>
      </c>
      <c r="Q40">
        <f t="shared" si="3"/>
        <v>-0.23032069970845481</v>
      </c>
    </row>
    <row r="41" spans="8:18" x14ac:dyDescent="0.2">
      <c r="N41" t="s">
        <v>104</v>
      </c>
      <c r="Q41">
        <f>SUM(Q31:Q40)/10</f>
        <v>-0.1033498014290883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Matran tf</vt:lpstr>
      <vt:lpstr>Matran idf</vt:lpstr>
      <vt:lpstr>Matran tf-idf</vt:lpstr>
      <vt:lpstr>XulyQuery</vt:lpstr>
      <vt:lpstr>Evaluation</vt:lpstr>
      <vt:lpstr>k-means</vt:lpstr>
      <vt:lpstr>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2021-04-15T11:42:41Z</dcterms:modified>
</cp:coreProperties>
</file>